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90" windowWidth="19440" windowHeight="13110" tabRatio="838" activeTab="4"/>
  </bookViews>
  <sheets>
    <sheet name="Summary" sheetId="13" r:id="rId1"/>
    <sheet name="Material (1,2,3)" sheetId="9" r:id="rId2"/>
    <sheet name="Manufacturing (6,7,8,9)" sheetId="10" r:id="rId3"/>
    <sheet name="Tools and Devices (16,24)" sheetId="11" r:id="rId4"/>
    <sheet name="HELP MHR Calculator" sheetId="23" r:id="rId5"/>
    <sheet name="User Guide" sheetId="26" r:id="rId6"/>
    <sheet name="Languages" sheetId="18" state="hidden" r:id="rId7"/>
    <sheet name="Assumption" sheetId="24" state="hidden" r:id="rId8"/>
  </sheets>
  <definedNames>
    <definedName name="Dropdown">Languages!$B$275:$B$291</definedName>
    <definedName name="ManufacturingComment">'Manufacturing (6,7,8,9)'!$D$48</definedName>
    <definedName name="MaterialClass">Assumption!$H$5:$H$6</definedName>
    <definedName name="MaterialComment">'Material (1,2,3)'!$G$48</definedName>
    <definedName name="_xlnm.Print_Area" localSheetId="4">'HELP MHR Calculator'!$B$3:$X$77</definedName>
    <definedName name="_xlnm.Print_Area" localSheetId="2">'Manufacturing (6,7,8,9)'!$B$3:$BD$51</definedName>
    <definedName name="_xlnm.Print_Area" localSheetId="1">'Material (1,2,3)'!$B$3:$AY$51</definedName>
    <definedName name="_xlnm.Print_Area" localSheetId="0">Summary!$B$3:$AR$46</definedName>
    <definedName name="_xlnm.Print_Area" localSheetId="3">'Tools and Devices (16,24)'!$B$3:$AK$39</definedName>
    <definedName name="_xlnm.Print_Titles" localSheetId="2">'Manufacturing (6,7,8,9)'!$12:$16</definedName>
    <definedName name="_xlnm.Print_Titles" localSheetId="1">'Material (1,2,3)'!$12:$16</definedName>
    <definedName name="_xlnm.Print_Titles" localSheetId="3">'Tools and Devices (16,24)'!$12:$17</definedName>
    <definedName name="PurchasingCurrency">Assumption!$D$5:$D$53</definedName>
    <definedName name="PurchasingUnit">Assumption!$G$5:$G$30</definedName>
    <definedName name="QuotationCurrency">Assumption!$B$5:$B$53</definedName>
    <definedName name="QuotationUnit">Assumption!$F$5:$F$30</definedName>
    <definedName name="ToolsComment">'Tools and Devices (16,24)'!$D$36</definedName>
    <definedName name="Wording">Languages!$C$2:$C$6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23" l="1"/>
  <c r="E14" i="23"/>
  <c r="B14" i="10"/>
  <c r="AJ17" i="9"/>
  <c r="F14" i="9"/>
  <c r="C14" i="9" l="1"/>
  <c r="X14" i="9"/>
  <c r="S14" i="9"/>
  <c r="F204" i="18" l="1"/>
  <c r="E204" i="18"/>
  <c r="D204" i="18"/>
  <c r="C204" i="18"/>
  <c r="F174" i="18"/>
  <c r="E174" i="18"/>
  <c r="D174" i="18"/>
  <c r="C174" i="18"/>
  <c r="F132" i="18"/>
  <c r="E132" i="18"/>
  <c r="D132" i="18"/>
  <c r="C132" i="18"/>
  <c r="F95" i="18"/>
  <c r="E95" i="18"/>
  <c r="D95" i="18"/>
  <c r="C95" i="18"/>
  <c r="F19" i="18"/>
  <c r="E19" i="18"/>
  <c r="D19" i="18"/>
  <c r="C19" i="18"/>
  <c r="B19" i="18"/>
  <c r="F9" i="18"/>
  <c r="E9" i="18"/>
  <c r="D9" i="18"/>
  <c r="B9" i="18"/>
  <c r="B74" i="23"/>
  <c r="U70" i="23"/>
  <c r="T70" i="23"/>
  <c r="P70" i="23"/>
  <c r="C70" i="23"/>
  <c r="C68" i="23"/>
  <c r="U65" i="23"/>
  <c r="P65" i="23"/>
  <c r="C65" i="23"/>
  <c r="U63" i="23"/>
  <c r="T63" i="23"/>
  <c r="P63" i="23"/>
  <c r="C63" i="23"/>
  <c r="U61" i="23"/>
  <c r="T61" i="23"/>
  <c r="P61" i="23"/>
  <c r="C61" i="23"/>
  <c r="U59" i="23"/>
  <c r="T59" i="23"/>
  <c r="T65" i="23" s="1"/>
  <c r="P59" i="23"/>
  <c r="O59" i="23"/>
  <c r="M59" i="23"/>
  <c r="C59" i="23"/>
  <c r="C57" i="23"/>
  <c r="C55" i="23"/>
  <c r="C53" i="23"/>
  <c r="U50" i="23"/>
  <c r="P50" i="23"/>
  <c r="C50" i="23"/>
  <c r="U48" i="23"/>
  <c r="T48" i="23"/>
  <c r="P48" i="23"/>
  <c r="O48" i="23"/>
  <c r="M48" i="23"/>
  <c r="C48" i="23"/>
  <c r="C46" i="23"/>
  <c r="U44" i="23"/>
  <c r="T44" i="23"/>
  <c r="P44" i="23"/>
  <c r="C44" i="23"/>
  <c r="U42" i="23"/>
  <c r="T42" i="23"/>
  <c r="T50" i="23" s="1"/>
  <c r="P42" i="23"/>
  <c r="O42" i="23"/>
  <c r="C42" i="23"/>
  <c r="C40" i="23"/>
  <c r="C38" i="23"/>
  <c r="M35" i="23"/>
  <c r="C35" i="23"/>
  <c r="T33" i="23"/>
  <c r="O33" i="23"/>
  <c r="M33" i="23"/>
  <c r="C33" i="23"/>
  <c r="O31" i="23"/>
  <c r="M31" i="23"/>
  <c r="L31" i="23"/>
  <c r="O63" i="23" s="1"/>
  <c r="C31" i="23"/>
  <c r="T29" i="23"/>
  <c r="O29" i="23"/>
  <c r="M29" i="23"/>
  <c r="L29" i="23"/>
  <c r="C29" i="23"/>
  <c r="O27" i="23"/>
  <c r="M27" i="23"/>
  <c r="L27" i="23"/>
  <c r="C27" i="23"/>
  <c r="O25" i="23"/>
  <c r="M25" i="23"/>
  <c r="L25" i="23"/>
  <c r="C25" i="23"/>
  <c r="O23" i="23"/>
  <c r="M23" i="23"/>
  <c r="C23" i="23"/>
  <c r="O21" i="23"/>
  <c r="C21" i="23"/>
  <c r="O18" i="23"/>
  <c r="E18" i="23"/>
  <c r="O16" i="23"/>
  <c r="E16" i="23"/>
  <c r="O14" i="23"/>
  <c r="C12" i="23"/>
  <c r="U10" i="23"/>
  <c r="U9" i="23"/>
  <c r="U8" i="23"/>
  <c r="U7" i="23"/>
  <c r="H7" i="23"/>
  <c r="V6" i="23"/>
  <c r="U6" i="23"/>
  <c r="V5" i="23"/>
  <c r="U5" i="23"/>
  <c r="T3" i="23"/>
  <c r="AF37" i="11"/>
  <c r="AB37" i="11"/>
  <c r="B37" i="11"/>
  <c r="AK36" i="11"/>
  <c r="AF36" i="11"/>
  <c r="AB36" i="11"/>
  <c r="X36" i="11"/>
  <c r="Q36" i="11"/>
  <c r="AJ34" i="11"/>
  <c r="AH34" i="11"/>
  <c r="X34" i="11"/>
  <c r="S34" i="11"/>
  <c r="AJ33" i="11"/>
  <c r="AH33" i="11"/>
  <c r="S33" i="11"/>
  <c r="X33" i="11" s="1"/>
  <c r="AJ32" i="11"/>
  <c r="AH32" i="11"/>
  <c r="X32" i="11"/>
  <c r="S32" i="11"/>
  <c r="AL31" i="11"/>
  <c r="AJ31" i="11"/>
  <c r="AH31" i="11"/>
  <c r="X31" i="11"/>
  <c r="S31" i="11"/>
  <c r="AJ30" i="11"/>
  <c r="AH30" i="11"/>
  <c r="X30" i="11"/>
  <c r="S30" i="11"/>
  <c r="AJ29" i="11"/>
  <c r="AH29" i="11"/>
  <c r="S29" i="11"/>
  <c r="X29" i="11" s="1"/>
  <c r="AJ28" i="11"/>
  <c r="AH28" i="11"/>
  <c r="X28" i="11"/>
  <c r="S28" i="11"/>
  <c r="AL27" i="11"/>
  <c r="AJ27" i="11"/>
  <c r="AH27" i="11"/>
  <c r="X27" i="11"/>
  <c r="S27" i="11"/>
  <c r="AJ26" i="11"/>
  <c r="AH26" i="11"/>
  <c r="X26" i="11"/>
  <c r="S26" i="11"/>
  <c r="AJ25" i="11"/>
  <c r="AH25" i="11"/>
  <c r="S25" i="11"/>
  <c r="X25" i="11" s="1"/>
  <c r="AJ24" i="11"/>
  <c r="AH24" i="11"/>
  <c r="X24" i="11"/>
  <c r="S24" i="11"/>
  <c r="AL23" i="11"/>
  <c r="AJ23" i="11"/>
  <c r="AH23" i="11"/>
  <c r="X23" i="11"/>
  <c r="S23" i="11"/>
  <c r="AJ22" i="11"/>
  <c r="AH22" i="11"/>
  <c r="X22" i="11"/>
  <c r="S22" i="11"/>
  <c r="AJ21" i="11"/>
  <c r="AH21" i="11"/>
  <c r="S21" i="11"/>
  <c r="X21" i="11" s="1"/>
  <c r="AJ20" i="11"/>
  <c r="AH20" i="11"/>
  <c r="X20" i="11"/>
  <c r="S20" i="11"/>
  <c r="AL19" i="11"/>
  <c r="AJ19" i="11"/>
  <c r="AH19" i="11"/>
  <c r="X19" i="11"/>
  <c r="S19" i="11"/>
  <c r="AJ18" i="11"/>
  <c r="AH18" i="11"/>
  <c r="S18" i="11"/>
  <c r="X18" i="11" s="1"/>
  <c r="AJ17" i="11"/>
  <c r="AH17" i="11"/>
  <c r="AF17" i="11"/>
  <c r="AB17" i="11"/>
  <c r="X17" i="11"/>
  <c r="U17" i="11"/>
  <c r="S17" i="11"/>
  <c r="AK16" i="11"/>
  <c r="AG16" i="11"/>
  <c r="AJ15" i="11"/>
  <c r="AH15" i="11"/>
  <c r="AF15" i="11"/>
  <c r="AB15" i="11"/>
  <c r="X15" i="11"/>
  <c r="V15" i="11"/>
  <c r="S15" i="11"/>
  <c r="Q15" i="11"/>
  <c r="AL32" i="11" s="1"/>
  <c r="N15" i="11"/>
  <c r="L15" i="11"/>
  <c r="I15" i="11"/>
  <c r="C15" i="11"/>
  <c r="B15" i="11"/>
  <c r="G13" i="11"/>
  <c r="B13" i="11"/>
  <c r="S12" i="11"/>
  <c r="L12" i="11"/>
  <c r="B12" i="11"/>
  <c r="AE10" i="11"/>
  <c r="X10" i="11"/>
  <c r="P10" i="11"/>
  <c r="AE9" i="11"/>
  <c r="X9" i="11"/>
  <c r="P9" i="11"/>
  <c r="AE8" i="11"/>
  <c r="X8" i="11"/>
  <c r="P8" i="11"/>
  <c r="AE7" i="11"/>
  <c r="X7" i="11"/>
  <c r="P7" i="11"/>
  <c r="AH6" i="11"/>
  <c r="AG6" i="11"/>
  <c r="AH5" i="11"/>
  <c r="AG5" i="11"/>
  <c r="AE3" i="11"/>
  <c r="AH51" i="10"/>
  <c r="AH50" i="10"/>
  <c r="B49" i="10"/>
  <c r="AZ48" i="10"/>
  <c r="AQ48" i="10"/>
  <c r="AM48" i="10"/>
  <c r="AI48" i="10"/>
  <c r="AE48" i="10"/>
  <c r="AC48" i="10"/>
  <c r="W48" i="10"/>
  <c r="Q48" i="10"/>
  <c r="BG46" i="10"/>
  <c r="BD46" i="10"/>
  <c r="BC46" i="10"/>
  <c r="BB46" i="10"/>
  <c r="BA46" i="10"/>
  <c r="BE46" i="10" s="1"/>
  <c r="AS46" i="10"/>
  <c r="AK46" i="10"/>
  <c r="AC46" i="10"/>
  <c r="W46" i="10"/>
  <c r="BG45" i="10"/>
  <c r="BD45" i="10"/>
  <c r="BC45" i="10"/>
  <c r="BA45" i="10"/>
  <c r="BE45" i="10" s="1"/>
  <c r="AS45" i="10"/>
  <c r="AC45" i="10"/>
  <c r="BB45" i="10" s="1"/>
  <c r="W45" i="10"/>
  <c r="AK45" i="10" s="1"/>
  <c r="BG44" i="10"/>
  <c r="BD44" i="10"/>
  <c r="BC44" i="10"/>
  <c r="BB44" i="10"/>
  <c r="AS44" i="10"/>
  <c r="AK44" i="10"/>
  <c r="AO44" i="10" s="1"/>
  <c r="BF44" i="10" s="1"/>
  <c r="AC44" i="10"/>
  <c r="W44" i="10"/>
  <c r="BA44" i="10" s="1"/>
  <c r="BE44" i="10" s="1"/>
  <c r="BG43" i="10"/>
  <c r="BD43" i="10"/>
  <c r="BC43" i="10"/>
  <c r="BB43" i="10"/>
  <c r="BA43" i="10"/>
  <c r="BE43" i="10" s="1"/>
  <c r="AS43" i="10"/>
  <c r="AC43" i="10"/>
  <c r="W43" i="10"/>
  <c r="AK43" i="10" s="1"/>
  <c r="BG42" i="10"/>
  <c r="BD42" i="10"/>
  <c r="BC42" i="10"/>
  <c r="BB42" i="10"/>
  <c r="BA42" i="10"/>
  <c r="BE42" i="10" s="1"/>
  <c r="AS42" i="10"/>
  <c r="AK42" i="10"/>
  <c r="AC42" i="10"/>
  <c r="W42" i="10"/>
  <c r="BG41" i="10"/>
  <c r="BD41" i="10"/>
  <c r="BC41" i="10"/>
  <c r="BA41" i="10"/>
  <c r="BE41" i="10" s="1"/>
  <c r="AS41" i="10"/>
  <c r="AC41" i="10"/>
  <c r="BB41" i="10" s="1"/>
  <c r="W41" i="10"/>
  <c r="AK41" i="10" s="1"/>
  <c r="BG40" i="10"/>
  <c r="BD40" i="10"/>
  <c r="BC40" i="10"/>
  <c r="BB40" i="10"/>
  <c r="AS40" i="10"/>
  <c r="AK40" i="10"/>
  <c r="AO40" i="10" s="1"/>
  <c r="BF40" i="10" s="1"/>
  <c r="AC40" i="10"/>
  <c r="W40" i="10"/>
  <c r="BA40" i="10" s="1"/>
  <c r="BE40" i="10" s="1"/>
  <c r="BG39" i="10"/>
  <c r="BD39" i="10"/>
  <c r="BC39" i="10"/>
  <c r="BB39" i="10"/>
  <c r="BA39" i="10"/>
  <c r="BE39" i="10" s="1"/>
  <c r="AS39" i="10"/>
  <c r="AC39" i="10"/>
  <c r="W39" i="10"/>
  <c r="AK39" i="10" s="1"/>
  <c r="BG38" i="10"/>
  <c r="BD38" i="10"/>
  <c r="BC38" i="10"/>
  <c r="BB38" i="10"/>
  <c r="BA38" i="10"/>
  <c r="BE38" i="10" s="1"/>
  <c r="AS38" i="10"/>
  <c r="AK38" i="10"/>
  <c r="AC38" i="10"/>
  <c r="W38" i="10"/>
  <c r="BG37" i="10"/>
  <c r="BD37" i="10"/>
  <c r="BC37" i="10"/>
  <c r="BA37" i="10"/>
  <c r="BE37" i="10" s="1"/>
  <c r="AS37" i="10"/>
  <c r="AC37" i="10"/>
  <c r="BB37" i="10" s="1"/>
  <c r="W37" i="10"/>
  <c r="AK37" i="10" s="1"/>
  <c r="BG36" i="10"/>
  <c r="BD36" i="10"/>
  <c r="BC36" i="10"/>
  <c r="BB36" i="10"/>
  <c r="AS36" i="10"/>
  <c r="AK36" i="10"/>
  <c r="AO36" i="10" s="1"/>
  <c r="BF36" i="10" s="1"/>
  <c r="AC36" i="10"/>
  <c r="W36" i="10"/>
  <c r="BA36" i="10" s="1"/>
  <c r="BE36" i="10" s="1"/>
  <c r="BG35" i="10"/>
  <c r="BD35" i="10"/>
  <c r="BC35" i="10"/>
  <c r="BB35" i="10"/>
  <c r="BA35" i="10"/>
  <c r="BE35" i="10" s="1"/>
  <c r="AS35" i="10"/>
  <c r="AC35" i="10"/>
  <c r="W35" i="10"/>
  <c r="AK35" i="10" s="1"/>
  <c r="BG34" i="10"/>
  <c r="BD34" i="10"/>
  <c r="BC34" i="10"/>
  <c r="BB34" i="10"/>
  <c r="BA34" i="10"/>
  <c r="BE34" i="10" s="1"/>
  <c r="AS34" i="10"/>
  <c r="AK34" i="10"/>
  <c r="AC34" i="10"/>
  <c r="W34" i="10"/>
  <c r="BG33" i="10"/>
  <c r="BD33" i="10"/>
  <c r="BC33" i="10"/>
  <c r="BA33" i="10"/>
  <c r="BE33" i="10" s="1"/>
  <c r="AS33" i="10"/>
  <c r="AC33" i="10"/>
  <c r="BB33" i="10" s="1"/>
  <c r="W33" i="10"/>
  <c r="BG32" i="10"/>
  <c r="BD32" i="10"/>
  <c r="BC32" i="10"/>
  <c r="BB32" i="10"/>
  <c r="AS32" i="10"/>
  <c r="AK32" i="10"/>
  <c r="AO32" i="10" s="1"/>
  <c r="BF32" i="10" s="1"/>
  <c r="AC32" i="10"/>
  <c r="W32" i="10"/>
  <c r="BA32" i="10" s="1"/>
  <c r="BE32" i="10" s="1"/>
  <c r="BG31" i="10"/>
  <c r="BD31" i="10"/>
  <c r="BC31" i="10"/>
  <c r="BB31" i="10"/>
  <c r="BA31" i="10"/>
  <c r="BE31" i="10" s="1"/>
  <c r="AS31" i="10"/>
  <c r="AC31" i="10"/>
  <c r="W31" i="10"/>
  <c r="AK31" i="10" s="1"/>
  <c r="BG30" i="10"/>
  <c r="BD30" i="10"/>
  <c r="BC30" i="10"/>
  <c r="BB30" i="10"/>
  <c r="BA30" i="10"/>
  <c r="BE30" i="10" s="1"/>
  <c r="AS30" i="10"/>
  <c r="AK30" i="10"/>
  <c r="AC30" i="10"/>
  <c r="W30" i="10"/>
  <c r="BG29" i="10"/>
  <c r="BD29" i="10"/>
  <c r="BC29" i="10"/>
  <c r="BA29" i="10"/>
  <c r="BE29" i="10" s="1"/>
  <c r="AS29" i="10"/>
  <c r="AC29" i="10"/>
  <c r="BB29" i="10" s="1"/>
  <c r="W29" i="10"/>
  <c r="BG28" i="10"/>
  <c r="BD28" i="10"/>
  <c r="BC28" i="10"/>
  <c r="BB28" i="10"/>
  <c r="AS28" i="10"/>
  <c r="AK28" i="10"/>
  <c r="AO28" i="10" s="1"/>
  <c r="BF28" i="10" s="1"/>
  <c r="AC28" i="10"/>
  <c r="W28" i="10"/>
  <c r="BA28" i="10" s="1"/>
  <c r="BE28" i="10" s="1"/>
  <c r="BG27" i="10"/>
  <c r="BD27" i="10"/>
  <c r="BC27" i="10"/>
  <c r="BB27" i="10"/>
  <c r="BA27" i="10"/>
  <c r="BE27" i="10" s="1"/>
  <c r="AS27" i="10"/>
  <c r="AC27" i="10"/>
  <c r="W27" i="10"/>
  <c r="AK27" i="10" s="1"/>
  <c r="BG26" i="10"/>
  <c r="BD26" i="10"/>
  <c r="BC26" i="10"/>
  <c r="BB26" i="10"/>
  <c r="BA26" i="10"/>
  <c r="BE26" i="10" s="1"/>
  <c r="AS26" i="10"/>
  <c r="AK26" i="10"/>
  <c r="AC26" i="10"/>
  <c r="W26" i="10"/>
  <c r="BG25" i="10"/>
  <c r="BD25" i="10"/>
  <c r="BC25" i="10"/>
  <c r="BA25" i="10"/>
  <c r="BE25" i="10" s="1"/>
  <c r="AS25" i="10"/>
  <c r="AC25" i="10"/>
  <c r="BB25" i="10" s="1"/>
  <c r="W25" i="10"/>
  <c r="AK25" i="10" s="1"/>
  <c r="BG24" i="10"/>
  <c r="BD24" i="10"/>
  <c r="BC24" i="10"/>
  <c r="BB24" i="10"/>
  <c r="AS24" i="10"/>
  <c r="AK24" i="10"/>
  <c r="AO24" i="10" s="1"/>
  <c r="BF24" i="10" s="1"/>
  <c r="AC24" i="10"/>
  <c r="W24" i="10"/>
  <c r="BA24" i="10" s="1"/>
  <c r="BE24" i="10" s="1"/>
  <c r="BG23" i="10"/>
  <c r="BD23" i="10"/>
  <c r="BC23" i="10"/>
  <c r="BB23" i="10"/>
  <c r="BA23" i="10"/>
  <c r="BE23" i="10" s="1"/>
  <c r="AS23" i="10"/>
  <c r="AC23" i="10"/>
  <c r="W23" i="10"/>
  <c r="AK23" i="10" s="1"/>
  <c r="BG22" i="10"/>
  <c r="BD22" i="10"/>
  <c r="BC22" i="10"/>
  <c r="BB22" i="10"/>
  <c r="BA22" i="10"/>
  <c r="BE22" i="10" s="1"/>
  <c r="AS22" i="10"/>
  <c r="AK22" i="10"/>
  <c r="AC22" i="10"/>
  <c r="W22" i="10"/>
  <c r="BG21" i="10"/>
  <c r="BD21" i="10"/>
  <c r="BC21" i="10"/>
  <c r="BA21" i="10"/>
  <c r="BE21" i="10" s="1"/>
  <c r="AS21" i="10"/>
  <c r="AC21" i="10"/>
  <c r="BB21" i="10" s="1"/>
  <c r="W21" i="10"/>
  <c r="BH20" i="10"/>
  <c r="BG20" i="10"/>
  <c r="BD20" i="10"/>
  <c r="BC20" i="10"/>
  <c r="BB20" i="10"/>
  <c r="AS20" i="10"/>
  <c r="AK20" i="10"/>
  <c r="AO20" i="10" s="1"/>
  <c r="BF20" i="10" s="1"/>
  <c r="AC20" i="10"/>
  <c r="W20" i="10"/>
  <c r="BA20" i="10" s="1"/>
  <c r="BE20" i="10" s="1"/>
  <c r="BG19" i="10"/>
  <c r="BD19" i="10"/>
  <c r="BC19" i="10"/>
  <c r="BB19" i="10"/>
  <c r="BA19" i="10"/>
  <c r="BE19" i="10" s="1"/>
  <c r="AS19" i="10"/>
  <c r="AC19" i="10"/>
  <c r="W19" i="10"/>
  <c r="AK19" i="10" s="1"/>
  <c r="BG18" i="10"/>
  <c r="BD18" i="10"/>
  <c r="BC18" i="10"/>
  <c r="BB18" i="10"/>
  <c r="BA18" i="10"/>
  <c r="BE18" i="10" s="1"/>
  <c r="AS18" i="10"/>
  <c r="AK18" i="10"/>
  <c r="AC18" i="10"/>
  <c r="W18" i="10"/>
  <c r="BG17" i="10"/>
  <c r="BG48" i="10" s="1"/>
  <c r="BD17" i="10"/>
  <c r="BC17" i="10"/>
  <c r="BC48" i="10" s="1"/>
  <c r="AC17" i="10"/>
  <c r="BB17" i="10" s="1"/>
  <c r="BB48" i="10" s="1"/>
  <c r="AM18" i="13" s="1"/>
  <c r="AP18" i="13" s="1"/>
  <c r="W17" i="10"/>
  <c r="BA17" i="10" s="1"/>
  <c r="AY16" i="10"/>
  <c r="AW16" i="10"/>
  <c r="AV16" i="10"/>
  <c r="AU16" i="10"/>
  <c r="AR16" i="10"/>
  <c r="AQ49" i="10" s="1"/>
  <c r="AQ16" i="10"/>
  <c r="AP16" i="10"/>
  <c r="AO16" i="10"/>
  <c r="AL16" i="10"/>
  <c r="AK16" i="10"/>
  <c r="AJ16" i="10"/>
  <c r="AI49" i="10" s="1"/>
  <c r="AI16" i="10"/>
  <c r="AF16" i="10"/>
  <c r="AE16" i="10"/>
  <c r="AE49" i="10" s="1"/>
  <c r="AD16" i="10"/>
  <c r="AC16" i="10"/>
  <c r="AB16" i="10"/>
  <c r="AA16" i="10"/>
  <c r="Y16" i="10"/>
  <c r="X16" i="10"/>
  <c r="W16" i="10"/>
  <c r="V16" i="10"/>
  <c r="U16" i="10"/>
  <c r="Q16" i="10"/>
  <c r="L16" i="10"/>
  <c r="AZ15" i="10"/>
  <c r="AM15" i="10"/>
  <c r="AY14" i="10"/>
  <c r="AW14" i="10"/>
  <c r="AU14" i="10"/>
  <c r="AQ14" i="10"/>
  <c r="AM14" i="10"/>
  <c r="AK14" i="10"/>
  <c r="AI14" i="10"/>
  <c r="AG14" i="10"/>
  <c r="BH44" i="10" s="1"/>
  <c r="AE14" i="10"/>
  <c r="AC14" i="10"/>
  <c r="AA14" i="10"/>
  <c r="Y14" i="10"/>
  <c r="W14" i="10"/>
  <c r="U14" i="10"/>
  <c r="S14" i="10"/>
  <c r="Q14" i="10"/>
  <c r="O14" i="10"/>
  <c r="BH43" i="10" s="1"/>
  <c r="L14" i="10"/>
  <c r="H14" i="10"/>
  <c r="C14" i="10"/>
  <c r="BH12" i="10"/>
  <c r="Q12" i="10"/>
  <c r="B12" i="10"/>
  <c r="AS10" i="10"/>
  <c r="Y10" i="10"/>
  <c r="P10" i="10"/>
  <c r="AS9" i="10"/>
  <c r="Y9" i="10"/>
  <c r="P9" i="10"/>
  <c r="AS8" i="10"/>
  <c r="Y8" i="10"/>
  <c r="P8" i="10"/>
  <c r="AS7" i="10"/>
  <c r="Y7" i="10"/>
  <c r="P7" i="10"/>
  <c r="AW6" i="10"/>
  <c r="AV6" i="10"/>
  <c r="AW5" i="10"/>
  <c r="AV5" i="10"/>
  <c r="AS3" i="10"/>
  <c r="AK51" i="9"/>
  <c r="AX50" i="9"/>
  <c r="AR50" i="9"/>
  <c r="AN50" i="9"/>
  <c r="AC14" i="13" s="1"/>
  <c r="AK50" i="9"/>
  <c r="AL49" i="9"/>
  <c r="AK49" i="9"/>
  <c r="B49" i="9"/>
  <c r="AX48" i="9"/>
  <c r="AT48" i="9"/>
  <c r="AR48" i="9"/>
  <c r="AN48" i="9"/>
  <c r="AL48" i="9"/>
  <c r="AB48" i="9"/>
  <c r="AZ46" i="9"/>
  <c r="AV46" i="9"/>
  <c r="AD46" i="9"/>
  <c r="AJ46" i="9" s="1"/>
  <c r="AN46" i="9" s="1"/>
  <c r="AV45" i="9"/>
  <c r="AN45" i="9"/>
  <c r="AR45" i="9" s="1"/>
  <c r="AJ45" i="9"/>
  <c r="AD45" i="9"/>
  <c r="AV44" i="9"/>
  <c r="AD44" i="9"/>
  <c r="AJ44" i="9" s="1"/>
  <c r="AN44" i="9" s="1"/>
  <c r="AV43" i="9"/>
  <c r="AR43" i="9"/>
  <c r="AD43" i="9"/>
  <c r="AJ43" i="9" s="1"/>
  <c r="AN43" i="9" s="1"/>
  <c r="AV42" i="9"/>
  <c r="AD42" i="9"/>
  <c r="AJ42" i="9" s="1"/>
  <c r="AN42" i="9" s="1"/>
  <c r="AV41" i="9"/>
  <c r="AJ41" i="9"/>
  <c r="AN41" i="9" s="1"/>
  <c r="AD41" i="9"/>
  <c r="AV40" i="9"/>
  <c r="AD40" i="9"/>
  <c r="AJ40" i="9" s="1"/>
  <c r="AN40" i="9" s="1"/>
  <c r="AV39" i="9"/>
  <c r="AD39" i="9"/>
  <c r="AJ39" i="9" s="1"/>
  <c r="AN39" i="9" s="1"/>
  <c r="AZ38" i="9"/>
  <c r="AV38" i="9"/>
  <c r="AD38" i="9"/>
  <c r="AJ38" i="9" s="1"/>
  <c r="AN38" i="9" s="1"/>
  <c r="AV37" i="9"/>
  <c r="AJ37" i="9"/>
  <c r="AN37" i="9" s="1"/>
  <c r="AD37" i="9"/>
  <c r="AZ36" i="9"/>
  <c r="AV36" i="9"/>
  <c r="AJ36" i="9"/>
  <c r="AN36" i="9" s="1"/>
  <c r="AD36" i="9"/>
  <c r="AV35" i="9"/>
  <c r="AD35" i="9"/>
  <c r="AJ35" i="9" s="1"/>
  <c r="AN35" i="9" s="1"/>
  <c r="AV34" i="9"/>
  <c r="AD34" i="9"/>
  <c r="AJ34" i="9" s="1"/>
  <c r="AN34" i="9" s="1"/>
  <c r="AZ33" i="9"/>
  <c r="AV33" i="9"/>
  <c r="AN33" i="9"/>
  <c r="AJ33" i="9"/>
  <c r="AD33" i="9"/>
  <c r="AV32" i="9"/>
  <c r="AD32" i="9"/>
  <c r="AJ32" i="9" s="1"/>
  <c r="AN32" i="9" s="1"/>
  <c r="AV31" i="9"/>
  <c r="AJ31" i="9"/>
  <c r="AN31" i="9" s="1"/>
  <c r="AD31" i="9"/>
  <c r="AV30" i="9"/>
  <c r="AD30" i="9"/>
  <c r="AJ30" i="9" s="1"/>
  <c r="AN30" i="9" s="1"/>
  <c r="AV29" i="9"/>
  <c r="AJ29" i="9"/>
  <c r="AN29" i="9" s="1"/>
  <c r="AD29" i="9"/>
  <c r="AV28" i="9"/>
  <c r="AD28" i="9"/>
  <c r="AJ28" i="9" s="1"/>
  <c r="AN28" i="9" s="1"/>
  <c r="AV27" i="9"/>
  <c r="AD27" i="9"/>
  <c r="AJ27" i="9" s="1"/>
  <c r="AN27" i="9" s="1"/>
  <c r="AV26" i="9"/>
  <c r="AN26" i="9"/>
  <c r="AD26" i="9"/>
  <c r="AJ26" i="9" s="1"/>
  <c r="AV25" i="9"/>
  <c r="AJ25" i="9"/>
  <c r="AN25" i="9" s="1"/>
  <c r="AD25" i="9"/>
  <c r="AV24" i="9"/>
  <c r="AD24" i="9"/>
  <c r="AJ24" i="9" s="1"/>
  <c r="AN24" i="9" s="1"/>
  <c r="AV23" i="9"/>
  <c r="AD23" i="9"/>
  <c r="AJ23" i="9" s="1"/>
  <c r="AN23" i="9" s="1"/>
  <c r="AZ22" i="9"/>
  <c r="AV22" i="9"/>
  <c r="AD22" i="9"/>
  <c r="AJ22" i="9" s="1"/>
  <c r="AN22" i="9" s="1"/>
  <c r="AV21" i="9"/>
  <c r="AJ21" i="9"/>
  <c r="AN21" i="9" s="1"/>
  <c r="AD21" i="9"/>
  <c r="AZ20" i="9"/>
  <c r="AV20" i="9"/>
  <c r="AJ20" i="9"/>
  <c r="AN20" i="9" s="1"/>
  <c r="AD20" i="9"/>
  <c r="AV19" i="9"/>
  <c r="AD19" i="9"/>
  <c r="AJ19" i="9" s="1"/>
  <c r="AN19" i="9" s="1"/>
  <c r="AV18" i="9"/>
  <c r="AD18" i="9"/>
  <c r="AJ18" i="9" s="1"/>
  <c r="AN18" i="9" s="1"/>
  <c r="AZ17" i="9"/>
  <c r="AV17" i="9"/>
  <c r="AD17" i="9"/>
  <c r="AN17" i="9" s="1"/>
  <c r="AX16" i="9"/>
  <c r="AT16" i="9"/>
  <c r="AT49" i="9" s="1"/>
  <c r="AC16" i="13" s="1"/>
  <c r="AS16" i="9"/>
  <c r="AR16" i="9"/>
  <c r="AO16" i="9"/>
  <c r="AN16" i="9"/>
  <c r="AM16" i="9"/>
  <c r="AL16" i="9"/>
  <c r="AL50" i="9" s="1"/>
  <c r="AK16" i="9"/>
  <c r="AJ16" i="9"/>
  <c r="AD16" i="9"/>
  <c r="AY15" i="9"/>
  <c r="AU15" i="9"/>
  <c r="AP15" i="9"/>
  <c r="AX14" i="9"/>
  <c r="AT14" i="9"/>
  <c r="AP14" i="9"/>
  <c r="AN14" i="9"/>
  <c r="AL14" i="9"/>
  <c r="AJ14" i="9"/>
  <c r="AH14" i="9"/>
  <c r="AF14" i="9"/>
  <c r="AD14" i="9"/>
  <c r="AB14" i="9"/>
  <c r="Z14" i="9"/>
  <c r="V14" i="9"/>
  <c r="P14" i="9"/>
  <c r="K14" i="9"/>
  <c r="B14" i="9"/>
  <c r="AD12" i="9"/>
  <c r="X12" i="9"/>
  <c r="B12" i="9"/>
  <c r="AR10" i="9"/>
  <c r="Y10" i="9"/>
  <c r="P10" i="9"/>
  <c r="L10" i="9"/>
  <c r="AR9" i="9"/>
  <c r="Y9" i="9"/>
  <c r="P9" i="9"/>
  <c r="L9" i="9"/>
  <c r="AR8" i="9"/>
  <c r="Y8" i="9"/>
  <c r="P8" i="9"/>
  <c r="AR7" i="9"/>
  <c r="Y7" i="9"/>
  <c r="P7" i="9"/>
  <c r="AV6" i="9"/>
  <c r="AU6" i="9"/>
  <c r="AV5" i="9"/>
  <c r="AU5" i="9"/>
  <c r="AR3" i="9"/>
  <c r="B43" i="13"/>
  <c r="AL40" i="13"/>
  <c r="AH40" i="13"/>
  <c r="AF40" i="13"/>
  <c r="AC40" i="13"/>
  <c r="AA40" i="13"/>
  <c r="T40" i="13"/>
  <c r="AM39" i="13"/>
  <c r="AH39" i="13"/>
  <c r="AF39" i="13"/>
  <c r="AC39" i="13"/>
  <c r="T39" i="13"/>
  <c r="T38" i="13"/>
  <c r="AR40" i="13" s="1"/>
  <c r="T36" i="13"/>
  <c r="AL35" i="13"/>
  <c r="AF35" i="13"/>
  <c r="AD35" i="13"/>
  <c r="T35" i="13"/>
  <c r="T34" i="13"/>
  <c r="AP33" i="13"/>
  <c r="AL33" i="13"/>
  <c r="T33" i="13"/>
  <c r="AP32" i="13"/>
  <c r="AL32" i="13"/>
  <c r="T32" i="13"/>
  <c r="B32" i="13"/>
  <c r="AC31" i="13"/>
  <c r="T31" i="13"/>
  <c r="AH30" i="13"/>
  <c r="AF30" i="13"/>
  <c r="AD30" i="13"/>
  <c r="T29" i="13"/>
  <c r="C29" i="13"/>
  <c r="AF28" i="13"/>
  <c r="T28" i="13"/>
  <c r="C28" i="13"/>
  <c r="AP27" i="13"/>
  <c r="AL27" i="13"/>
  <c r="Z27" i="13"/>
  <c r="T27" i="13"/>
  <c r="AJ26" i="13"/>
  <c r="T26" i="13"/>
  <c r="C26" i="13"/>
  <c r="AJ25" i="13"/>
  <c r="C25" i="13"/>
  <c r="C24" i="13"/>
  <c r="T23" i="13"/>
  <c r="B22" i="13"/>
  <c r="AJ21" i="13"/>
  <c r="AG21" i="13"/>
  <c r="AC21" i="13"/>
  <c r="AB21" i="13"/>
  <c r="T21" i="13"/>
  <c r="AI20" i="13"/>
  <c r="AH20" i="13"/>
  <c r="AD20" i="13"/>
  <c r="AC20" i="13"/>
  <c r="T20" i="13"/>
  <c r="AH19" i="13"/>
  <c r="AG19" i="13"/>
  <c r="T19" i="13"/>
  <c r="C19" i="13"/>
  <c r="AI18" i="13"/>
  <c r="AH18" i="13"/>
  <c r="T18" i="13"/>
  <c r="C18" i="13"/>
  <c r="C17" i="13"/>
  <c r="AJ16" i="13"/>
  <c r="AG16" i="13"/>
  <c r="AB16" i="13"/>
  <c r="T16" i="13"/>
  <c r="C16" i="13"/>
  <c r="AI15" i="13"/>
  <c r="AH15" i="13"/>
  <c r="AD15" i="13"/>
  <c r="AC15" i="13"/>
  <c r="T15" i="13"/>
  <c r="C15" i="13"/>
  <c r="AG14" i="13"/>
  <c r="AB14" i="13"/>
  <c r="T14" i="13"/>
  <c r="C14" i="13"/>
  <c r="AP13" i="13"/>
  <c r="AN13" i="13"/>
  <c r="AM13" i="13"/>
  <c r="AI13" i="13"/>
  <c r="AH13" i="13"/>
  <c r="AD13" i="13"/>
  <c r="AC13" i="13"/>
  <c r="B12" i="13"/>
  <c r="AF10" i="13"/>
  <c r="AC10" i="13"/>
  <c r="L10" i="13"/>
  <c r="AF9" i="13"/>
  <c r="AC9" i="13"/>
  <c r="L9" i="13"/>
  <c r="AF8" i="13"/>
  <c r="AC8" i="13"/>
  <c r="L8" i="13"/>
  <c r="AF7" i="13"/>
  <c r="AC7" i="13"/>
  <c r="L7" i="13"/>
  <c r="AR5" i="13"/>
  <c r="AJ3" i="13"/>
  <c r="K3" i="13"/>
  <c r="X37" i="11" l="1"/>
  <c r="AJ37" i="11"/>
  <c r="AM28" i="13" s="1"/>
  <c r="AP28" i="13" s="1"/>
  <c r="BD48" i="10"/>
  <c r="BE17" i="10"/>
  <c r="BE48" i="10" s="1"/>
  <c r="AM19" i="13" s="1"/>
  <c r="AP19" i="13" s="1"/>
  <c r="AC49" i="10"/>
  <c r="AK20" i="13"/>
  <c r="W49" i="10"/>
  <c r="AI50" i="10" s="1"/>
  <c r="AI51" i="10" s="1"/>
  <c r="AR30" i="9"/>
  <c r="AX30" i="9" s="1"/>
  <c r="AR24" i="9"/>
  <c r="AX24" i="9" s="1"/>
  <c r="AR27" i="9"/>
  <c r="AX27" i="9"/>
  <c r="AR32" i="9"/>
  <c r="AX32" i="9"/>
  <c r="AR36" i="9"/>
  <c r="AX36" i="9" s="1"/>
  <c r="AR37" i="9"/>
  <c r="AX37" i="9" s="1"/>
  <c r="AX42" i="9"/>
  <c r="AR42" i="9"/>
  <c r="AR22" i="9"/>
  <c r="AX22" i="9" s="1"/>
  <c r="AR40" i="9"/>
  <c r="AX40" i="9" s="1"/>
  <c r="AR18" i="9"/>
  <c r="AX18" i="9" s="1"/>
  <c r="AR20" i="9"/>
  <c r="AX20" i="9"/>
  <c r="AR21" i="9"/>
  <c r="AX21" i="9"/>
  <c r="AR29" i="9"/>
  <c r="AX29" i="9"/>
  <c r="AR35" i="9"/>
  <c r="AR44" i="9"/>
  <c r="AX44" i="9"/>
  <c r="AR25" i="9"/>
  <c r="AX25" i="9"/>
  <c r="AR34" i="9"/>
  <c r="AX34" i="9" s="1"/>
  <c r="AR46" i="9"/>
  <c r="AX46" i="9" s="1"/>
  <c r="AR19" i="9"/>
  <c r="AX19" i="9"/>
  <c r="AR23" i="9"/>
  <c r="AX23" i="9"/>
  <c r="AR28" i="9"/>
  <c r="AX28" i="9"/>
  <c r="AR38" i="9"/>
  <c r="AX38" i="9" s="1"/>
  <c r="AR41" i="9"/>
  <c r="AX41" i="9" s="1"/>
  <c r="L8" i="11"/>
  <c r="L8" i="10"/>
  <c r="AO10" i="10"/>
  <c r="AA10" i="11"/>
  <c r="AN10" i="9"/>
  <c r="AA9" i="11"/>
  <c r="AO9" i="10"/>
  <c r="AZ43" i="9"/>
  <c r="AZ39" i="9"/>
  <c r="AZ35" i="9"/>
  <c r="AZ31" i="9"/>
  <c r="AZ27" i="9"/>
  <c r="AZ23" i="9"/>
  <c r="AZ19" i="9"/>
  <c r="AZ44" i="9"/>
  <c r="AZ40" i="9"/>
  <c r="AR17" i="9"/>
  <c r="AX17" i="9" s="1"/>
  <c r="AZ18" i="9"/>
  <c r="AR26" i="9"/>
  <c r="AX26" i="9" s="1"/>
  <c r="AZ29" i="9"/>
  <c r="AR31" i="9"/>
  <c r="AX31" i="9" s="1"/>
  <c r="AZ32" i="9"/>
  <c r="AR33" i="9"/>
  <c r="AX33" i="9" s="1"/>
  <c r="AZ34" i="9"/>
  <c r="AZ41" i="9"/>
  <c r="AN51" i="9"/>
  <c r="AH14" i="13" s="1"/>
  <c r="AO19" i="10"/>
  <c r="BF19" i="10" s="1"/>
  <c r="K3" i="10"/>
  <c r="K3" i="11"/>
  <c r="AO7" i="10"/>
  <c r="AA7" i="11"/>
  <c r="AA8" i="11"/>
  <c r="AN8" i="9"/>
  <c r="AO8" i="10"/>
  <c r="L10" i="10"/>
  <c r="L10" i="11"/>
  <c r="K3" i="9"/>
  <c r="AN7" i="9"/>
  <c r="AZ25" i="9"/>
  <c r="AZ28" i="9"/>
  <c r="AZ30" i="9"/>
  <c r="AR39" i="9"/>
  <c r="AX39" i="9" s="1"/>
  <c r="AZ42" i="9"/>
  <c r="AX45" i="9"/>
  <c r="AR51" i="9"/>
  <c r="AO23" i="10"/>
  <c r="BF23" i="10" s="1"/>
  <c r="AO25" i="10"/>
  <c r="BF25" i="10" s="1"/>
  <c r="AU25" i="10"/>
  <c r="AY25" i="10" s="1"/>
  <c r="AO27" i="10"/>
  <c r="BF27" i="10" s="1"/>
  <c r="AO31" i="10"/>
  <c r="BF31" i="10" s="1"/>
  <c r="AO35" i="10"/>
  <c r="BF35" i="10" s="1"/>
  <c r="AO37" i="10"/>
  <c r="BF37" i="10" s="1"/>
  <c r="AU37" i="10"/>
  <c r="AY37" i="10" s="1"/>
  <c r="AO39" i="10"/>
  <c r="BF39" i="10" s="1"/>
  <c r="AO41" i="10"/>
  <c r="BF41" i="10" s="1"/>
  <c r="AU41" i="10"/>
  <c r="AY41" i="10" s="1"/>
  <c r="AO43" i="10"/>
  <c r="BF43" i="10" s="1"/>
  <c r="AO45" i="10"/>
  <c r="BF45" i="10" s="1"/>
  <c r="AU45" i="10"/>
  <c r="AY45" i="10" s="1"/>
  <c r="L7" i="11"/>
  <c r="L7" i="9"/>
  <c r="L7" i="10"/>
  <c r="L8" i="9"/>
  <c r="AN49" i="9"/>
  <c r="AM14" i="13" s="1"/>
  <c r="AR7" i="13"/>
  <c r="L9" i="10"/>
  <c r="L9" i="11"/>
  <c r="AN9" i="9"/>
  <c r="AZ21" i="9"/>
  <c r="AZ24" i="9"/>
  <c r="AZ26" i="9"/>
  <c r="AZ37" i="9"/>
  <c r="AX43" i="9"/>
  <c r="AZ45" i="9"/>
  <c r="AU26" i="10"/>
  <c r="AY26" i="10" s="1"/>
  <c r="AU42" i="10"/>
  <c r="AY42" i="10" s="1"/>
  <c r="BH18" i="10"/>
  <c r="BH22" i="10"/>
  <c r="BH26" i="10"/>
  <c r="BH30" i="10"/>
  <c r="BH34" i="10"/>
  <c r="BH38" i="10"/>
  <c r="BH42" i="10"/>
  <c r="BH46" i="10"/>
  <c r="AL21" i="11"/>
  <c r="AL25" i="11"/>
  <c r="AL29" i="11"/>
  <c r="AL33" i="11"/>
  <c r="AK17" i="10"/>
  <c r="BH17" i="10"/>
  <c r="AO18" i="10"/>
  <c r="BF18" i="10" s="1"/>
  <c r="AU20" i="10"/>
  <c r="AY20" i="10" s="1"/>
  <c r="AK21" i="10"/>
  <c r="BH21" i="10"/>
  <c r="AO22" i="10"/>
  <c r="BF22" i="10" s="1"/>
  <c r="AU24" i="10"/>
  <c r="AY24" i="10" s="1"/>
  <c r="BH25" i="10"/>
  <c r="AO26" i="10"/>
  <c r="BF26" i="10" s="1"/>
  <c r="AU28" i="10"/>
  <c r="AY28" i="10" s="1"/>
  <c r="AK29" i="10"/>
  <c r="BH29" i="10"/>
  <c r="AO30" i="10"/>
  <c r="BF30" i="10" s="1"/>
  <c r="AU32" i="10"/>
  <c r="AY32" i="10" s="1"/>
  <c r="AK33" i="10"/>
  <c r="BH33" i="10"/>
  <c r="AO34" i="10"/>
  <c r="BF34" i="10" s="1"/>
  <c r="AU36" i="10"/>
  <c r="AY36" i="10" s="1"/>
  <c r="BH37" i="10"/>
  <c r="AO38" i="10"/>
  <c r="BF38" i="10" s="1"/>
  <c r="AU40" i="10"/>
  <c r="AY40" i="10" s="1"/>
  <c r="BH41" i="10"/>
  <c r="AO42" i="10"/>
  <c r="BF42" i="10" s="1"/>
  <c r="AU44" i="10"/>
  <c r="AY44" i="10" s="1"/>
  <c r="BH45" i="10"/>
  <c r="AO46" i="10"/>
  <c r="BF46" i="10" s="1"/>
  <c r="BA48" i="10"/>
  <c r="AL18" i="11"/>
  <c r="AL22" i="11"/>
  <c r="AL26" i="11"/>
  <c r="AL30" i="11"/>
  <c r="AL34" i="11"/>
  <c r="L33" i="23"/>
  <c r="O44" i="23" s="1"/>
  <c r="O50" i="23" s="1"/>
  <c r="BH24" i="10"/>
  <c r="BH28" i="10"/>
  <c r="BH32" i="10"/>
  <c r="BH36" i="10"/>
  <c r="BH40" i="10"/>
  <c r="O61" i="23"/>
  <c r="O65" i="23" s="1"/>
  <c r="BH19" i="10"/>
  <c r="BH23" i="10"/>
  <c r="BH27" i="10"/>
  <c r="BH31" i="10"/>
  <c r="BH35" i="10"/>
  <c r="BH39" i="10"/>
  <c r="AL20" i="11"/>
  <c r="AL24" i="11"/>
  <c r="AL28" i="11"/>
  <c r="AD39" i="13" l="1"/>
  <c r="AD28" i="13"/>
  <c r="AR49" i="9"/>
  <c r="AM15" i="13" s="1"/>
  <c r="AP15" i="13" s="1"/>
  <c r="O70" i="23"/>
  <c r="AU38" i="10"/>
  <c r="AY38" i="10" s="1"/>
  <c r="AU22" i="10"/>
  <c r="AY22" i="10" s="1"/>
  <c r="AK15" i="13"/>
  <c r="AP14" i="13"/>
  <c r="AU43" i="10"/>
  <c r="AY43" i="10" s="1"/>
  <c r="AU39" i="10"/>
  <c r="AY39" i="10" s="1"/>
  <c r="AU35" i="10"/>
  <c r="AY35" i="10" s="1"/>
  <c r="AU27" i="10"/>
  <c r="AY27" i="10" s="1"/>
  <c r="AU23" i="10"/>
  <c r="AY23" i="10" s="1"/>
  <c r="AU19" i="10"/>
  <c r="AY19" i="10" s="1"/>
  <c r="AX35" i="9"/>
  <c r="AX49" i="9" s="1"/>
  <c r="AO21" i="10"/>
  <c r="BF21" i="10" s="1"/>
  <c r="AO17" i="10"/>
  <c r="AU17" i="10" s="1"/>
  <c r="AU34" i="10"/>
  <c r="AY34" i="10" s="1"/>
  <c r="AX51" i="9"/>
  <c r="AU18" i="10"/>
  <c r="AY18" i="10" s="1"/>
  <c r="L35" i="23"/>
  <c r="AO33" i="10"/>
  <c r="BF33" i="10" s="1"/>
  <c r="AU33" i="10"/>
  <c r="AY33" i="10" s="1"/>
  <c r="AO29" i="10"/>
  <c r="BF29" i="10" s="1"/>
  <c r="AU29" i="10"/>
  <c r="AY29" i="10" s="1"/>
  <c r="AU46" i="10"/>
  <c r="AY46" i="10" s="1"/>
  <c r="AU30" i="10"/>
  <c r="AY30" i="10" s="1"/>
  <c r="AU31" i="10"/>
  <c r="AY31" i="10" s="1"/>
  <c r="AY17" i="10" l="1"/>
  <c r="AS17" i="10"/>
  <c r="AM16" i="13"/>
  <c r="AP16" i="13" s="1"/>
  <c r="BF17" i="10"/>
  <c r="BF48" i="10" s="1"/>
  <c r="AM20" i="13" s="1"/>
  <c r="AO49" i="10"/>
  <c r="AU21" i="10"/>
  <c r="AY21" i="10" s="1"/>
  <c r="AY49" i="10" l="1"/>
  <c r="AP20" i="13"/>
  <c r="AM21" i="13"/>
  <c r="AM31" i="13"/>
  <c r="AK31" i="13" l="1"/>
  <c r="AP31" i="13"/>
  <c r="AP21" i="13"/>
  <c r="AM23" i="13"/>
  <c r="AM26" i="13" l="1"/>
  <c r="AP26" i="13" s="1"/>
  <c r="AM25" i="13"/>
  <c r="AP25" i="13" s="1"/>
  <c r="AP23" i="13"/>
  <c r="AM29" i="13" l="1"/>
  <c r="AM34" i="13" s="1"/>
  <c r="AP29" i="13" l="1"/>
  <c r="AP34" i="13"/>
  <c r="AM36" i="13"/>
</calcChain>
</file>

<file path=xl/comments1.xml><?xml version="1.0" encoding="utf-8"?>
<comments xmlns="http://schemas.openxmlformats.org/spreadsheetml/2006/main">
  <authors>
    <author>作者</author>
  </authors>
  <commentList>
    <comment ref="T15" authorId="0">
      <text>
        <r>
          <rPr>
            <sz val="9"/>
            <color indexed="81"/>
            <rFont val="Tahoma"/>
            <family val="2"/>
          </rPr>
          <t>Material overhead costs are costs that cannot be directly allocated to a cost object. These costs can include raw materials, ancillary materials and operation supplies as well as costs of procurement, inspection, storage and employee wages that help complete the manufacturing process.</t>
        </r>
      </text>
    </comment>
    <comment ref="T20" authorId="0">
      <text>
        <r>
          <rPr>
            <sz val="9"/>
            <color indexed="81"/>
            <rFont val="Tahoma"/>
            <family val="2"/>
          </rPr>
          <t xml:space="preserve">Material overhead costs are costs that cannot be directly allocated to a cost object. These costs can include raw materials, ancillary materials and operation supplies as well as costs of procurement, inspection, storage and employee wages that help complete the manufacturing process.
</t>
        </r>
      </text>
    </comment>
    <comment ref="T21" authorId="0">
      <text>
        <r>
          <rPr>
            <sz val="9"/>
            <color indexed="81"/>
            <rFont val="Tahoma"/>
            <family val="2"/>
          </rPr>
          <t>Manufacturing costs are costs incurred in the manufacturing or production division of an enterprise in order to manufacture products. A distinction is made between manufacturing step costs and manufacturing overhead costs.</t>
        </r>
      </text>
    </comment>
    <comment ref="T25" authorId="0">
      <text>
        <r>
          <rPr>
            <sz val="9"/>
            <color indexed="81"/>
            <rFont val="Tahoma"/>
            <family val="2"/>
          </rPr>
          <t xml:space="preserve">SGA (sales and general administration) costs are administrative costs (e.g. costs for management staff and the accounting, human resources, legal and IT departments) and selling costs (e.g. marketing, advertising, distribution store, sales organization, sales training) that are incurred for all of a company’s products and cannot be specifically allocated to one product.
</t>
        </r>
      </text>
    </comment>
    <comment ref="U25" authorId="0">
      <text>
        <r>
          <rPr>
            <sz val="9"/>
            <color indexed="81"/>
            <rFont val="Tahoma"/>
            <family val="2"/>
          </rPr>
          <t xml:space="preserve">  Examples of SGA Costs
  - Staff Salaries for Purchase,  Sales,  Marketing,  Manufacturing Engineering,  Accounting,  Systems,  Human Resource
  - Office Equipment Depreciation
  - Office Supplies (e.g.  Postage,  Paper)
  - Office Utilities (e.g.  Electricity,  Gas,  Water)
  - Warranty Cost
  - Public Relation Cost
  - Travel
  - Telecommunication
  - Amortization of patents
  - Basic Research &amp; Development
  - Corporate Overhead
</t>
        </r>
      </text>
    </comment>
  </commentList>
</comments>
</file>

<file path=xl/comments2.xml><?xml version="1.0" encoding="utf-8"?>
<comments xmlns="http://schemas.openxmlformats.org/spreadsheetml/2006/main">
  <authors>
    <author>作者</author>
  </authors>
  <commentList>
    <comment ref="K14" authorId="0">
      <text>
        <r>
          <rPr>
            <b/>
            <sz val="16"/>
            <color indexed="81"/>
            <rFont val="Tahoma"/>
            <family val="2"/>
          </rPr>
          <t>Metallic</t>
        </r>
        <r>
          <rPr>
            <sz val="16"/>
            <color indexed="81"/>
            <rFont val="Tahoma"/>
            <family val="2"/>
          </rPr>
          <t xml:space="preserve">
Enter the applicable Volvo STD Material grade or equivalent per EN, ISO, UNS numbering – Chemical composition, ASTM or NBR Standards and the dimensions.
</t>
        </r>
        <r>
          <rPr>
            <b/>
            <sz val="16"/>
            <color indexed="81"/>
            <rFont val="Tahoma"/>
            <family val="2"/>
          </rPr>
          <t>Chemica</t>
        </r>
        <r>
          <rPr>
            <sz val="16"/>
            <color indexed="81"/>
            <rFont val="Tahoma"/>
            <family val="2"/>
          </rPr>
          <t xml:space="preserve">l
Enter type, quality, virgin or recycled, masterbatch or incoloured and imported or domestic.
</t>
        </r>
        <r>
          <rPr>
            <b/>
            <sz val="16"/>
            <color indexed="81"/>
            <rFont val="Tahoma"/>
            <family val="2"/>
          </rPr>
          <t xml:space="preserve">Electrical &amp; Electronics
</t>
        </r>
        <r>
          <rPr>
            <sz val="16"/>
            <color indexed="81"/>
            <rFont val="Tahoma"/>
            <family val="2"/>
          </rPr>
          <t>Enter the unique Manufacturers ID number.</t>
        </r>
      </text>
    </comment>
  </commentList>
</comments>
</file>

<file path=xl/comments3.xml><?xml version="1.0" encoding="utf-8"?>
<comments xmlns="http://schemas.openxmlformats.org/spreadsheetml/2006/main">
  <authors>
    <author>作者</author>
  </authors>
  <commentList>
    <comment ref="AE14" authorId="0">
      <text>
        <r>
          <rPr>
            <b/>
            <sz val="16"/>
            <color indexed="81"/>
            <rFont val="Tahoma"/>
            <family val="2"/>
          </rPr>
          <t xml:space="preserve">If a process are performed by a Tier 2 supplier.
</t>
        </r>
        <r>
          <rPr>
            <sz val="16"/>
            <color indexed="81"/>
            <rFont val="Tahoma"/>
            <family val="2"/>
          </rPr>
          <t xml:space="preserve">
Enter the </t>
        </r>
        <r>
          <rPr>
            <b/>
            <sz val="16"/>
            <color indexed="81"/>
            <rFont val="Tahoma"/>
            <family val="2"/>
          </rPr>
          <t xml:space="preserve">Total process costs </t>
        </r>
        <r>
          <rPr>
            <sz val="16"/>
            <color indexed="81"/>
            <rFont val="Tahoma"/>
            <family val="2"/>
          </rPr>
          <t xml:space="preserve">here in </t>
        </r>
        <r>
          <rPr>
            <b/>
            <sz val="16"/>
            <color indexed="81"/>
            <rFont val="Tahoma"/>
            <family val="2"/>
          </rPr>
          <t>Column P13</t>
        </r>
        <r>
          <rPr>
            <sz val="16"/>
            <color indexed="81"/>
            <rFont val="Tahoma"/>
            <family val="2"/>
          </rPr>
          <t xml:space="preserve"> "Setup Costs:
Examples: Painting, galvanization, enamelling, melting , heat treatment etc.</t>
        </r>
      </text>
    </comment>
  </commentList>
</comments>
</file>

<file path=xl/sharedStrings.xml><?xml version="1.0" encoding="utf-8"?>
<sst xmlns="http://schemas.openxmlformats.org/spreadsheetml/2006/main" count="1708" uniqueCount="1254">
  <si>
    <t>AB Volvo Version 1,17 Dec 2017</t>
  </si>
  <si>
    <t>Company logo</t>
  </si>
  <si>
    <t>Version</t>
  </si>
  <si>
    <t>2.1</t>
  </si>
  <si>
    <t>Language</t>
  </si>
  <si>
    <t>English</t>
  </si>
  <si>
    <t>1:st  Select language</t>
  </si>
  <si>
    <t>%</t>
  </si>
  <si>
    <t>(1+2+3+4)</t>
  </si>
  <si>
    <t>(6+7+8+9+10)</t>
  </si>
  <si>
    <t>(5+11)</t>
  </si>
  <si>
    <t>Sales and general administration costs</t>
  </si>
  <si>
    <t>(12+13+14+15+16)</t>
  </si>
  <si>
    <t>(17+18+19+20)</t>
  </si>
  <si>
    <t>(21+22)</t>
  </si>
  <si>
    <t>M1</t>
  </si>
  <si>
    <t>M2</t>
  </si>
  <si>
    <t>M3.1</t>
  </si>
  <si>
    <t>M3.2</t>
  </si>
  <si>
    <t>M4</t>
  </si>
  <si>
    <t>M5</t>
  </si>
  <si>
    <t>M6</t>
  </si>
  <si>
    <t>M7</t>
  </si>
  <si>
    <t>M8</t>
  </si>
  <si>
    <t>M9</t>
  </si>
  <si>
    <t>M10</t>
  </si>
  <si>
    <t>M11</t>
  </si>
  <si>
    <t>M12</t>
  </si>
  <si>
    <t>M13</t>
  </si>
  <si>
    <t>M14</t>
  </si>
  <si>
    <t>M15</t>
  </si>
  <si>
    <t>M16</t>
  </si>
  <si>
    <t>M17</t>
  </si>
  <si>
    <t>M18</t>
  </si>
  <si>
    <t>Material</t>
  </si>
  <si>
    <t>Sum Machine costs + Setup costs + Tool Maintenance</t>
  </si>
  <si>
    <t>P1</t>
  </si>
  <si>
    <t>P2</t>
  </si>
  <si>
    <t>P3</t>
  </si>
  <si>
    <t>P4</t>
  </si>
  <si>
    <t>P5</t>
  </si>
  <si>
    <t>P6</t>
  </si>
  <si>
    <t>P7</t>
  </si>
  <si>
    <t>P8</t>
  </si>
  <si>
    <t>P9</t>
  </si>
  <si>
    <t>P10</t>
  </si>
  <si>
    <t>P11</t>
  </si>
  <si>
    <t>P12</t>
  </si>
  <si>
    <t>P13</t>
  </si>
  <si>
    <t>P14</t>
  </si>
  <si>
    <t>P15</t>
  </si>
  <si>
    <t>P16</t>
  </si>
  <si>
    <t>P17</t>
  </si>
  <si>
    <t>P18</t>
  </si>
  <si>
    <t>P19</t>
  </si>
  <si>
    <t>P20</t>
  </si>
  <si>
    <t>P21</t>
  </si>
  <si>
    <t>Machine costs</t>
  </si>
  <si>
    <t>Direct labor costs</t>
  </si>
  <si>
    <t>Setup costs per unit</t>
  </si>
  <si>
    <t>Tool maintenance</t>
  </si>
  <si>
    <t>Manufacturing overhead costs</t>
  </si>
  <si>
    <t>Manufacturing Scrap</t>
  </si>
  <si>
    <t>Manuf.</t>
  </si>
  <si>
    <t>I1</t>
  </si>
  <si>
    <t>I2</t>
  </si>
  <si>
    <t>I3</t>
  </si>
  <si>
    <t>I4</t>
  </si>
  <si>
    <t>I5</t>
  </si>
  <si>
    <t>I6</t>
  </si>
  <si>
    <t>I7</t>
  </si>
  <si>
    <t>I8</t>
  </si>
  <si>
    <t>I9</t>
  </si>
  <si>
    <t>I10</t>
  </si>
  <si>
    <t>I11</t>
  </si>
  <si>
    <t>I12</t>
  </si>
  <si>
    <t>I13</t>
  </si>
  <si>
    <t>Ende</t>
  </si>
  <si>
    <t>Tools</t>
  </si>
  <si>
    <t>Link the tool (I2) with the associated process step (P1) on the Manufacturing sheet, enter this number (P1)  in COLUMN I1 &amp; enter the allocated cost in COLUMN I11.
And use the additional Tooling CBD file for the specifics.</t>
  </si>
  <si>
    <t>Example</t>
  </si>
  <si>
    <t>h</t>
  </si>
  <si>
    <t>Years(s)</t>
  </si>
  <si>
    <t>m²</t>
  </si>
  <si>
    <t>kW</t>
  </si>
  <si>
    <t>Wording:</t>
  </si>
  <si>
    <t>&lt;-- Select the wording in the Summary Sheet (top right)</t>
  </si>
  <si>
    <t>Base Siemens V2.1 Issue 20170920</t>
  </si>
  <si>
    <t>overwrite for customer specific wording  --&gt;</t>
  </si>
  <si>
    <t>German</t>
  </si>
  <si>
    <t>File name: Common Standard CBD 1,13, September 2017</t>
  </si>
  <si>
    <t>overwrite to implement a new language --&gt;</t>
  </si>
  <si>
    <t>Svenska</t>
  </si>
  <si>
    <t>Upload file name to TcPCM:  SiemensTemplate_v2.1.xlsx</t>
  </si>
  <si>
    <t>Français</t>
  </si>
  <si>
    <t>Español</t>
  </si>
  <si>
    <t>Overwrite the cells for customer specific wording</t>
  </si>
  <si>
    <t>Here you can enter specific languages</t>
  </si>
  <si>
    <t>a</t>
  </si>
  <si>
    <t>Cost Break Down (CBD)</t>
  </si>
  <si>
    <t>Die Kosten aufschlusselung</t>
  </si>
  <si>
    <t>Kostnadsnedbrytning (CBD)</t>
  </si>
  <si>
    <t>Décomposition de prix</t>
  </si>
  <si>
    <t>Desglose de costes</t>
  </si>
  <si>
    <t>b</t>
  </si>
  <si>
    <t>Summary</t>
  </si>
  <si>
    <t>Zusammenfassung</t>
  </si>
  <si>
    <t>Summering</t>
  </si>
  <si>
    <t>Sommaire</t>
  </si>
  <si>
    <t>Resumen</t>
  </si>
  <si>
    <t>c</t>
  </si>
  <si>
    <t>Matière</t>
  </si>
  <si>
    <t>d</t>
  </si>
  <si>
    <t>Manufacturing</t>
  </si>
  <si>
    <t>Fertigung</t>
  </si>
  <si>
    <t>Tillverkning</t>
  </si>
  <si>
    <t>Fabrication</t>
  </si>
  <si>
    <t>Proceso de fabricación</t>
  </si>
  <si>
    <t>e</t>
  </si>
  <si>
    <t>Machine-hour rate</t>
  </si>
  <si>
    <t>Maschinenstundensatz</t>
  </si>
  <si>
    <t>Maskintimkostnad</t>
  </si>
  <si>
    <t>Taux horaire machine</t>
  </si>
  <si>
    <t>Tarifa de Maquina</t>
  </si>
  <si>
    <t>f</t>
  </si>
  <si>
    <t>Tools and Devices</t>
  </si>
  <si>
    <t>Werkzeuge und Vorrichtungen</t>
  </si>
  <si>
    <t>Verktyg och utrustningar</t>
  </si>
  <si>
    <t>Outillage et équipements</t>
  </si>
  <si>
    <t>Utillajes, Moldes y herramientas</t>
  </si>
  <si>
    <t>g</t>
  </si>
  <si>
    <t>Wording</t>
  </si>
  <si>
    <t>Wortlaut</t>
  </si>
  <si>
    <t>Formulering</t>
  </si>
  <si>
    <t>Langue</t>
  </si>
  <si>
    <t>Idioma</t>
  </si>
  <si>
    <t>Material (1,2,3)</t>
  </si>
  <si>
    <t>Manufacturing (6,7,8,9)</t>
  </si>
  <si>
    <t>Tools and Devices (16,24)</t>
  </si>
  <si>
    <t>MHR</t>
  </si>
  <si>
    <t>Help</t>
  </si>
  <si>
    <t>0.01</t>
  </si>
  <si>
    <t>Field</t>
  </si>
  <si>
    <t>Feld</t>
  </si>
  <si>
    <t>Fält</t>
  </si>
  <si>
    <t>Champs</t>
  </si>
  <si>
    <t>Celda</t>
  </si>
  <si>
    <t>0.02</t>
  </si>
  <si>
    <t>mandatory</t>
  </si>
  <si>
    <t>pflicht</t>
  </si>
  <si>
    <t>Obligatorisk</t>
  </si>
  <si>
    <t>Obligatoire</t>
  </si>
  <si>
    <t>Obligatorio</t>
  </si>
  <si>
    <t>0.03</t>
  </si>
  <si>
    <t>optional</t>
  </si>
  <si>
    <t>kann</t>
  </si>
  <si>
    <t>Valfri</t>
  </si>
  <si>
    <t>Optionnel</t>
  </si>
  <si>
    <t>Opcional</t>
  </si>
  <si>
    <t>0.04</t>
  </si>
  <si>
    <t>calculated</t>
  </si>
  <si>
    <t>kalkuliert</t>
  </si>
  <si>
    <t>Beräknad</t>
  </si>
  <si>
    <t>Calculé</t>
  </si>
  <si>
    <t>Calculado</t>
  </si>
  <si>
    <t>0.1</t>
  </si>
  <si>
    <t>Supplier</t>
  </si>
  <si>
    <t>Lieferant</t>
  </si>
  <si>
    <t>Leverantör</t>
  </si>
  <si>
    <t>Fournisseur</t>
  </si>
  <si>
    <t xml:space="preserve">Proveedor </t>
  </si>
  <si>
    <t>0.2</t>
  </si>
  <si>
    <t>Contact person</t>
  </si>
  <si>
    <t>Kontaktperson</t>
  </si>
  <si>
    <t>Kontakt person</t>
  </si>
  <si>
    <t>personne à contacter</t>
  </si>
  <si>
    <t>Persona a contactar</t>
  </si>
  <si>
    <t>0.3</t>
  </si>
  <si>
    <t>E-Mail</t>
  </si>
  <si>
    <t>E-mail</t>
  </si>
  <si>
    <t>0.4</t>
  </si>
  <si>
    <t>Telephone</t>
  </si>
  <si>
    <t>Telefon</t>
  </si>
  <si>
    <t>Téléphone</t>
  </si>
  <si>
    <t>Teléfono</t>
  </si>
  <si>
    <t>0.5</t>
  </si>
  <si>
    <t>Project</t>
  </si>
  <si>
    <t>Projekt</t>
  </si>
  <si>
    <t>Projet</t>
  </si>
  <si>
    <t>Proyecto</t>
  </si>
  <si>
    <t>0.6</t>
  </si>
  <si>
    <t>Part number</t>
  </si>
  <si>
    <t>Sachnummer</t>
  </si>
  <si>
    <t>Artikel nummer</t>
  </si>
  <si>
    <t>Référence pièce</t>
  </si>
  <si>
    <t>Número de parte/pieza</t>
  </si>
  <si>
    <t>0.7</t>
  </si>
  <si>
    <t>Part name</t>
  </si>
  <si>
    <t>Teilename</t>
  </si>
  <si>
    <t>Artikel namn</t>
  </si>
  <si>
    <t>Designation pièce</t>
  </si>
  <si>
    <t>Nombre de parte/pieza</t>
  </si>
  <si>
    <t>0.8</t>
  </si>
  <si>
    <t>Quotation date</t>
  </si>
  <si>
    <t>Angebotsdatum</t>
  </si>
  <si>
    <t>Offert Datum</t>
  </si>
  <si>
    <t>Date du chiffrage</t>
  </si>
  <si>
    <t>Fecha de la cotización</t>
  </si>
  <si>
    <t>0.9</t>
  </si>
  <si>
    <t>Premises</t>
  </si>
  <si>
    <t>Prämisen</t>
  </si>
  <si>
    <t>Förutsättningar</t>
  </si>
  <si>
    <t>Locaux</t>
  </si>
  <si>
    <t>Premisas</t>
  </si>
  <si>
    <t>0.10</t>
  </si>
  <si>
    <t>Project time (years)</t>
  </si>
  <si>
    <t>Projektzeit (Jahre)</t>
  </si>
  <si>
    <t>Projekt längd (år)</t>
  </si>
  <si>
    <t>Durée de production (années)</t>
  </si>
  <si>
    <t>Vida del proyecto (años)</t>
  </si>
  <si>
    <t>0.11</t>
  </si>
  <si>
    <t>Annual quantity</t>
  </si>
  <si>
    <t>Jährliche Anzahl</t>
  </si>
  <si>
    <t>Årsvolym, antal artiklar</t>
  </si>
  <si>
    <t>Quantité annuelle</t>
  </si>
  <si>
    <t>Volumen anual</t>
  </si>
  <si>
    <t>0.12</t>
  </si>
  <si>
    <t>Manufacturing lots</t>
  </si>
  <si>
    <t>Fertigungslose</t>
  </si>
  <si>
    <t>Produktionstillfällen / år</t>
  </si>
  <si>
    <t>Taille des lots de fabrication</t>
  </si>
  <si>
    <t>Número de lotes/año</t>
  </si>
  <si>
    <t>0.13</t>
  </si>
  <si>
    <t>Production site</t>
  </si>
  <si>
    <t>Fertigungsstandort</t>
  </si>
  <si>
    <t>Tillverkningsort, land</t>
  </si>
  <si>
    <t>Site de production</t>
  </si>
  <si>
    <t>Lugar de producción</t>
  </si>
  <si>
    <t>0.14</t>
  </si>
  <si>
    <t>Quotation currency</t>
  </si>
  <si>
    <t>Angebotswährung</t>
  </si>
  <si>
    <t>Offert valuta</t>
  </si>
  <si>
    <t>Devise de chiffrage</t>
  </si>
  <si>
    <t>Moneda de cotización</t>
  </si>
  <si>
    <t>0.15</t>
  </si>
  <si>
    <t>Quotation unit</t>
  </si>
  <si>
    <t>Angebotseinheit</t>
  </si>
  <si>
    <t>Offert enhet</t>
  </si>
  <si>
    <t>Unité de chiffrage</t>
  </si>
  <si>
    <t>Unidad de cotización</t>
  </si>
  <si>
    <t>0.16</t>
  </si>
  <si>
    <t>Specific</t>
  </si>
  <si>
    <t>Spezifisch</t>
  </si>
  <si>
    <t>Specifik</t>
  </si>
  <si>
    <t>Spécifique</t>
  </si>
  <si>
    <t>Específico</t>
  </si>
  <si>
    <t>0.17</t>
  </si>
  <si>
    <t>Part number Revision</t>
  </si>
  <si>
    <t>Revison</t>
  </si>
  <si>
    <t>Artikel Utgåva</t>
  </si>
  <si>
    <t>Revision</t>
  </si>
  <si>
    <t>Revisión</t>
  </si>
  <si>
    <t>0.18</t>
  </si>
  <si>
    <t>Quotation Number</t>
  </si>
  <si>
    <t>Angebot ausgabe</t>
  </si>
  <si>
    <t>Offert Utgåva</t>
  </si>
  <si>
    <t>Device Number</t>
  </si>
  <si>
    <t>cotización Número</t>
  </si>
  <si>
    <t>0.19</t>
  </si>
  <si>
    <t>0.20</t>
  </si>
  <si>
    <t>0.21</t>
  </si>
  <si>
    <t>0.22</t>
  </si>
  <si>
    <t>0.23</t>
  </si>
  <si>
    <t>Special agreements</t>
  </si>
  <si>
    <t>Spezielle Vereinbarungen</t>
  </si>
  <si>
    <t>Unika förutsättningar eller avtal</t>
  </si>
  <si>
    <t>Accords spéciaux</t>
  </si>
  <si>
    <t>Acuerdos especiales</t>
  </si>
  <si>
    <t>0.24</t>
  </si>
  <si>
    <t>Comments:</t>
  </si>
  <si>
    <t>Kommentar:</t>
  </si>
  <si>
    <t>Kommentarer</t>
  </si>
  <si>
    <t>Commentaires</t>
  </si>
  <si>
    <t>Comentarios</t>
  </si>
  <si>
    <t>0.25</t>
  </si>
  <si>
    <t>Fraction</t>
  </si>
  <si>
    <t>Anteil</t>
  </si>
  <si>
    <t>Del</t>
  </si>
  <si>
    <t>Fracción</t>
  </si>
  <si>
    <t>Direct material costs</t>
  </si>
  <si>
    <t>Materialeinzelkosten</t>
  </si>
  <si>
    <t>Direkt Materialkostnad</t>
  </si>
  <si>
    <t>Coûts de lancement / Coûts</t>
  </si>
  <si>
    <t>Costes Directos de Material</t>
  </si>
  <si>
    <t>Raw materials</t>
  </si>
  <si>
    <t>Rohmaterialien</t>
  </si>
  <si>
    <t>Råmaterial</t>
  </si>
  <si>
    <t>Matière première</t>
  </si>
  <si>
    <t>Materia prima</t>
  </si>
  <si>
    <t>Purchased parts</t>
  </si>
  <si>
    <t>Kaufteile</t>
  </si>
  <si>
    <t>Köpta artiklar</t>
  </si>
  <si>
    <t>Pièces achetées</t>
  </si>
  <si>
    <t>Partes/piezas compradas</t>
  </si>
  <si>
    <t>Setup costs / Costs</t>
  </si>
  <si>
    <t>Rüstkosten / Kosten</t>
  </si>
  <si>
    <t>Omställningskostnader / kostnader</t>
  </si>
  <si>
    <t>Coût de lancement / coût</t>
  </si>
  <si>
    <t>Coste de montaje/instalación</t>
  </si>
  <si>
    <t>Material overhead</t>
  </si>
  <si>
    <t>Materialgemeinkosten</t>
  </si>
  <si>
    <t>Material OH</t>
  </si>
  <si>
    <t>Frais sur achats</t>
  </si>
  <si>
    <t>Gastos generales de material (OH)</t>
  </si>
  <si>
    <t>3  Material scrap</t>
  </si>
  <si>
    <t>3 Materialausschuss</t>
  </si>
  <si>
    <t xml:space="preserve">3  Kassationskostnad </t>
  </si>
  <si>
    <t>3 Déchets sur achat</t>
  </si>
  <si>
    <t>3 Deshecho, chatarra</t>
  </si>
  <si>
    <t>4  Interest material</t>
  </si>
  <si>
    <t>4  Materialzinsen</t>
  </si>
  <si>
    <t>4  Räntekostnad material</t>
  </si>
  <si>
    <t>4 Intérêts sur matière</t>
  </si>
  <si>
    <t>4 Interés del material</t>
  </si>
  <si>
    <t>Material costs</t>
  </si>
  <si>
    <t>Materialkosten</t>
  </si>
  <si>
    <t>Materialkostnader</t>
  </si>
  <si>
    <t>Coûts matière</t>
  </si>
  <si>
    <t>Costes de Material</t>
  </si>
  <si>
    <t>Direct labor</t>
  </si>
  <si>
    <t>Direkter Lohn</t>
  </si>
  <si>
    <t>Direkt lön</t>
  </si>
  <si>
    <t>Main d'œuvre directe</t>
  </si>
  <si>
    <t>Mano de obra</t>
  </si>
  <si>
    <t>Manufacturing costs/machine costs</t>
  </si>
  <si>
    <t>Fertigungskosten/Maschinenkosten</t>
  </si>
  <si>
    <t>Tillverkningskostnader/maskinkostnader</t>
  </si>
  <si>
    <t>Coûts de fabrication/ Coûts machine</t>
  </si>
  <si>
    <t xml:space="preserve">Costes de fabricación y maquinaría </t>
  </si>
  <si>
    <t>Manufacturing overhead</t>
  </si>
  <si>
    <t>Fertigungsgemeinkosten</t>
  </si>
  <si>
    <t>Tillverknings OH</t>
  </si>
  <si>
    <t>Frais de fabrication</t>
  </si>
  <si>
    <t>Gastos generales de fabricación (OH)</t>
  </si>
  <si>
    <t>9  Manuf. scrap</t>
  </si>
  <si>
    <t>9 Fert. Ausschuss</t>
  </si>
  <si>
    <t>9 Produktons kassation</t>
  </si>
  <si>
    <t>9 Déchets de production</t>
  </si>
  <si>
    <t>9 desperdicios de fabricación</t>
  </si>
  <si>
    <t>10  Int. Work in prog.</t>
  </si>
  <si>
    <t>10 Zinsen Umlaufb.</t>
  </si>
  <si>
    <t>10 Räntekostnader PIA</t>
  </si>
  <si>
    <t>10 Intérêts pour les en-cours</t>
  </si>
  <si>
    <t>10 Int. de trabajo en curso</t>
  </si>
  <si>
    <t>Manufacturing costs</t>
  </si>
  <si>
    <t>Fertigungskosten</t>
  </si>
  <si>
    <t>Tillverkningskostnader</t>
  </si>
  <si>
    <t>Coûts de fabrication</t>
  </si>
  <si>
    <t>Coste proceso de fabricación</t>
  </si>
  <si>
    <t>Production costs</t>
  </si>
  <si>
    <t>Herstellkosten</t>
  </si>
  <si>
    <t>Produktionskostnader</t>
  </si>
  <si>
    <t xml:space="preserve">Coûts de production  </t>
  </si>
  <si>
    <t>Coste de producción</t>
  </si>
  <si>
    <t>Verwaltungs- und Vertriebsgemeinkosten</t>
  </si>
  <si>
    <t>Försäljning och generella administrations kostnader</t>
  </si>
  <si>
    <t>Coûts des ventes et de l'administration générale</t>
  </si>
  <si>
    <t>Costes de ventas y administración</t>
  </si>
  <si>
    <t>fill in --&gt;</t>
  </si>
  <si>
    <t>ausfüllen --&gt;</t>
  </si>
  <si>
    <t>Fyll i --&gt;</t>
  </si>
  <si>
    <t>remplir ici --&gt;</t>
  </si>
  <si>
    <t>Rellenar --&gt;</t>
  </si>
  <si>
    <t>&lt;-- fill in</t>
  </si>
  <si>
    <t>&lt;-- ausfüllen</t>
  </si>
  <si>
    <t>&lt;-- Fyll i</t>
  </si>
  <si>
    <t>&lt;-- remplir ici</t>
  </si>
  <si>
    <t>&lt;-- Rellenar</t>
  </si>
  <si>
    <t>/unit</t>
  </si>
  <si>
    <t>/enhet</t>
  </si>
  <si>
    <t xml:space="preserve">/ unité  </t>
  </si>
  <si>
    <t>/unidad</t>
  </si>
  <si>
    <t>unit</t>
  </si>
  <si>
    <t>enhet</t>
  </si>
  <si>
    <t>Unité</t>
  </si>
  <si>
    <t>unidad</t>
  </si>
  <si>
    <t>units</t>
  </si>
  <si>
    <t>enheter</t>
  </si>
  <si>
    <t>Unités</t>
  </si>
  <si>
    <t>unidades</t>
  </si>
  <si>
    <t>/quot. Unit</t>
  </si>
  <si>
    <t>/Unité de chiffrage</t>
  </si>
  <si>
    <t>/unidad cotizada</t>
  </si>
  <si>
    <t>Research and development costs</t>
  </si>
  <si>
    <t>Forschungs- und Entwicklungskosten</t>
  </si>
  <si>
    <t>Forskning och utvecklings kostnader</t>
  </si>
  <si>
    <t>Coûts de Recherche et développement</t>
  </si>
  <si>
    <t>Costes de investigación y desarrollo</t>
  </si>
  <si>
    <t>Other costs</t>
  </si>
  <si>
    <t>Sonstige Kosten</t>
  </si>
  <si>
    <t>Andra kostnader</t>
  </si>
  <si>
    <t>Autres coûts</t>
  </si>
  <si>
    <t>Otros costes</t>
  </si>
  <si>
    <t>Explanation:</t>
  </si>
  <si>
    <t>Erklärung:</t>
  </si>
  <si>
    <t>Förklaring:</t>
  </si>
  <si>
    <t>Explication</t>
  </si>
  <si>
    <t>Explicación</t>
  </si>
  <si>
    <t>Tools and devices allocated</t>
  </si>
  <si>
    <t>Werkzeuge und Vorrichtungen umgelegt</t>
  </si>
  <si>
    <t>Allokerad verktygs och utrustningskostnad</t>
  </si>
  <si>
    <t>Outillage et équipements alloués</t>
  </si>
  <si>
    <t>Utillajes y herramientas asignados</t>
  </si>
  <si>
    <t>Total costs</t>
  </si>
  <si>
    <t>Selbstkosten</t>
  </si>
  <si>
    <t>Totalkostnad</t>
  </si>
  <si>
    <t>Coûts totaux</t>
  </si>
  <si>
    <t>Coste Total</t>
  </si>
  <si>
    <t>Profit</t>
  </si>
  <si>
    <t>Gewinn</t>
  </si>
  <si>
    <t>Vinst</t>
  </si>
  <si>
    <t>Marge</t>
  </si>
  <si>
    <t>Beneficio</t>
  </si>
  <si>
    <t>Raw material</t>
  </si>
  <si>
    <t>Rohmaterial</t>
  </si>
  <si>
    <t>Purchased p.</t>
  </si>
  <si>
    <t>Pièce achetée</t>
  </si>
  <si>
    <t>Parte/pieza comprada</t>
  </si>
  <si>
    <t>Fabricación</t>
  </si>
  <si>
    <t>Terms of payment</t>
  </si>
  <si>
    <t>Zahlungsbedingungen</t>
  </si>
  <si>
    <t>Ränta betalningstermin</t>
  </si>
  <si>
    <t>Intérêts sur termes de paiement</t>
  </si>
  <si>
    <t>Interés / condiciones de pago</t>
  </si>
  <si>
    <t>Transport, duties</t>
  </si>
  <si>
    <t>Transport, Zölle</t>
  </si>
  <si>
    <t>Transportkostnader, Tull</t>
  </si>
  <si>
    <t>Transport, taxes</t>
  </si>
  <si>
    <t>Transporte, aranceles</t>
  </si>
  <si>
    <t>Quotation price (1)</t>
  </si>
  <si>
    <t>Angebotspreis (1)</t>
  </si>
  <si>
    <t>Offert pris (1)</t>
  </si>
  <si>
    <t>Prix calculé (1)</t>
  </si>
  <si>
    <t>Precio ofertado (1)</t>
  </si>
  <si>
    <t>Specific development costs allocated</t>
  </si>
  <si>
    <t>Spezifische Entwicklungskosten umgelegt</t>
  </si>
  <si>
    <t>Specifika utvecklings kostnader fördelade</t>
  </si>
  <si>
    <t>Coûts de développement spécifique alloués</t>
  </si>
  <si>
    <t>Costes específicos de desarrollo</t>
  </si>
  <si>
    <t>Quotation price (2)</t>
  </si>
  <si>
    <t>Angebotspreis (2)</t>
  </si>
  <si>
    <t>Offert pris (2)</t>
  </si>
  <si>
    <t>Prix calculé (2)</t>
  </si>
  <si>
    <t>Precio ofertado (2)</t>
  </si>
  <si>
    <t>One-time and instalment payments</t>
  </si>
  <si>
    <t>Einmal- und Abschlagszahlungen</t>
  </si>
  <si>
    <t>Engångsbetalningar</t>
  </si>
  <si>
    <t>Paiement ponctules et echelonnés</t>
  </si>
  <si>
    <t>Pagos únicos y cuotas</t>
  </si>
  <si>
    <t>Tools and devices</t>
  </si>
  <si>
    <t>Werkzeugkosten</t>
  </si>
  <si>
    <t>Verktyg och Utrustningar</t>
  </si>
  <si>
    <t>Utillajes y herramientas</t>
  </si>
  <si>
    <t>rest allocated in 16</t>
  </si>
  <si>
    <t>Rest umgelegt in 16</t>
  </si>
  <si>
    <t>Allokerat  i 16</t>
  </si>
  <si>
    <t>Reste alloué en 16</t>
  </si>
  <si>
    <t>Resto asignado en 16</t>
  </si>
  <si>
    <t>Specific development costs</t>
  </si>
  <si>
    <t>spezifische Entwicklungskosten</t>
  </si>
  <si>
    <t>Specifika utvecklingskostnader</t>
  </si>
  <si>
    <t>Coûts de développement spécifique</t>
  </si>
  <si>
    <t>Total</t>
  </si>
  <si>
    <t>Gesamt</t>
  </si>
  <si>
    <t>Totalt</t>
  </si>
  <si>
    <t>rest allocated in 22</t>
  </si>
  <si>
    <t>Rest umgelegt in 22</t>
  </si>
  <si>
    <t>Allokerat  i 22</t>
  </si>
  <si>
    <t>Reste alloué en 22</t>
  </si>
  <si>
    <t>Resto asignado en 22</t>
  </si>
  <si>
    <t>Siemens Standard</t>
  </si>
  <si>
    <t>M01</t>
  </si>
  <si>
    <t>Description</t>
  </si>
  <si>
    <t>Beschreibung</t>
  </si>
  <si>
    <t>Beskrivning</t>
  </si>
  <si>
    <t>Descripción</t>
  </si>
  <si>
    <t>M02</t>
  </si>
  <si>
    <t>Purchasing Currency</t>
  </si>
  <si>
    <t>Einkaufswährung</t>
  </si>
  <si>
    <t>Offert kurs</t>
  </si>
  <si>
    <t>Devise d'achat</t>
  </si>
  <si>
    <t>Divisa</t>
  </si>
  <si>
    <t>M03</t>
  </si>
  <si>
    <t>Statement in Quotation currency</t>
  </si>
  <si>
    <t>Angabe in Angebotswährung</t>
  </si>
  <si>
    <t>Specificering av offert valuta</t>
  </si>
  <si>
    <t>Hypothèses en devise de chiffrage</t>
  </si>
  <si>
    <t>Cotización en moneda declarada</t>
  </si>
  <si>
    <t>No.</t>
  </si>
  <si>
    <t>Nr.</t>
  </si>
  <si>
    <t>Löp nr.</t>
  </si>
  <si>
    <t xml:space="preserve">Número  </t>
  </si>
  <si>
    <t>Item number</t>
  </si>
  <si>
    <t>Artikelnummer</t>
  </si>
  <si>
    <t>Part designation</t>
  </si>
  <si>
    <t>Bauteil Bezeichnung</t>
  </si>
  <si>
    <t>Delbeteckning</t>
  </si>
  <si>
    <t>Désignation pièce</t>
  </si>
  <si>
    <t xml:space="preserve">Descripción parte(pieza) </t>
  </si>
  <si>
    <t>Designation raw material</t>
  </si>
  <si>
    <t>Bezeichnung Rohmaterial</t>
  </si>
  <si>
    <t xml:space="preserve">Råmaterialdefinition </t>
  </si>
  <si>
    <t>Désignation matière</t>
  </si>
  <si>
    <t>Descripción materia prima</t>
  </si>
  <si>
    <t>Material class</t>
  </si>
  <si>
    <t>Materialklasse</t>
  </si>
  <si>
    <t>Material typ</t>
  </si>
  <si>
    <t>Classe matière</t>
  </si>
  <si>
    <t>Tipo de material</t>
  </si>
  <si>
    <t>Proveedor</t>
  </si>
  <si>
    <t>Unit</t>
  </si>
  <si>
    <t>Einheit</t>
  </si>
  <si>
    <t>Enhet</t>
  </si>
  <si>
    <t>Unidad</t>
  </si>
  <si>
    <t>Purchasing currency</t>
  </si>
  <si>
    <t>Einkäufswährung</t>
  </si>
  <si>
    <t>Inköps- 
valuta</t>
  </si>
  <si>
    <t>Price in purchasing currency per unit</t>
  </si>
  <si>
    <t>Preis in Einkäufswährung</t>
  </si>
  <si>
    <t>Kostnad i inköps-
valuta</t>
  </si>
  <si>
    <t>Prix unitaire en devise d'achat</t>
  </si>
  <si>
    <t>Divisa por unidad</t>
  </si>
  <si>
    <t>Rate of exchange (AW/BW)</t>
  </si>
  <si>
    <t>Wechselkurs</t>
  </si>
  <si>
    <t>Växelkurs</t>
  </si>
  <si>
    <t>Taux de change</t>
  </si>
  <si>
    <t>Tipo de cambio</t>
  </si>
  <si>
    <t>Price in quotation currency per unit</t>
  </si>
  <si>
    <t>Preis in Angebotswährung pro Einheit</t>
  </si>
  <si>
    <t>Kostnad i offertvaluta</t>
  </si>
  <si>
    <t>Prix unitaire en devise de chiffrage</t>
  </si>
  <si>
    <t>Precio en moneda de cotización por unidad</t>
  </si>
  <si>
    <t>Total Deployed weight/ quantity</t>
  </si>
  <si>
    <t>Gesamtes Einsatzgewicht/-einheit</t>
  </si>
  <si>
    <t>Total Bruttovikt per artikel</t>
  </si>
  <si>
    <t>Poids brut total/ quantité</t>
  </si>
  <si>
    <t>Total Peso bruto/cantidad</t>
  </si>
  <si>
    <t>Total Net weight of finished part (only for info.)</t>
  </si>
  <si>
    <t>Gesamtes Nettogewicht des fertigen Bauteils (nur Info.)</t>
  </si>
  <si>
    <t>Total Nettovikt färdig artikel (Endast för information)</t>
  </si>
  <si>
    <t>Poids net total de la pièce finie</t>
  </si>
  <si>
    <t>Total Peso neto parte/pieza acabada</t>
  </si>
  <si>
    <t>Material kostnad</t>
  </si>
  <si>
    <t>Costes del material</t>
  </si>
  <si>
    <t>Total Scrap (yield) only raw materials</t>
  </si>
  <si>
    <t>Gesamter Schrott (Ertrag) nur Rohmaterialien</t>
  </si>
  <si>
    <t>Återvunnet kassationsmateriat, endast råmaterial</t>
  </si>
  <si>
    <t>Total Déchet sur matière première uniquement</t>
  </si>
  <si>
    <t>Total deshecho, chatarra sólo en materia prima</t>
  </si>
  <si>
    <t>DMC (Direct Material costs)</t>
  </si>
  <si>
    <t>(DMK) Direkta Material kostnader</t>
  </si>
  <si>
    <t>Coûts matière directs</t>
  </si>
  <si>
    <t>Costes directos de material (DMC)</t>
  </si>
  <si>
    <t>Material overhead costs</t>
  </si>
  <si>
    <t>Material 
OH
kostnader</t>
  </si>
  <si>
    <t>Frais sur matière première</t>
  </si>
  <si>
    <t>M16,1</t>
  </si>
  <si>
    <t>Base is M15</t>
  </si>
  <si>
    <t>Basis ist M15</t>
  </si>
  <si>
    <t>Bas materialkostnad (DMK), M15</t>
  </si>
  <si>
    <t>Base en M15</t>
  </si>
  <si>
    <t xml:space="preserve">Basado en DMC </t>
  </si>
  <si>
    <t>Material scrap costs</t>
  </si>
  <si>
    <t>Materialausschusskosten</t>
  </si>
  <si>
    <t>Kassations kostnader material</t>
  </si>
  <si>
    <t>Coûts des déchets sur matière première</t>
  </si>
  <si>
    <t xml:space="preserve">Costes de desecho/chatarra </t>
  </si>
  <si>
    <t>Total material costs</t>
  </si>
  <si>
    <t>Gesamte Materialkosten</t>
  </si>
  <si>
    <t>Total material kostnad</t>
  </si>
  <si>
    <t>Coût total matière première</t>
  </si>
  <si>
    <t>Coste total de material</t>
  </si>
  <si>
    <t>M19</t>
  </si>
  <si>
    <t>Comments</t>
  </si>
  <si>
    <t>Kommentar</t>
  </si>
  <si>
    <t>M20</t>
  </si>
  <si>
    <t>Sums</t>
  </si>
  <si>
    <t>Summen</t>
  </si>
  <si>
    <t>Somme</t>
  </si>
  <si>
    <t>Suma</t>
  </si>
  <si>
    <t>M21</t>
  </si>
  <si>
    <t>Scrap (yield)</t>
  </si>
  <si>
    <t>Schrott (Ertrag)</t>
  </si>
  <si>
    <t>Återvunnen kassation</t>
  </si>
  <si>
    <t>Déchets</t>
  </si>
  <si>
    <t xml:space="preserve">Desecho  </t>
  </si>
  <si>
    <t>M22</t>
  </si>
  <si>
    <t>Total DMC</t>
  </si>
  <si>
    <t>Ges. MEK</t>
  </si>
  <si>
    <t>DM</t>
  </si>
  <si>
    <t>Total des coûts matière directs</t>
  </si>
  <si>
    <t>M23</t>
  </si>
  <si>
    <t>Raw Materials</t>
  </si>
  <si>
    <t>Materias primas</t>
  </si>
  <si>
    <t>M24</t>
  </si>
  <si>
    <t>Purchased Parts</t>
  </si>
  <si>
    <t>Einkaufsteile</t>
  </si>
  <si>
    <t>M25</t>
  </si>
  <si>
    <t>Mat. OH</t>
  </si>
  <si>
    <t>MGK</t>
  </si>
  <si>
    <t>M26</t>
  </si>
  <si>
    <t>Scrap</t>
  </si>
  <si>
    <t>Ausschuss</t>
  </si>
  <si>
    <t>Kassation</t>
  </si>
  <si>
    <t xml:space="preserve">Desecho/chatarra </t>
  </si>
  <si>
    <t>M27</t>
  </si>
  <si>
    <t>Total MC</t>
  </si>
  <si>
    <t>Ges. MK.</t>
  </si>
  <si>
    <t>TOTAL matière première</t>
  </si>
  <si>
    <t>Total del  MC</t>
  </si>
  <si>
    <t>P01</t>
  </si>
  <si>
    <t>P02</t>
  </si>
  <si>
    <t>Statement in quotation currency</t>
  </si>
  <si>
    <t>Detaljerad beskrivning  i offererad valuta</t>
  </si>
  <si>
    <t>Divisa cotizada</t>
  </si>
  <si>
    <t>Manufacturing step no.</t>
  </si>
  <si>
    <t>Fertigungsschritt Nr.</t>
  </si>
  <si>
    <t>Tillverkningssteg Löp nr.</t>
  </si>
  <si>
    <t>Numéro de l'étape de farbication</t>
  </si>
  <si>
    <t>Número de procesos de fabricación</t>
  </si>
  <si>
    <t>Designation Manufacturing step</t>
  </si>
  <si>
    <t>Bezeichnung Fertigungsschritt</t>
  </si>
  <si>
    <t>Beteckning tillverkningsoperation</t>
  </si>
  <si>
    <t>Description de l'étape de fabrication</t>
  </si>
  <si>
    <t>Designación de procesos de fabricación</t>
  </si>
  <si>
    <t>Designation facility / machine / type</t>
  </si>
  <si>
    <t>Bezeichnung Anlage / Maschine / Typ</t>
  </si>
  <si>
    <t>Beteckning anläggning / maskin / typ</t>
  </si>
  <si>
    <t>Description atelier / machine / type</t>
  </si>
  <si>
    <t>Designación de planta/maquinaria/tipo</t>
  </si>
  <si>
    <t>Investment facility / machine / type</t>
  </si>
  <si>
    <t>Investition Anlage / Maschine / Typ</t>
  </si>
  <si>
    <t>Investering anläggning / maskin / typ</t>
  </si>
  <si>
    <t>Investissement atelier / machine / type</t>
  </si>
  <si>
    <t>Inversión de planta/maquinaria/tipo</t>
  </si>
  <si>
    <t>Utilization ratio (only for info.)</t>
  </si>
  <si>
    <t>Nutzungsgrad</t>
  </si>
  <si>
    <t>Utnyttjandegrad ( endast för information)</t>
  </si>
  <si>
    <t>Taux d'utilisation (pour information)</t>
  </si>
  <si>
    <t>Ratio de utilización (sólo para info.)</t>
  </si>
  <si>
    <t>Cycle time</t>
  </si>
  <si>
    <t>Zykluszeit</t>
  </si>
  <si>
    <t>Cykel tid</t>
  </si>
  <si>
    <t>Temps de cycle</t>
  </si>
  <si>
    <t>Tiempo de ciclo</t>
  </si>
  <si>
    <t>P6.1</t>
  </si>
  <si>
    <t>s</t>
  </si>
  <si>
    <t>sekunder</t>
  </si>
  <si>
    <t>Number of parts per cycle</t>
  </si>
  <si>
    <t>Anzahl Teile pro Zyklus</t>
  </si>
  <si>
    <t>Antal artiklar per produktionscykel</t>
  </si>
  <si>
    <t>Nombre de pièces par cycle</t>
  </si>
  <si>
    <t>Número de partes/piezas por ciclo</t>
  </si>
  <si>
    <t>Machine hourly rate</t>
  </si>
  <si>
    <t>Maskin-
timkostnad</t>
  </si>
  <si>
    <t>Taux machine / heure</t>
  </si>
  <si>
    <t>Tarifa horaria Maquina</t>
  </si>
  <si>
    <t>P8.1</t>
  </si>
  <si>
    <t>/hour</t>
  </si>
  <si>
    <t>/Std.</t>
  </si>
  <si>
    <t>/timma</t>
  </si>
  <si>
    <t xml:space="preserve"> /heure</t>
  </si>
  <si>
    <t>/hora</t>
  </si>
  <si>
    <t>Machinenkosten</t>
  </si>
  <si>
    <t xml:space="preserve">Maskinkostnader </t>
  </si>
  <si>
    <t>Coûts machine</t>
  </si>
  <si>
    <t>Costes de maquinaria</t>
  </si>
  <si>
    <t>Number of direct workers</t>
  </si>
  <si>
    <t>Anzahl direkter Mitarbeiter</t>
  </si>
  <si>
    <t>Antal direkt arbetande personer</t>
  </si>
  <si>
    <t>Nombre d'opérateurs directs</t>
  </si>
  <si>
    <t>Número de trabajadores directos</t>
  </si>
  <si>
    <t>Total labor hourly rate</t>
  </si>
  <si>
    <t>Gesamter Personalstundensatz</t>
  </si>
  <si>
    <t>Total personal kostnad</t>
  </si>
  <si>
    <t>Coût total de main d'œuvre / heure</t>
  </si>
  <si>
    <t>Tarifa total de mano de obra/hora</t>
  </si>
  <si>
    <t>Direkte Personalkosten</t>
  </si>
  <si>
    <t>Direkt personal kostnad</t>
  </si>
  <si>
    <t>Coûts de main d'œuvre directe</t>
  </si>
  <si>
    <t>Costes de mano de obra</t>
  </si>
  <si>
    <t>Setup costs / Costs per unit</t>
  </si>
  <si>
    <t>Rüstkosten / Kosten pro Einheit</t>
  </si>
  <si>
    <t>Omställningskostnad /artikel</t>
  </si>
  <si>
    <t>Coûts de lancement / Coûts par unité</t>
  </si>
  <si>
    <t>Costes de montaje / costes por unidad</t>
  </si>
  <si>
    <t>Manufacturing lot size (only for info.)</t>
  </si>
  <si>
    <t>Fertigungslosgröße (nur zur info.)</t>
  </si>
  <si>
    <t>Tillverknings batch storlek
( endast för information)</t>
  </si>
  <si>
    <t>Taille de lot de fabrication (pour info)</t>
  </si>
  <si>
    <t>Cantidad de unidades por lote (sólo para info.)</t>
  </si>
  <si>
    <t>Werkzeug Instandhaltung</t>
  </si>
  <si>
    <t>Underhålls- kostnader  verktyg</t>
  </si>
  <si>
    <t>Maintenance</t>
  </si>
  <si>
    <t>Mantenimiento de Utillaje</t>
  </si>
  <si>
    <t>Direct manufacturing costs</t>
  </si>
  <si>
    <t>Direkte Fertigungskosten</t>
  </si>
  <si>
    <t>Direkt tillverknings- kostnad</t>
  </si>
  <si>
    <t>Coûts directs de fabrication</t>
  </si>
  <si>
    <t>Costes directos de fabricación</t>
  </si>
  <si>
    <t>Manufacturing 
overhead costs</t>
  </si>
  <si>
    <t>frais de fabrication</t>
  </si>
  <si>
    <t>P17.1</t>
  </si>
  <si>
    <t>Base is P16</t>
  </si>
  <si>
    <t>Basis ist P16</t>
  </si>
  <si>
    <t>Bas från P16</t>
  </si>
  <si>
    <t>Base de calcul en P16</t>
  </si>
  <si>
    <t>Basado en P16</t>
  </si>
  <si>
    <t>Manufacturing scrap</t>
  </si>
  <si>
    <t>Fertigungsausschuss</t>
  </si>
  <si>
    <t>Tillverknings kassation</t>
  </si>
  <si>
    <t>Déchets de fabrication</t>
  </si>
  <si>
    <t>Desperdicios de fabricación</t>
  </si>
  <si>
    <t>Costes de fabricación</t>
  </si>
  <si>
    <t>Usage</t>
  </si>
  <si>
    <t>Verwendungsmenge</t>
  </si>
  <si>
    <t>Antal</t>
  </si>
  <si>
    <t>Utilisation</t>
  </si>
  <si>
    <t>Uso</t>
  </si>
  <si>
    <t>Total Manufacturing costs</t>
  </si>
  <si>
    <t>Gesamte Fertigungskosten</t>
  </si>
  <si>
    <t>Total Tillverknings kostnad</t>
  </si>
  <si>
    <t>Coût total de fabrication</t>
  </si>
  <si>
    <t>Coste total de fabricación</t>
  </si>
  <si>
    <t>P22</t>
  </si>
  <si>
    <t>P23</t>
  </si>
  <si>
    <t xml:space="preserve">Comentarios </t>
  </si>
  <si>
    <t>P24</t>
  </si>
  <si>
    <t>Suma total</t>
  </si>
  <si>
    <t>P25</t>
  </si>
  <si>
    <t>Labor</t>
  </si>
  <si>
    <t>Lohn</t>
  </si>
  <si>
    <t>Personal</t>
  </si>
  <si>
    <t>Main d'œuvre</t>
  </si>
  <si>
    <t>P26</t>
  </si>
  <si>
    <t>Setup</t>
  </si>
  <si>
    <t>Rüsten</t>
  </si>
  <si>
    <t>Omställningskostnad</t>
  </si>
  <si>
    <t>Lancement</t>
  </si>
  <si>
    <t>Montaje</t>
  </si>
  <si>
    <t>P27</t>
  </si>
  <si>
    <t>Tool maint.</t>
  </si>
  <si>
    <t>Werkz. Inst.</t>
  </si>
  <si>
    <t>Verktygsunderhåll</t>
  </si>
  <si>
    <t>Maintenance outillage</t>
  </si>
  <si>
    <t>P28</t>
  </si>
  <si>
    <t>+ Machine costs and Setup costs</t>
  </si>
  <si>
    <t>+ Maschinenkosten und Rüstkosten</t>
  </si>
  <si>
    <t>+ maskinkostnader &amp; omställningskostnader</t>
  </si>
  <si>
    <t xml:space="preserve"> + Coûts machine et Coûts de lancement</t>
  </si>
  <si>
    <t>+ Costes de maquinaria y montaje</t>
  </si>
  <si>
    <t>P29</t>
  </si>
  <si>
    <t>Manufacturing Costs / Machine Costs</t>
  </si>
  <si>
    <t>Coût de fabrication / coûts machine</t>
  </si>
  <si>
    <t>Costes de fabricación/Costes de maquinaria</t>
  </si>
  <si>
    <t>P30</t>
  </si>
  <si>
    <t>Man. OH</t>
  </si>
  <si>
    <t>Fert. GK</t>
  </si>
  <si>
    <t>Tillverknings
OH</t>
  </si>
  <si>
    <t>Frais généraux de fabrication</t>
  </si>
  <si>
    <t>P31</t>
  </si>
  <si>
    <t>Desperdicios (scrap)</t>
  </si>
  <si>
    <t>P32</t>
  </si>
  <si>
    <t>I01</t>
  </si>
  <si>
    <t>I02</t>
  </si>
  <si>
    <t>Inköpsvaluta</t>
  </si>
  <si>
    <t>Divisa de compra</t>
  </si>
  <si>
    <t>I03</t>
  </si>
  <si>
    <t>I04</t>
  </si>
  <si>
    <t>Life time quantity:</t>
  </si>
  <si>
    <t>Livscykel volym</t>
  </si>
  <si>
    <t>Quantité totale de production</t>
  </si>
  <si>
    <t>Unidades en ciclo de vida</t>
  </si>
  <si>
    <t>Numéro de l'étape de production</t>
  </si>
  <si>
    <t>Designation Tool / Device</t>
  </si>
  <si>
    <t>Beskrivning Verktyg /  Utrustning</t>
  </si>
  <si>
    <t>Désignation outillage/ équipement</t>
  </si>
  <si>
    <t>Designación de utillaje y herramienta</t>
  </si>
  <si>
    <t>Service life in cycles</t>
  </si>
  <si>
    <t>Livslängd i cykler</t>
  </si>
  <si>
    <t>Durée de vie en nombre de cycles</t>
  </si>
  <si>
    <t>Vida útil en ciclos</t>
  </si>
  <si>
    <t>Investment in purchasing currency</t>
  </si>
  <si>
    <t>Investering i Inköps- 
valuta</t>
  </si>
  <si>
    <t>Investissement en devise d'achat</t>
  </si>
  <si>
    <t>Inversión en moneda de compra</t>
  </si>
  <si>
    <t>Investment in quotation currency</t>
  </si>
  <si>
    <t>Investissement en devise de chiffrage</t>
  </si>
  <si>
    <t>Inversión en moneda de cotización</t>
  </si>
  <si>
    <t>Number (lifetime)</t>
  </si>
  <si>
    <t>Antal ( Livscykel)</t>
  </si>
  <si>
    <t>Nombre sur la durée du projet</t>
  </si>
  <si>
    <t>Número total de unidades en la vida del producto</t>
  </si>
  <si>
    <t>Total lifetime investment</t>
  </si>
  <si>
    <t>Total Livscykel Investering</t>
  </si>
  <si>
    <t>Investissement total sur la durée du projet</t>
  </si>
  <si>
    <t>Total de la inversión (vida del producto)</t>
  </si>
  <si>
    <t>One-time payments</t>
  </si>
  <si>
    <t>Engångs betalning</t>
  </si>
  <si>
    <t>Paiements directs</t>
  </si>
  <si>
    <t>Pago único</t>
  </si>
  <si>
    <t>Allocated costs</t>
  </si>
  <si>
    <t>Allokerad kostnad</t>
  </si>
  <si>
    <t>Coût alloués</t>
  </si>
  <si>
    <t>Costes asignados</t>
  </si>
  <si>
    <t>Usage from P20 Manufacturing (6,7,8,9)</t>
  </si>
  <si>
    <t>Antal frånP20 Manufacturing (6,7,8,9)</t>
  </si>
  <si>
    <t>Utilisation de Production P20 (6,7,8,9)</t>
  </si>
  <si>
    <t>Uso de P20 Fabricación (6,7,8,9)</t>
  </si>
  <si>
    <t>Allocated costs total</t>
  </si>
  <si>
    <t>Total allokerad kostnad</t>
  </si>
  <si>
    <t>Coût alloué total</t>
  </si>
  <si>
    <t>Costes totales asignados</t>
  </si>
  <si>
    <t>I14</t>
  </si>
  <si>
    <t>Country of origin</t>
  </si>
  <si>
    <t xml:space="preserve">Ursprungs- 
land </t>
  </si>
  <si>
    <t>País de origen</t>
  </si>
  <si>
    <t>I15</t>
  </si>
  <si>
    <t>I16</t>
  </si>
  <si>
    <t>Total inv.</t>
  </si>
  <si>
    <t>Total Investering</t>
  </si>
  <si>
    <t>Investissement total</t>
  </si>
  <si>
    <t>Inversión total</t>
  </si>
  <si>
    <t>I17</t>
  </si>
  <si>
    <t>One-Time</t>
  </si>
  <si>
    <t>Engångs- 
betalning</t>
  </si>
  <si>
    <t>Inv. direct</t>
  </si>
  <si>
    <t>I18</t>
  </si>
  <si>
    <t>Allocated</t>
  </si>
  <si>
    <t>Allokerad</t>
  </si>
  <si>
    <t>Inv. alloué</t>
  </si>
  <si>
    <t>Asignados</t>
  </si>
  <si>
    <t>I19</t>
  </si>
  <si>
    <t>Allocated total</t>
  </si>
  <si>
    <t>Allokerat totalt</t>
  </si>
  <si>
    <t>Total Alloué</t>
  </si>
  <si>
    <t>Total asignado</t>
  </si>
  <si>
    <t>H0</t>
  </si>
  <si>
    <t>Machine-hour rate calculation template</t>
  </si>
  <si>
    <t>Machinenstundensatzrechung</t>
  </si>
  <si>
    <t xml:space="preserve">Beräkningsmall  för maskintimkostnad </t>
  </si>
  <si>
    <t>Calcul du taux machine</t>
  </si>
  <si>
    <t>Plantilla de cálculo coste/hora de maquinaria</t>
  </si>
  <si>
    <t>H1</t>
  </si>
  <si>
    <t>Machine-hour rate calculation
Only for information
Not linked with any worksheet and not considered via import and export!</t>
  </si>
  <si>
    <t xml:space="preserve">
Endast för information
Inte länkat till något kalkylblad. 
</t>
  </si>
  <si>
    <t>Pour information uniquement
Pas de lien avec es feuilles de calcul
Non pris en compte dans l'import ou l'export de données</t>
  </si>
  <si>
    <t>Sólo para información
No vinculado a ninguna hoja de cálculo</t>
  </si>
  <si>
    <t>H2</t>
  </si>
  <si>
    <t>Machine Basic data</t>
  </si>
  <si>
    <t>Basdata Maskin / Processutrustning</t>
  </si>
  <si>
    <t>Informations générales</t>
  </si>
  <si>
    <t>Datos básicos de la maquinaria</t>
  </si>
  <si>
    <t>H3</t>
  </si>
  <si>
    <t>Manufacturer</t>
  </si>
  <si>
    <t>Tillverkare</t>
  </si>
  <si>
    <t>Fabricant</t>
  </si>
  <si>
    <t>Fabricante</t>
  </si>
  <si>
    <t>H4</t>
  </si>
  <si>
    <t>Type designation</t>
  </si>
  <si>
    <t>Typ</t>
  </si>
  <si>
    <t>Type de machine</t>
  </si>
  <si>
    <t>Tipo de designación</t>
  </si>
  <si>
    <t>H5</t>
  </si>
  <si>
    <t>Category</t>
  </si>
  <si>
    <t>Kategori</t>
  </si>
  <si>
    <t>Catégorie</t>
  </si>
  <si>
    <t>Categoría</t>
  </si>
  <si>
    <t>H6</t>
  </si>
  <si>
    <t>Machine class</t>
  </si>
  <si>
    <t>Maskin klass</t>
  </si>
  <si>
    <t>Classe de machine</t>
  </si>
  <si>
    <t>Tipo de maquinaria</t>
  </si>
  <si>
    <t>H7</t>
  </si>
  <si>
    <t>Miscellaneous</t>
  </si>
  <si>
    <t>Diverse</t>
  </si>
  <si>
    <t>Divers</t>
  </si>
  <si>
    <t xml:space="preserve">Otros/varios </t>
  </si>
  <si>
    <t>H8</t>
  </si>
  <si>
    <t>H9</t>
  </si>
  <si>
    <t>Investment</t>
  </si>
  <si>
    <t>Investering</t>
  </si>
  <si>
    <t>Investissement</t>
  </si>
  <si>
    <t>Inversión</t>
  </si>
  <si>
    <t>H10</t>
  </si>
  <si>
    <t>Aquistion value</t>
  </si>
  <si>
    <t>Förvärvsvärde</t>
  </si>
  <si>
    <t>Valeur d'achat</t>
  </si>
  <si>
    <t>Valor de adquisición</t>
  </si>
  <si>
    <t>H11</t>
  </si>
  <si>
    <t>Installation expenditures</t>
  </si>
  <si>
    <t>Installations kostnader</t>
  </si>
  <si>
    <t>Dépense d'installation</t>
  </si>
  <si>
    <t>Gastos de instalación</t>
  </si>
  <si>
    <t>H12</t>
  </si>
  <si>
    <t>Foundation</t>
  </si>
  <si>
    <t>Fundament</t>
  </si>
  <si>
    <t>Fondation</t>
  </si>
  <si>
    <t>Fundación</t>
  </si>
  <si>
    <t>H13</t>
  </si>
  <si>
    <t>Other expenditures</t>
  </si>
  <si>
    <t>Autre dépenses</t>
  </si>
  <si>
    <t>Otros gastos</t>
  </si>
  <si>
    <t>H14</t>
  </si>
  <si>
    <t>Total Investment</t>
  </si>
  <si>
    <t>Total des investissements</t>
  </si>
  <si>
    <t>H15</t>
  </si>
  <si>
    <t>Residual Value</t>
  </si>
  <si>
    <t>Restvärde</t>
  </si>
  <si>
    <t>Valeur résiduelle</t>
  </si>
  <si>
    <t>Valor residual</t>
  </si>
  <si>
    <t>H16</t>
  </si>
  <si>
    <t>Depreciation sum</t>
  </si>
  <si>
    <t>Avskrivningsbelopp</t>
  </si>
  <si>
    <t>Total des amortissements</t>
  </si>
  <si>
    <t>Total depreciación</t>
  </si>
  <si>
    <t>H17</t>
  </si>
  <si>
    <t>Capacity factor per year</t>
  </si>
  <si>
    <t>Kapacitets faktor /  år</t>
  </si>
  <si>
    <t>Capacité annuelle</t>
  </si>
  <si>
    <t>Factor de capacidad por año</t>
  </si>
  <si>
    <t>H18</t>
  </si>
  <si>
    <t>Production days per year</t>
  </si>
  <si>
    <t>Produktionsdagar / år</t>
  </si>
  <si>
    <t>Nombre de jours de production par an</t>
  </si>
  <si>
    <t>Días de producción por año</t>
  </si>
  <si>
    <t>H19</t>
  </si>
  <si>
    <t>Shift per production day</t>
  </si>
  <si>
    <t>Antal skift / dag</t>
  </si>
  <si>
    <t>Nombre d'équipes de production par jour</t>
  </si>
  <si>
    <t xml:space="preserve">Turnos de producción por día </t>
  </si>
  <si>
    <t>H20</t>
  </si>
  <si>
    <t>Production hours per shift</t>
  </si>
  <si>
    <t>Timmar / Shift</t>
  </si>
  <si>
    <t>Nombre d'heures de production par équipe</t>
  </si>
  <si>
    <t>Horas de producción por turno</t>
  </si>
  <si>
    <t>H21</t>
  </si>
  <si>
    <t>Production hours per year</t>
  </si>
  <si>
    <t>Produktions- timmar / år</t>
  </si>
  <si>
    <t>Nombre d'heures de production par an</t>
  </si>
  <si>
    <t>Horas de producción por año</t>
  </si>
  <si>
    <t>H22</t>
  </si>
  <si>
    <t>Utilization ratio</t>
  </si>
  <si>
    <t>Uttnyttjandegrad</t>
  </si>
  <si>
    <t>Taux d'utilisation</t>
  </si>
  <si>
    <t xml:space="preserve">Ratio  de utilización </t>
  </si>
  <si>
    <t>H23</t>
  </si>
  <si>
    <t>Produktionstimmar / år</t>
  </si>
  <si>
    <t>Factor de capacidad / año</t>
  </si>
  <si>
    <t>H24</t>
  </si>
  <si>
    <t>Fixed Costs</t>
  </si>
  <si>
    <t>Fasta kostnader</t>
  </si>
  <si>
    <t>Coûts fixes</t>
  </si>
  <si>
    <t>Costes fijos</t>
  </si>
  <si>
    <t>H25</t>
  </si>
  <si>
    <t>Age of Machine</t>
  </si>
  <si>
    <t>Maskinålder</t>
  </si>
  <si>
    <t>Âge de la machine</t>
  </si>
  <si>
    <t>Edad de la maquinaria</t>
  </si>
  <si>
    <t>H26</t>
  </si>
  <si>
    <t>Imputed depreciation</t>
  </si>
  <si>
    <t>Avskrivningstid</t>
  </si>
  <si>
    <t>Dépréciation imputée</t>
  </si>
  <si>
    <t>Depreciación atribuida</t>
  </si>
  <si>
    <t>H27</t>
  </si>
  <si>
    <t>Imputed interest rate</t>
  </si>
  <si>
    <t>Kalkylränta</t>
  </si>
  <si>
    <t>Taux d'interet imputé</t>
  </si>
  <si>
    <t>Tasa de interés atribuida</t>
  </si>
  <si>
    <t>H28</t>
  </si>
  <si>
    <t>Required gross area including auxiliary areas</t>
  </si>
  <si>
    <t>Erforderlig produktionsyta inkluderande  extra ytor.</t>
  </si>
  <si>
    <t>Surface brute requise incluant surfaces auxiliaires</t>
  </si>
  <si>
    <t>Área bruta requerida incluyendo áreas auxiliares</t>
  </si>
  <si>
    <t>H29</t>
  </si>
  <si>
    <t>Leasing fee production area</t>
  </si>
  <si>
    <t>Kvadratmeter kostnad prodktionsyta</t>
  </si>
  <si>
    <t>Frais de location de la surface de production</t>
  </si>
  <si>
    <t>Tarifa de arrendamiento del área de producción</t>
  </si>
  <si>
    <t>H30</t>
  </si>
  <si>
    <t>Total fixed costs</t>
  </si>
  <si>
    <t>Total fasta kostnader</t>
  </si>
  <si>
    <t>Total des coûts fixes</t>
  </si>
  <si>
    <t>Total de Costes fijos</t>
  </si>
  <si>
    <t>H31</t>
  </si>
  <si>
    <t>Variable costs</t>
  </si>
  <si>
    <t>Variabla kostnader</t>
  </si>
  <si>
    <t>Coûts variables</t>
  </si>
  <si>
    <t>Costes variables</t>
  </si>
  <si>
    <t>H32</t>
  </si>
  <si>
    <t>Rated power</t>
  </si>
  <si>
    <t>Max Effekt förbrukning</t>
  </si>
  <si>
    <t>Puissance nominale</t>
  </si>
  <si>
    <t>Potencia de la energía eléctrica</t>
  </si>
  <si>
    <t>H33</t>
  </si>
  <si>
    <t>Performance capacity utilization</t>
  </si>
  <si>
    <t>Utnyttjandegrad elektrisitet</t>
  </si>
  <si>
    <t>Utilisation de la capacité de performance</t>
  </si>
  <si>
    <t>Rendimiento de la capacidad</t>
  </si>
  <si>
    <t>H34</t>
  </si>
  <si>
    <t>Energy costs</t>
  </si>
  <si>
    <t>Energi- kostnader</t>
  </si>
  <si>
    <t>Coût de l'énergie</t>
  </si>
  <si>
    <t>Coste de energía</t>
  </si>
  <si>
    <t>H35</t>
  </si>
  <si>
    <t>Maintenance cost</t>
  </si>
  <si>
    <t>Underhålls- kostnader</t>
  </si>
  <si>
    <t>Frais de maintenance</t>
  </si>
  <si>
    <t>Coste de mantenimiento</t>
  </si>
  <si>
    <t>H36</t>
  </si>
  <si>
    <t>Operation supplies costs</t>
  </si>
  <si>
    <t>Driftförsörjnings- kostnader</t>
  </si>
  <si>
    <t>Coûts de fournitures d'exploitation</t>
  </si>
  <si>
    <t>Costes de suministros para producción</t>
  </si>
  <si>
    <t>H37</t>
  </si>
  <si>
    <t>Total variable costs</t>
  </si>
  <si>
    <t>Total variabla kostnader</t>
  </si>
  <si>
    <t>Total des coûts variables</t>
  </si>
  <si>
    <t>Total de Costes variables</t>
  </si>
  <si>
    <t>H38</t>
  </si>
  <si>
    <t>Coste/hora maquinaria</t>
  </si>
  <si>
    <t>H39</t>
  </si>
  <si>
    <t>Machine costs per unit of time</t>
  </si>
  <si>
    <t>Maskinkostnad / enhet</t>
  </si>
  <si>
    <t>Taux machine par unité de temps</t>
  </si>
  <si>
    <t>Costes de maquinaria por unidad de tiempo</t>
  </si>
  <si>
    <t>Assumption</t>
  </si>
  <si>
    <t>List of acceptable quotation currencies</t>
  </si>
  <si>
    <t>List of acceptable purchasing currencies</t>
  </si>
  <si>
    <t>List of acceptable quotation units</t>
  </si>
  <si>
    <t>List of acceptable purchasing units</t>
  </si>
  <si>
    <t>List
Purchased part / raw material</t>
  </si>
  <si>
    <t>EUR</t>
  </si>
  <si>
    <t>Euro</t>
  </si>
  <si>
    <t>pcs</t>
  </si>
  <si>
    <t>USD</t>
  </si>
  <si>
    <t>US dollar</t>
  </si>
  <si>
    <t>10pcs</t>
  </si>
  <si>
    <t>Purchased part</t>
  </si>
  <si>
    <t>CNY</t>
  </si>
  <si>
    <t>Chinese renminbi yuan</t>
  </si>
  <si>
    <t>100pcs</t>
  </si>
  <si>
    <t>BRL</t>
  </si>
  <si>
    <t>Brazilian real</t>
  </si>
  <si>
    <t>1000pcs</t>
  </si>
  <si>
    <t>GBP</t>
  </si>
  <si>
    <t>British pound</t>
  </si>
  <si>
    <t>10000pcs</t>
  </si>
  <si>
    <t>JPY</t>
  </si>
  <si>
    <t>Japanese yen</t>
  </si>
  <si>
    <t>SEK</t>
  </si>
  <si>
    <t>Swedish krona</t>
  </si>
  <si>
    <t>kg</t>
  </si>
  <si>
    <t>ALL</t>
  </si>
  <si>
    <t>Albania</t>
  </si>
  <si>
    <t>t</t>
  </si>
  <si>
    <t>ARS</t>
  </si>
  <si>
    <t>Argentinean peso</t>
  </si>
  <si>
    <t>mm</t>
  </si>
  <si>
    <t>AUD</t>
  </si>
  <si>
    <t>Australia</t>
  </si>
  <si>
    <t>cm</t>
  </si>
  <si>
    <t>BAM</t>
  </si>
  <si>
    <t>Bosnian marka</t>
  </si>
  <si>
    <t>m</t>
  </si>
  <si>
    <t>BGN</t>
  </si>
  <si>
    <t>Bulgarian lev</t>
  </si>
  <si>
    <t>m2</t>
  </si>
  <si>
    <t>BYR</t>
  </si>
  <si>
    <t>Belarus rouble</t>
  </si>
  <si>
    <t>m3</t>
  </si>
  <si>
    <t>CAD</t>
  </si>
  <si>
    <t>Canadian dollar</t>
  </si>
  <si>
    <t>CHF</t>
  </si>
  <si>
    <t>Swiss franc</t>
  </si>
  <si>
    <t>l</t>
  </si>
  <si>
    <t>CZK</t>
  </si>
  <si>
    <t>Czech koruna</t>
  </si>
  <si>
    <t>pound</t>
  </si>
  <si>
    <t>DKK</t>
  </si>
  <si>
    <t>Danish krone</t>
  </si>
  <si>
    <t>ounce</t>
  </si>
  <si>
    <t>DZD</t>
  </si>
  <si>
    <t>Algerian dinar</t>
  </si>
  <si>
    <t>yd</t>
  </si>
  <si>
    <t>EEK</t>
  </si>
  <si>
    <t>Estonian kroon</t>
  </si>
  <si>
    <t>ft</t>
  </si>
  <si>
    <t>EGP</t>
  </si>
  <si>
    <t>Egypt</t>
  </si>
  <si>
    <t>in</t>
  </si>
  <si>
    <t>HKD</t>
  </si>
  <si>
    <t>Hong Kong dollar</t>
  </si>
  <si>
    <t>yd2</t>
  </si>
  <si>
    <t>HRK</t>
  </si>
  <si>
    <t>Croatian kuna</t>
  </si>
  <si>
    <t>ft2</t>
  </si>
  <si>
    <t>HUF</t>
  </si>
  <si>
    <t>Hungarian forint</t>
  </si>
  <si>
    <t>in2</t>
  </si>
  <si>
    <t>IDR</t>
  </si>
  <si>
    <t>Indonesian rupiah</t>
  </si>
  <si>
    <t>yd3</t>
  </si>
  <si>
    <t>ILS</t>
  </si>
  <si>
    <t>Israeli new shekel</t>
  </si>
  <si>
    <t>ft3</t>
  </si>
  <si>
    <t>INR</t>
  </si>
  <si>
    <t>Indian rupee</t>
  </si>
  <si>
    <t>in3</t>
  </si>
  <si>
    <t>KRW</t>
  </si>
  <si>
    <t>South Korean won</t>
  </si>
  <si>
    <t>LTL</t>
  </si>
  <si>
    <t>Lithuanian litas</t>
  </si>
  <si>
    <t>LVL</t>
  </si>
  <si>
    <t>Latvian lats</t>
  </si>
  <si>
    <t>MAD</t>
  </si>
  <si>
    <t>Morocco</t>
  </si>
  <si>
    <t>MKD</t>
  </si>
  <si>
    <t>Macedonia</t>
  </si>
  <si>
    <t>MXN</t>
  </si>
  <si>
    <t>Mexican peso</t>
  </si>
  <si>
    <t>MYR</t>
  </si>
  <si>
    <t>Malaysian ringgit</t>
  </si>
  <si>
    <t>NOK</t>
  </si>
  <si>
    <t>Norwegian krone</t>
  </si>
  <si>
    <t>NZD</t>
  </si>
  <si>
    <t>New Zealand</t>
  </si>
  <si>
    <t>PHP</t>
  </si>
  <si>
    <t>Philippine peso</t>
  </si>
  <si>
    <t>PLN</t>
  </si>
  <si>
    <t>Polish zloty</t>
  </si>
  <si>
    <t>RON</t>
  </si>
  <si>
    <t>Romanian leu</t>
  </si>
  <si>
    <t>RSD</t>
  </si>
  <si>
    <t>Serbia</t>
  </si>
  <si>
    <t>RUB</t>
  </si>
  <si>
    <t>Russian rouble</t>
  </si>
  <si>
    <t>SGD</t>
  </si>
  <si>
    <t>Singapore dollar</t>
  </si>
  <si>
    <t>SKK</t>
  </si>
  <si>
    <t>Slovakian crown</t>
  </si>
  <si>
    <t>THB</t>
  </si>
  <si>
    <t>Thai baht</t>
  </si>
  <si>
    <t>TND</t>
  </si>
  <si>
    <t>Tunisian dinar</t>
  </si>
  <si>
    <t>TRY</t>
  </si>
  <si>
    <t>Turkish lira</t>
  </si>
  <si>
    <t>TWD</t>
  </si>
  <si>
    <t>Taiwanese dollar</t>
  </si>
  <si>
    <t>UAH</t>
  </si>
  <si>
    <t>Ukrainian hryvnia</t>
  </si>
  <si>
    <t>VND</t>
  </si>
  <si>
    <t>Vietnamese dong</t>
  </si>
  <si>
    <t>ZAR</t>
  </si>
  <si>
    <t>South African rand</t>
  </si>
  <si>
    <t>BEIJING GOLDRARE AUTOMOBILE PARTS CO.,LTD</t>
  </si>
  <si>
    <t>Vicky Wang (王东芳)</t>
  </si>
  <si>
    <t>wangdongfang@bjghrc.com</t>
  </si>
  <si>
    <t>指定零件</t>
    <phoneticPr fontId="32" type="noConversion"/>
  </si>
  <si>
    <t>指定的原材料</t>
    <phoneticPr fontId="32" type="noConversion"/>
  </si>
  <si>
    <t>供应商</t>
    <phoneticPr fontId="32" type="noConversion"/>
  </si>
  <si>
    <t>采购单价</t>
    <phoneticPr fontId="32" type="noConversion"/>
  </si>
  <si>
    <t>汇率</t>
    <phoneticPr fontId="32" type="noConversion"/>
  </si>
  <si>
    <t>总配用量/重量</t>
    <phoneticPr fontId="32" type="noConversion"/>
  </si>
  <si>
    <t>成品净重</t>
    <phoneticPr fontId="32" type="noConversion"/>
  </si>
  <si>
    <t>原材料的总费率</t>
    <phoneticPr fontId="32" type="noConversion"/>
  </si>
  <si>
    <t>原料管理费</t>
    <phoneticPr fontId="32" type="noConversion"/>
  </si>
  <si>
    <t>原料废品价值</t>
    <phoneticPr fontId="32" type="noConversion"/>
  </si>
  <si>
    <t>生产制造步骤编号</t>
    <phoneticPr fontId="32" type="noConversion"/>
  </si>
  <si>
    <t>指定的生产制造步骤</t>
    <phoneticPr fontId="32" type="noConversion"/>
  </si>
  <si>
    <t>机器类型</t>
    <phoneticPr fontId="32" type="noConversion"/>
  </si>
  <si>
    <t>设备投资</t>
    <phoneticPr fontId="32" type="noConversion"/>
  </si>
  <si>
    <t>利用率</t>
    <phoneticPr fontId="32" type="noConversion"/>
  </si>
  <si>
    <t>周期</t>
    <phoneticPr fontId="32" type="noConversion"/>
  </si>
  <si>
    <t>一个周期生产件数</t>
    <phoneticPr fontId="32" type="noConversion"/>
  </si>
  <si>
    <t>机器小时率</t>
    <phoneticPr fontId="32" type="noConversion"/>
  </si>
  <si>
    <t>直接工人数</t>
    <phoneticPr fontId="32" type="noConversion"/>
  </si>
  <si>
    <t>每小时总人功率</t>
    <phoneticPr fontId="32" type="noConversion"/>
  </si>
  <si>
    <t>准备成本/单价</t>
    <phoneticPr fontId="32" type="noConversion"/>
  </si>
  <si>
    <t>生产批量</t>
    <phoneticPr fontId="32" type="noConversion"/>
  </si>
  <si>
    <t>模具维护</t>
    <phoneticPr fontId="32" type="noConversion"/>
  </si>
  <si>
    <t>制造管理成本</t>
    <phoneticPr fontId="32" type="noConversion"/>
  </si>
  <si>
    <t>制造废料</t>
    <phoneticPr fontId="32" type="noConversion"/>
  </si>
  <si>
    <t>用量</t>
    <phoneticPr fontId="32" type="noConversion"/>
  </si>
  <si>
    <t>模具</t>
    <phoneticPr fontId="32" type="noConversion"/>
  </si>
  <si>
    <t>循环使用寿命</t>
    <phoneticPr fontId="32" type="noConversion"/>
  </si>
  <si>
    <t>投资</t>
    <phoneticPr fontId="32" type="noConversion"/>
  </si>
  <si>
    <t>设备投资</t>
    <phoneticPr fontId="32" type="noConversion"/>
  </si>
  <si>
    <t>汇率</t>
    <phoneticPr fontId="32" type="noConversion"/>
  </si>
  <si>
    <t>一次性投入</t>
    <phoneticPr fontId="32" type="noConversion"/>
  </si>
  <si>
    <t>分摊成本</t>
    <phoneticPr fontId="32" type="noConversion"/>
  </si>
  <si>
    <t>生命周期数</t>
    <phoneticPr fontId="32" type="noConversion"/>
  </si>
  <si>
    <t>购置价值</t>
    <phoneticPr fontId="32" type="noConversion"/>
  </si>
  <si>
    <t>安装花费</t>
    <phoneticPr fontId="32" type="noConversion"/>
  </si>
  <si>
    <t>基础</t>
    <phoneticPr fontId="32" type="noConversion"/>
  </si>
  <si>
    <t>其它费用</t>
    <phoneticPr fontId="32" type="noConversion"/>
  </si>
  <si>
    <t>总投资</t>
    <phoneticPr fontId="32" type="noConversion"/>
  </si>
  <si>
    <t>剩余价值</t>
    <phoneticPr fontId="32" type="noConversion"/>
  </si>
  <si>
    <t>折旧额</t>
    <phoneticPr fontId="32" type="noConversion"/>
  </si>
  <si>
    <t>固定费用</t>
    <phoneticPr fontId="32" type="noConversion"/>
  </si>
  <si>
    <t>设备年龄</t>
    <phoneticPr fontId="32" type="noConversion"/>
  </si>
  <si>
    <t>投入折旧</t>
    <phoneticPr fontId="32" type="noConversion"/>
  </si>
  <si>
    <t>投入利率</t>
    <phoneticPr fontId="32" type="noConversion"/>
  </si>
  <si>
    <t>所需总面积包括辅助面积</t>
    <phoneticPr fontId="32" type="noConversion"/>
  </si>
  <si>
    <t>生产场地租赁费</t>
    <phoneticPr fontId="32" type="noConversion"/>
  </si>
  <si>
    <t>总固定费用</t>
    <phoneticPr fontId="32" type="noConversion"/>
  </si>
  <si>
    <t>可变成本</t>
    <phoneticPr fontId="32" type="noConversion"/>
  </si>
  <si>
    <t>额定功率</t>
    <phoneticPr fontId="32" type="noConversion"/>
  </si>
  <si>
    <t>性能产能利用率</t>
    <phoneticPr fontId="32" type="noConversion"/>
  </si>
  <si>
    <t>耗能成本</t>
    <phoneticPr fontId="32" type="noConversion"/>
  </si>
  <si>
    <t>保养费</t>
    <phoneticPr fontId="32" type="noConversion"/>
  </si>
  <si>
    <t>操作供应成本</t>
    <phoneticPr fontId="32" type="noConversion"/>
  </si>
  <si>
    <t>总可变成本</t>
    <phoneticPr fontId="32" type="noConversion"/>
  </si>
  <si>
    <t>机器小时率</t>
    <phoneticPr fontId="32" type="noConversion"/>
  </si>
  <si>
    <t>机器小时率计算模板</t>
    <phoneticPr fontId="32" type="noConversion"/>
  </si>
  <si>
    <t>设备等级</t>
    <phoneticPr fontId="32" type="noConversion"/>
  </si>
  <si>
    <t>杂费</t>
    <phoneticPr fontId="32" type="noConversion"/>
  </si>
  <si>
    <t>年生产能力系数</t>
    <phoneticPr fontId="32" type="noConversion"/>
  </si>
  <si>
    <t>利用率</t>
    <phoneticPr fontId="32" type="noConversion"/>
  </si>
  <si>
    <t>年生产天数</t>
    <phoneticPr fontId="32" type="noConversion"/>
  </si>
  <si>
    <t>每天轮班</t>
    <phoneticPr fontId="32" type="noConversion"/>
  </si>
  <si>
    <t>每班生产小时</t>
    <phoneticPr fontId="32" type="noConversion"/>
  </si>
  <si>
    <t>每年生产小时</t>
    <phoneticPr fontId="32" type="noConversion"/>
  </si>
  <si>
    <t>直接材料成本</t>
    <phoneticPr fontId="32" type="noConversion"/>
  </si>
  <si>
    <t>材料管理费</t>
    <phoneticPr fontId="32" type="noConversion"/>
  </si>
  <si>
    <t>材料成本</t>
    <phoneticPr fontId="32" type="noConversion"/>
  </si>
  <si>
    <t>直接人工</t>
    <phoneticPr fontId="32" type="noConversion"/>
  </si>
  <si>
    <t>制造成本/机器成本</t>
    <phoneticPr fontId="32" type="noConversion"/>
  </si>
  <si>
    <t>制造管理费</t>
    <phoneticPr fontId="32" type="noConversion"/>
  </si>
  <si>
    <t>生产成本</t>
    <phoneticPr fontId="32" type="noConversion"/>
  </si>
  <si>
    <t>销售和总管理成本</t>
    <phoneticPr fontId="32" type="noConversion"/>
  </si>
  <si>
    <t>研发成本</t>
    <phoneticPr fontId="32" type="noConversion"/>
  </si>
  <si>
    <t>其它成本</t>
    <phoneticPr fontId="32" type="noConversion"/>
  </si>
  <si>
    <t>解释</t>
    <phoneticPr fontId="32" type="noConversion"/>
  </si>
  <si>
    <t>分摊模具</t>
    <phoneticPr fontId="32" type="noConversion"/>
  </si>
  <si>
    <t>总成本</t>
    <phoneticPr fontId="32" type="noConversion"/>
  </si>
  <si>
    <t>利润</t>
    <phoneticPr fontId="32" type="noConversion"/>
  </si>
  <si>
    <t>支付方式</t>
    <phoneticPr fontId="32" type="noConversion"/>
  </si>
  <si>
    <t>运输和关税</t>
    <phoneticPr fontId="32" type="noConversion"/>
  </si>
  <si>
    <t>报价</t>
    <phoneticPr fontId="32" type="noConversion"/>
  </si>
  <si>
    <t>分摊特殊开发成本</t>
    <phoneticPr fontId="32" type="noConversion"/>
  </si>
  <si>
    <t>一次和分期支付费用</t>
    <phoneticPr fontId="32" type="noConversion"/>
  </si>
  <si>
    <t>模具</t>
    <phoneticPr fontId="32" type="noConversion"/>
  </si>
  <si>
    <t>开发费</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</si>
</sst>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 &quot;€&quot;;[Red]\-#,##0\ &quot;€&quot;"/>
    <numFmt numFmtId="177" formatCode="_-* #,##0.00\ _€_-;\-* #,##0.00\ _€_-;_-* &quot;-&quot;??\ _€_-;_-@_-"/>
    <numFmt numFmtId="178" formatCode="#,##0_ ;\-#,##0\ "/>
    <numFmt numFmtId="179" formatCode="#,##0.00_ ;\-#,##0.00\ "/>
    <numFmt numFmtId="180" formatCode="0.0%"/>
    <numFmt numFmtId="181" formatCode="_-* #,##0\ _€_-;\-* #,##0\ _€_-;_-* &quot;-&quot;??\ _€_-;_-@_-"/>
    <numFmt numFmtId="182" formatCode="0.0"/>
    <numFmt numFmtId="183" formatCode="0.000"/>
    <numFmt numFmtId="184" formatCode="_-* #,##0.000\ _€_-;\-* #,##0.000\ _€_-;_-* &quot;-&quot;??\ _€_-;_-@_-"/>
    <numFmt numFmtId="185" formatCode="000000"/>
  </numFmts>
  <fonts count="33" x14ac:knownFonts="1">
    <font>
      <sz val="11"/>
      <color theme="1"/>
      <name val="宋体"/>
      <family val="2"/>
      <scheme val="minor"/>
    </font>
    <font>
      <b/>
      <sz val="18"/>
      <color theme="1"/>
      <name val="宋体"/>
      <family val="2"/>
      <scheme val="minor"/>
    </font>
    <font>
      <b/>
      <sz val="9"/>
      <color theme="1"/>
      <name val="宋体"/>
      <family val="2"/>
      <scheme val="minor"/>
    </font>
    <font>
      <sz val="9"/>
      <color theme="1"/>
      <name val="宋体"/>
      <family val="2"/>
      <scheme val="minor"/>
    </font>
    <font>
      <sz val="11"/>
      <color theme="1"/>
      <name val="宋体"/>
      <family val="2"/>
      <scheme val="minor"/>
    </font>
    <font>
      <sz val="7"/>
      <color theme="1"/>
      <name val="宋体"/>
      <family val="2"/>
      <scheme val="minor"/>
    </font>
    <font>
      <sz val="11"/>
      <color rgb="FFFF0000"/>
      <name val="宋体"/>
      <family val="2"/>
      <scheme val="minor"/>
    </font>
    <font>
      <sz val="9"/>
      <color rgb="FFFF0000"/>
      <name val="宋体"/>
      <family val="2"/>
      <scheme val="minor"/>
    </font>
    <font>
      <sz val="9"/>
      <name val="宋体"/>
      <family val="2"/>
      <scheme val="minor"/>
    </font>
    <font>
      <b/>
      <sz val="6"/>
      <color theme="1"/>
      <name val="宋体"/>
      <family val="2"/>
      <scheme val="minor"/>
    </font>
    <font>
      <sz val="8"/>
      <color rgb="FFFF0000"/>
      <name val="宋体"/>
      <family val="2"/>
      <scheme val="minor"/>
    </font>
    <font>
      <b/>
      <sz val="9"/>
      <name val="宋体"/>
      <family val="2"/>
      <scheme val="minor"/>
    </font>
    <font>
      <b/>
      <sz val="14"/>
      <color theme="1"/>
      <name val="宋体"/>
      <family val="2"/>
      <scheme val="minor"/>
    </font>
    <font>
      <sz val="8"/>
      <color theme="1"/>
      <name val="宋体"/>
      <family val="2"/>
      <scheme val="minor"/>
    </font>
    <font>
      <b/>
      <sz val="6"/>
      <name val="宋体"/>
      <family val="2"/>
      <scheme val="minor"/>
    </font>
    <font>
      <b/>
      <sz val="8"/>
      <color theme="1"/>
      <name val="宋体"/>
      <family val="2"/>
      <scheme val="minor"/>
    </font>
    <font>
      <sz val="8"/>
      <name val="宋体"/>
      <family val="2"/>
      <scheme val="minor"/>
    </font>
    <font>
      <b/>
      <sz val="12"/>
      <color theme="1"/>
      <name val="宋体"/>
      <family val="2"/>
      <scheme val="minor"/>
    </font>
    <font>
      <sz val="12"/>
      <color theme="1"/>
      <name val="宋体"/>
      <family val="2"/>
      <scheme val="minor"/>
    </font>
    <font>
      <b/>
      <sz val="11"/>
      <color theme="1"/>
      <name val="宋体"/>
      <family val="2"/>
      <scheme val="minor"/>
    </font>
    <font>
      <b/>
      <sz val="7"/>
      <name val="宋体"/>
      <family val="2"/>
      <scheme val="minor"/>
    </font>
    <font>
      <sz val="7"/>
      <name val="宋体"/>
      <family val="2"/>
      <scheme val="minor"/>
    </font>
    <font>
      <sz val="11"/>
      <color theme="0"/>
      <name val="宋体"/>
      <family val="2"/>
      <scheme val="minor"/>
    </font>
    <font>
      <sz val="14"/>
      <color theme="1"/>
      <name val="宋体"/>
      <family val="2"/>
      <scheme val="minor"/>
    </font>
    <font>
      <b/>
      <sz val="16"/>
      <color theme="1"/>
      <name val="宋体"/>
      <family val="2"/>
      <scheme val="minor"/>
    </font>
    <font>
      <sz val="11"/>
      <name val="宋体"/>
      <family val="2"/>
      <scheme val="minor"/>
    </font>
    <font>
      <b/>
      <sz val="7"/>
      <color theme="1"/>
      <name val="宋体"/>
      <family val="2"/>
      <scheme val="minor"/>
    </font>
    <font>
      <sz val="9"/>
      <color indexed="81"/>
      <name val="Tahoma"/>
      <family val="2"/>
    </font>
    <font>
      <b/>
      <sz val="12"/>
      <name val="宋体"/>
      <family val="2"/>
      <scheme val="minor"/>
    </font>
    <font>
      <b/>
      <sz val="16"/>
      <color indexed="81"/>
      <name val="Tahoma"/>
      <family val="2"/>
    </font>
    <font>
      <sz val="16"/>
      <color indexed="81"/>
      <name val="Tahoma"/>
      <family val="2"/>
    </font>
    <font>
      <b/>
      <sz val="22"/>
      <color rgb="FFFF0000"/>
      <name val="宋体"/>
      <family val="2"/>
      <scheme val="minor"/>
    </font>
    <font>
      <sz val="9"/>
      <name val="宋体"/>
      <family val="3"/>
      <charset val="134"/>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66"/>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00FF00"/>
        <bgColor indexed="64"/>
      </patternFill>
    </fill>
  </fills>
  <borders count="1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hair">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hair">
        <color indexed="64"/>
      </right>
      <top/>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hair">
        <color indexed="64"/>
      </right>
      <top/>
      <bottom/>
      <diagonal/>
    </border>
    <border>
      <left style="medium">
        <color indexed="64"/>
      </left>
      <right style="medium">
        <color indexed="64"/>
      </right>
      <top/>
      <bottom/>
      <diagonal/>
    </border>
    <border>
      <left style="thin">
        <color indexed="64"/>
      </left>
      <right/>
      <top/>
      <bottom/>
      <diagonal/>
    </border>
    <border>
      <left style="thin">
        <color indexed="64"/>
      </left>
      <right/>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auto="1"/>
      </left>
      <right/>
      <top style="hair">
        <color auto="1"/>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bottom/>
      <diagonal/>
    </border>
    <border>
      <left style="medium">
        <color indexed="64"/>
      </left>
      <right style="hair">
        <color auto="1"/>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thin">
        <color auto="1"/>
      </right>
      <top style="hair">
        <color auto="1"/>
      </top>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style="thin">
        <color auto="1"/>
      </top>
      <bottom style="hair">
        <color auto="1"/>
      </bottom>
      <diagonal/>
    </border>
    <border>
      <left style="medium">
        <color indexed="64"/>
      </left>
      <right style="medium">
        <color auto="1"/>
      </right>
      <top style="hair">
        <color auto="1"/>
      </top>
      <bottom style="hair">
        <color auto="1"/>
      </bottom>
      <diagonal/>
    </border>
    <border>
      <left style="medium">
        <color indexed="64"/>
      </left>
      <right style="medium">
        <color auto="1"/>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medium">
        <color auto="1"/>
      </right>
      <top style="hair">
        <color auto="1"/>
      </top>
      <bottom/>
      <diagonal/>
    </border>
    <border>
      <left style="medium">
        <color auto="1"/>
      </left>
      <right style="hair">
        <color auto="1"/>
      </right>
      <top style="hair">
        <color indexed="64"/>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style="medium">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bottom style="medium">
        <color indexed="64"/>
      </bottom>
      <diagonal/>
    </border>
    <border>
      <left style="medium">
        <color indexed="64"/>
      </left>
      <right/>
      <top style="hair">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hair">
        <color auto="1"/>
      </left>
      <right style="hair">
        <color auto="1"/>
      </right>
      <top/>
      <bottom style="hair">
        <color auto="1"/>
      </bottom>
      <diagonal/>
    </border>
    <border>
      <left style="hair">
        <color indexed="64"/>
      </left>
      <right style="medium">
        <color indexed="64"/>
      </right>
      <top style="hair">
        <color indexed="64"/>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style="hair">
        <color indexed="64"/>
      </right>
      <top/>
      <bottom style="medium">
        <color indexed="64"/>
      </bottom>
      <diagonal/>
    </border>
    <border>
      <left style="hair">
        <color auto="1"/>
      </left>
      <right style="hair">
        <color auto="1"/>
      </right>
      <top/>
      <bottom/>
      <diagonal/>
    </border>
    <border>
      <left style="medium">
        <color indexed="64"/>
      </left>
      <right/>
      <top style="thin">
        <color indexed="64"/>
      </top>
      <bottom/>
      <diagonal/>
    </border>
    <border>
      <left style="thin">
        <color indexed="64"/>
      </left>
      <right/>
      <top style="hair">
        <color indexed="64"/>
      </top>
      <bottom style="medium">
        <color indexed="64"/>
      </bottom>
      <diagonal/>
    </border>
    <border>
      <left style="medium">
        <color indexed="64"/>
      </left>
      <right style="medium">
        <color auto="1"/>
      </right>
      <top/>
      <bottom style="hair">
        <color auto="1"/>
      </bottom>
      <diagonal/>
    </border>
    <border>
      <left style="hair">
        <color auto="1"/>
      </left>
      <right style="thin">
        <color auto="1"/>
      </right>
      <top/>
      <bottom style="hair">
        <color auto="1"/>
      </bottom>
      <diagonal/>
    </border>
    <border>
      <left style="thin">
        <color indexed="64"/>
      </left>
      <right/>
      <top/>
      <bottom style="hair">
        <color indexed="64"/>
      </bottom>
      <diagonal/>
    </border>
    <border>
      <left style="medium">
        <color indexed="64"/>
      </left>
      <right style="hair">
        <color auto="1"/>
      </right>
      <top style="hair">
        <color indexed="64"/>
      </top>
      <bottom/>
      <diagonal/>
    </border>
  </borders>
  <cellStyleXfs count="3">
    <xf numFmtId="0" fontId="0" fillId="0" borderId="0"/>
    <xf numFmtId="9" fontId="4" fillId="0" borderId="0" applyFont="0" applyFill="0" applyBorder="0" applyAlignment="0" applyProtection="0"/>
    <xf numFmtId="177" fontId="4" fillId="0" borderId="0" applyFont="0" applyFill="0" applyBorder="0" applyAlignment="0" applyProtection="0"/>
  </cellStyleXfs>
  <cellXfs count="806">
    <xf numFmtId="0" fontId="0" fillId="0" borderId="0" xfId="0"/>
    <xf numFmtId="0" fontId="0" fillId="0" borderId="17" xfId="0" applyBorder="1"/>
    <xf numFmtId="0" fontId="2" fillId="0" borderId="7" xfId="0" applyFont="1" applyBorder="1"/>
    <xf numFmtId="0" fontId="0" fillId="0" borderId="3" xfId="0" applyBorder="1"/>
    <xf numFmtId="0" fontId="3" fillId="0" borderId="26" xfId="0" applyFont="1" applyBorder="1"/>
    <xf numFmtId="0" fontId="2" fillId="0" borderId="4" xfId="0" applyFont="1" applyBorder="1"/>
    <xf numFmtId="0" fontId="0" fillId="0" borderId="12" xfId="0" applyBorder="1"/>
    <xf numFmtId="0" fontId="2" fillId="0" borderId="12" xfId="0" applyFont="1" applyBorder="1"/>
    <xf numFmtId="0" fontId="0" fillId="0" borderId="18" xfId="0" applyBorder="1"/>
    <xf numFmtId="0" fontId="0" fillId="0" borderId="34" xfId="0" applyBorder="1" applyAlignment="1"/>
    <xf numFmtId="0" fontId="0" fillId="0" borderId="49" xfId="0" applyBorder="1"/>
    <xf numFmtId="0" fontId="5" fillId="0" borderId="25" xfId="0" applyFont="1" applyBorder="1" applyAlignment="1">
      <alignment horizontal="right"/>
    </xf>
    <xf numFmtId="0" fontId="3" fillId="0" borderId="0" xfId="0" applyFont="1" applyFill="1" applyBorder="1" applyAlignment="1">
      <alignment horizontal="left"/>
    </xf>
    <xf numFmtId="0" fontId="2" fillId="0" borderId="50" xfId="0" applyFont="1" applyBorder="1" applyAlignment="1">
      <alignment horizontal="center" vertical="center"/>
    </xf>
    <xf numFmtId="0" fontId="6" fillId="0" borderId="0" xfId="0" applyFont="1" applyBorder="1" applyAlignment="1">
      <alignment horizontal="center" vertical="center"/>
    </xf>
    <xf numFmtId="0" fontId="0" fillId="0" borderId="36" xfId="0" applyBorder="1" applyAlignment="1"/>
    <xf numFmtId="0" fontId="0" fillId="0" borderId="58" xfId="0" applyBorder="1"/>
    <xf numFmtId="0" fontId="0" fillId="0" borderId="15" xfId="0" applyBorder="1"/>
    <xf numFmtId="0" fontId="13" fillId="0" borderId="0" xfId="0" applyFont="1" applyBorder="1" applyAlignment="1">
      <alignment horizontal="right"/>
    </xf>
    <xf numFmtId="0" fontId="13" fillId="0" borderId="7" xfId="0" applyFont="1" applyBorder="1" applyAlignment="1">
      <alignment horizontal="right"/>
    </xf>
    <xf numFmtId="0" fontId="13" fillId="0" borderId="0" xfId="0" applyFont="1" applyBorder="1"/>
    <xf numFmtId="0" fontId="13" fillId="0" borderId="7" xfId="0" applyFont="1" applyBorder="1"/>
    <xf numFmtId="2" fontId="15" fillId="0" borderId="0" xfId="0" applyNumberFormat="1" applyFont="1" applyAlignment="1">
      <alignment horizontal="center" vertical="center" wrapText="1"/>
    </xf>
    <xf numFmtId="2" fontId="13" fillId="0" borderId="0" xfId="0" applyNumberFormat="1" applyFont="1" applyAlignment="1">
      <alignment horizontal="center"/>
    </xf>
    <xf numFmtId="0" fontId="11" fillId="0" borderId="45" xfId="0" applyFont="1" applyFill="1" applyBorder="1" applyAlignment="1">
      <alignment horizontal="center" vertical="center" wrapText="1"/>
    </xf>
    <xf numFmtId="0" fontId="3" fillId="0" borderId="15" xfId="0" applyFont="1" applyBorder="1" applyAlignment="1"/>
    <xf numFmtId="0" fontId="3" fillId="0" borderId="15" xfId="0" applyFont="1" applyBorder="1" applyAlignment="1">
      <alignment horizontal="left"/>
    </xf>
    <xf numFmtId="0" fontId="3" fillId="0" borderId="36" xfId="0" applyFont="1" applyBorder="1" applyAlignment="1">
      <alignment horizontal="right"/>
    </xf>
    <xf numFmtId="0" fontId="8" fillId="0" borderId="36" xfId="0" applyFont="1" applyBorder="1" applyAlignment="1">
      <alignment horizontal="right"/>
    </xf>
    <xf numFmtId="0" fontId="3" fillId="0" borderId="37" xfId="0" applyFont="1" applyBorder="1" applyAlignment="1">
      <alignment horizontal="left"/>
    </xf>
    <xf numFmtId="0" fontId="3" fillId="0" borderId="36" xfId="0" applyFont="1" applyFill="1" applyBorder="1" applyAlignment="1">
      <alignment horizontal="right"/>
    </xf>
    <xf numFmtId="0" fontId="3" fillId="0" borderId="37" xfId="0" applyFont="1" applyBorder="1" applyAlignment="1"/>
    <xf numFmtId="0" fontId="3" fillId="0" borderId="64" xfId="0" applyFont="1" applyFill="1" applyBorder="1" applyAlignment="1"/>
    <xf numFmtId="0" fontId="8" fillId="0" borderId="37" xfId="0" applyFont="1" applyBorder="1" applyAlignment="1"/>
    <xf numFmtId="0" fontId="3" fillId="0" borderId="37" xfId="0" applyFont="1" applyFill="1" applyBorder="1" applyAlignment="1"/>
    <xf numFmtId="0" fontId="0" fillId="0" borderId="61" xfId="0" applyBorder="1"/>
    <xf numFmtId="0" fontId="0" fillId="0" borderId="64" xfId="0" applyBorder="1"/>
    <xf numFmtId="0" fontId="13" fillId="0" borderId="81" xfId="0" applyFont="1" applyBorder="1" applyAlignment="1">
      <alignment horizontal="center" vertical="center"/>
    </xf>
    <xf numFmtId="0" fontId="11" fillId="0" borderId="64" xfId="0" applyFont="1" applyFill="1" applyBorder="1" applyAlignment="1">
      <alignment horizontal="center" vertical="center" wrapText="1"/>
    </xf>
    <xf numFmtId="0" fontId="3" fillId="0" borderId="0" xfId="0" applyFont="1" applyBorder="1" applyAlignment="1">
      <alignment vertical="center"/>
    </xf>
    <xf numFmtId="0" fontId="18" fillId="2" borderId="57" xfId="0" applyFont="1" applyFill="1" applyBorder="1" applyAlignment="1">
      <alignment horizontal="center" vertical="center"/>
    </xf>
    <xf numFmtId="0" fontId="0" fillId="0" borderId="0" xfId="0" applyFill="1"/>
    <xf numFmtId="0" fontId="18" fillId="2" borderId="86" xfId="0" applyFont="1" applyFill="1" applyBorder="1" applyAlignment="1">
      <alignment horizontal="center" vertical="center"/>
    </xf>
    <xf numFmtId="0" fontId="0" fillId="0" borderId="0" xfId="0"/>
    <xf numFmtId="0" fontId="5" fillId="0" borderId="13" xfId="0" applyFont="1" applyBorder="1" applyAlignment="1">
      <alignment horizontal="right"/>
    </xf>
    <xf numFmtId="0" fontId="13" fillId="0" borderId="30" xfId="0" applyFont="1" applyBorder="1" applyAlignment="1">
      <alignment horizontal="right"/>
    </xf>
    <xf numFmtId="0" fontId="0" fillId="0" borderId="0" xfId="0" applyNumberFormat="1" applyAlignment="1">
      <alignment horizontal="center"/>
    </xf>
    <xf numFmtId="0" fontId="0" fillId="0" borderId="0" xfId="0"/>
    <xf numFmtId="0" fontId="2" fillId="0" borderId="0"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13" fillId="0" borderId="2" xfId="0" applyFont="1" applyBorder="1"/>
    <xf numFmtId="0" fontId="13" fillId="0" borderId="3" xfId="0" applyFont="1" applyBorder="1" applyAlignment="1">
      <alignment horizontal="right"/>
    </xf>
    <xf numFmtId="0" fontId="0" fillId="0" borderId="0" xfId="0"/>
    <xf numFmtId="0" fontId="0" fillId="0" borderId="0" xfId="0" applyBorder="1"/>
    <xf numFmtId="0" fontId="0" fillId="0" borderId="0" xfId="0" applyBorder="1" applyAlignment="1">
      <alignment vertical="center"/>
    </xf>
    <xf numFmtId="0" fontId="0" fillId="0" borderId="0" xfId="0" applyFill="1" applyBorder="1" applyAlignment="1"/>
    <xf numFmtId="0" fontId="0" fillId="0" borderId="13" xfId="0" applyBorder="1"/>
    <xf numFmtId="0" fontId="2" fillId="0" borderId="0" xfId="0" applyFont="1" applyBorder="1"/>
    <xf numFmtId="0" fontId="2" fillId="0" borderId="0" xfId="0" applyFont="1" applyFill="1" applyBorder="1" applyAlignment="1">
      <alignment horizontal="center"/>
    </xf>
    <xf numFmtId="0" fontId="0" fillId="0" borderId="4" xfId="0" applyBorder="1"/>
    <xf numFmtId="0" fontId="0" fillId="0" borderId="6" xfId="0" applyBorder="1"/>
    <xf numFmtId="0" fontId="0" fillId="0" borderId="7" xfId="0" applyBorder="1"/>
    <xf numFmtId="0" fontId="0" fillId="0" borderId="1" xfId="0" applyBorder="1"/>
    <xf numFmtId="0" fontId="0" fillId="0" borderId="2" xfId="0" applyBorder="1"/>
    <xf numFmtId="0" fontId="0" fillId="0" borderId="5" xfId="0" applyBorder="1"/>
    <xf numFmtId="0" fontId="0" fillId="0" borderId="8" xfId="0" applyBorder="1"/>
    <xf numFmtId="0" fontId="0" fillId="0" borderId="27" xfId="0" applyBorder="1"/>
    <xf numFmtId="0" fontId="0" fillId="0" borderId="28" xfId="0" applyBorder="1"/>
    <xf numFmtId="0" fontId="3" fillId="0" borderId="0" xfId="0" applyFont="1" applyBorder="1"/>
    <xf numFmtId="0" fontId="3" fillId="0" borderId="25" xfId="0" applyFont="1" applyBorder="1"/>
    <xf numFmtId="0" fontId="3" fillId="0" borderId="12" xfId="0" applyFont="1" applyBorder="1"/>
    <xf numFmtId="0" fontId="3" fillId="0" borderId="13" xfId="0" applyFont="1" applyBorder="1"/>
    <xf numFmtId="0" fontId="3" fillId="0" borderId="0" xfId="0" applyFont="1" applyFill="1" applyBorder="1"/>
    <xf numFmtId="0" fontId="3" fillId="0" borderId="25" xfId="0" applyFont="1" applyFill="1" applyBorder="1"/>
    <xf numFmtId="0" fontId="3" fillId="0" borderId="12" xfId="0" applyFont="1" applyFill="1" applyBorder="1"/>
    <xf numFmtId="0" fontId="3" fillId="0" borderId="30" xfId="0" applyFont="1" applyBorder="1"/>
    <xf numFmtId="0" fontId="2" fillId="0" borderId="13" xfId="0" applyFont="1" applyFill="1" applyBorder="1"/>
    <xf numFmtId="0" fontId="0" fillId="0" borderId="31" xfId="0" applyBorder="1"/>
    <xf numFmtId="0" fontId="10" fillId="0" borderId="0" xfId="0" applyFont="1"/>
    <xf numFmtId="0" fontId="3" fillId="0" borderId="47" xfId="0" applyFont="1" applyBorder="1"/>
    <xf numFmtId="0" fontId="0" fillId="0" borderId="47" xfId="0" applyBorder="1"/>
    <xf numFmtId="0" fontId="6" fillId="0" borderId="0" xfId="0" applyFont="1"/>
    <xf numFmtId="0" fontId="0" fillId="0" borderId="25" xfId="0" applyBorder="1"/>
    <xf numFmtId="0" fontId="7" fillId="0" borderId="0" xfId="0" applyFont="1"/>
    <xf numFmtId="0" fontId="3" fillId="0" borderId="0" xfId="0" applyFont="1" applyBorder="1" applyAlignment="1">
      <alignment horizontal="center" vertical="center"/>
    </xf>
    <xf numFmtId="177" fontId="3" fillId="0" borderId="0" xfId="2" applyFont="1" applyBorder="1" applyAlignment="1">
      <alignment horizontal="right" vertical="center"/>
    </xf>
    <xf numFmtId="0" fontId="3" fillId="0" borderId="53" xfId="0" applyFont="1" applyBorder="1"/>
    <xf numFmtId="0" fontId="0" fillId="0" borderId="10" xfId="0" applyBorder="1"/>
    <xf numFmtId="0" fontId="0" fillId="0" borderId="30" xfId="0" applyBorder="1"/>
    <xf numFmtId="0" fontId="2" fillId="0" borderId="10" xfId="0" applyFont="1" applyFill="1" applyBorder="1" applyAlignment="1">
      <alignment vertical="center"/>
    </xf>
    <xf numFmtId="179" fontId="3" fillId="0" borderId="0" xfId="2" applyNumberFormat="1" applyFont="1" applyBorder="1" applyAlignment="1">
      <alignment horizontal="right" vertical="center"/>
    </xf>
    <xf numFmtId="0" fontId="8" fillId="0" borderId="53" xfId="0" applyFont="1" applyBorder="1"/>
    <xf numFmtId="0" fontId="3" fillId="0" borderId="12" xfId="0" applyFont="1" applyBorder="1" applyAlignment="1">
      <alignment horizontal="right"/>
    </xf>
    <xf numFmtId="0" fontId="3" fillId="0" borderId="0" xfId="0" applyFont="1" applyBorder="1" applyAlignment="1">
      <alignment horizontal="right"/>
    </xf>
    <xf numFmtId="0" fontId="13" fillId="0" borderId="15" xfId="0" applyFont="1" applyBorder="1" applyAlignment="1">
      <alignment horizontal="left"/>
    </xf>
    <xf numFmtId="0" fontId="13" fillId="0" borderId="0" xfId="0" applyFont="1" applyBorder="1" applyAlignment="1">
      <alignment horizontal="center" vertical="center"/>
    </xf>
    <xf numFmtId="0" fontId="5" fillId="0" borderId="30" xfId="0" applyFont="1" applyBorder="1" applyAlignment="1"/>
    <xf numFmtId="0" fontId="13" fillId="0" borderId="0" xfId="0" applyFont="1" applyBorder="1" applyAlignment="1">
      <alignment horizontal="left"/>
    </xf>
    <xf numFmtId="0" fontId="0" fillId="0" borderId="0" xfId="0" applyAlignment="1">
      <alignment horizontal="center"/>
    </xf>
    <xf numFmtId="0" fontId="2" fillId="0" borderId="41" xfId="0" applyFont="1" applyFill="1" applyBorder="1"/>
    <xf numFmtId="0" fontId="3" fillId="0" borderId="41" xfId="0" applyFont="1" applyBorder="1"/>
    <xf numFmtId="0" fontId="18" fillId="2" borderId="55" xfId="0" applyFont="1" applyFill="1" applyBorder="1" applyAlignment="1">
      <alignment horizontal="center" vertical="center"/>
    </xf>
    <xf numFmtId="0" fontId="0" fillId="0" borderId="55" xfId="0" applyFont="1" applyBorder="1"/>
    <xf numFmtId="0" fontId="0" fillId="0" borderId="55" xfId="0" applyBorder="1"/>
    <xf numFmtId="0" fontId="0" fillId="0" borderId="88" xfId="0" applyBorder="1"/>
    <xf numFmtId="0" fontId="0" fillId="0" borderId="89" xfId="0" applyBorder="1"/>
    <xf numFmtId="0" fontId="0" fillId="0" borderId="91" xfId="0" applyBorder="1"/>
    <xf numFmtId="0" fontId="0" fillId="0" borderId="93" xfId="0" applyBorder="1"/>
    <xf numFmtId="0" fontId="0" fillId="0" borderId="94" xfId="0" applyBorder="1"/>
    <xf numFmtId="0" fontId="0" fillId="0" borderId="87" xfId="0" applyFont="1" applyBorder="1"/>
    <xf numFmtId="0" fontId="0" fillId="0" borderId="88" xfId="0" applyFont="1" applyBorder="1"/>
    <xf numFmtId="0" fontId="0" fillId="0" borderId="89" xfId="0" applyFont="1" applyBorder="1"/>
    <xf numFmtId="0" fontId="0" fillId="0" borderId="90" xfId="0" applyFont="1" applyBorder="1"/>
    <xf numFmtId="0" fontId="0" fillId="0" borderId="91" xfId="0" applyFont="1" applyBorder="1"/>
    <xf numFmtId="0" fontId="0" fillId="0" borderId="93" xfId="0" applyFont="1" applyBorder="1"/>
    <xf numFmtId="0" fontId="0" fillId="0" borderId="94" xfId="0" applyFont="1" applyBorder="1"/>
    <xf numFmtId="0" fontId="19" fillId="0" borderId="0" xfId="0" applyFont="1" applyAlignment="1">
      <alignment horizontal="center"/>
    </xf>
    <xf numFmtId="0" fontId="19" fillId="0" borderId="35" xfId="0" applyFont="1" applyBorder="1"/>
    <xf numFmtId="0" fontId="19" fillId="0" borderId="93" xfId="0" applyFont="1" applyBorder="1"/>
    <xf numFmtId="0" fontId="7" fillId="0" borderId="0" xfId="0" applyFont="1" applyAlignment="1">
      <alignment horizontal="right"/>
    </xf>
    <xf numFmtId="0" fontId="13" fillId="0" borderId="15" xfId="0" applyFont="1" applyBorder="1" applyAlignment="1">
      <alignment horizontal="right"/>
    </xf>
    <xf numFmtId="0" fontId="0" fillId="0" borderId="78" xfId="0" applyBorder="1"/>
    <xf numFmtId="0" fontId="0" fillId="0" borderId="96" xfId="0" applyBorder="1"/>
    <xf numFmtId="0" fontId="0" fillId="0" borderId="57" xfId="0" applyBorder="1"/>
    <xf numFmtId="0" fontId="19" fillId="0" borderId="74" xfId="0" applyFont="1" applyBorder="1"/>
    <xf numFmtId="0" fontId="0" fillId="0" borderId="75" xfId="0" applyBorder="1"/>
    <xf numFmtId="0" fontId="0" fillId="0" borderId="66" xfId="0" applyBorder="1"/>
    <xf numFmtId="0" fontId="0" fillId="0" borderId="85" xfId="0" applyBorder="1"/>
    <xf numFmtId="0" fontId="0" fillId="0" borderId="66" xfId="0" applyFill="1" applyBorder="1"/>
    <xf numFmtId="0" fontId="0" fillId="0" borderId="14" xfId="0" applyBorder="1"/>
    <xf numFmtId="0" fontId="0" fillId="0" borderId="16" xfId="0" applyBorder="1"/>
    <xf numFmtId="0" fontId="0" fillId="0" borderId="66" xfId="0" applyFont="1" applyBorder="1"/>
    <xf numFmtId="0" fontId="19" fillId="0" borderId="66" xfId="0" applyFont="1" applyBorder="1"/>
    <xf numFmtId="9" fontId="0" fillId="0" borderId="0" xfId="1" applyFont="1" applyBorder="1"/>
    <xf numFmtId="4" fontId="4" fillId="0" borderId="0" xfId="2" applyNumberFormat="1" applyFont="1" applyBorder="1" applyAlignment="1">
      <alignment horizontal="right"/>
    </xf>
    <xf numFmtId="4" fontId="4" fillId="0" borderId="15" xfId="2" applyNumberFormat="1" applyFont="1" applyBorder="1" applyAlignment="1">
      <alignment horizontal="right"/>
    </xf>
    <xf numFmtId="4" fontId="4" fillId="0" borderId="15" xfId="0" applyNumberFormat="1" applyFont="1" applyBorder="1"/>
    <xf numFmtId="4" fontId="4" fillId="0" borderId="0" xfId="0" applyNumberFormat="1" applyFont="1" applyBorder="1"/>
    <xf numFmtId="4" fontId="4" fillId="0" borderId="13" xfId="0" applyNumberFormat="1" applyFont="1" applyBorder="1"/>
    <xf numFmtId="182" fontId="0" fillId="0" borderId="0" xfId="1" applyNumberFormat="1" applyFont="1" applyBorder="1"/>
    <xf numFmtId="4" fontId="0" fillId="0" borderId="0" xfId="0" applyNumberFormat="1" applyBorder="1" applyAlignment="1">
      <alignment horizontal="right"/>
    </xf>
    <xf numFmtId="0" fontId="0" fillId="0" borderId="5" xfId="0" applyFill="1" applyBorder="1"/>
    <xf numFmtId="177" fontId="4" fillId="0" borderId="19" xfId="2" applyNumberFormat="1" applyFont="1" applyBorder="1" applyAlignment="1">
      <alignment horizontal="right"/>
    </xf>
    <xf numFmtId="0" fontId="18" fillId="2" borderId="56" xfId="0" applyFont="1" applyFill="1" applyBorder="1" applyAlignment="1">
      <alignment horizontal="center" vertical="center"/>
    </xf>
    <xf numFmtId="0" fontId="7" fillId="0" borderId="55" xfId="0" applyFont="1" applyBorder="1" applyAlignment="1">
      <alignment horizontal="center"/>
    </xf>
    <xf numFmtId="0" fontId="19" fillId="0" borderId="61" xfId="0" applyFont="1" applyBorder="1"/>
    <xf numFmtId="0" fontId="19" fillId="0" borderId="97" xfId="0" applyFont="1" applyBorder="1"/>
    <xf numFmtId="0" fontId="0" fillId="0" borderId="98" xfId="0" applyFont="1" applyBorder="1"/>
    <xf numFmtId="0" fontId="0" fillId="0" borderId="99" xfId="0" applyFont="1" applyBorder="1"/>
    <xf numFmtId="0" fontId="0" fillId="0" borderId="95" xfId="0" applyBorder="1"/>
    <xf numFmtId="0" fontId="0" fillId="0" borderId="99" xfId="0" applyBorder="1"/>
    <xf numFmtId="0" fontId="0" fillId="0" borderId="100" xfId="0" applyBorder="1"/>
    <xf numFmtId="0" fontId="19" fillId="0" borderId="37" xfId="0" applyFont="1" applyBorder="1"/>
    <xf numFmtId="0" fontId="0" fillId="0" borderId="98" xfId="0" applyBorder="1"/>
    <xf numFmtId="0" fontId="18" fillId="2" borderId="78" xfId="0" applyFont="1" applyFill="1" applyBorder="1" applyAlignment="1">
      <alignment horizontal="center" vertical="center"/>
    </xf>
    <xf numFmtId="0" fontId="0" fillId="0" borderId="99" xfId="0" applyBorder="1" applyAlignment="1">
      <alignment wrapText="1"/>
    </xf>
    <xf numFmtId="0" fontId="0" fillId="0" borderId="99" xfId="0" quotePrefix="1" applyBorder="1"/>
    <xf numFmtId="0" fontId="16" fillId="0" borderId="63" xfId="0" applyFont="1" applyBorder="1" applyAlignment="1"/>
    <xf numFmtId="0" fontId="19" fillId="0" borderId="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19" fillId="0" borderId="13" xfId="0" applyFont="1" applyBorder="1"/>
    <xf numFmtId="0" fontId="19" fillId="0" borderId="0" xfId="0" applyFont="1"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19" fillId="0" borderId="85" xfId="0" applyFont="1" applyBorder="1" applyAlignment="1">
      <alignment vertical="center"/>
    </xf>
    <xf numFmtId="0" fontId="0" fillId="0" borderId="65" xfId="0" applyFont="1" applyFill="1" applyBorder="1"/>
    <xf numFmtId="0" fontId="0" fillId="0" borderId="102" xfId="0" applyFont="1" applyBorder="1"/>
    <xf numFmtId="0" fontId="0" fillId="0" borderId="100" xfId="0" applyFont="1" applyFill="1" applyBorder="1"/>
    <xf numFmtId="0" fontId="0" fillId="0" borderId="101" xfId="0" applyBorder="1" applyAlignment="1">
      <alignment wrapText="1"/>
    </xf>
    <xf numFmtId="0" fontId="0" fillId="0" borderId="0" xfId="0" applyAlignment="1">
      <alignment horizontal="center" vertical="center"/>
    </xf>
    <xf numFmtId="0" fontId="19" fillId="0" borderId="0" xfId="0" applyFont="1" applyBorder="1" applyAlignment="1">
      <alignment vertical="center"/>
    </xf>
    <xf numFmtId="0" fontId="19" fillId="0" borderId="19" xfId="0" applyFont="1" applyBorder="1" applyAlignment="1">
      <alignment horizontal="center" vertical="center" wrapText="1"/>
    </xf>
    <xf numFmtId="0" fontId="19" fillId="0" borderId="19" xfId="0" applyFont="1" applyBorder="1" applyAlignment="1">
      <alignment horizontal="center" vertical="center"/>
    </xf>
    <xf numFmtId="0" fontId="0" fillId="0" borderId="74" xfId="0" applyBorder="1"/>
    <xf numFmtId="0" fontId="0" fillId="0" borderId="21" xfId="0" applyBorder="1"/>
    <xf numFmtId="0" fontId="0" fillId="0" borderId="20" xfId="0" applyBorder="1"/>
    <xf numFmtId="0" fontId="0" fillId="0" borderId="20" xfId="0" applyFill="1" applyBorder="1"/>
    <xf numFmtId="0" fontId="0" fillId="0" borderId="104" xfId="0" applyFill="1" applyBorder="1"/>
    <xf numFmtId="0" fontId="0" fillId="0" borderId="55" xfId="0" quotePrefix="1" applyBorder="1"/>
    <xf numFmtId="0" fontId="0" fillId="0" borderId="55" xfId="0" applyBorder="1" applyAlignment="1">
      <alignment wrapText="1"/>
    </xf>
    <xf numFmtId="0" fontId="0" fillId="0" borderId="55" xfId="0" applyFill="1" applyBorder="1"/>
    <xf numFmtId="0" fontId="0" fillId="0" borderId="99" xfId="0" applyFill="1" applyBorder="1"/>
    <xf numFmtId="0" fontId="0" fillId="0" borderId="57" xfId="0" applyFill="1" applyBorder="1"/>
    <xf numFmtId="0" fontId="0" fillId="0" borderId="2" xfId="0" applyFill="1" applyBorder="1"/>
    <xf numFmtId="0" fontId="3" fillId="0" borderId="0" xfId="0" applyFont="1" applyBorder="1" applyAlignment="1">
      <alignment horizontal="left"/>
    </xf>
    <xf numFmtId="0" fontId="0" fillId="0" borderId="45" xfId="0" applyBorder="1"/>
    <xf numFmtId="0" fontId="0" fillId="0" borderId="4" xfId="0" applyBorder="1" applyAlignment="1"/>
    <xf numFmtId="0" fontId="0" fillId="0" borderId="1" xfId="0" applyBorder="1" applyAlignment="1"/>
    <xf numFmtId="0" fontId="0" fillId="0" borderId="2" xfId="0" applyBorder="1" applyAlignment="1"/>
    <xf numFmtId="0" fontId="0" fillId="0" borderId="0" xfId="0" applyBorder="1" applyAlignment="1"/>
    <xf numFmtId="0" fontId="0" fillId="0" borderId="6" xfId="0" applyBorder="1" applyAlignment="1"/>
    <xf numFmtId="0" fontId="0" fillId="0" borderId="7" xfId="0" applyBorder="1" applyAlignment="1"/>
    <xf numFmtId="177" fontId="13" fillId="0" borderId="0" xfId="2" applyFont="1" applyBorder="1" applyAlignment="1">
      <alignment horizontal="center" vertical="center"/>
    </xf>
    <xf numFmtId="0" fontId="0" fillId="0" borderId="37" xfId="0" applyBorder="1"/>
    <xf numFmtId="0" fontId="3" fillId="0" borderId="0" xfId="0" applyFont="1" applyBorder="1" applyAlignment="1"/>
    <xf numFmtId="0" fontId="2" fillId="0" borderId="25" xfId="0" applyFont="1" applyBorder="1" applyAlignment="1">
      <alignment vertical="center"/>
    </xf>
    <xf numFmtId="0" fontId="0" fillId="0" borderId="63" xfId="0" applyBorder="1"/>
    <xf numFmtId="0" fontId="2" fillId="0" borderId="83" xfId="0" applyFont="1" applyBorder="1" applyAlignment="1">
      <alignment vertical="center"/>
    </xf>
    <xf numFmtId="0" fontId="0" fillId="0" borderId="83" xfId="0" applyBorder="1"/>
    <xf numFmtId="0" fontId="0" fillId="0" borderId="45" xfId="0" applyBorder="1" applyAlignment="1"/>
    <xf numFmtId="0" fontId="0" fillId="0" borderId="25" xfId="0" applyBorder="1" applyAlignment="1">
      <alignment horizontal="center" vertical="center"/>
    </xf>
    <xf numFmtId="0" fontId="0" fillId="0" borderId="12" xfId="0" applyBorder="1" applyAlignment="1">
      <alignment horizontal="center" vertical="center"/>
    </xf>
    <xf numFmtId="0" fontId="0" fillId="0" borderId="83" xfId="0" applyBorder="1" applyAlignment="1">
      <alignment horizontal="center" vertical="center"/>
    </xf>
    <xf numFmtId="177" fontId="13" fillId="0" borderId="64" xfId="2" applyFont="1" applyBorder="1" applyAlignment="1">
      <alignment horizontal="center" vertical="center"/>
    </xf>
    <xf numFmtId="0" fontId="5" fillId="0" borderId="0" xfId="0" applyFont="1" applyBorder="1" applyAlignment="1">
      <alignment horizontal="right"/>
    </xf>
    <xf numFmtId="0" fontId="0" fillId="0" borderId="107" xfId="0" applyBorder="1"/>
    <xf numFmtId="0" fontId="3" fillId="0" borderId="75" xfId="0" applyFont="1" applyBorder="1" applyAlignment="1">
      <alignment horizontal="center" vertical="center"/>
    </xf>
    <xf numFmtId="0" fontId="3" fillId="0" borderId="85" xfId="0" applyFont="1" applyBorder="1" applyAlignment="1">
      <alignment horizontal="center" vertical="center"/>
    </xf>
    <xf numFmtId="0" fontId="3" fillId="0" borderId="30" xfId="0" applyFont="1" applyFill="1" applyBorder="1"/>
    <xf numFmtId="0" fontId="5" fillId="0" borderId="30" xfId="0" applyFont="1" applyBorder="1"/>
    <xf numFmtId="0" fontId="13" fillId="0" borderId="107" xfId="0" applyFont="1" applyBorder="1" applyAlignment="1">
      <alignment horizontal="center" vertical="center"/>
    </xf>
    <xf numFmtId="0" fontId="3" fillId="0" borderId="10" xfId="0" applyFont="1" applyBorder="1"/>
    <xf numFmtId="0" fontId="3" fillId="0" borderId="10" xfId="0" applyFont="1" applyFill="1" applyBorder="1"/>
    <xf numFmtId="0" fontId="2" fillId="0" borderId="0" xfId="0" applyFont="1" applyFill="1" applyBorder="1"/>
    <xf numFmtId="0" fontId="3" fillId="0" borderId="47" xfId="0" applyFont="1" applyFill="1" applyBorder="1"/>
    <xf numFmtId="0" fontId="3" fillId="0" borderId="106" xfId="0" applyFont="1" applyBorder="1" applyAlignment="1">
      <alignment horizontal="center" vertical="center"/>
    </xf>
    <xf numFmtId="0" fontId="0" fillId="0" borderId="41" xfId="0" applyBorder="1"/>
    <xf numFmtId="0" fontId="0" fillId="0" borderId="108" xfId="0" applyBorder="1"/>
    <xf numFmtId="0" fontId="5" fillId="0" borderId="0" xfId="0" applyFont="1" applyBorder="1" applyAlignment="1">
      <alignment horizontal="left"/>
    </xf>
    <xf numFmtId="0" fontId="5" fillId="0" borderId="0" xfId="0" applyFont="1" applyBorder="1" applyAlignment="1"/>
    <xf numFmtId="0" fontId="0" fillId="0" borderId="29" xfId="0" applyBorder="1"/>
    <xf numFmtId="0" fontId="3" fillId="0" borderId="1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13" fillId="0" borderId="63" xfId="0" applyFont="1" applyBorder="1" applyAlignment="1"/>
    <xf numFmtId="0" fontId="3" fillId="0" borderId="0" xfId="0" quotePrefix="1" applyFont="1" applyBorder="1" applyAlignment="1">
      <alignment horizontal="right"/>
    </xf>
    <xf numFmtId="0" fontId="5" fillId="0" borderId="18" xfId="0" applyFont="1" applyBorder="1" applyAlignment="1">
      <alignment horizontal="right"/>
    </xf>
    <xf numFmtId="0" fontId="5" fillId="0" borderId="30" xfId="0" applyFont="1" applyBorder="1" applyAlignment="1">
      <alignment horizontal="left"/>
    </xf>
    <xf numFmtId="0" fontId="2" fillId="0" borderId="18" xfId="0" applyFont="1" applyBorder="1" applyAlignment="1">
      <alignment horizontal="right"/>
    </xf>
    <xf numFmtId="0" fontId="2" fillId="0" borderId="25" xfId="0" applyFont="1" applyBorder="1" applyAlignment="1">
      <alignment horizontal="right"/>
    </xf>
    <xf numFmtId="0" fontId="2" fillId="0" borderId="107" xfId="0" applyFont="1" applyBorder="1" applyAlignment="1">
      <alignment horizontal="right"/>
    </xf>
    <xf numFmtId="0" fontId="2" fillId="0" borderId="0" xfId="0" applyFont="1" applyBorder="1" applyAlignment="1">
      <alignment horizontal="right"/>
    </xf>
    <xf numFmtId="0" fontId="9" fillId="0" borderId="40"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1" fillId="0" borderId="41" xfId="0" applyFont="1" applyBorder="1" applyAlignment="1">
      <alignment vertical="center"/>
    </xf>
    <xf numFmtId="0" fontId="21" fillId="0" borderId="42" xfId="0" applyFont="1" applyBorder="1" applyAlignment="1">
      <alignment vertical="center"/>
    </xf>
    <xf numFmtId="0" fontId="14" fillId="0" borderId="41"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5" fillId="0" borderId="30" xfId="0" applyFont="1" applyBorder="1" applyAlignment="1">
      <alignment horizontal="right"/>
    </xf>
    <xf numFmtId="0" fontId="20" fillId="0" borderId="112" xfId="0" applyFont="1" applyBorder="1" applyAlignment="1">
      <alignment horizontal="right" vertical="center"/>
    </xf>
    <xf numFmtId="0" fontId="20" fillId="0" borderId="111" xfId="0" applyFont="1" applyBorder="1" applyAlignment="1">
      <alignment horizontal="right" vertical="center"/>
    </xf>
    <xf numFmtId="0" fontId="22" fillId="0" borderId="0" xfId="0" applyFont="1"/>
    <xf numFmtId="0" fontId="13" fillId="0" borderId="0" xfId="0" applyFont="1" applyBorder="1" applyAlignment="1">
      <alignment horizontal="center" wrapText="1"/>
    </xf>
    <xf numFmtId="0" fontId="2" fillId="0" borderId="45" xfId="0" applyFont="1" applyBorder="1" applyAlignment="1">
      <alignment horizontal="center" vertical="center"/>
    </xf>
    <xf numFmtId="0" fontId="2" fillId="0" borderId="45" xfId="0" applyFont="1" applyBorder="1" applyAlignment="1">
      <alignment vertical="center"/>
    </xf>
    <xf numFmtId="177" fontId="13" fillId="0" borderId="82" xfId="2" applyFont="1" applyBorder="1" applyAlignment="1"/>
    <xf numFmtId="177" fontId="13" fillId="0" borderId="30" xfId="2" applyFont="1" applyBorder="1" applyAlignment="1"/>
    <xf numFmtId="177" fontId="13" fillId="0" borderId="113" xfId="2" applyFont="1" applyBorder="1" applyAlignment="1"/>
    <xf numFmtId="177" fontId="13" fillId="0" borderId="7" xfId="2" applyFont="1" applyBorder="1" applyAlignment="1"/>
    <xf numFmtId="0" fontId="0" fillId="0" borderId="15" xfId="0" applyBorder="1" applyAlignment="1"/>
    <xf numFmtId="0" fontId="3" fillId="0" borderId="4" xfId="0" applyFont="1" applyBorder="1" applyAlignment="1">
      <alignment vertical="center"/>
    </xf>
    <xf numFmtId="0" fontId="0" fillId="0" borderId="103" xfId="0" applyBorder="1"/>
    <xf numFmtId="0" fontId="0" fillId="0" borderId="0" xfId="0" applyFill="1" applyBorder="1"/>
    <xf numFmtId="0" fontId="19" fillId="0" borderId="0" xfId="0" applyFont="1"/>
    <xf numFmtId="0" fontId="6" fillId="0" borderId="0" xfId="0" quotePrefix="1" applyFont="1" applyAlignment="1">
      <alignment vertical="center"/>
    </xf>
    <xf numFmtId="0" fontId="0" fillId="0" borderId="36" xfId="0" applyBorder="1"/>
    <xf numFmtId="0" fontId="13" fillId="0" borderId="62" xfId="0" applyFont="1" applyBorder="1" applyAlignment="1">
      <alignment horizontal="right"/>
    </xf>
    <xf numFmtId="0" fontId="3" fillId="0" borderId="85" xfId="0" applyFont="1" applyBorder="1" applyAlignment="1"/>
    <xf numFmtId="0" fontId="9" fillId="0" borderId="1" xfId="0" applyFont="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0" fillId="0" borderId="121" xfId="0" applyBorder="1"/>
    <xf numFmtId="0" fontId="0" fillId="0" borderId="113" xfId="0" applyBorder="1"/>
    <xf numFmtId="0" fontId="2" fillId="0" borderId="13" xfId="0" applyFont="1" applyBorder="1"/>
    <xf numFmtId="0" fontId="0" fillId="0" borderId="7" xfId="0" applyBorder="1" applyAlignment="1">
      <alignment vertical="center"/>
    </xf>
    <xf numFmtId="0" fontId="0" fillId="0" borderId="57" xfId="0" applyBorder="1" applyAlignment="1">
      <alignment vertical="center"/>
    </xf>
    <xf numFmtId="0" fontId="0" fillId="0" borderId="56" xfId="0" applyBorder="1" applyAlignment="1">
      <alignment horizontal="center" vertical="center"/>
    </xf>
    <xf numFmtId="0" fontId="0" fillId="0" borderId="12" xfId="0" applyBorder="1" applyAlignment="1">
      <alignment vertical="center"/>
    </xf>
    <xf numFmtId="0" fontId="0" fillId="0" borderId="101" xfId="0" applyBorder="1"/>
    <xf numFmtId="0" fontId="0" fillId="0" borderId="125" xfId="0" applyBorder="1"/>
    <xf numFmtId="0" fontId="0" fillId="0" borderId="117" xfId="0" applyBorder="1"/>
    <xf numFmtId="0" fontId="0" fillId="0" borderId="126" xfId="0" applyBorder="1"/>
    <xf numFmtId="180" fontId="3" fillId="0" borderId="25" xfId="1" applyNumberFormat="1" applyFont="1" applyFill="1" applyBorder="1" applyAlignment="1">
      <alignment horizontal="center" vertical="center"/>
    </xf>
    <xf numFmtId="180" fontId="2" fillId="0" borderId="18" xfId="1" applyNumberFormat="1" applyFont="1" applyFill="1" applyBorder="1" applyAlignment="1">
      <alignment horizontal="right" vertical="center"/>
    </xf>
    <xf numFmtId="0" fontId="12" fillId="0" borderId="0" xfId="0" applyFont="1" applyBorder="1" applyAlignment="1">
      <alignment horizontal="center" vertical="center"/>
    </xf>
    <xf numFmtId="0" fontId="23" fillId="0" borderId="15" xfId="0" applyFont="1" applyBorder="1" applyAlignment="1">
      <alignment horizontal="center" vertical="center"/>
    </xf>
    <xf numFmtId="0" fontId="12" fillId="0" borderId="15" xfId="0" applyFont="1" applyBorder="1" applyAlignment="1">
      <alignment horizontal="center" vertical="center"/>
    </xf>
    <xf numFmtId="0" fontId="8" fillId="0" borderId="37" xfId="0" applyFont="1" applyBorder="1" applyAlignment="1">
      <alignment wrapText="1"/>
    </xf>
    <xf numFmtId="0" fontId="0" fillId="0" borderId="91" xfId="0" applyBorder="1" applyAlignment="1">
      <alignment wrapText="1"/>
    </xf>
    <xf numFmtId="0" fontId="25" fillId="0" borderId="90" xfId="0" applyFont="1" applyBorder="1" applyAlignment="1">
      <alignment horizontal="left" vertical="center" wrapText="1"/>
    </xf>
    <xf numFmtId="0" fontId="25" fillId="0" borderId="92" xfId="0" applyFont="1" applyBorder="1" applyAlignment="1">
      <alignment horizontal="left" vertical="center" wrapText="1"/>
    </xf>
    <xf numFmtId="0" fontId="24" fillId="0" borderId="73" xfId="0" applyFont="1" applyBorder="1" applyAlignment="1">
      <alignment horizontal="center" vertical="center"/>
    </xf>
    <xf numFmtId="0" fontId="24" fillId="2" borderId="73" xfId="0" applyFont="1" applyFill="1" applyBorder="1" applyAlignment="1">
      <alignment horizontal="center" vertical="center"/>
    </xf>
    <xf numFmtId="0" fontId="2" fillId="0" borderId="30" xfId="0" applyFont="1" applyBorder="1" applyAlignment="1">
      <alignment horizontal="right"/>
    </xf>
    <xf numFmtId="0" fontId="20" fillId="0" borderId="41" xfId="0" applyFont="1" applyBorder="1" applyAlignment="1">
      <alignment horizontal="right" vertical="center"/>
    </xf>
    <xf numFmtId="0" fontId="14" fillId="0" borderId="40"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1" xfId="0" applyFont="1" applyBorder="1" applyAlignment="1">
      <alignment vertical="center"/>
    </xf>
    <xf numFmtId="0" fontId="20" fillId="0" borderId="40" xfId="0" applyFont="1" applyBorder="1" applyAlignment="1">
      <alignment horizontal="left" vertical="center"/>
    </xf>
    <xf numFmtId="0" fontId="0" fillId="0" borderId="40" xfId="0" applyBorder="1"/>
    <xf numFmtId="0" fontId="26" fillId="0" borderId="0" xfId="0" applyFont="1" applyAlignment="1">
      <alignment horizontal="right" vertical="center"/>
    </xf>
    <xf numFmtId="0" fontId="14" fillId="0" borderId="42" xfId="0" applyFont="1" applyBorder="1" applyAlignment="1">
      <alignment vertical="center"/>
    </xf>
    <xf numFmtId="0" fontId="26" fillId="0" borderId="111" xfId="0" applyFont="1" applyBorder="1" applyAlignment="1">
      <alignment horizontal="right" vertical="center"/>
    </xf>
    <xf numFmtId="0" fontId="26" fillId="0" borderId="41" xfId="0" applyFont="1" applyBorder="1" applyAlignment="1">
      <alignment horizontal="left" vertical="center"/>
    </xf>
    <xf numFmtId="0" fontId="20" fillId="0" borderId="110" xfId="0" applyFont="1" applyBorder="1" applyAlignment="1">
      <alignment vertical="center"/>
    </xf>
    <xf numFmtId="0" fontId="5" fillId="0" borderId="110" xfId="0" applyFont="1" applyBorder="1" applyAlignment="1">
      <alignment vertical="center"/>
    </xf>
    <xf numFmtId="4" fontId="0" fillId="0" borderId="19" xfId="0" applyNumberFormat="1" applyFill="1" applyBorder="1" applyAlignment="1">
      <alignment horizontal="right"/>
    </xf>
    <xf numFmtId="4" fontId="0" fillId="0" borderId="19" xfId="0" applyNumberFormat="1" applyFill="1" applyBorder="1"/>
    <xf numFmtId="2" fontId="0" fillId="0" borderId="19" xfId="0" applyNumberFormat="1" applyFill="1" applyBorder="1"/>
    <xf numFmtId="4" fontId="0" fillId="0" borderId="0" xfId="0" applyNumberFormat="1" applyFill="1" applyBorder="1"/>
    <xf numFmtId="2" fontId="0" fillId="0" borderId="0" xfId="0" applyNumberFormat="1" applyFill="1" applyBorder="1"/>
    <xf numFmtId="4" fontId="0" fillId="0" borderId="0" xfId="0" applyNumberFormat="1" applyFill="1"/>
    <xf numFmtId="4" fontId="0" fillId="0" borderId="15" xfId="0" applyNumberFormat="1" applyFill="1" applyBorder="1"/>
    <xf numFmtId="0" fontId="0" fillId="0" borderId="15" xfId="0" applyFill="1" applyBorder="1"/>
    <xf numFmtId="2" fontId="0" fillId="0" borderId="15" xfId="0" applyNumberFormat="1" applyFill="1" applyBorder="1"/>
    <xf numFmtId="4" fontId="0" fillId="0" borderId="13" xfId="0" applyNumberFormat="1" applyFill="1" applyBorder="1"/>
    <xf numFmtId="0" fontId="0" fillId="0" borderId="13" xfId="0" applyFill="1" applyBorder="1"/>
    <xf numFmtId="2" fontId="0" fillId="0" borderId="13" xfId="0" applyNumberFormat="1" applyFill="1" applyBorder="1"/>
    <xf numFmtId="2" fontId="19" fillId="0" borderId="19" xfId="0" applyNumberFormat="1" applyFont="1" applyFill="1" applyBorder="1"/>
    <xf numFmtId="0" fontId="2" fillId="0" borderId="6" xfId="0" applyFont="1" applyFill="1" applyBorder="1" applyAlignment="1">
      <alignment vertical="center"/>
    </xf>
    <xf numFmtId="0" fontId="2" fillId="0" borderId="7" xfId="0" applyFont="1" applyFill="1" applyBorder="1" applyAlignment="1">
      <alignment vertical="center"/>
    </xf>
    <xf numFmtId="0" fontId="0" fillId="0" borderId="55" xfId="0" applyBorder="1" applyAlignment="1"/>
    <xf numFmtId="0" fontId="0" fillId="0" borderId="102" xfId="0" applyBorder="1"/>
    <xf numFmtId="0" fontId="0" fillId="0" borderId="128" xfId="0" applyBorder="1"/>
    <xf numFmtId="0" fontId="0" fillId="0" borderId="4" xfId="0" applyFill="1" applyBorder="1"/>
    <xf numFmtId="49" fontId="13" fillId="4" borderId="38" xfId="0" applyNumberFormat="1" applyFont="1" applyFill="1" applyBorder="1" applyAlignment="1">
      <alignment horizontal="center" vertical="center"/>
    </xf>
    <xf numFmtId="49" fontId="13" fillId="4" borderId="39" xfId="0" applyNumberFormat="1" applyFont="1" applyFill="1" applyBorder="1" applyAlignment="1">
      <alignment horizontal="center" vertical="center"/>
    </xf>
    <xf numFmtId="49" fontId="13" fillId="4" borderId="34" xfId="0" applyNumberFormat="1" applyFont="1" applyFill="1" applyBorder="1" applyAlignment="1">
      <alignment horizontal="center" vertical="center"/>
    </xf>
    <xf numFmtId="0" fontId="13" fillId="5" borderId="38" xfId="0" applyNumberFormat="1" applyFont="1" applyFill="1" applyBorder="1" applyAlignment="1">
      <alignment horizontal="center" vertical="center"/>
    </xf>
    <xf numFmtId="0" fontId="13" fillId="5" borderId="38" xfId="0" applyFont="1" applyFill="1" applyBorder="1" applyAlignment="1">
      <alignment horizontal="center" vertical="center"/>
    </xf>
    <xf numFmtId="0" fontId="13" fillId="5" borderId="39" xfId="0" applyFont="1" applyFill="1" applyBorder="1" applyAlignment="1">
      <alignment horizontal="center" vertical="center"/>
    </xf>
    <xf numFmtId="182" fontId="0" fillId="5" borderId="19" xfId="1" applyNumberFormat="1" applyFont="1" applyFill="1" applyBorder="1"/>
    <xf numFmtId="4" fontId="4" fillId="5" borderId="19" xfId="2" applyNumberFormat="1" applyFont="1" applyFill="1" applyBorder="1"/>
    <xf numFmtId="4" fontId="4" fillId="5" borderId="19" xfId="0" applyNumberFormat="1" applyFont="1" applyFill="1" applyBorder="1"/>
    <xf numFmtId="2" fontId="4" fillId="4" borderId="19" xfId="2" applyNumberFormat="1" applyFont="1" applyFill="1" applyBorder="1" applyAlignment="1">
      <alignment horizontal="right"/>
    </xf>
    <xf numFmtId="4" fontId="0" fillId="4" borderId="19" xfId="0" applyNumberFormat="1" applyFill="1" applyBorder="1" applyAlignment="1">
      <alignment horizontal="right"/>
    </xf>
    <xf numFmtId="4" fontId="0" fillId="4" borderId="19" xfId="2" applyNumberFormat="1" applyFont="1" applyFill="1" applyBorder="1" applyAlignment="1">
      <alignment horizontal="right"/>
    </xf>
    <xf numFmtId="4" fontId="0" fillId="4" borderId="19" xfId="1" applyNumberFormat="1" applyFont="1" applyFill="1" applyBorder="1" applyAlignment="1">
      <alignment horizontal="right"/>
    </xf>
    <xf numFmtId="0" fontId="0" fillId="6" borderId="47" xfId="0" applyFill="1" applyBorder="1"/>
    <xf numFmtId="0" fontId="5" fillId="6" borderId="47" xfId="0" applyFont="1" applyFill="1" applyBorder="1" applyAlignment="1">
      <alignment horizontal="left"/>
    </xf>
    <xf numFmtId="0" fontId="25" fillId="7" borderId="99" xfId="0" applyFont="1" applyFill="1" applyBorder="1" applyAlignment="1">
      <alignment horizontal="left" vertical="center" wrapText="1"/>
    </xf>
    <xf numFmtId="0" fontId="25" fillId="7" borderId="88" xfId="0" applyFont="1" applyFill="1" applyBorder="1" applyAlignment="1">
      <alignment horizontal="left" vertical="center" wrapText="1"/>
    </xf>
    <xf numFmtId="0" fontId="25" fillId="7" borderId="55" xfId="0" applyFont="1" applyFill="1" applyBorder="1" applyAlignment="1">
      <alignment horizontal="left" vertical="center" wrapText="1"/>
    </xf>
    <xf numFmtId="0" fontId="25" fillId="7" borderId="91" xfId="0" applyFont="1" applyFill="1" applyBorder="1" applyAlignment="1">
      <alignment horizontal="left" vertical="center" wrapText="1"/>
    </xf>
    <xf numFmtId="0" fontId="28" fillId="8" borderId="73" xfId="0" applyFont="1" applyFill="1" applyBorder="1" applyProtection="1">
      <protection locked="0"/>
    </xf>
    <xf numFmtId="0" fontId="25" fillId="7" borderId="65" xfId="0" applyFont="1" applyFill="1" applyBorder="1" applyAlignment="1">
      <alignment horizontal="left" vertical="center" wrapText="1"/>
    </xf>
    <xf numFmtId="0" fontId="25" fillId="7" borderId="122" xfId="0" applyFont="1" applyFill="1" applyBorder="1" applyAlignment="1">
      <alignment horizontal="left" vertical="center" wrapText="1"/>
    </xf>
    <xf numFmtId="0" fontId="0" fillId="7" borderId="0" xfId="0" applyFont="1" applyFill="1"/>
    <xf numFmtId="0" fontId="25" fillId="7" borderId="45" xfId="0" applyFont="1" applyFill="1" applyBorder="1" applyAlignment="1">
      <alignment horizontal="left" vertical="center" wrapText="1"/>
    </xf>
    <xf numFmtId="0" fontId="0" fillId="7" borderId="0" xfId="0" applyFill="1" applyAlignment="1">
      <alignment horizontal="center" vertical="center"/>
    </xf>
    <xf numFmtId="0" fontId="0" fillId="7" borderId="0" xfId="0" applyFill="1"/>
    <xf numFmtId="0" fontId="0" fillId="2" borderId="0" xfId="0" applyFill="1"/>
    <xf numFmtId="0" fontId="0" fillId="0" borderId="0" xfId="0" applyAlignment="1">
      <alignment horizontal="left" vertical="center"/>
    </xf>
    <xf numFmtId="0" fontId="2" fillId="0" borderId="0" xfId="0" applyFont="1" applyBorder="1" applyAlignment="1">
      <alignment horizontal="center"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0" fillId="0" borderId="0" xfId="0" applyBorder="1" applyAlignment="1">
      <alignment horizontal="center" vertical="center"/>
    </xf>
    <xf numFmtId="0" fontId="0" fillId="0" borderId="7" xfId="0" applyBorder="1" applyAlignment="1">
      <alignment horizontal="center"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0" fillId="0" borderId="0" xfId="0" applyAlignment="1">
      <alignment horizontal="center"/>
    </xf>
    <xf numFmtId="0" fontId="2" fillId="0" borderId="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Border="1" applyAlignment="1">
      <alignment horizontal="center" vertical="center" wrapText="1"/>
    </xf>
    <xf numFmtId="0" fontId="3" fillId="0" borderId="59" xfId="0" applyFont="1" applyBorder="1" applyAlignment="1">
      <alignment horizontal="center"/>
    </xf>
    <xf numFmtId="2" fontId="15" fillId="0" borderId="0" xfId="0" applyNumberFormat="1"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3" fillId="0" borderId="45" xfId="0" applyFont="1" applyBorder="1" applyAlignment="1">
      <alignment horizontal="center"/>
    </xf>
    <xf numFmtId="0" fontId="0" fillId="0" borderId="45" xfId="0" applyBorder="1" applyAlignment="1">
      <alignment horizontal="center"/>
    </xf>
    <xf numFmtId="0" fontId="0" fillId="0" borderId="0" xfId="0" applyBorder="1" applyAlignment="1">
      <alignment horizontal="center"/>
    </xf>
    <xf numFmtId="0" fontId="3" fillId="0" borderId="36" xfId="0" applyFont="1" applyBorder="1" applyAlignment="1">
      <alignment horizontal="center"/>
    </xf>
    <xf numFmtId="0" fontId="3" fillId="0" borderId="36" xfId="0" applyFont="1" applyFill="1" applyBorder="1" applyAlignment="1">
      <alignment horizontal="center"/>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2" xfId="0" applyFont="1" applyBorder="1" applyAlignment="1">
      <alignment horizontal="center"/>
    </xf>
    <xf numFmtId="0" fontId="2" fillId="0" borderId="50" xfId="0" applyFont="1" applyBorder="1" applyAlignment="1">
      <alignment horizontal="center" vertical="center" wrapText="1"/>
    </xf>
    <xf numFmtId="0" fontId="22"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1" fillId="0" borderId="110" xfId="0" applyFont="1" applyBorder="1" applyAlignment="1">
      <alignment horizontal="left" vertical="center"/>
    </xf>
    <xf numFmtId="0" fontId="21" fillId="0" borderId="41" xfId="0" applyFont="1" applyBorder="1" applyAlignment="1">
      <alignment horizontal="left" vertical="center"/>
    </xf>
    <xf numFmtId="0" fontId="21" fillId="0" borderId="42"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179" fontId="3" fillId="6" borderId="9" xfId="2" applyNumberFormat="1" applyFont="1" applyFill="1" applyBorder="1" applyAlignment="1">
      <alignment horizontal="center" vertical="center"/>
    </xf>
    <xf numFmtId="179" fontId="3" fillId="6" borderId="11" xfId="2" applyNumberFormat="1" applyFont="1" applyFill="1" applyBorder="1" applyAlignment="1">
      <alignment horizontal="center" vertical="center"/>
    </xf>
    <xf numFmtId="0" fontId="3" fillId="4" borderId="32" xfId="0" applyFont="1" applyFill="1" applyBorder="1" applyAlignment="1">
      <alignment horizontal="left" vertical="center"/>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3" fillId="4" borderId="31" xfId="0" applyFont="1" applyFill="1" applyBorder="1" applyAlignment="1">
      <alignment horizontal="left" vertical="center"/>
    </xf>
    <xf numFmtId="180" fontId="13" fillId="6" borderId="9" xfId="1" applyNumberFormat="1" applyFont="1" applyFill="1" applyBorder="1" applyAlignment="1">
      <alignment horizontal="center"/>
    </xf>
    <xf numFmtId="180" fontId="13" fillId="6" borderId="31" xfId="1" applyNumberFormat="1" applyFont="1" applyFill="1" applyBorder="1" applyAlignment="1">
      <alignment horizontal="center"/>
    </xf>
    <xf numFmtId="180" fontId="3" fillId="6" borderId="74" xfId="1" applyNumberFormat="1" applyFont="1" applyFill="1" applyBorder="1" applyAlignment="1">
      <alignment horizontal="center" vertical="center"/>
    </xf>
    <xf numFmtId="180" fontId="3" fillId="6" borderId="75" xfId="1" applyNumberFormat="1" applyFont="1" applyFill="1" applyBorder="1" applyAlignment="1">
      <alignment horizontal="center" vertical="center"/>
    </xf>
    <xf numFmtId="0" fontId="13" fillId="0" borderId="0" xfId="0" applyFont="1" applyBorder="1" applyAlignment="1">
      <alignment horizontal="center"/>
    </xf>
    <xf numFmtId="0" fontId="20" fillId="0" borderId="110" xfId="0" quotePrefix="1" applyNumberFormat="1" applyFont="1" applyBorder="1" applyAlignment="1">
      <alignment horizontal="left" vertical="center"/>
    </xf>
    <xf numFmtId="0" fontId="20" fillId="0" borderId="41" xfId="0" applyNumberFormat="1" applyFont="1" applyBorder="1" applyAlignment="1">
      <alignment horizontal="left" vertical="center"/>
    </xf>
    <xf numFmtId="0" fontId="20" fillId="0" borderId="42" xfId="0" applyNumberFormat="1" applyFont="1" applyBorder="1" applyAlignment="1">
      <alignment horizontal="left" vertical="center"/>
    </xf>
    <xf numFmtId="49" fontId="3" fillId="4" borderId="22" xfId="0" applyNumberFormat="1" applyFont="1" applyFill="1" applyBorder="1" applyAlignment="1">
      <alignment horizontal="left" vertical="center"/>
    </xf>
    <xf numFmtId="49" fontId="3" fillId="4" borderId="23" xfId="0" applyNumberFormat="1" applyFont="1" applyFill="1" applyBorder="1" applyAlignment="1">
      <alignment horizontal="left" vertical="center"/>
    </xf>
    <xf numFmtId="49" fontId="3" fillId="4" borderId="33" xfId="0" applyNumberFormat="1" applyFont="1" applyFill="1" applyBorder="1" applyAlignment="1">
      <alignment horizontal="left" vertical="center"/>
    </xf>
    <xf numFmtId="0" fontId="0" fillId="0" borderId="0" xfId="0" applyAlignment="1">
      <alignment horizontal="center"/>
    </xf>
    <xf numFmtId="0" fontId="2" fillId="0" borderId="0" xfId="0" applyFont="1" applyBorder="1" applyAlignment="1">
      <alignment horizontal="left" vertical="center"/>
    </xf>
    <xf numFmtId="0" fontId="2" fillId="0" borderId="85" xfId="0" applyFont="1" applyBorder="1" applyAlignment="1">
      <alignment horizontal="left" vertical="center"/>
    </xf>
    <xf numFmtId="0" fontId="13" fillId="0" borderId="5" xfId="0" applyFont="1" applyBorder="1" applyAlignment="1">
      <alignment horizontal="center"/>
    </xf>
    <xf numFmtId="0" fontId="3" fillId="4" borderId="115" xfId="0" applyFont="1" applyFill="1" applyBorder="1" applyAlignment="1">
      <alignment horizontal="left" vertical="center"/>
    </xf>
    <xf numFmtId="0" fontId="3" fillId="4" borderId="11" xfId="0" applyFont="1" applyFill="1" applyBorder="1" applyAlignment="1">
      <alignment horizontal="left" vertical="center"/>
    </xf>
    <xf numFmtId="185" fontId="3" fillId="4" borderId="22" xfId="0" applyNumberFormat="1" applyFont="1" applyFill="1" applyBorder="1" applyAlignment="1">
      <alignment horizontal="left" vertical="center"/>
    </xf>
    <xf numFmtId="185" fontId="3" fillId="4" borderId="23" xfId="0" applyNumberFormat="1" applyFont="1" applyFill="1" applyBorder="1" applyAlignment="1">
      <alignment horizontal="left" vertical="center"/>
    </xf>
    <xf numFmtId="185" fontId="3" fillId="4" borderId="24" xfId="0" applyNumberFormat="1" applyFont="1" applyFill="1" applyBorder="1" applyAlignment="1">
      <alignment horizontal="lef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1" xfId="0" applyFont="1" applyFill="1" applyBorder="1" applyAlignment="1">
      <alignment horizontal="center" vertical="center"/>
    </xf>
    <xf numFmtId="179" fontId="3" fillId="6" borderId="9" xfId="2" applyNumberFormat="1" applyFont="1" applyFill="1" applyBorder="1" applyAlignment="1">
      <alignment horizontal="center"/>
    </xf>
    <xf numFmtId="179" fontId="3" fillId="6" borderId="11" xfId="2" applyNumberFormat="1" applyFont="1" applyFill="1" applyBorder="1" applyAlignment="1">
      <alignment horizont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1" xfId="0" applyFont="1" applyFill="1" applyBorder="1" applyAlignment="1">
      <alignment horizontal="center" vertical="center" wrapText="1"/>
    </xf>
    <xf numFmtId="179" fontId="2" fillId="6" borderId="9" xfId="2" applyNumberFormat="1" applyFont="1" applyFill="1" applyBorder="1" applyAlignment="1">
      <alignment horizontal="center" vertical="center"/>
    </xf>
    <xf numFmtId="179" fontId="2" fillId="6" borderId="11" xfId="2" applyNumberFormat="1" applyFont="1" applyFill="1" applyBorder="1" applyAlignment="1">
      <alignment horizontal="center" vertical="center"/>
    </xf>
    <xf numFmtId="2" fontId="3" fillId="6" borderId="9" xfId="2" applyNumberFormat="1" applyFont="1" applyFill="1" applyBorder="1" applyAlignment="1">
      <alignment horizontal="center" vertical="center"/>
    </xf>
    <xf numFmtId="2" fontId="3" fillId="6" borderId="11" xfId="2"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3" fillId="4" borderId="31" xfId="0" applyNumberFormat="1" applyFont="1" applyFill="1" applyBorder="1" applyAlignment="1">
      <alignment horizontal="center" vertical="center"/>
    </xf>
    <xf numFmtId="179" fontId="3" fillId="4" borderId="9" xfId="2" applyNumberFormat="1" applyFont="1" applyFill="1" applyBorder="1" applyAlignment="1">
      <alignment horizontal="center"/>
    </xf>
    <xf numFmtId="179" fontId="3" fillId="4" borderId="11" xfId="2" applyNumberFormat="1" applyFont="1" applyFill="1" applyBorder="1" applyAlignment="1">
      <alignment horizontal="center"/>
    </xf>
    <xf numFmtId="180" fontId="3" fillId="6" borderId="9" xfId="1" applyNumberFormat="1" applyFont="1" applyFill="1" applyBorder="1" applyAlignment="1">
      <alignment horizontal="center" vertical="center"/>
    </xf>
    <xf numFmtId="180" fontId="3" fillId="6" borderId="11" xfId="1" applyNumberFormat="1" applyFont="1" applyFill="1" applyBorder="1" applyAlignment="1">
      <alignment horizontal="center" vertical="center"/>
    </xf>
    <xf numFmtId="179" fontId="2" fillId="6" borderId="40" xfId="2" applyNumberFormat="1" applyFont="1" applyFill="1" applyBorder="1" applyAlignment="1">
      <alignment horizontal="center" vertical="center"/>
    </xf>
    <xf numFmtId="179" fontId="2" fillId="6" borderId="42" xfId="2" applyNumberFormat="1" applyFont="1" applyFill="1" applyBorder="1" applyAlignment="1">
      <alignment horizontal="center" vertical="center"/>
    </xf>
    <xf numFmtId="179" fontId="3" fillId="4" borderId="9" xfId="2" applyNumberFormat="1" applyFont="1" applyFill="1" applyBorder="1" applyAlignment="1">
      <alignment horizontal="center" vertical="center"/>
    </xf>
    <xf numFmtId="179" fontId="3" fillId="4" borderId="11" xfId="2" applyNumberFormat="1" applyFont="1" applyFill="1" applyBorder="1" applyAlignment="1">
      <alignment horizontal="center" vertical="center"/>
    </xf>
    <xf numFmtId="178" fontId="5" fillId="4" borderId="56" xfId="2" applyNumberFormat="1" applyFont="1" applyFill="1" applyBorder="1" applyAlignment="1">
      <alignment horizontal="center"/>
    </xf>
    <xf numFmtId="178" fontId="5" fillId="4" borderId="57" xfId="2" applyNumberFormat="1" applyFont="1" applyFill="1" applyBorder="1" applyAlignment="1">
      <alignment horizontal="center"/>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 fillId="3" borderId="9" xfId="0" applyNumberFormat="1" applyFont="1" applyFill="1" applyBorder="1" applyAlignment="1">
      <alignment horizontal="center" vertical="center"/>
    </xf>
    <xf numFmtId="0" fontId="3" fillId="3" borderId="1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178" fontId="5" fillId="6" borderId="56" xfId="2" applyNumberFormat="1" applyFont="1" applyFill="1" applyBorder="1" applyAlignment="1">
      <alignment horizontal="center"/>
    </xf>
    <xf numFmtId="178" fontId="5" fillId="6" borderId="57" xfId="2" applyNumberFormat="1" applyFont="1" applyFill="1" applyBorder="1" applyAlignment="1">
      <alignment horizontal="center"/>
    </xf>
    <xf numFmtId="0" fontId="31" fillId="5" borderId="123" xfId="0" applyNumberFormat="1" applyFont="1" applyFill="1" applyBorder="1" applyAlignment="1">
      <alignment horizontal="center" vertical="top" wrapText="1"/>
    </xf>
    <xf numFmtId="0" fontId="31" fillId="5" borderId="13" xfId="0" applyNumberFormat="1" applyFont="1" applyFill="1" applyBorder="1" applyAlignment="1">
      <alignment horizontal="center" vertical="top"/>
    </xf>
    <xf numFmtId="0" fontId="31" fillId="5" borderId="29" xfId="0" applyNumberFormat="1" applyFont="1" applyFill="1" applyBorder="1" applyAlignment="1">
      <alignment horizontal="center" vertical="top"/>
    </xf>
    <xf numFmtId="0" fontId="31" fillId="5" borderId="4" xfId="0" applyNumberFormat="1" applyFont="1" applyFill="1" applyBorder="1" applyAlignment="1">
      <alignment horizontal="center" vertical="top"/>
    </xf>
    <xf numFmtId="0" fontId="31" fillId="5" borderId="0" xfId="0" applyNumberFormat="1" applyFont="1" applyFill="1" applyBorder="1" applyAlignment="1">
      <alignment horizontal="center" vertical="top"/>
    </xf>
    <xf numFmtId="0" fontId="31" fillId="5" borderId="5" xfId="0" applyNumberFormat="1" applyFont="1" applyFill="1" applyBorder="1" applyAlignment="1">
      <alignment horizontal="center" vertical="top"/>
    </xf>
    <xf numFmtId="0" fontId="31" fillId="5" borderId="6" xfId="0" applyNumberFormat="1" applyFont="1" applyFill="1" applyBorder="1" applyAlignment="1">
      <alignment horizontal="center" vertical="top"/>
    </xf>
    <xf numFmtId="0" fontId="31" fillId="5" borderId="7" xfId="0" applyNumberFormat="1" applyFont="1" applyFill="1" applyBorder="1" applyAlignment="1">
      <alignment horizontal="center" vertical="top"/>
    </xf>
    <xf numFmtId="0" fontId="31" fillId="5" borderId="8" xfId="0" applyNumberFormat="1" applyFont="1" applyFill="1" applyBorder="1" applyAlignment="1">
      <alignment horizontal="center" vertical="top"/>
    </xf>
    <xf numFmtId="3" fontId="5" fillId="6" borderId="80" xfId="2" applyNumberFormat="1" applyFont="1" applyFill="1" applyBorder="1" applyAlignment="1">
      <alignment horizontal="center"/>
    </xf>
    <xf numFmtId="3" fontId="5" fillId="6" borderId="79" xfId="2" applyNumberFormat="1" applyFont="1" applyFill="1" applyBorder="1" applyAlignment="1">
      <alignment horizontal="center"/>
    </xf>
    <xf numFmtId="0" fontId="3" fillId="5" borderId="12" xfId="0" applyFont="1" applyFill="1" applyBorder="1" applyAlignment="1">
      <alignment horizontal="left"/>
    </xf>
    <xf numFmtId="0" fontId="5" fillId="0" borderId="0" xfId="0" applyFont="1" applyBorder="1" applyAlignment="1">
      <alignment horizontal="center"/>
    </xf>
    <xf numFmtId="1" fontId="2" fillId="0" borderId="12" xfId="0" applyNumberFormat="1" applyFont="1" applyBorder="1" applyAlignment="1">
      <alignment horizontal="left" vertical="center"/>
    </xf>
    <xf numFmtId="1" fontId="2" fillId="0" borderId="17" xfId="0" applyNumberFormat="1" applyFont="1" applyBorder="1" applyAlignment="1">
      <alignment horizontal="left" vertical="center"/>
    </xf>
    <xf numFmtId="3" fontId="5" fillId="6" borderId="60" xfId="0" applyNumberFormat="1" applyFont="1" applyFill="1" applyBorder="1" applyAlignment="1">
      <alignment horizontal="center"/>
    </xf>
    <xf numFmtId="3" fontId="5" fillId="6" borderId="61" xfId="0" applyNumberFormat="1" applyFont="1" applyFill="1" applyBorder="1" applyAlignment="1">
      <alignment horizontal="center"/>
    </xf>
    <xf numFmtId="0" fontId="5" fillId="0" borderId="15" xfId="0" applyFont="1" applyBorder="1" applyAlignment="1">
      <alignment horizontal="center"/>
    </xf>
    <xf numFmtId="0" fontId="3" fillId="0" borderId="2" xfId="0" applyFont="1" applyBorder="1" applyAlignment="1">
      <alignment horizontal="center"/>
    </xf>
    <xf numFmtId="0" fontId="3" fillId="4" borderId="74" xfId="0" applyFont="1" applyFill="1" applyBorder="1" applyAlignment="1">
      <alignment horizontal="center"/>
    </xf>
    <xf numFmtId="0" fontId="3" fillId="4" borderId="75" xfId="0" applyFont="1" applyFill="1" applyBorder="1" applyAlignment="1">
      <alignment horizontal="center"/>
    </xf>
    <xf numFmtId="0" fontId="3" fillId="5" borderId="66" xfId="0" applyFont="1" applyFill="1" applyBorder="1" applyAlignment="1">
      <alignment horizontal="center"/>
    </xf>
    <xf numFmtId="0" fontId="3" fillId="5" borderId="85" xfId="0" applyFont="1" applyFill="1" applyBorder="1" applyAlignment="1">
      <alignment horizontal="center"/>
    </xf>
    <xf numFmtId="0" fontId="3" fillId="6" borderId="67" xfId="0" applyFont="1" applyFill="1" applyBorder="1" applyAlignment="1">
      <alignment horizontal="center"/>
    </xf>
    <xf numFmtId="0" fontId="3" fillId="6" borderId="58" xfId="0" applyFont="1" applyFill="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5" borderId="1" xfId="0" applyFont="1" applyFill="1" applyBorder="1" applyAlignment="1">
      <alignment horizontal="center" vertical="top"/>
    </xf>
    <xf numFmtId="0" fontId="3" fillId="5" borderId="2" xfId="0" applyFont="1" applyFill="1" applyBorder="1" applyAlignment="1">
      <alignment horizontal="center" vertical="top"/>
    </xf>
    <xf numFmtId="0" fontId="3" fillId="5" borderId="3" xfId="0" applyFont="1" applyFill="1" applyBorder="1" applyAlignment="1">
      <alignment horizontal="center" vertical="top"/>
    </xf>
    <xf numFmtId="0" fontId="3" fillId="5" borderId="4" xfId="0" applyFont="1" applyFill="1" applyBorder="1" applyAlignment="1">
      <alignment horizontal="center" vertical="top"/>
    </xf>
    <xf numFmtId="0" fontId="3" fillId="5" borderId="0" xfId="0" applyFont="1" applyFill="1" applyBorder="1" applyAlignment="1">
      <alignment horizontal="center" vertical="top"/>
    </xf>
    <xf numFmtId="0" fontId="3" fillId="5" borderId="5" xfId="0" applyFont="1" applyFill="1" applyBorder="1" applyAlignment="1">
      <alignment horizontal="center" vertical="top"/>
    </xf>
    <xf numFmtId="0" fontId="3" fillId="5" borderId="6" xfId="0" applyFont="1" applyFill="1" applyBorder="1" applyAlignment="1">
      <alignment horizontal="center" vertical="top"/>
    </xf>
    <xf numFmtId="0" fontId="3" fillId="5" borderId="7" xfId="0" applyFont="1" applyFill="1" applyBorder="1" applyAlignment="1">
      <alignment horizontal="center" vertical="top"/>
    </xf>
    <xf numFmtId="0" fontId="3" fillId="5" borderId="8" xfId="0" applyFont="1" applyFill="1" applyBorder="1" applyAlignment="1">
      <alignment horizontal="center" vertical="top"/>
    </xf>
    <xf numFmtId="178" fontId="3" fillId="6" borderId="9" xfId="2" applyNumberFormat="1" applyFont="1" applyFill="1" applyBorder="1" applyAlignment="1">
      <alignment horizontal="center" vertical="center"/>
    </xf>
    <xf numFmtId="178" fontId="3" fillId="6" borderId="11" xfId="2" applyNumberFormat="1" applyFont="1" applyFill="1" applyBorder="1" applyAlignment="1">
      <alignment horizontal="center" vertical="center"/>
    </xf>
    <xf numFmtId="178" fontId="3" fillId="4" borderId="9" xfId="2" applyNumberFormat="1" applyFont="1" applyFill="1" applyBorder="1" applyAlignment="1">
      <alignment horizontal="center" vertical="center"/>
    </xf>
    <xf numFmtId="178" fontId="3" fillId="4" borderId="11" xfId="2" applyNumberFormat="1" applyFont="1" applyFill="1" applyBorder="1" applyAlignment="1">
      <alignment horizontal="center" vertical="center"/>
    </xf>
    <xf numFmtId="179" fontId="3" fillId="4" borderId="14" xfId="2" applyNumberFormat="1" applyFont="1" applyFill="1" applyBorder="1" applyAlignment="1">
      <alignment horizontal="center" vertical="center"/>
    </xf>
    <xf numFmtId="179" fontId="3" fillId="4" borderId="16" xfId="2" applyNumberFormat="1" applyFont="1" applyFill="1" applyBorder="1" applyAlignment="1">
      <alignment horizontal="center" vertical="center"/>
    </xf>
    <xf numFmtId="180" fontId="3" fillId="4" borderId="9" xfId="1" applyNumberFormat="1" applyFont="1" applyFill="1" applyBorder="1" applyAlignment="1">
      <alignment horizontal="center" vertical="center"/>
    </xf>
    <xf numFmtId="180" fontId="3" fillId="4" borderId="11" xfId="1" applyNumberFormat="1" applyFont="1" applyFill="1" applyBorder="1" applyAlignment="1">
      <alignment horizontal="center" vertical="center"/>
    </xf>
    <xf numFmtId="179" fontId="3" fillId="4" borderId="74" xfId="2" applyNumberFormat="1" applyFont="1" applyFill="1" applyBorder="1" applyAlignment="1">
      <alignment horizontal="center" vertical="center"/>
    </xf>
    <xf numFmtId="179" fontId="3" fillId="4" borderId="75" xfId="2" applyNumberFormat="1" applyFont="1" applyFill="1" applyBorder="1" applyAlignment="1">
      <alignment horizontal="center" vertical="center"/>
    </xf>
    <xf numFmtId="180" fontId="13" fillId="6" borderId="43" xfId="1" applyNumberFormat="1" applyFont="1" applyFill="1" applyBorder="1" applyAlignment="1">
      <alignment horizontal="center" vertical="center"/>
    </xf>
    <xf numFmtId="180" fontId="13" fillId="6" borderId="51" xfId="1" applyNumberFormat="1" applyFont="1" applyFill="1" applyBorder="1" applyAlignment="1">
      <alignment horizontal="center" vertical="center"/>
    </xf>
    <xf numFmtId="177" fontId="13" fillId="6" borderId="43" xfId="2" applyFont="1" applyFill="1" applyBorder="1" applyAlignment="1">
      <alignment horizontal="center" vertical="center"/>
    </xf>
    <xf numFmtId="177" fontId="13" fillId="6" borderId="31" xfId="2" applyFont="1" applyFill="1" applyBorder="1" applyAlignment="1">
      <alignment horizontal="center" vertical="center"/>
    </xf>
    <xf numFmtId="184" fontId="13" fillId="6" borderId="53" xfId="2" applyNumberFormat="1" applyFont="1" applyFill="1" applyBorder="1" applyAlignment="1">
      <alignment horizontal="center" vertical="center"/>
    </xf>
    <xf numFmtId="184" fontId="13" fillId="6" borderId="51" xfId="2" applyNumberFormat="1" applyFont="1" applyFill="1" applyBorder="1" applyAlignment="1">
      <alignment horizontal="center" vertical="center"/>
    </xf>
    <xf numFmtId="0" fontId="13" fillId="4" borderId="43" xfId="0" applyNumberFormat="1" applyFont="1" applyFill="1" applyBorder="1" applyAlignment="1">
      <alignment horizontal="center" vertical="center"/>
    </xf>
    <xf numFmtId="0" fontId="13" fillId="4" borderId="51" xfId="0" applyNumberFormat="1" applyFont="1" applyFill="1" applyBorder="1" applyAlignment="1">
      <alignment horizontal="center" vertical="center"/>
    </xf>
    <xf numFmtId="0" fontId="13" fillId="4" borderId="43" xfId="0" applyFont="1" applyFill="1" applyBorder="1" applyAlignment="1">
      <alignment horizontal="center" vertical="center"/>
    </xf>
    <xf numFmtId="0" fontId="13" fillId="4" borderId="51" xfId="0" applyFont="1" applyFill="1" applyBorder="1" applyAlignment="1">
      <alignment horizontal="center" vertical="center"/>
    </xf>
    <xf numFmtId="177" fontId="13" fillId="6" borderId="51" xfId="2" applyFont="1" applyFill="1" applyBorder="1" applyAlignment="1">
      <alignment horizontal="center" vertical="center"/>
    </xf>
    <xf numFmtId="177" fontId="13" fillId="4" borderId="43" xfId="2" applyFont="1" applyFill="1" applyBorder="1" applyAlignment="1">
      <alignment horizontal="center" vertical="center"/>
    </xf>
    <xf numFmtId="177" fontId="13" fillId="4" borderId="51" xfId="2" applyFont="1" applyFill="1" applyBorder="1" applyAlignment="1">
      <alignment horizontal="center" vertical="center"/>
    </xf>
    <xf numFmtId="180" fontId="13" fillId="4" borderId="43" xfId="1" applyNumberFormat="1" applyFont="1" applyFill="1" applyBorder="1" applyAlignment="1">
      <alignment horizontal="center" vertical="center"/>
    </xf>
    <xf numFmtId="180" fontId="13" fillId="4" borderId="51" xfId="1" applyNumberFormat="1" applyFont="1" applyFill="1" applyBorder="1" applyAlignment="1">
      <alignment horizontal="center" vertical="center"/>
    </xf>
    <xf numFmtId="0" fontId="13" fillId="4" borderId="10" xfId="0" applyNumberFormat="1" applyFont="1" applyFill="1" applyBorder="1" applyAlignment="1">
      <alignment horizontal="center" vertical="center"/>
    </xf>
    <xf numFmtId="0" fontId="13" fillId="4" borderId="10"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1"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51" xfId="0" applyFont="1" applyFill="1" applyBorder="1" applyAlignment="1">
      <alignment horizontal="center" vertical="center"/>
    </xf>
    <xf numFmtId="0" fontId="13" fillId="4" borderId="31" xfId="0" applyFont="1" applyFill="1" applyBorder="1" applyAlignment="1">
      <alignment horizontal="center" vertical="center"/>
    </xf>
    <xf numFmtId="176" fontId="13" fillId="4" borderId="53" xfId="0" applyNumberFormat="1" applyFont="1" applyFill="1" applyBorder="1" applyAlignment="1">
      <alignment horizontal="center" vertical="center"/>
    </xf>
    <xf numFmtId="176" fontId="13" fillId="4" borderId="51" xfId="0" applyNumberFormat="1" applyFont="1" applyFill="1" applyBorder="1" applyAlignment="1">
      <alignment horizontal="center" vertical="center"/>
    </xf>
    <xf numFmtId="183" fontId="13" fillId="4" borderId="43" xfId="2" applyNumberFormat="1" applyFont="1" applyFill="1" applyBorder="1" applyAlignment="1">
      <alignment horizontal="center" vertical="center"/>
    </xf>
    <xf numFmtId="183" fontId="13" fillId="4" borderId="51" xfId="2" applyNumberFormat="1" applyFont="1" applyFill="1" applyBorder="1" applyAlignment="1">
      <alignment horizontal="center" vertical="center"/>
    </xf>
    <xf numFmtId="2" fontId="13" fillId="4" borderId="43" xfId="0" applyNumberFormat="1" applyFont="1" applyFill="1" applyBorder="1" applyAlignment="1">
      <alignment horizontal="center" vertical="center"/>
    </xf>
    <xf numFmtId="2" fontId="13" fillId="4" borderId="31" xfId="0" applyNumberFormat="1" applyFont="1" applyFill="1" applyBorder="1" applyAlignment="1">
      <alignment horizontal="center" vertical="center"/>
    </xf>
    <xf numFmtId="0" fontId="3" fillId="0" borderId="59" xfId="0" applyFont="1" applyBorder="1" applyAlignment="1">
      <alignment horizontal="center"/>
    </xf>
    <xf numFmtId="0" fontId="3" fillId="0" borderId="37" xfId="0" applyFont="1" applyBorder="1" applyAlignment="1">
      <alignment horizontal="center"/>
    </xf>
    <xf numFmtId="0" fontId="2" fillId="0" borderId="114" xfId="0" applyFont="1" applyBorder="1" applyAlignment="1">
      <alignment horizontal="center" vertical="center" wrapText="1"/>
    </xf>
    <xf numFmtId="0" fontId="2" fillId="0" borderId="72" xfId="0" applyFont="1" applyBorder="1" applyAlignment="1">
      <alignment horizontal="center" vertical="center" wrapText="1"/>
    </xf>
    <xf numFmtId="0" fontId="13" fillId="4" borderId="44" xfId="0" applyNumberFormat="1" applyFont="1" applyFill="1" applyBorder="1" applyAlignment="1">
      <alignment horizontal="center" vertical="center"/>
    </xf>
    <xf numFmtId="0" fontId="13" fillId="4" borderId="23" xfId="0" applyNumberFormat="1" applyFont="1" applyFill="1" applyBorder="1" applyAlignment="1">
      <alignment horizontal="center" vertical="center"/>
    </xf>
    <xf numFmtId="0" fontId="13" fillId="4" borderId="46" xfId="0" applyNumberFormat="1" applyFont="1" applyFill="1" applyBorder="1" applyAlignment="1">
      <alignment horizontal="center" vertical="center"/>
    </xf>
    <xf numFmtId="176" fontId="13" fillId="4" borderId="54" xfId="0" applyNumberFormat="1" applyFont="1" applyFill="1" applyBorder="1" applyAlignment="1">
      <alignment horizontal="center" vertical="center"/>
    </xf>
    <xf numFmtId="176" fontId="13" fillId="4" borderId="46" xfId="0" applyNumberFormat="1" applyFont="1" applyFill="1" applyBorder="1" applyAlignment="1">
      <alignment horizontal="center" vertical="center"/>
    </xf>
    <xf numFmtId="0" fontId="13" fillId="4" borderId="44"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46"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46"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46" xfId="0" applyFont="1" applyFill="1" applyBorder="1" applyAlignment="1">
      <alignment horizontal="center" vertical="center"/>
    </xf>
    <xf numFmtId="49" fontId="13" fillId="0" borderId="80" xfId="0" applyNumberFormat="1" applyFont="1" applyBorder="1" applyAlignment="1">
      <alignment horizontal="center" vertical="center"/>
    </xf>
    <xf numFmtId="49" fontId="13" fillId="0" borderId="79" xfId="0" applyNumberFormat="1" applyFont="1" applyBorder="1" applyAlignment="1">
      <alignment horizontal="center" vertical="center"/>
    </xf>
    <xf numFmtId="49" fontId="13" fillId="0" borderId="62" xfId="0" applyNumberFormat="1" applyFont="1" applyBorder="1" applyAlignment="1">
      <alignment horizontal="center" vertical="center"/>
    </xf>
    <xf numFmtId="0" fontId="2" fillId="0" borderId="82"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82"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82" xfId="0" applyFont="1" applyBorder="1" applyAlignment="1">
      <alignment horizontal="center" vertical="center"/>
    </xf>
    <xf numFmtId="0" fontId="2" fillId="0" borderId="10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127" xfId="0" applyFont="1" applyFill="1" applyBorder="1" applyAlignment="1">
      <alignment horizontal="left" vertical="center"/>
    </xf>
    <xf numFmtId="0" fontId="3" fillId="0" borderId="25" xfId="0" applyFont="1" applyFill="1" applyBorder="1" applyAlignment="1">
      <alignment horizontal="left" vertical="center"/>
    </xf>
    <xf numFmtId="0" fontId="3" fillId="0" borderId="18" xfId="0" applyFont="1" applyFill="1" applyBorder="1" applyAlignment="1">
      <alignment horizontal="left" vertical="center"/>
    </xf>
    <xf numFmtId="0" fontId="3" fillId="0" borderId="120" xfId="0" applyFont="1" applyFill="1" applyBorder="1" applyAlignment="1">
      <alignment horizontal="left" vertical="center"/>
    </xf>
    <xf numFmtId="0" fontId="3" fillId="0" borderId="12" xfId="0" applyFont="1" applyFill="1" applyBorder="1" applyAlignment="1">
      <alignment horizontal="left" vertical="center"/>
    </xf>
    <xf numFmtId="0" fontId="3" fillId="0" borderId="17" xfId="0" applyFont="1" applyFill="1" applyBorder="1" applyAlignment="1">
      <alignment horizontal="left" vertical="center"/>
    </xf>
    <xf numFmtId="0" fontId="3" fillId="0" borderId="124" xfId="0" applyFont="1" applyFill="1" applyBorder="1" applyAlignment="1">
      <alignment horizontal="left" vertical="center"/>
    </xf>
    <xf numFmtId="0" fontId="3" fillId="0" borderId="83" xfId="0" applyFont="1" applyFill="1" applyBorder="1" applyAlignment="1">
      <alignment horizontal="left" vertical="center"/>
    </xf>
    <xf numFmtId="0" fontId="3" fillId="0" borderId="4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31" xfId="0" applyFont="1" applyFill="1" applyBorder="1" applyAlignment="1">
      <alignment horizontal="left" vertical="center"/>
    </xf>
    <xf numFmtId="14" fontId="3" fillId="0" borderId="22" xfId="0" applyNumberFormat="1" applyFont="1" applyFill="1" applyBorder="1" applyAlignment="1">
      <alignment horizontal="left" vertical="center"/>
    </xf>
    <xf numFmtId="14" fontId="3" fillId="0" borderId="23" xfId="0" applyNumberFormat="1" applyFont="1" applyFill="1" applyBorder="1" applyAlignment="1">
      <alignment horizontal="left" vertical="center"/>
    </xf>
    <xf numFmtId="14" fontId="3" fillId="0" borderId="33" xfId="0" applyNumberFormat="1" applyFont="1" applyFill="1" applyBorder="1" applyAlignment="1">
      <alignment horizontal="left" vertical="center"/>
    </xf>
    <xf numFmtId="49" fontId="13" fillId="0" borderId="63" xfId="0" applyNumberFormat="1" applyFont="1" applyBorder="1" applyAlignment="1">
      <alignment horizontal="center" vertical="center"/>
    </xf>
    <xf numFmtId="0" fontId="2" fillId="0" borderId="30" xfId="0" applyFont="1" applyFill="1" applyBorder="1" applyAlignment="1">
      <alignment horizontal="center" vertical="center" wrapText="1"/>
    </xf>
    <xf numFmtId="0" fontId="3" fillId="0" borderId="5" xfId="0" applyFont="1" applyBorder="1" applyAlignment="1">
      <alignment horizontal="center" wrapText="1"/>
    </xf>
    <xf numFmtId="0" fontId="3" fillId="0" borderId="52" xfId="0" applyFont="1" applyBorder="1" applyAlignment="1">
      <alignment horizontal="center" wrapText="1"/>
    </xf>
    <xf numFmtId="180" fontId="2" fillId="0" borderId="45" xfId="1" applyNumberFormat="1" applyFont="1" applyFill="1" applyBorder="1" applyAlignment="1">
      <alignment horizontal="center" vertical="center" wrapText="1"/>
    </xf>
    <xf numFmtId="180" fontId="2" fillId="0" borderId="0" xfId="1" applyNumberFormat="1" applyFont="1" applyFill="1" applyBorder="1" applyAlignment="1">
      <alignment horizontal="center" vertical="center" wrapText="1"/>
    </xf>
    <xf numFmtId="180" fontId="2" fillId="0" borderId="64" xfId="1" applyNumberFormat="1" applyFont="1" applyFill="1" applyBorder="1" applyAlignment="1">
      <alignment horizontal="center" vertical="center" wrapText="1"/>
    </xf>
    <xf numFmtId="177" fontId="13" fillId="6" borderId="44" xfId="2" applyFont="1" applyFill="1" applyBorder="1" applyAlignment="1">
      <alignment horizontal="center" vertical="center"/>
    </xf>
    <xf numFmtId="177" fontId="13" fillId="6" borderId="46" xfId="2" applyFont="1" applyFill="1" applyBorder="1" applyAlignment="1">
      <alignment horizontal="center" vertical="center"/>
    </xf>
    <xf numFmtId="177" fontId="13" fillId="4" borderId="44" xfId="2" applyFont="1" applyFill="1" applyBorder="1" applyAlignment="1">
      <alignment horizontal="center" vertical="center"/>
    </xf>
    <xf numFmtId="177" fontId="13" fillId="4" borderId="46" xfId="2" applyFont="1" applyFill="1" applyBorder="1" applyAlignment="1">
      <alignment horizontal="center" vertical="center"/>
    </xf>
    <xf numFmtId="180" fontId="13" fillId="6" borderId="44" xfId="1" applyNumberFormat="1" applyFont="1" applyFill="1" applyBorder="1" applyAlignment="1">
      <alignment horizontal="center" vertical="center"/>
    </xf>
    <xf numFmtId="180" fontId="13" fillId="6" borderId="46" xfId="1" applyNumberFormat="1" applyFont="1" applyFill="1" applyBorder="1" applyAlignment="1">
      <alignment horizontal="center" vertical="center"/>
    </xf>
    <xf numFmtId="177" fontId="13" fillId="6" borderId="33" xfId="2" applyFont="1" applyFill="1" applyBorder="1" applyAlignment="1">
      <alignment horizontal="center" vertical="center"/>
    </xf>
    <xf numFmtId="0" fontId="2" fillId="0" borderId="3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4" xfId="0" applyFont="1" applyBorder="1" applyAlignment="1">
      <alignment horizontal="center" vertical="center" wrapText="1"/>
    </xf>
    <xf numFmtId="0" fontId="13" fillId="4" borderId="33" xfId="0" applyFont="1" applyFill="1" applyBorder="1" applyAlignment="1">
      <alignment horizontal="center" vertical="center"/>
    </xf>
    <xf numFmtId="184" fontId="13" fillId="6" borderId="54" xfId="2" applyNumberFormat="1" applyFont="1" applyFill="1" applyBorder="1" applyAlignment="1">
      <alignment horizontal="center" vertical="center"/>
    </xf>
    <xf numFmtId="184" fontId="13" fillId="6" borderId="46" xfId="2" applyNumberFormat="1" applyFont="1" applyFill="1" applyBorder="1" applyAlignment="1">
      <alignment horizontal="center" vertical="center"/>
    </xf>
    <xf numFmtId="2" fontId="13" fillId="4" borderId="44" xfId="0" applyNumberFormat="1" applyFont="1" applyFill="1" applyBorder="1" applyAlignment="1">
      <alignment horizontal="center" vertical="center"/>
    </xf>
    <xf numFmtId="2" fontId="13" fillId="4" borderId="33" xfId="0" applyNumberFormat="1" applyFont="1" applyFill="1" applyBorder="1" applyAlignment="1">
      <alignment horizontal="center" vertical="center"/>
    </xf>
    <xf numFmtId="183" fontId="13" fillId="4" borderId="44" xfId="2" applyNumberFormat="1" applyFont="1" applyFill="1" applyBorder="1" applyAlignment="1">
      <alignment horizontal="center" vertical="center"/>
    </xf>
    <xf numFmtId="183" fontId="13" fillId="4" borderId="46" xfId="2" applyNumberFormat="1" applyFont="1" applyFill="1" applyBorder="1" applyAlignment="1">
      <alignment horizontal="center" vertical="center"/>
    </xf>
    <xf numFmtId="177" fontId="13" fillId="6" borderId="69" xfId="2" applyFont="1" applyFill="1" applyBorder="1" applyAlignment="1">
      <alignment horizontal="center"/>
    </xf>
    <xf numFmtId="177" fontId="13" fillId="6" borderId="71" xfId="2" applyFont="1" applyFill="1" applyBorder="1" applyAlignment="1">
      <alignment horizontal="center"/>
    </xf>
    <xf numFmtId="177" fontId="13" fillId="6" borderId="56" xfId="2" applyFont="1" applyFill="1" applyBorder="1" applyAlignment="1">
      <alignment horizontal="center"/>
    </xf>
    <xf numFmtId="177" fontId="13" fillId="6" borderId="57" xfId="2" applyFont="1" applyFill="1" applyBorder="1" applyAlignment="1">
      <alignment horizont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177" fontId="13" fillId="6" borderId="70" xfId="2" applyFont="1" applyFill="1" applyBorder="1" applyAlignment="1">
      <alignment horizontal="center"/>
    </xf>
    <xf numFmtId="177" fontId="13" fillId="6" borderId="56" xfId="2" applyFont="1" applyFill="1" applyBorder="1" applyAlignment="1">
      <alignment horizontal="center" vertical="center"/>
    </xf>
    <xf numFmtId="177" fontId="13" fillId="6" borderId="57" xfId="2" applyFont="1" applyFill="1" applyBorder="1" applyAlignment="1">
      <alignment horizontal="center" vertical="center"/>
    </xf>
    <xf numFmtId="177" fontId="13" fillId="6" borderId="68" xfId="2" applyFont="1" applyFill="1" applyBorder="1" applyAlignment="1">
      <alignment horizontal="center"/>
    </xf>
    <xf numFmtId="177" fontId="13" fillId="6" borderId="68" xfId="2" applyFont="1" applyFill="1" applyBorder="1" applyAlignment="1">
      <alignment horizontal="center" vertical="center"/>
    </xf>
    <xf numFmtId="0" fontId="13" fillId="0" borderId="63" xfId="0" applyFont="1" applyBorder="1" applyAlignment="1">
      <alignment horizontal="center"/>
    </xf>
    <xf numFmtId="0" fontId="13" fillId="0" borderId="62" xfId="0" applyFont="1" applyBorder="1" applyAlignment="1">
      <alignment horizontal="center"/>
    </xf>
    <xf numFmtId="0" fontId="13" fillId="0" borderId="2" xfId="0" applyFont="1" applyBorder="1" applyAlignment="1">
      <alignment horizontal="left"/>
    </xf>
    <xf numFmtId="180" fontId="13" fillId="4" borderId="44" xfId="1" applyNumberFormat="1" applyFont="1" applyFill="1" applyBorder="1" applyAlignment="1">
      <alignment horizontal="center" vertical="center"/>
    </xf>
    <xf numFmtId="180" fontId="13" fillId="4" borderId="46" xfId="1" applyNumberFormat="1" applyFont="1" applyFill="1" applyBorder="1" applyAlignment="1">
      <alignment horizontal="center" vertical="center"/>
    </xf>
    <xf numFmtId="0" fontId="13" fillId="0" borderId="80" xfId="0" applyFont="1" applyBorder="1" applyAlignment="1">
      <alignment horizontal="center" vertical="center"/>
    </xf>
    <xf numFmtId="0" fontId="13" fillId="0" borderId="63" xfId="0" applyFont="1" applyBorder="1" applyAlignment="1">
      <alignment horizontal="center" vertical="center"/>
    </xf>
    <xf numFmtId="0" fontId="13" fillId="0" borderId="79" xfId="0" applyFont="1" applyBorder="1" applyAlignment="1">
      <alignment horizontal="center" vertical="center"/>
    </xf>
    <xf numFmtId="0" fontId="2" fillId="0" borderId="30" xfId="0" applyFont="1" applyBorder="1" applyAlignment="1">
      <alignment horizontal="center" vertical="center"/>
    </xf>
    <xf numFmtId="0" fontId="2" fillId="0" borderId="72" xfId="0" applyFont="1" applyBorder="1" applyAlignment="1">
      <alignment horizontal="center" vertical="center"/>
    </xf>
    <xf numFmtId="9" fontId="8" fillId="0" borderId="36" xfId="1" applyFont="1" applyBorder="1" applyAlignment="1">
      <alignment horizontal="center"/>
    </xf>
    <xf numFmtId="9" fontId="8" fillId="0" borderId="37" xfId="1" applyFont="1" applyBorder="1" applyAlignment="1">
      <alignment horizontal="center"/>
    </xf>
    <xf numFmtId="0" fontId="3" fillId="0" borderId="0" xfId="0" applyFont="1" applyBorder="1" applyAlignment="1">
      <alignment horizontal="center" wrapText="1"/>
    </xf>
    <xf numFmtId="0" fontId="3" fillId="0" borderId="15" xfId="0" applyFont="1" applyBorder="1" applyAlignment="1">
      <alignment horizontal="center" wrapText="1"/>
    </xf>
    <xf numFmtId="0" fontId="3" fillId="0" borderId="36" xfId="0" applyFont="1" applyBorder="1" applyAlignment="1">
      <alignment horizontal="center" wrapText="1"/>
    </xf>
    <xf numFmtId="0" fontId="3" fillId="0" borderId="37" xfId="0" applyFont="1" applyBorder="1" applyAlignment="1">
      <alignment horizontal="center" wrapText="1"/>
    </xf>
    <xf numFmtId="0" fontId="3" fillId="0" borderId="42" xfId="0" applyFont="1" applyBorder="1" applyAlignment="1">
      <alignment horizontal="center" vertical="center"/>
    </xf>
    <xf numFmtId="49" fontId="13" fillId="0" borderId="105" xfId="0" applyNumberFormat="1" applyFont="1" applyBorder="1" applyAlignment="1">
      <alignment horizontal="center" vertical="center"/>
    </xf>
    <xf numFmtId="0" fontId="16" fillId="4" borderId="43" xfId="0" applyFont="1" applyFill="1" applyBorder="1" applyAlignment="1">
      <alignment horizontal="center" vertical="center"/>
    </xf>
    <xf numFmtId="0" fontId="16" fillId="4" borderId="51" xfId="0" applyFont="1" applyFill="1" applyBorder="1" applyAlignment="1">
      <alignment horizontal="center" vertical="center"/>
    </xf>
    <xf numFmtId="177" fontId="13" fillId="5" borderId="43" xfId="2" applyFont="1" applyFill="1" applyBorder="1" applyAlignment="1">
      <alignment horizontal="center" vertical="center"/>
    </xf>
    <xf numFmtId="177" fontId="13" fillId="5" borderId="51" xfId="2" applyFont="1" applyFill="1" applyBorder="1" applyAlignment="1">
      <alignment horizontal="center" vertical="center"/>
    </xf>
    <xf numFmtId="181" fontId="13" fillId="5" borderId="43" xfId="2" applyNumberFormat="1" applyFont="1" applyFill="1" applyBorder="1" applyAlignment="1">
      <alignment horizontal="center" vertical="center"/>
    </xf>
    <xf numFmtId="181" fontId="13" fillId="5" borderId="51" xfId="2" applyNumberFormat="1" applyFont="1" applyFill="1" applyBorder="1" applyAlignment="1">
      <alignment horizontal="center" vertical="center"/>
    </xf>
    <xf numFmtId="177" fontId="13" fillId="4" borderId="10" xfId="2" applyFont="1" applyFill="1" applyBorder="1" applyAlignment="1">
      <alignment horizontal="center" vertical="center"/>
    </xf>
    <xf numFmtId="180" fontId="13" fillId="5" borderId="43" xfId="1" applyNumberFormat="1" applyFont="1" applyFill="1" applyBorder="1" applyAlignment="1">
      <alignment horizontal="center" vertical="center"/>
    </xf>
    <xf numFmtId="180" fontId="13" fillId="5" borderId="31" xfId="1" applyNumberFormat="1" applyFont="1" applyFill="1" applyBorder="1" applyAlignment="1">
      <alignment horizontal="center" vertical="center"/>
    </xf>
    <xf numFmtId="0" fontId="13" fillId="4" borderId="5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177" fontId="13" fillId="6" borderId="69" xfId="2" applyFont="1" applyFill="1" applyBorder="1" applyAlignment="1">
      <alignment horizontal="center" vertical="center"/>
    </xf>
    <xf numFmtId="177" fontId="13" fillId="6" borderId="70" xfId="2" applyFont="1" applyFill="1" applyBorder="1" applyAlignment="1">
      <alignment horizontal="center" vertical="center"/>
    </xf>
    <xf numFmtId="177" fontId="13" fillId="4" borderId="23" xfId="2" applyFont="1" applyFill="1" applyBorder="1" applyAlignment="1">
      <alignment horizontal="center" vertic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45" xfId="0" applyFont="1" applyFill="1" applyBorder="1" applyAlignment="1">
      <alignment horizontal="center"/>
    </xf>
    <xf numFmtId="0" fontId="3" fillId="0" borderId="64" xfId="0" applyFont="1" applyFill="1" applyBorder="1" applyAlignment="1">
      <alignment horizontal="center"/>
    </xf>
    <xf numFmtId="177" fontId="13" fillId="5" borderId="44" xfId="2" applyFont="1" applyFill="1" applyBorder="1" applyAlignment="1">
      <alignment horizontal="center" vertical="center"/>
    </xf>
    <xf numFmtId="177" fontId="13" fillId="5" borderId="46" xfId="2" applyFont="1" applyFill="1" applyBorder="1" applyAlignment="1">
      <alignment horizontal="center" vertical="center"/>
    </xf>
    <xf numFmtId="0" fontId="16" fillId="4" borderId="44" xfId="0" applyFont="1" applyFill="1" applyBorder="1" applyAlignment="1">
      <alignment horizontal="center" vertical="center"/>
    </xf>
    <xf numFmtId="0" fontId="16" fillId="4" borderId="46" xfId="0" applyFont="1" applyFill="1" applyBorder="1" applyAlignment="1">
      <alignment horizontal="center" vertical="center"/>
    </xf>
    <xf numFmtId="0" fontId="3" fillId="0" borderId="14" xfId="0" applyFont="1" applyFill="1" applyBorder="1" applyAlignment="1">
      <alignment horizontal="left" vertical="center"/>
    </xf>
    <xf numFmtId="180" fontId="2" fillId="0" borderId="82" xfId="1" applyNumberFormat="1" applyFont="1" applyBorder="1" applyAlignment="1">
      <alignment horizontal="center" vertical="center" wrapText="1"/>
    </xf>
    <xf numFmtId="180" fontId="2" fillId="0" borderId="30" xfId="1" applyNumberFormat="1" applyFont="1" applyBorder="1" applyAlignment="1">
      <alignment horizontal="center" vertical="center" wrapText="1"/>
    </xf>
    <xf numFmtId="180" fontId="2" fillId="0" borderId="72" xfId="1" applyNumberFormat="1" applyFont="1" applyBorder="1" applyAlignment="1">
      <alignment horizontal="center" vertical="center" wrapText="1"/>
    </xf>
    <xf numFmtId="0" fontId="13" fillId="0" borderId="62" xfId="0" applyFont="1" applyBorder="1" applyAlignment="1">
      <alignment horizontal="center" vertical="center"/>
    </xf>
    <xf numFmtId="0" fontId="5" fillId="0" borderId="5" xfId="0" applyFont="1" applyBorder="1" applyAlignment="1">
      <alignment horizontal="center" wrapText="1"/>
    </xf>
    <xf numFmtId="0" fontId="5" fillId="0" borderId="52" xfId="0" applyFont="1" applyBorder="1" applyAlignment="1">
      <alignment horizontal="center" wrapText="1"/>
    </xf>
    <xf numFmtId="0" fontId="3" fillId="0" borderId="36" xfId="0" applyFont="1" applyBorder="1" applyAlignment="1">
      <alignment horizontal="center"/>
    </xf>
    <xf numFmtId="0" fontId="3" fillId="0" borderId="52"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2" fillId="0" borderId="7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7" xfId="0" applyFont="1" applyBorder="1" applyAlignment="1">
      <alignment horizontal="center" vertical="center" wrapText="1"/>
    </xf>
    <xf numFmtId="180" fontId="13" fillId="5" borderId="44" xfId="1" applyNumberFormat="1" applyFont="1" applyFill="1" applyBorder="1" applyAlignment="1">
      <alignment horizontal="center" vertical="center"/>
    </xf>
    <xf numFmtId="180" fontId="13" fillId="5" borderId="33" xfId="1" applyNumberFormat="1" applyFont="1" applyFill="1" applyBorder="1" applyAlignment="1">
      <alignment horizontal="center" vertical="center"/>
    </xf>
    <xf numFmtId="0" fontId="13" fillId="4" borderId="54" xfId="0" applyFont="1" applyFill="1" applyBorder="1" applyAlignment="1">
      <alignment horizontal="center" vertical="center"/>
    </xf>
    <xf numFmtId="0" fontId="3" fillId="0" borderId="45" xfId="0" applyFont="1" applyBorder="1" applyAlignment="1">
      <alignment horizontal="center"/>
    </xf>
    <xf numFmtId="0" fontId="3" fillId="0" borderId="0" xfId="0" applyFont="1" applyBorder="1" applyAlignment="1">
      <alignment horizontal="center"/>
    </xf>
    <xf numFmtId="0" fontId="13" fillId="0" borderId="105" xfId="0" applyFont="1" applyBorder="1" applyAlignment="1">
      <alignment horizontal="center" vertical="center"/>
    </xf>
    <xf numFmtId="0" fontId="2" fillId="0" borderId="109" xfId="0" applyFont="1" applyFill="1" applyBorder="1" applyAlignment="1">
      <alignment horizontal="center" vertical="center" wrapText="1"/>
    </xf>
    <xf numFmtId="0" fontId="0" fillId="0" borderId="45" xfId="0" applyBorder="1" applyAlignment="1">
      <alignment horizontal="center"/>
    </xf>
    <xf numFmtId="0" fontId="0" fillId="0" borderId="0" xfId="0" applyBorder="1" applyAlignment="1">
      <alignment horizontal="center"/>
    </xf>
    <xf numFmtId="0" fontId="3" fillId="0" borderId="64" xfId="0" applyFont="1" applyBorder="1" applyAlignment="1">
      <alignment horizontal="center"/>
    </xf>
    <xf numFmtId="177" fontId="13" fillId="6" borderId="56" xfId="2" applyFont="1" applyFill="1" applyBorder="1" applyAlignment="1">
      <alignment vertical="center"/>
    </xf>
    <xf numFmtId="177" fontId="13" fillId="6" borderId="57" xfId="2" applyFont="1" applyFill="1" applyBorder="1" applyAlignment="1">
      <alignment vertical="center"/>
    </xf>
    <xf numFmtId="0" fontId="16" fillId="0" borderId="63" xfId="0" applyFont="1" applyBorder="1" applyAlignment="1">
      <alignment horizontal="center"/>
    </xf>
    <xf numFmtId="177" fontId="16" fillId="6" borderId="56" xfId="2" applyFont="1" applyFill="1" applyBorder="1" applyAlignment="1">
      <alignment horizontal="center" vertical="center"/>
    </xf>
    <xf numFmtId="177" fontId="16" fillId="6" borderId="57" xfId="2" applyFont="1" applyFill="1" applyBorder="1" applyAlignment="1">
      <alignment horizontal="center" vertical="center"/>
    </xf>
    <xf numFmtId="181" fontId="13" fillId="5" borderId="44" xfId="2" applyNumberFormat="1" applyFont="1" applyFill="1" applyBorder="1" applyAlignment="1">
      <alignment horizontal="center" vertical="center"/>
    </xf>
    <xf numFmtId="181" fontId="13" fillId="5" borderId="46" xfId="2"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3" fillId="0" borderId="2" xfId="0" applyFont="1" applyBorder="1" applyAlignment="1">
      <alignment horizontal="right"/>
    </xf>
    <xf numFmtId="2" fontId="15" fillId="0" borderId="0" xfId="0" applyNumberFormat="1" applyFont="1" applyFill="1" applyBorder="1" applyAlignment="1">
      <alignment horizontal="center" vertical="center" wrapText="1"/>
    </xf>
    <xf numFmtId="0" fontId="3" fillId="0" borderId="105" xfId="0" applyFont="1" applyFill="1" applyBorder="1" applyAlignment="1">
      <alignment horizontal="left" vertical="center"/>
    </xf>
    <xf numFmtId="0" fontId="3" fillId="0" borderId="63" xfId="0" applyFont="1" applyFill="1" applyBorder="1" applyAlignment="1">
      <alignment horizontal="left" vertical="center"/>
    </xf>
    <xf numFmtId="0" fontId="3" fillId="0" borderId="48" xfId="0" applyFont="1" applyFill="1" applyBorder="1" applyAlignment="1">
      <alignment horizontal="left" vertical="center"/>
    </xf>
    <xf numFmtId="0" fontId="3" fillId="0" borderId="101" xfId="0" applyFont="1" applyFill="1" applyBorder="1" applyAlignment="1">
      <alignment horizontal="left" vertical="center"/>
    </xf>
    <xf numFmtId="0" fontId="3" fillId="0" borderId="84" xfId="0" applyFont="1" applyFill="1" applyBorder="1" applyAlignment="1">
      <alignment horizontal="left" vertical="center"/>
    </xf>
    <xf numFmtId="0" fontId="2" fillId="0" borderId="45" xfId="0" applyFont="1" applyFill="1" applyBorder="1" applyAlignment="1">
      <alignment horizontal="center" vertical="center" wrapText="1"/>
    </xf>
    <xf numFmtId="0" fontId="2" fillId="0" borderId="64" xfId="0" applyFont="1" applyFill="1" applyBorder="1" applyAlignment="1">
      <alignment horizontal="center" vertical="center" wrapText="1"/>
    </xf>
    <xf numFmtId="177" fontId="13" fillId="6" borderId="10" xfId="2" applyFont="1" applyFill="1" applyBorder="1" applyAlignment="1">
      <alignment horizontal="center" vertical="center"/>
    </xf>
    <xf numFmtId="177" fontId="13" fillId="6" borderId="23" xfId="2"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2" fillId="0" borderId="78" xfId="0" applyFont="1" applyFill="1" applyBorder="1" applyAlignment="1">
      <alignment horizontal="center" vertical="center" wrapText="1"/>
    </xf>
    <xf numFmtId="0" fontId="2" fillId="0" borderId="118"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177" fontId="13" fillId="6" borderId="53" xfId="2" applyFont="1" applyFill="1" applyBorder="1" applyAlignment="1">
      <alignment horizontal="center" vertical="center"/>
    </xf>
    <xf numFmtId="181" fontId="13" fillId="5" borderId="10" xfId="2" applyNumberFormat="1" applyFont="1" applyFill="1" applyBorder="1" applyAlignment="1">
      <alignment horizontal="center" vertical="center"/>
    </xf>
    <xf numFmtId="181" fontId="13" fillId="5" borderId="23" xfId="2" applyNumberFormat="1" applyFont="1" applyFill="1" applyBorder="1" applyAlignment="1">
      <alignment horizontal="center" vertical="center"/>
    </xf>
    <xf numFmtId="0" fontId="2" fillId="0" borderId="50" xfId="0" applyFont="1" applyBorder="1" applyAlignment="1">
      <alignment horizontal="center" vertical="center" wrapText="1"/>
    </xf>
    <xf numFmtId="0" fontId="3" fillId="0" borderId="4" xfId="0" applyFont="1" applyBorder="1" applyAlignment="1">
      <alignment horizontal="center"/>
    </xf>
    <xf numFmtId="0" fontId="3" fillId="0" borderId="64" xfId="0" applyFont="1" applyBorder="1" applyAlignment="1">
      <alignment horizontal="center" wrapText="1"/>
    </xf>
    <xf numFmtId="177" fontId="13" fillId="6" borderId="54" xfId="2"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2" fillId="0" borderId="84" xfId="0" applyNumberFormat="1" applyFont="1" applyBorder="1" applyAlignment="1">
      <alignment horizontal="center" vertical="center"/>
    </xf>
    <xf numFmtId="3" fontId="2" fillId="0" borderId="83" xfId="0" applyNumberFormat="1" applyFont="1" applyBorder="1" applyAlignment="1">
      <alignment horizontal="center" vertical="center"/>
    </xf>
    <xf numFmtId="3" fontId="2" fillId="0" borderId="71" xfId="0" applyNumberFormat="1" applyFont="1" applyBorder="1" applyAlignment="1">
      <alignment horizontal="center" vertical="center"/>
    </xf>
    <xf numFmtId="0" fontId="3" fillId="0" borderId="105"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2" fillId="0" borderId="84" xfId="0" applyFont="1" applyBorder="1" applyAlignment="1">
      <alignment horizontal="center" vertical="center"/>
    </xf>
    <xf numFmtId="0" fontId="2" fillId="0" borderId="83" xfId="0" applyFont="1" applyBorder="1" applyAlignment="1">
      <alignment horizontal="center" vertical="center"/>
    </xf>
    <xf numFmtId="0" fontId="2" fillId="0" borderId="71" xfId="0" applyFont="1" applyBorder="1" applyAlignment="1">
      <alignment horizontal="center" vertical="center"/>
    </xf>
    <xf numFmtId="0" fontId="3" fillId="0" borderId="119" xfId="0" applyFont="1" applyFill="1" applyBorder="1" applyAlignment="1">
      <alignment horizontal="left" vertical="center"/>
    </xf>
    <xf numFmtId="0" fontId="3" fillId="0" borderId="2" xfId="0" applyFont="1" applyFill="1" applyBorder="1" applyAlignment="1">
      <alignment horizontal="left" vertical="center"/>
    </xf>
    <xf numFmtId="0" fontId="3" fillId="0" borderId="116" xfId="0" applyFont="1" applyFill="1" applyBorder="1" applyAlignment="1">
      <alignment horizontal="left" vertical="center"/>
    </xf>
    <xf numFmtId="0" fontId="3" fillId="0" borderId="27" xfId="0" applyFont="1" applyBorder="1" applyAlignment="1">
      <alignment horizontal="center"/>
    </xf>
    <xf numFmtId="0" fontId="3" fillId="5" borderId="14" xfId="0" applyFont="1" applyFill="1" applyBorder="1" applyAlignment="1">
      <alignment horizontal="center"/>
    </xf>
    <xf numFmtId="0" fontId="3" fillId="5" borderId="16" xfId="0" applyFont="1" applyFill="1" applyBorder="1" applyAlignment="1">
      <alignment horizontal="center"/>
    </xf>
    <xf numFmtId="0" fontId="3" fillId="6" borderId="22" xfId="0" applyFont="1" applyFill="1" applyBorder="1" applyAlignment="1">
      <alignment horizontal="center"/>
    </xf>
    <xf numFmtId="0" fontId="3" fillId="6" borderId="24" xfId="0" applyFont="1" applyFill="1" applyBorder="1" applyAlignment="1">
      <alignment horizontal="center"/>
    </xf>
    <xf numFmtId="0" fontId="3" fillId="0" borderId="67" xfId="0" applyFont="1" applyFill="1" applyBorder="1" applyAlignment="1">
      <alignment horizontal="left" vertical="center"/>
    </xf>
    <xf numFmtId="0" fontId="3" fillId="0" borderId="7" xfId="0" applyFont="1" applyFill="1" applyBorder="1" applyAlignment="1">
      <alignment horizontal="left" vertical="center"/>
    </xf>
    <xf numFmtId="0" fontId="3" fillId="0" borderId="58" xfId="0" applyFont="1" applyFill="1" applyBorder="1" applyAlignment="1">
      <alignment horizontal="left" vertical="center"/>
    </xf>
    <xf numFmtId="177" fontId="13" fillId="6" borderId="12" xfId="2" applyFont="1" applyFill="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0" fillId="5" borderId="9" xfId="0" applyFont="1" applyFill="1" applyBorder="1" applyAlignment="1">
      <alignment horizontal="left" vertical="center"/>
    </xf>
    <xf numFmtId="0" fontId="0" fillId="5" borderId="10" xfId="0" applyFont="1" applyFill="1" applyBorder="1" applyAlignment="1">
      <alignment horizontal="left" vertical="center"/>
    </xf>
    <xf numFmtId="0" fontId="0" fillId="5" borderId="11" xfId="0" applyFont="1" applyFill="1" applyBorder="1" applyAlignment="1">
      <alignment horizontal="left" vertical="center"/>
    </xf>
    <xf numFmtId="0" fontId="7" fillId="0" borderId="56" xfId="0" applyFont="1" applyBorder="1" applyAlignment="1">
      <alignment horizontal="center"/>
    </xf>
    <xf numFmtId="0" fontId="7" fillId="0" borderId="12" xfId="0" applyFont="1" applyBorder="1" applyAlignment="1">
      <alignment horizontal="center"/>
    </xf>
    <xf numFmtId="0" fontId="7" fillId="0" borderId="57" xfId="0" applyFont="1" applyBorder="1" applyAlignment="1">
      <alignment horizont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9" fillId="0" borderId="14"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3" fillId="6" borderId="43" xfId="2" applyNumberFormat="1" applyFont="1" applyFill="1" applyBorder="1" applyAlignment="1">
      <alignment horizontal="center" vertical="center"/>
    </xf>
  </cellXfs>
  <cellStyles count="3">
    <cellStyle name="百分比" xfId="1" builtinId="5"/>
    <cellStyle name="常规" xfId="0" builtinId="0"/>
    <cellStyle name="千位分隔" xfId="2" builtinId="3"/>
  </cellStyles>
  <dxfs count="0"/>
  <tableStyles count="0" defaultTableStyle="TableStyleMedium2" defaultPivotStyle="PivotStyleMedium9"/>
  <colors>
    <mruColors>
      <color rgb="FFFFFF66"/>
      <color rgb="FFEAEAEA"/>
      <color rgb="FF00838A"/>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44</xdr:col>
      <xdr:colOff>285750</xdr:colOff>
      <xdr:row>6</xdr:row>
      <xdr:rowOff>19843</xdr:rowOff>
    </xdr:from>
    <xdr:to>
      <xdr:col>45</xdr:col>
      <xdr:colOff>1583531</xdr:colOff>
      <xdr:row>10</xdr:row>
      <xdr:rowOff>158582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82625" y="1091406"/>
          <a:ext cx="1607344" cy="912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590550</xdr:colOff>
      <xdr:row>8</xdr:row>
      <xdr:rowOff>161925</xdr:rowOff>
    </xdr:from>
    <xdr:to>
      <xdr:col>7</xdr:col>
      <xdr:colOff>266700</xdr:colOff>
      <xdr:row>22</xdr:row>
      <xdr:rowOff>0</xdr:rowOff>
    </xdr:to>
    <xdr:sp macro="" textlink="">
      <xdr:nvSpPr>
        <xdr:cNvPr id="5124" name="Object 4" hidden="1">
          <a:extLst>
            <a:ext uri="{63B3BB69-23CF-44E3-9099-C40C66FF867C}">
              <a14:compatExt xmlns:a14="http://schemas.microsoft.com/office/drawing/2010/main" spid="_x0000_s5124"/>
            </a:ext>
            <a:ext uri="{FF2B5EF4-FFF2-40B4-BE49-F238E27FC236}">
              <a16:creationId xmlns="" xmlns:a16="http://schemas.microsoft.com/office/drawing/2014/main" id="{00000000-0008-0000-0500-0000041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AT46"/>
  <sheetViews>
    <sheetView showGridLines="0" topLeftCell="I4" zoomScale="90" zoomScaleNormal="90" zoomScaleSheetLayoutView="80" workbookViewId="0">
      <selection activeCell="G43" sqref="G43:AQ46"/>
    </sheetView>
  </sheetViews>
  <sheetFormatPr defaultRowHeight="13.5" x14ac:dyDescent="0.15"/>
  <cols>
    <col min="1" max="1" width="3.75" customWidth="1"/>
    <col min="2" max="2" width="4.75" customWidth="1"/>
    <col min="3" max="6" width="5.75" customWidth="1"/>
    <col min="7" max="10" width="4.75" customWidth="1"/>
    <col min="11" max="11" width="2.75" customWidth="1"/>
    <col min="12" max="18" width="1.75" customWidth="1"/>
    <col min="19" max="19" width="2.75" customWidth="1"/>
    <col min="20" max="24" width="5.75" customWidth="1"/>
    <col min="25" max="25" width="5.75" style="53" customWidth="1"/>
    <col min="26" max="26" width="5.75" customWidth="1"/>
    <col min="27" max="27" width="5.75" style="53" customWidth="1"/>
    <col min="28" max="28" width="8.75" customWidth="1"/>
    <col min="29" max="29" width="4.75" customWidth="1"/>
    <col min="30" max="30" width="4.75" style="53" customWidth="1"/>
    <col min="31" max="33" width="5.75" customWidth="1"/>
    <col min="34" max="40" width="4.75" customWidth="1"/>
    <col min="41" max="42" width="2.75" customWidth="1"/>
    <col min="43" max="43" width="4.75" customWidth="1"/>
    <col min="44" max="44" width="12" hidden="1" customWidth="1"/>
    <col min="45" max="45" width="4.75" customWidth="1"/>
    <col min="46" max="46" width="23.875" customWidth="1"/>
    <col min="67" max="67" width="9.125" customWidth="1"/>
  </cols>
  <sheetData>
    <row r="2" spans="2:46" ht="14.25" thickBot="1" x14ac:dyDescent="0.2">
      <c r="B2" s="53"/>
      <c r="C2" s="53"/>
      <c r="D2" s="53"/>
      <c r="E2" s="53"/>
      <c r="F2" s="53"/>
      <c r="G2" s="53"/>
      <c r="H2" s="53"/>
      <c r="I2" s="53"/>
      <c r="J2" s="53"/>
      <c r="K2" s="53"/>
      <c r="L2" s="53"/>
      <c r="M2" s="53"/>
      <c r="N2" s="53"/>
      <c r="O2" s="53"/>
      <c r="P2" s="53"/>
      <c r="Q2" s="53"/>
      <c r="R2" s="53"/>
      <c r="S2" s="53"/>
      <c r="T2" s="53"/>
      <c r="U2" s="53"/>
      <c r="V2" s="53"/>
      <c r="W2" s="53"/>
      <c r="X2" s="53"/>
      <c r="Z2" s="53"/>
      <c r="AB2" s="53"/>
      <c r="AC2" s="53"/>
      <c r="AE2" s="53"/>
      <c r="AF2" s="53"/>
      <c r="AG2" s="53"/>
      <c r="AH2" s="53"/>
      <c r="AI2" s="82"/>
      <c r="AJ2" s="382" t="s">
        <v>0</v>
      </c>
      <c r="AK2" s="382"/>
      <c r="AL2" s="382"/>
      <c r="AM2" s="382"/>
      <c r="AN2" s="382"/>
      <c r="AO2" s="382"/>
      <c r="AP2" s="382"/>
      <c r="AQ2" s="382"/>
      <c r="AR2" s="53"/>
      <c r="AS2" s="53"/>
      <c r="AT2" s="53"/>
    </row>
    <row r="3" spans="2:46" ht="15" customHeight="1" x14ac:dyDescent="0.15">
      <c r="B3" s="383" t="s">
        <v>1</v>
      </c>
      <c r="C3" s="384"/>
      <c r="D3" s="384"/>
      <c r="E3" s="384"/>
      <c r="F3" s="384"/>
      <c r="G3" s="384"/>
      <c r="H3" s="384"/>
      <c r="I3" s="384"/>
      <c r="J3" s="385"/>
      <c r="K3" s="395" t="str">
        <f>VLOOKUP("a",Languages!$A$1:$F$386,VLOOKUP($AM$6,Languages!$C$2:$D$6,2,FALSE),FALSE)</f>
        <v>Cost Break Down (CBD)</v>
      </c>
      <c r="L3" s="396"/>
      <c r="M3" s="396"/>
      <c r="N3" s="396"/>
      <c r="O3" s="396"/>
      <c r="P3" s="396"/>
      <c r="Q3" s="396"/>
      <c r="R3" s="396"/>
      <c r="S3" s="396"/>
      <c r="T3" s="396"/>
      <c r="U3" s="396"/>
      <c r="V3" s="396"/>
      <c r="W3" s="396"/>
      <c r="X3" s="396"/>
      <c r="Y3" s="396"/>
      <c r="Z3" s="396"/>
      <c r="AA3" s="396"/>
      <c r="AB3" s="396"/>
      <c r="AC3" s="396"/>
      <c r="AD3" s="396"/>
      <c r="AE3" s="396"/>
      <c r="AF3" s="396"/>
      <c r="AG3" s="396"/>
      <c r="AH3" s="396"/>
      <c r="AI3" s="397"/>
      <c r="AJ3" s="395" t="str">
        <f>VLOOKUP("b",Languages!$A$1:$F$386,VLOOKUP($AM$6,Languages!$C$2:$D$6,2,FALSE),FALSE)</f>
        <v>Summary</v>
      </c>
      <c r="AK3" s="396"/>
      <c r="AL3" s="396"/>
      <c r="AM3" s="396"/>
      <c r="AN3" s="396"/>
      <c r="AO3" s="396"/>
      <c r="AP3" s="396"/>
      <c r="AQ3" s="397"/>
      <c r="AR3" s="53"/>
      <c r="AS3" s="53"/>
      <c r="AT3" s="53"/>
    </row>
    <row r="4" spans="2:46" ht="15" customHeight="1" thickBot="1" x14ac:dyDescent="0.2">
      <c r="B4" s="386"/>
      <c r="C4" s="387"/>
      <c r="D4" s="387"/>
      <c r="E4" s="387"/>
      <c r="F4" s="387"/>
      <c r="G4" s="387"/>
      <c r="H4" s="387"/>
      <c r="I4" s="387"/>
      <c r="J4" s="388"/>
      <c r="K4" s="398"/>
      <c r="L4" s="399"/>
      <c r="M4" s="399"/>
      <c r="N4" s="399"/>
      <c r="O4" s="399"/>
      <c r="P4" s="399"/>
      <c r="Q4" s="399"/>
      <c r="R4" s="399"/>
      <c r="S4" s="399"/>
      <c r="T4" s="399"/>
      <c r="U4" s="399"/>
      <c r="V4" s="399"/>
      <c r="W4" s="399"/>
      <c r="X4" s="399"/>
      <c r="Y4" s="399"/>
      <c r="Z4" s="399"/>
      <c r="AA4" s="399"/>
      <c r="AB4" s="399"/>
      <c r="AC4" s="399"/>
      <c r="AD4" s="399"/>
      <c r="AE4" s="399"/>
      <c r="AF4" s="399"/>
      <c r="AG4" s="399"/>
      <c r="AH4" s="399"/>
      <c r="AI4" s="400"/>
      <c r="AJ4" s="401"/>
      <c r="AK4" s="402"/>
      <c r="AL4" s="402"/>
      <c r="AM4" s="402"/>
      <c r="AN4" s="402"/>
      <c r="AO4" s="402"/>
      <c r="AP4" s="402"/>
      <c r="AQ4" s="403"/>
      <c r="AR4" s="53"/>
      <c r="AS4" s="53"/>
      <c r="AT4" s="53"/>
    </row>
    <row r="5" spans="2:46" ht="9.75" customHeight="1" thickBot="1" x14ac:dyDescent="0.2">
      <c r="B5" s="386"/>
      <c r="C5" s="387"/>
      <c r="D5" s="387"/>
      <c r="E5" s="387"/>
      <c r="F5" s="387"/>
      <c r="G5" s="387"/>
      <c r="H5" s="387"/>
      <c r="I5" s="387"/>
      <c r="J5" s="388"/>
      <c r="K5" s="398"/>
      <c r="L5" s="399"/>
      <c r="M5" s="399"/>
      <c r="N5" s="399"/>
      <c r="O5" s="399"/>
      <c r="P5" s="399"/>
      <c r="Q5" s="399"/>
      <c r="R5" s="399"/>
      <c r="S5" s="399"/>
      <c r="T5" s="399"/>
      <c r="U5" s="399"/>
      <c r="V5" s="399"/>
      <c r="W5" s="399"/>
      <c r="X5" s="399"/>
      <c r="Y5" s="399"/>
      <c r="Z5" s="399"/>
      <c r="AA5" s="399"/>
      <c r="AB5" s="399"/>
      <c r="AC5" s="399"/>
      <c r="AD5" s="399"/>
      <c r="AE5" s="399"/>
      <c r="AF5" s="399"/>
      <c r="AG5" s="399"/>
      <c r="AH5" s="399"/>
      <c r="AI5" s="400"/>
      <c r="AJ5" s="53"/>
      <c r="AK5" s="242"/>
      <c r="AL5" s="292" t="s">
        <v>2</v>
      </c>
      <c r="AM5" s="417" t="s">
        <v>3</v>
      </c>
      <c r="AN5" s="418"/>
      <c r="AO5" s="418"/>
      <c r="AP5" s="418"/>
      <c r="AQ5" s="419"/>
      <c r="AR5" s="53" t="str">
        <f>"This Siemens CBD AddIn is only compatible with Siemens CBD Excel Template v"&amp;AM5</f>
        <v>This Siemens CBD AddIn is only compatible with Siemens CBD Excel Template v2.1</v>
      </c>
      <c r="AS5" s="53"/>
      <c r="AT5" s="53"/>
    </row>
    <row r="6" spans="2:46" ht="14.25" customHeight="1" thickBot="1" x14ac:dyDescent="0.2">
      <c r="B6" s="386"/>
      <c r="C6" s="387"/>
      <c r="D6" s="387"/>
      <c r="E6" s="387"/>
      <c r="F6" s="387"/>
      <c r="G6" s="387"/>
      <c r="H6" s="387"/>
      <c r="I6" s="387"/>
      <c r="J6" s="388"/>
      <c r="K6" s="401"/>
      <c r="L6" s="402"/>
      <c r="M6" s="402"/>
      <c r="N6" s="402"/>
      <c r="O6" s="402"/>
      <c r="P6" s="402"/>
      <c r="Q6" s="402"/>
      <c r="R6" s="402"/>
      <c r="S6" s="402"/>
      <c r="T6" s="402"/>
      <c r="U6" s="402"/>
      <c r="V6" s="402"/>
      <c r="W6" s="402"/>
      <c r="X6" s="402"/>
      <c r="Y6" s="402"/>
      <c r="Z6" s="402"/>
      <c r="AA6" s="402"/>
      <c r="AB6" s="402"/>
      <c r="AC6" s="402"/>
      <c r="AD6" s="402"/>
      <c r="AE6" s="402"/>
      <c r="AF6" s="402"/>
      <c r="AG6" s="402"/>
      <c r="AH6" s="402"/>
      <c r="AI6" s="403"/>
      <c r="AJ6" s="304"/>
      <c r="AK6" s="239"/>
      <c r="AL6" s="247" t="s">
        <v>4</v>
      </c>
      <c r="AM6" s="392" t="s">
        <v>5</v>
      </c>
      <c r="AN6" s="393"/>
      <c r="AO6" s="393"/>
      <c r="AP6" s="393"/>
      <c r="AQ6" s="394"/>
      <c r="AR6" s="53"/>
      <c r="AS6" s="53"/>
      <c r="AT6" s="349" t="s">
        <v>6</v>
      </c>
    </row>
    <row r="7" spans="2:46" x14ac:dyDescent="0.15">
      <c r="B7" s="386"/>
      <c r="C7" s="387"/>
      <c r="D7" s="387"/>
      <c r="E7" s="387"/>
      <c r="F7" s="387"/>
      <c r="G7" s="387"/>
      <c r="H7" s="387"/>
      <c r="I7" s="387"/>
      <c r="J7" s="388"/>
      <c r="K7" s="60"/>
      <c r="L7" s="48" t="str">
        <f>VLOOKUP("0.1",Languages!$A$10:$F$111,VLOOKUP($AM$6,Languages!$C$2:$D$6,2,FALSE),FALSE)</f>
        <v>Supplier</v>
      </c>
      <c r="M7" s="58"/>
      <c r="N7" s="58"/>
      <c r="O7" s="58"/>
      <c r="P7" s="58"/>
      <c r="Q7" s="58"/>
      <c r="R7" s="58"/>
      <c r="S7" s="58"/>
      <c r="T7" s="58"/>
      <c r="U7" s="406" t="s">
        <v>1165</v>
      </c>
      <c r="V7" s="407"/>
      <c r="W7" s="407"/>
      <c r="X7" s="407"/>
      <c r="Y7" s="407"/>
      <c r="Z7" s="407"/>
      <c r="AA7" s="427"/>
      <c r="AB7" s="266"/>
      <c r="AC7" s="485" t="str">
        <f>VLOOKUP("0.01",Languages!$A$10:$F$111,VLOOKUP($AM$6,Languages!$C$2:$D$6,2,FALSE),FALSE)</f>
        <v>Field</v>
      </c>
      <c r="AD7" s="485"/>
      <c r="AE7" s="54"/>
      <c r="AF7" s="48" t="str">
        <f>VLOOKUP("0.5",Languages!$A$10:$F$111,VLOOKUP($AM$6,Languages!$C$2:$D$6,2,FALSE),FALSE)</f>
        <v>Project</v>
      </c>
      <c r="AG7" s="199"/>
      <c r="AH7" s="54"/>
      <c r="AI7" s="54"/>
      <c r="AJ7" s="406"/>
      <c r="AK7" s="407"/>
      <c r="AL7" s="407"/>
      <c r="AM7" s="407"/>
      <c r="AN7" s="407"/>
      <c r="AO7" s="407"/>
      <c r="AP7" s="407"/>
      <c r="AQ7" s="408"/>
      <c r="AR7" s="357" t="str">
        <f>AF7&amp;": "&amp;AJ7&amp;"  
  "&amp;AF10&amp;": "&amp;AJ10&amp;"   
 "&amp;L8&amp;": "&amp;U8&amp;" 
   "&amp;L9&amp;": "&amp;U9&amp;"   
 "&amp;L10&amp;": "&amp;U10&amp;" 
   "&amp;C16&amp;": "&amp;G16&amp;"  
  "&amp;C17&amp;": "&amp;G17&amp;" 
   "&amp;C24&amp;": "&amp;G24&amp;"  
  "&amp;C25&amp;": "&amp;G25&amp;"  
  "&amp;C26&amp;": "&amp;G26&amp;"  
  "&amp;C27&amp;": "&amp;G27&amp;"  
  "&amp;C28&amp;": "&amp;G28&amp;"   
 "&amp;C29&amp;": "&amp;G29</f>
        <v xml:space="preserve">Project:   
  Quotation date:    
 Contact person: Vicky Wang (王东芳) 
   E-Mail: wangdongfang@bjghrc.com   
 Telephone: 8618511780380 
   Manufacturing lots:   
  Production site:  
   Part number Revision:   
  Quotation Number:   
  :   
  :   
  :    
 : </v>
      </c>
      <c r="AS7" s="53"/>
      <c r="AT7" s="53"/>
    </row>
    <row r="8" spans="2:46" x14ac:dyDescent="0.15">
      <c r="B8" s="386"/>
      <c r="C8" s="387"/>
      <c r="D8" s="387"/>
      <c r="E8" s="387"/>
      <c r="F8" s="387"/>
      <c r="G8" s="387"/>
      <c r="H8" s="387"/>
      <c r="I8" s="387"/>
      <c r="J8" s="388"/>
      <c r="K8" s="60"/>
      <c r="L8" s="49" t="str">
        <f>VLOOKUP("0.2",Languages!$A$10:$F$111,VLOOKUP($AM$6,Languages!$C$2:$D$6,2,FALSE),FALSE)</f>
        <v>Contact person</v>
      </c>
      <c r="M8" s="7"/>
      <c r="N8" s="7"/>
      <c r="O8" s="7"/>
      <c r="P8" s="7"/>
      <c r="Q8" s="7"/>
      <c r="R8" s="7"/>
      <c r="S8" s="7"/>
      <c r="T8" s="7"/>
      <c r="U8" s="409" t="s">
        <v>1166</v>
      </c>
      <c r="V8" s="410"/>
      <c r="W8" s="410"/>
      <c r="X8" s="410"/>
      <c r="Y8" s="410"/>
      <c r="Z8" s="410"/>
      <c r="AA8" s="428"/>
      <c r="AB8" s="267"/>
      <c r="AC8" s="486" t="str">
        <f>VLOOKUP("0.02",Languages!$A$10:$F$111,VLOOKUP($AM$6,Languages!$C$2:$D$6,2,FALSE),FALSE)</f>
        <v>mandatory</v>
      </c>
      <c r="AD8" s="487"/>
      <c r="AE8" s="54"/>
      <c r="AF8" s="49" t="str">
        <f>VLOOKUP("0.6",Languages!$A$10:$F$111,VLOOKUP($AM$6,Languages!$C$2:$D$6,2,FALSE),FALSE)</f>
        <v>Part number</v>
      </c>
      <c r="AG8" s="6"/>
      <c r="AH8" s="6"/>
      <c r="AI8" s="6"/>
      <c r="AJ8" s="409"/>
      <c r="AK8" s="410"/>
      <c r="AL8" s="410"/>
      <c r="AM8" s="410"/>
      <c r="AN8" s="410"/>
      <c r="AO8" s="410"/>
      <c r="AP8" s="410"/>
      <c r="AQ8" s="411"/>
      <c r="AR8" s="53"/>
      <c r="AS8" s="53"/>
      <c r="AT8" s="53"/>
    </row>
    <row r="9" spans="2:46" x14ac:dyDescent="0.15">
      <c r="B9" s="386"/>
      <c r="C9" s="387"/>
      <c r="D9" s="387"/>
      <c r="E9" s="387"/>
      <c r="F9" s="387"/>
      <c r="G9" s="387"/>
      <c r="H9" s="387"/>
      <c r="I9" s="387"/>
      <c r="J9" s="388"/>
      <c r="K9" s="60"/>
      <c r="L9" s="49" t="str">
        <f>VLOOKUP("0.3",Languages!$A$10:$F$111,VLOOKUP($AM$6,Languages!$C$2:$D$6,2,FALSE),FALSE)</f>
        <v>E-Mail</v>
      </c>
      <c r="M9" s="7"/>
      <c r="N9" s="7"/>
      <c r="O9" s="7"/>
      <c r="P9" s="7"/>
      <c r="Q9" s="7"/>
      <c r="R9" s="7"/>
      <c r="S9" s="7"/>
      <c r="T9" s="7"/>
      <c r="U9" s="409" t="s">
        <v>1167</v>
      </c>
      <c r="V9" s="410"/>
      <c r="W9" s="410"/>
      <c r="X9" s="410"/>
      <c r="Y9" s="410"/>
      <c r="Z9" s="410"/>
      <c r="AA9" s="428"/>
      <c r="AB9" s="267"/>
      <c r="AC9" s="488" t="str">
        <f>VLOOKUP("0.03",Languages!$A$10:$F$111,VLOOKUP($AM$6,Languages!$C$2:$D$6,2,FALSE),FALSE)</f>
        <v>optional</v>
      </c>
      <c r="AD9" s="489"/>
      <c r="AE9" s="54"/>
      <c r="AF9" s="49" t="str">
        <f>VLOOKUP("0.7",Languages!$A$10:$F$111,VLOOKUP($AM$6,Languages!$C$2:$D$6,2,FALSE),FALSE)</f>
        <v>Part name</v>
      </c>
      <c r="AG9" s="6"/>
      <c r="AH9" s="6"/>
      <c r="AI9" s="6"/>
      <c r="AJ9" s="409"/>
      <c r="AK9" s="410"/>
      <c r="AL9" s="410"/>
      <c r="AM9" s="410"/>
      <c r="AN9" s="410"/>
      <c r="AO9" s="410"/>
      <c r="AP9" s="410"/>
      <c r="AQ9" s="411"/>
      <c r="AR9" s="53"/>
      <c r="AS9" s="53"/>
      <c r="AT9" s="53"/>
    </row>
    <row r="10" spans="2:46" ht="14.25" thickBot="1" x14ac:dyDescent="0.2">
      <c r="B10" s="389"/>
      <c r="C10" s="390"/>
      <c r="D10" s="390"/>
      <c r="E10" s="390"/>
      <c r="F10" s="390"/>
      <c r="G10" s="390"/>
      <c r="H10" s="390"/>
      <c r="I10" s="390"/>
      <c r="J10" s="391"/>
      <c r="K10" s="61"/>
      <c r="L10" s="50" t="str">
        <f>VLOOKUP("0.4",Languages!$A$10:$F$111,VLOOKUP($AM$6,Languages!$C$2:$D$6,2,FALSE),FALSE)</f>
        <v>Telephone</v>
      </c>
      <c r="M10" s="2"/>
      <c r="N10" s="2"/>
      <c r="O10" s="2"/>
      <c r="P10" s="2"/>
      <c r="Q10" s="2"/>
      <c r="R10" s="2"/>
      <c r="S10" s="2"/>
      <c r="T10" s="2"/>
      <c r="U10" s="429">
        <v>8618511780380</v>
      </c>
      <c r="V10" s="430"/>
      <c r="W10" s="430"/>
      <c r="X10" s="430"/>
      <c r="Y10" s="430"/>
      <c r="Z10" s="430"/>
      <c r="AA10" s="431"/>
      <c r="AB10" s="268"/>
      <c r="AC10" s="490" t="str">
        <f>VLOOKUP("0.04",Languages!$A$10:$F$111,VLOOKUP($AM$6,Languages!$C$2:$D$6,2,FALSE),FALSE)</f>
        <v>calculated</v>
      </c>
      <c r="AD10" s="491"/>
      <c r="AE10" s="62"/>
      <c r="AF10" s="50" t="str">
        <f>VLOOKUP("0.8",Languages!$A$10:$F$111,VLOOKUP($AM$6,Languages!$C$2:$D$6,2,FALSE),FALSE)</f>
        <v>Quotation date</v>
      </c>
      <c r="AG10" s="201"/>
      <c r="AH10" s="62"/>
      <c r="AI10" s="62"/>
      <c r="AJ10" s="420"/>
      <c r="AK10" s="421"/>
      <c r="AL10" s="421"/>
      <c r="AM10" s="421"/>
      <c r="AN10" s="421"/>
      <c r="AO10" s="421"/>
      <c r="AP10" s="421"/>
      <c r="AQ10" s="422"/>
      <c r="AR10" s="53"/>
      <c r="AS10" s="53"/>
      <c r="AT10" s="53"/>
    </row>
    <row r="11" spans="2:46" ht="14.25" thickBot="1" x14ac:dyDescent="0.2">
      <c r="B11" s="55"/>
      <c r="C11" s="55"/>
      <c r="D11" s="55"/>
      <c r="E11" s="55"/>
      <c r="F11" s="55"/>
      <c r="G11" s="55"/>
      <c r="H11" s="53"/>
      <c r="I11" s="53"/>
      <c r="J11" s="53"/>
      <c r="K11" s="53"/>
      <c r="L11" s="53"/>
      <c r="M11" s="53"/>
      <c r="N11" s="53"/>
      <c r="O11" s="53"/>
      <c r="P11" s="53"/>
      <c r="Q11" s="53"/>
      <c r="R11" s="53"/>
      <c r="S11" s="56"/>
      <c r="T11" s="56"/>
      <c r="U11" s="56"/>
      <c r="V11" s="53"/>
      <c r="W11" s="53"/>
      <c r="X11" s="53"/>
      <c r="Z11" s="53"/>
      <c r="AB11" s="53"/>
      <c r="AC11" s="53"/>
      <c r="AE11" s="423"/>
      <c r="AF11" s="423"/>
      <c r="AG11" s="423"/>
      <c r="AH11" s="423"/>
      <c r="AI11" s="423"/>
      <c r="AJ11" s="53"/>
      <c r="AK11" s="53"/>
      <c r="AL11" s="53"/>
      <c r="AM11" s="53"/>
      <c r="AN11" s="53"/>
      <c r="AO11" s="53"/>
      <c r="AP11" s="53"/>
      <c r="AQ11" s="53"/>
      <c r="AR11" s="53"/>
      <c r="AS11" s="53"/>
      <c r="AT11" s="53"/>
    </row>
    <row r="12" spans="2:46" x14ac:dyDescent="0.15">
      <c r="B12" s="4" t="str">
        <f>VLOOKUP("0.9",Languages!$A$10:$F$111,VLOOKUP($AM$6,Languages!$C$2:$D$6,2,FALSE),FALSE)</f>
        <v>Premises</v>
      </c>
      <c r="C12" s="67"/>
      <c r="D12" s="67"/>
      <c r="E12" s="67"/>
      <c r="F12" s="67"/>
      <c r="G12" s="67"/>
      <c r="H12" s="67"/>
      <c r="I12" s="68"/>
      <c r="J12" s="53"/>
      <c r="K12" s="63"/>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3"/>
      <c r="AR12" s="53"/>
      <c r="AS12" s="53"/>
      <c r="AT12" s="53"/>
    </row>
    <row r="13" spans="2:46" x14ac:dyDescent="0.15">
      <c r="B13" s="60"/>
      <c r="C13" s="54"/>
      <c r="D13" s="54"/>
      <c r="E13" s="54"/>
      <c r="F13" s="54"/>
      <c r="G13" s="54"/>
      <c r="H13" s="54"/>
      <c r="I13" s="65"/>
      <c r="J13" s="53"/>
      <c r="K13" s="329"/>
      <c r="L13" s="73"/>
      <c r="M13" s="73"/>
      <c r="N13" s="73"/>
      <c r="O13" s="73"/>
      <c r="P13" s="73"/>
      <c r="Q13" s="73"/>
      <c r="R13" s="73"/>
      <c r="S13" s="73"/>
      <c r="T13" s="69"/>
      <c r="U13" s="69"/>
      <c r="V13" s="69"/>
      <c r="W13" s="69"/>
      <c r="X13" s="54"/>
      <c r="Y13" s="54"/>
      <c r="Z13" s="54"/>
      <c r="AA13" s="54"/>
      <c r="AB13" s="53"/>
      <c r="AC13" s="121">
        <f>G18</f>
        <v>0</v>
      </c>
      <c r="AD13" s="95" t="str">
        <f>VLOOKUP(13.3,Languages!$A$10:$F$111,VLOOKUP($AM$6,Languages!$C$2:$D$6,2,FALSE),FALSE)</f>
        <v>/unit</v>
      </c>
      <c r="AE13" s="69"/>
      <c r="AF13" s="59"/>
      <c r="AG13" s="54"/>
      <c r="AH13" s="18">
        <f>G18</f>
        <v>0</v>
      </c>
      <c r="AI13" s="98" t="str">
        <f>VLOOKUP(13.3,Languages!$A$10:$F$111,VLOOKUP($AM$6,Languages!$C$2:$D$6,2,FALSE),FALSE)</f>
        <v>/unit</v>
      </c>
      <c r="AJ13" s="69"/>
      <c r="AK13" s="416" t="s">
        <v>7</v>
      </c>
      <c r="AL13" s="416"/>
      <c r="AM13" s="18">
        <f>G18</f>
        <v>0</v>
      </c>
      <c r="AN13" s="98" t="str">
        <f>VLOOKUP(13.3,Languages!$A$10:$F$111,VLOOKUP($AM$6,Languages!$C$2:$D$6,2,FALSE),FALSE)</f>
        <v>/unit</v>
      </c>
      <c r="AO13" s="54"/>
      <c r="AP13" s="416" t="str">
        <f>VLOOKUP("0.25",Languages!$A$10:$F$111,VLOOKUP($AM$6,Languages!$C$2:$D$6,2,FALSE),FALSE)</f>
        <v>Fraction</v>
      </c>
      <c r="AQ13" s="426"/>
      <c r="AR13" s="53"/>
      <c r="AS13" s="53"/>
      <c r="AT13" s="53"/>
    </row>
    <row r="14" spans="2:46" x14ac:dyDescent="0.15">
      <c r="B14" s="5"/>
      <c r="C14" s="424" t="str">
        <f>VLOOKUP("0.10",Languages!$A$10:$F$111,VLOOKUP($AM$6,Languages!$C$2:$D$6,2,FALSE),FALSE)</f>
        <v>Project time (years)</v>
      </c>
      <c r="D14" s="424"/>
      <c r="E14" s="424"/>
      <c r="F14" s="425"/>
      <c r="G14" s="434"/>
      <c r="H14" s="435"/>
      <c r="I14" s="436"/>
      <c r="J14" s="53"/>
      <c r="K14" s="329"/>
      <c r="L14" s="259"/>
      <c r="M14" s="259"/>
      <c r="N14" s="259"/>
      <c r="O14" s="259"/>
      <c r="P14" s="259"/>
      <c r="Q14" s="259"/>
      <c r="R14" s="259"/>
      <c r="S14" s="73">
        <v>1</v>
      </c>
      <c r="T14" s="69" t="str">
        <f>VLOOKUP(S14,Languages!$A$10:$F$111,VLOOKUP($AM$6,Languages!$C$2:$D$6,2,FALSE),FALSE)</f>
        <v>Direct material costs</v>
      </c>
      <c r="U14" s="54"/>
      <c r="V14" s="69"/>
      <c r="W14" s="54"/>
      <c r="X14" s="54" t="s">
        <v>1233</v>
      </c>
      <c r="Y14" s="54"/>
      <c r="Z14" s="53"/>
      <c r="AB14" s="229" t="str">
        <f>VLOOKUP(1.1,Languages!$A$10:$F$111,VLOOKUP($AM$6,Languages!$C$2:$D$6,2,FALSE),FALSE)</f>
        <v>Raw materials</v>
      </c>
      <c r="AC14" s="437">
        <f ca="1">'Material (1,2,3)'!AN50</f>
        <v>0</v>
      </c>
      <c r="AD14" s="438"/>
      <c r="AE14" s="54"/>
      <c r="AF14" s="54"/>
      <c r="AG14" s="11" t="str">
        <f>VLOOKUP(1.2,Languages!$A$10:$F$111,VLOOKUP($AM$6,Languages!$C$2:$D$6,2,FALSE),FALSE)</f>
        <v>Purchased parts</v>
      </c>
      <c r="AH14" s="437" t="e">
        <f ca="1">'Material (1,2,3)'!AN51</f>
        <v>#VALUE!</v>
      </c>
      <c r="AI14" s="438"/>
      <c r="AJ14" s="69"/>
      <c r="AK14" s="54"/>
      <c r="AL14" s="54"/>
      <c r="AM14" s="404" t="e">
        <f>'Material (1,2,3)'!AN49</f>
        <v>#VALUE!</v>
      </c>
      <c r="AN14" s="405"/>
      <c r="AO14" s="54"/>
      <c r="AP14" s="412" t="e">
        <f>IF(AM14=0,0,AM14/$AM$34)</f>
        <v>#VALUE!</v>
      </c>
      <c r="AQ14" s="413"/>
      <c r="AR14" s="53"/>
      <c r="AS14" s="53"/>
      <c r="AT14" s="53"/>
    </row>
    <row r="15" spans="2:46" x14ac:dyDescent="0.15">
      <c r="B15" s="5"/>
      <c r="C15" s="432" t="str">
        <f>VLOOKUP("0.11",Languages!$A$10:$F$111,VLOOKUP($AM$6,Languages!$C$2:$D$6,2,FALSE),FALSE)</f>
        <v>Annual quantity</v>
      </c>
      <c r="D15" s="432"/>
      <c r="E15" s="432"/>
      <c r="F15" s="433"/>
      <c r="G15" s="446"/>
      <c r="H15" s="447"/>
      <c r="I15" s="448"/>
      <c r="J15" s="53"/>
      <c r="K15" s="329"/>
      <c r="L15" s="259"/>
      <c r="M15" s="259"/>
      <c r="N15" s="259"/>
      <c r="O15" s="259"/>
      <c r="P15" s="259"/>
      <c r="Q15" s="259"/>
      <c r="R15" s="259"/>
      <c r="S15" s="73">
        <v>2</v>
      </c>
      <c r="T15" s="76" t="str">
        <f>VLOOKUP(S15,Languages!$A$10:$F$111,VLOOKUP($AM$6,Languages!$C$2:$D$6,2,FALSE),FALSE)</f>
        <v>Material overhead</v>
      </c>
      <c r="U15" s="89"/>
      <c r="V15" s="76"/>
      <c r="W15" s="89"/>
      <c r="X15" s="89" t="s">
        <v>1234</v>
      </c>
      <c r="Y15" s="89"/>
      <c r="Z15" s="76"/>
      <c r="AA15" s="80"/>
      <c r="AB15" s="69"/>
      <c r="AC15" s="69">
        <f>G18</f>
        <v>0</v>
      </c>
      <c r="AD15" s="95" t="str">
        <f>VLOOKUP(13.3,Languages!$A$10:$F$111,VLOOKUP($AM$6,Languages!$C$2:$D$6,2,FALSE),FALSE)</f>
        <v>/unit</v>
      </c>
      <c r="AE15" s="76"/>
      <c r="AF15" s="76"/>
      <c r="AG15" s="81"/>
      <c r="AH15" s="53">
        <f>G18</f>
        <v>0</v>
      </c>
      <c r="AI15" s="95" t="str">
        <f>VLOOKUP(13.3,Languages!$A$10:$F$111,VLOOKUP($AM$6,Languages!$C$2:$D$6,2,FALSE),FALSE)</f>
        <v>/unit</v>
      </c>
      <c r="AJ15" s="208"/>
      <c r="AK15" s="414" t="e">
        <f>IF(AM14=0,0,AM15/AM14)</f>
        <v>#VALUE!</v>
      </c>
      <c r="AL15" s="415"/>
      <c r="AM15" s="404" t="e">
        <f>'Material (1,2,3)'!AR49</f>
        <v>#VALUE!</v>
      </c>
      <c r="AN15" s="405"/>
      <c r="AO15" s="54"/>
      <c r="AP15" s="412" t="e">
        <f>IF(AM15=0,0,AM15/$AM$34)</f>
        <v>#VALUE!</v>
      </c>
      <c r="AQ15" s="413"/>
      <c r="AR15" s="53"/>
      <c r="AS15" s="53"/>
      <c r="AT15" s="53"/>
    </row>
    <row r="16" spans="2:46" x14ac:dyDescent="0.15">
      <c r="B16" s="5"/>
      <c r="C16" s="432" t="str">
        <f>VLOOKUP("0.12",Languages!$A$10:$F$111,VLOOKUP($AM$6,Languages!$C$2:$D$6,2,FALSE),FALSE)</f>
        <v>Manufacturing lots</v>
      </c>
      <c r="D16" s="432"/>
      <c r="E16" s="432"/>
      <c r="F16" s="433"/>
      <c r="G16" s="434"/>
      <c r="H16" s="435"/>
      <c r="I16" s="436"/>
      <c r="J16" s="53"/>
      <c r="K16" s="329"/>
      <c r="L16" s="259"/>
      <c r="M16" s="259"/>
      <c r="N16" s="259"/>
      <c r="O16" s="259"/>
      <c r="P16" s="259"/>
      <c r="Q16" s="259"/>
      <c r="R16" s="259"/>
      <c r="S16" s="73">
        <v>5</v>
      </c>
      <c r="T16" s="72" t="str">
        <f>VLOOKUP(S16,Languages!$A$10:$F$111,VLOOKUP($AM$6,Languages!$C$2:$D$6,2,FALSE),FALSE)</f>
        <v>Material costs</v>
      </c>
      <c r="U16" s="57"/>
      <c r="V16" s="72" t="s">
        <v>1235</v>
      </c>
      <c r="W16" s="57"/>
      <c r="X16" s="72" t="s">
        <v>8</v>
      </c>
      <c r="Y16" s="72"/>
      <c r="Z16" s="57"/>
      <c r="AA16" s="57"/>
      <c r="AB16" s="44" t="str">
        <f>VLOOKUP(3,Languages!$A$10:$F$111,VLOOKUP($AM$6,Languages!$C$2:$D$6,2,FALSE),FALSE)</f>
        <v>3  Material scrap</v>
      </c>
      <c r="AC16" s="437">
        <f>'Material (1,2,3)'!AT49</f>
        <v>0</v>
      </c>
      <c r="AD16" s="438"/>
      <c r="AE16" s="72"/>
      <c r="AF16" s="57"/>
      <c r="AG16" s="207" t="str">
        <f>VLOOKUP(4,Languages!$A$10:$F$111,VLOOKUP($AM$6,Languages!$C$2:$D$6,2,FALSE),FALSE)</f>
        <v>4  Interest material</v>
      </c>
      <c r="AH16" s="449">
        <v>0</v>
      </c>
      <c r="AI16" s="450"/>
      <c r="AJ16" s="271" t="str">
        <f>VLOOKUP(13.2,Languages!$A$10:$F$111,VLOOKUP($AM$6,Languages!$C$2:$D$6,2,FALSE),FALSE)</f>
        <v>&lt;-- fill in</v>
      </c>
      <c r="AK16" s="57"/>
      <c r="AL16" s="209"/>
      <c r="AM16" s="404" t="e">
        <f>SUM(AM14+AM15+AH16+AC16)</f>
        <v>#VALUE!</v>
      </c>
      <c r="AN16" s="405"/>
      <c r="AO16" s="54"/>
      <c r="AP16" s="412" t="e">
        <f>IF(AM16=0,0,AM16/$AM$34)</f>
        <v>#VALUE!</v>
      </c>
      <c r="AQ16" s="413"/>
      <c r="AR16" s="53"/>
      <c r="AS16" s="53"/>
      <c r="AT16" s="53"/>
    </row>
    <row r="17" spans="2:43" x14ac:dyDescent="0.15">
      <c r="B17" s="5"/>
      <c r="C17" s="432" t="str">
        <f>VLOOKUP("0.13",Languages!$A$10:$F$111,VLOOKUP($AM$6,Languages!$C$2:$D$6,2,FALSE),FALSE)</f>
        <v>Production site</v>
      </c>
      <c r="D17" s="432"/>
      <c r="E17" s="432"/>
      <c r="F17" s="433"/>
      <c r="G17" s="439"/>
      <c r="H17" s="440"/>
      <c r="I17" s="441"/>
      <c r="J17" s="53"/>
      <c r="K17" s="329"/>
      <c r="L17" s="73"/>
      <c r="M17" s="259"/>
      <c r="N17" s="73"/>
      <c r="O17" s="259"/>
      <c r="P17" s="73"/>
      <c r="Q17" s="259"/>
      <c r="R17" s="73"/>
      <c r="S17" s="73"/>
      <c r="T17" s="69"/>
      <c r="U17" s="54"/>
      <c r="V17" s="69"/>
      <c r="W17" s="54"/>
      <c r="X17" s="54"/>
      <c r="Y17" s="54"/>
      <c r="Z17" s="69"/>
      <c r="AA17" s="69"/>
      <c r="AB17" s="69"/>
      <c r="AC17" s="69"/>
      <c r="AD17" s="69"/>
      <c r="AE17" s="69"/>
      <c r="AF17" s="69"/>
      <c r="AG17" s="54"/>
      <c r="AH17" s="69"/>
      <c r="AI17" s="69"/>
      <c r="AJ17" s="69"/>
      <c r="AK17" s="54"/>
      <c r="AL17" s="85"/>
      <c r="AM17" s="91"/>
      <c r="AN17" s="91"/>
      <c r="AO17" s="54"/>
      <c r="AP17" s="88"/>
      <c r="AQ17" s="223"/>
    </row>
    <row r="18" spans="2:43" x14ac:dyDescent="0.15">
      <c r="B18" s="60"/>
      <c r="C18" s="432" t="str">
        <f>VLOOKUP("0.14",Languages!$A$10:$F$111,VLOOKUP($AM$6,Languages!$C$2:$D$6,2,FALSE),FALSE)</f>
        <v>Quotation currency</v>
      </c>
      <c r="D18" s="432"/>
      <c r="E18" s="432"/>
      <c r="F18" s="433"/>
      <c r="G18" s="434"/>
      <c r="H18" s="435"/>
      <c r="I18" s="436"/>
      <c r="J18" s="53"/>
      <c r="K18" s="329"/>
      <c r="L18" s="259"/>
      <c r="M18" s="259"/>
      <c r="N18" s="259"/>
      <c r="O18" s="259"/>
      <c r="P18" s="259"/>
      <c r="Q18" s="259"/>
      <c r="R18" s="259"/>
      <c r="S18" s="73">
        <v>6</v>
      </c>
      <c r="T18" s="73" t="str">
        <f>VLOOKUP(S18,Languages!$A$10:$F$111,VLOOKUP($AM$6,Languages!$C$2:$D$6,2,FALSE),FALSE)</f>
        <v>Direct labor</v>
      </c>
      <c r="U18" s="54"/>
      <c r="V18" s="69" t="s">
        <v>1236</v>
      </c>
      <c r="W18" s="54"/>
      <c r="X18" s="54"/>
      <c r="Y18" s="54"/>
      <c r="Z18" s="69"/>
      <c r="AA18" s="69"/>
      <c r="AB18" s="69"/>
      <c r="AC18" s="69"/>
      <c r="AD18" s="69"/>
      <c r="AE18" s="69"/>
      <c r="AF18" s="69"/>
      <c r="AG18" s="54"/>
      <c r="AH18" s="69">
        <f>G18</f>
        <v>0</v>
      </c>
      <c r="AI18" s="95" t="str">
        <f>VLOOKUP(13.3,Languages!$A$10:$F$111,VLOOKUP($AM$6,Languages!$C$2:$D$6,2,FALSE),FALSE)</f>
        <v>/unit</v>
      </c>
      <c r="AJ18" s="69"/>
      <c r="AK18" s="54"/>
      <c r="AL18" s="210"/>
      <c r="AM18" s="404" t="e">
        <f>'Manufacturing (6,7,8,9)'!BB48</f>
        <v>#VALUE!</v>
      </c>
      <c r="AN18" s="405"/>
      <c r="AO18" s="54"/>
      <c r="AP18" s="412" t="e">
        <f>IF(AM18=0,0,AM18/$AM$34)</f>
        <v>#VALUE!</v>
      </c>
      <c r="AQ18" s="413"/>
    </row>
    <row r="19" spans="2:43" x14ac:dyDescent="0.15">
      <c r="B19" s="60"/>
      <c r="C19" s="359" t="str">
        <f>VLOOKUP("0.15",Languages!$A$10:$F$111,VLOOKUP($AM$6,Languages!$C$2:$D$6,2,FALSE),FALSE)</f>
        <v>Quotation unit</v>
      </c>
      <c r="D19" s="359"/>
      <c r="E19" s="359"/>
      <c r="F19" s="360"/>
      <c r="G19" s="434"/>
      <c r="H19" s="435"/>
      <c r="I19" s="436"/>
      <c r="J19" s="53"/>
      <c r="K19" s="329"/>
      <c r="L19" s="259"/>
      <c r="M19" s="259"/>
      <c r="N19" s="259"/>
      <c r="O19" s="259"/>
      <c r="P19" s="259"/>
      <c r="Q19" s="259"/>
      <c r="R19" s="259"/>
      <c r="S19" s="73">
        <v>7</v>
      </c>
      <c r="T19" s="211" t="str">
        <f>VLOOKUP(S19,Languages!$A$10:$F$111,VLOOKUP($AM$6,Languages!$C$2:$D$6,2,FALSE),FALSE)</f>
        <v>Manufacturing costs/machine costs</v>
      </c>
      <c r="U19" s="89"/>
      <c r="V19" s="76"/>
      <c r="W19" s="89"/>
      <c r="X19" s="89"/>
      <c r="Y19" s="89" t="s">
        <v>1237</v>
      </c>
      <c r="Z19" s="212"/>
      <c r="AA19" s="212"/>
      <c r="AB19" s="76"/>
      <c r="AC19" s="76"/>
      <c r="AD19" s="76"/>
      <c r="AE19" s="76"/>
      <c r="AF19" s="89"/>
      <c r="AG19" s="245" t="str">
        <f>VLOOKUP(1.3,Languages!$A$10:$F$111,VLOOKUP($AM$6,Languages!$C$2:$D$6,2,FALSE),FALSE)</f>
        <v>Setup costs / Costs</v>
      </c>
      <c r="AH19" s="437" t="e">
        <f>'Manufacturing (6,7,8,9)'!BC48</f>
        <v>#VALUE!</v>
      </c>
      <c r="AI19" s="438"/>
      <c r="AJ19" s="76"/>
      <c r="AK19" s="89"/>
      <c r="AL19" s="213"/>
      <c r="AM19" s="404" t="e">
        <f>'Manufacturing (6,7,8,9)'!BE48</f>
        <v>#VALUE!</v>
      </c>
      <c r="AN19" s="405"/>
      <c r="AO19" s="54"/>
      <c r="AP19" s="412" t="e">
        <f>IF(AM19=0,0,AM19/$AM$34)</f>
        <v>#VALUE!</v>
      </c>
      <c r="AQ19" s="413"/>
    </row>
    <row r="20" spans="2:43" x14ac:dyDescent="0.15">
      <c r="B20" s="60"/>
      <c r="C20" s="54"/>
      <c r="D20" s="54"/>
      <c r="E20" s="54"/>
      <c r="F20" s="54"/>
      <c r="G20" s="57"/>
      <c r="H20" s="54"/>
      <c r="I20" s="65"/>
      <c r="J20" s="53"/>
      <c r="K20" s="329"/>
      <c r="L20" s="259"/>
      <c r="M20" s="259"/>
      <c r="N20" s="259"/>
      <c r="O20" s="259"/>
      <c r="P20" s="259"/>
      <c r="Q20" s="259"/>
      <c r="R20" s="259"/>
      <c r="S20" s="73">
        <v>8</v>
      </c>
      <c r="T20" s="215" t="str">
        <f>VLOOKUP(S20,Languages!$A$10:$F$111,VLOOKUP($AM$6,Languages!$C$2:$D$6,2,FALSE),FALSE)</f>
        <v>Manufacturing overhead</v>
      </c>
      <c r="U20" s="88"/>
      <c r="V20" s="214"/>
      <c r="W20" s="88"/>
      <c r="X20" s="88" t="s">
        <v>1238</v>
      </c>
      <c r="Y20" s="88"/>
      <c r="Z20" s="214"/>
      <c r="AA20" s="214"/>
      <c r="AB20" s="214"/>
      <c r="AC20" s="214">
        <f>G18</f>
        <v>0</v>
      </c>
      <c r="AD20" s="214" t="str">
        <f>VLOOKUP(13.3,Languages!$A$10:$F$111,VLOOKUP($AM$6,Languages!$C$2:$D$6,2,FALSE),FALSE)</f>
        <v>/unit</v>
      </c>
      <c r="AE20" s="214"/>
      <c r="AF20" s="88"/>
      <c r="AG20" s="88"/>
      <c r="AH20" s="214">
        <f>G18</f>
        <v>0</v>
      </c>
      <c r="AI20" s="95" t="str">
        <f>VLOOKUP(13.3,Languages!$A$10:$F$111,VLOOKUP($AM$6,Languages!$C$2:$D$6,2,FALSE),FALSE)</f>
        <v>/unit</v>
      </c>
      <c r="AJ20" s="214"/>
      <c r="AK20" s="451" t="e">
        <f>IF(AM18=0,0,AM20/(AM18+AM19))</f>
        <v>#VALUE!</v>
      </c>
      <c r="AL20" s="452"/>
      <c r="AM20" s="404" t="e">
        <f>'Manufacturing (6,7,8,9)'!BF48</f>
        <v>#VALUE!</v>
      </c>
      <c r="AN20" s="405"/>
      <c r="AO20" s="54"/>
      <c r="AP20" s="412" t="e">
        <f>IF(AM20=0,0,AM20/$AM$34)</f>
        <v>#VALUE!</v>
      </c>
      <c r="AQ20" s="413"/>
    </row>
    <row r="21" spans="2:43" x14ac:dyDescent="0.15">
      <c r="B21" s="60"/>
      <c r="C21" s="54"/>
      <c r="D21" s="54"/>
      <c r="E21" s="54"/>
      <c r="F21" s="54"/>
      <c r="G21" s="54"/>
      <c r="H21" s="54"/>
      <c r="I21" s="65"/>
      <c r="J21" s="53"/>
      <c r="K21" s="329"/>
      <c r="L21" s="259"/>
      <c r="M21" s="259"/>
      <c r="N21" s="259"/>
      <c r="O21" s="259"/>
      <c r="P21" s="259"/>
      <c r="Q21" s="259"/>
      <c r="R21" s="259"/>
      <c r="S21" s="73">
        <v>11</v>
      </c>
      <c r="T21" s="73" t="str">
        <f>VLOOKUP(S21,Languages!$A$10:$F$111,VLOOKUP($AM$6,Languages!$C$2:$D$6,2,FALSE),FALSE)</f>
        <v>Manufacturing costs</v>
      </c>
      <c r="U21" s="54"/>
      <c r="V21" s="69"/>
      <c r="W21" s="54"/>
      <c r="X21" s="69" t="s">
        <v>9</v>
      </c>
      <c r="Y21" s="69"/>
      <c r="Z21" s="54"/>
      <c r="AA21" s="54"/>
      <c r="AB21" s="207" t="str">
        <f>VLOOKUP(9,Languages!$A$10:$F$111,VLOOKUP($AM$6,Languages!$C$2:$D$6,2,FALSE),FALSE)</f>
        <v>9  Manuf. scrap</v>
      </c>
      <c r="AC21" s="437" t="e">
        <f>'Manufacturing (6,7,8,9)'!BG48</f>
        <v>#VALUE!</v>
      </c>
      <c r="AD21" s="438"/>
      <c r="AE21" s="69"/>
      <c r="AF21" s="54"/>
      <c r="AG21" s="207" t="str">
        <f>VLOOKUP(10,Languages!$A$10:$F$111,VLOOKUP($AM$6,Languages!$C$2:$D$6,2,FALSE),FALSE)</f>
        <v>10  Int. Work in prog.</v>
      </c>
      <c r="AH21" s="449">
        <v>0</v>
      </c>
      <c r="AI21" s="450"/>
      <c r="AJ21" s="58" t="str">
        <f>VLOOKUP(13.2,Languages!$A$10:$F$111,VLOOKUP($AM$6,Languages!$C$2:$D$6,2,FALSE),FALSE)</f>
        <v>&lt;-- fill in</v>
      </c>
      <c r="AK21" s="54"/>
      <c r="AL21" s="85"/>
      <c r="AM21" s="404" t="e">
        <f>SUM(AM18+AM19+AM20+AC21+AH21)</f>
        <v>#VALUE!</v>
      </c>
      <c r="AN21" s="405"/>
      <c r="AO21" s="54"/>
      <c r="AP21" s="412" t="e">
        <f>IF(AM21=0,0,AM21/$AM$34)</f>
        <v>#VALUE!</v>
      </c>
      <c r="AQ21" s="413"/>
    </row>
    <row r="22" spans="2:43" x14ac:dyDescent="0.15">
      <c r="B22" s="92" t="str">
        <f>VLOOKUP("0.16",Languages!$A$10:$F$111,VLOOKUP($AM$6,Languages!$C$2:$D$6,2,FALSE),FALSE)</f>
        <v>Specific</v>
      </c>
      <c r="C22" s="90"/>
      <c r="D22" s="88"/>
      <c r="E22" s="88"/>
      <c r="F22" s="88"/>
      <c r="G22" s="88"/>
      <c r="H22" s="88"/>
      <c r="I22" s="78"/>
      <c r="J22" s="53"/>
      <c r="K22" s="329"/>
      <c r="L22" s="73"/>
      <c r="M22" s="259"/>
      <c r="N22" s="73"/>
      <c r="O22" s="259"/>
      <c r="P22" s="73"/>
      <c r="Q22" s="259"/>
      <c r="R22" s="73"/>
      <c r="S22" s="73"/>
      <c r="T22" s="69"/>
      <c r="U22" s="54"/>
      <c r="V22" s="69"/>
      <c r="W22" s="54"/>
      <c r="X22" s="54"/>
      <c r="Y22" s="54"/>
      <c r="Z22" s="69"/>
      <c r="AA22" s="69"/>
      <c r="AB22" s="69"/>
      <c r="AC22" s="69"/>
      <c r="AD22" s="69"/>
      <c r="AE22" s="69"/>
      <c r="AF22" s="69"/>
      <c r="AG22" s="54"/>
      <c r="AH22" s="69"/>
      <c r="AI22" s="69"/>
      <c r="AJ22" s="69"/>
      <c r="AK22" s="54"/>
      <c r="AL22" s="85"/>
      <c r="AM22" s="91"/>
      <c r="AN22" s="91"/>
      <c r="AO22" s="54"/>
      <c r="AP22" s="88"/>
      <c r="AQ22" s="223"/>
    </row>
    <row r="23" spans="2:43" x14ac:dyDescent="0.15">
      <c r="B23" s="60"/>
      <c r="C23" s="48"/>
      <c r="D23" s="54"/>
      <c r="E23" s="224"/>
      <c r="F23" s="224"/>
      <c r="G23" s="54"/>
      <c r="H23" s="54"/>
      <c r="I23" s="65"/>
      <c r="J23" s="53"/>
      <c r="K23" s="329"/>
      <c r="L23" s="259"/>
      <c r="M23" s="259"/>
      <c r="N23" s="259"/>
      <c r="O23" s="259"/>
      <c r="P23" s="259"/>
      <c r="Q23" s="259"/>
      <c r="R23" s="259"/>
      <c r="S23" s="216">
        <v>12</v>
      </c>
      <c r="T23" s="77" t="str">
        <f>VLOOKUP(S23,Languages!$A$10:$F$111,VLOOKUP($AM$6,Languages!$C$2:$D$6,2,FALSE),FALSE)</f>
        <v>Production costs</v>
      </c>
      <c r="U23" s="57"/>
      <c r="V23" s="72"/>
      <c r="W23" s="57" t="s">
        <v>1239</v>
      </c>
      <c r="X23" s="72" t="s">
        <v>10</v>
      </c>
      <c r="Y23" s="72"/>
      <c r="Z23" s="57"/>
      <c r="AA23" s="57"/>
      <c r="AB23" s="72"/>
      <c r="AC23" s="57"/>
      <c r="AD23" s="57"/>
      <c r="AE23" s="72"/>
      <c r="AF23" s="72"/>
      <c r="AG23" s="57"/>
      <c r="AH23" s="72"/>
      <c r="AI23" s="72"/>
      <c r="AJ23" s="72"/>
      <c r="AK23" s="57"/>
      <c r="AL23" s="209"/>
      <c r="AM23" s="442" t="e">
        <f>AM16+AM21</f>
        <v>#VALUE!</v>
      </c>
      <c r="AN23" s="443"/>
      <c r="AO23" s="54"/>
      <c r="AP23" s="412" t="e">
        <f>IF(AM23=0,0,AM23/$AM$34)</f>
        <v>#VALUE!</v>
      </c>
      <c r="AQ23" s="413"/>
    </row>
    <row r="24" spans="2:43" x14ac:dyDescent="0.15">
      <c r="B24" s="60"/>
      <c r="C24" s="359" t="str">
        <f>VLOOKUP("0.17",Languages!$A$10:$F$111,VLOOKUP($AM$6,Languages!$C$2:$D$6,2,FALSE),FALSE)</f>
        <v>Part number Revision</v>
      </c>
      <c r="D24" s="359"/>
      <c r="E24" s="359"/>
      <c r="F24" s="360"/>
      <c r="G24" s="459"/>
      <c r="H24" s="460"/>
      <c r="I24" s="461"/>
      <c r="J24" s="53"/>
      <c r="K24" s="329"/>
      <c r="L24" s="259"/>
      <c r="M24" s="259"/>
      <c r="N24" s="259"/>
      <c r="O24" s="259"/>
      <c r="P24" s="259"/>
      <c r="Q24" s="259"/>
      <c r="R24" s="259"/>
      <c r="S24" s="73"/>
      <c r="T24" s="69"/>
      <c r="U24" s="54"/>
      <c r="V24" s="69"/>
      <c r="W24" s="54"/>
      <c r="X24" s="54"/>
      <c r="Y24" s="54"/>
      <c r="Z24" s="69"/>
      <c r="AA24" s="69"/>
      <c r="AB24" s="69"/>
      <c r="AC24" s="53"/>
      <c r="AD24" s="479"/>
      <c r="AE24" s="479"/>
      <c r="AF24" s="479"/>
      <c r="AG24" s="479"/>
      <c r="AH24" s="416"/>
      <c r="AI24" s="416"/>
      <c r="AJ24" s="69"/>
      <c r="AK24" s="54"/>
      <c r="AL24" s="96"/>
      <c r="AM24" s="91"/>
      <c r="AN24" s="91"/>
      <c r="AO24" s="54"/>
      <c r="AP24" s="88"/>
      <c r="AQ24" s="223"/>
    </row>
    <row r="25" spans="2:43" x14ac:dyDescent="0.15">
      <c r="B25" s="60"/>
      <c r="C25" s="359" t="str">
        <f>VLOOKUP("0.18",Languages!$A$10:$F$111,VLOOKUP($AM$6,Languages!$C$2:$D$6,2,FALSE),FALSE)</f>
        <v>Quotation Number</v>
      </c>
      <c r="D25" s="359"/>
      <c r="E25" s="359"/>
      <c r="F25" s="360"/>
      <c r="G25" s="459"/>
      <c r="H25" s="460"/>
      <c r="I25" s="461"/>
      <c r="J25" s="53"/>
      <c r="K25" s="329"/>
      <c r="L25" s="259"/>
      <c r="M25" s="259"/>
      <c r="N25" s="259"/>
      <c r="O25" s="259"/>
      <c r="P25" s="259"/>
      <c r="Q25" s="259"/>
      <c r="R25" s="259"/>
      <c r="S25" s="73">
        <v>13</v>
      </c>
      <c r="T25" s="73" t="s">
        <v>11</v>
      </c>
      <c r="U25" s="54"/>
      <c r="V25" s="69"/>
      <c r="W25" s="54"/>
      <c r="X25" s="54"/>
      <c r="Y25" s="54"/>
      <c r="Z25" s="69" t="s">
        <v>1240</v>
      </c>
      <c r="AA25" s="69"/>
      <c r="AB25" s="228"/>
      <c r="AC25" s="232"/>
      <c r="AD25" s="83"/>
      <c r="AE25" s="83"/>
      <c r="AF25" s="83"/>
      <c r="AG25" s="83"/>
      <c r="AH25" s="83"/>
      <c r="AI25" s="83"/>
      <c r="AJ25" s="234" t="str">
        <f>VLOOKUP(13.1,Languages!$A$10:$F$111,VLOOKUP($AM$6,Languages!$C$2:$D$6,2,FALSE),FALSE)</f>
        <v>fill in --&gt;</v>
      </c>
      <c r="AK25" s="516">
        <v>0</v>
      </c>
      <c r="AL25" s="517"/>
      <c r="AM25" s="444" t="e">
        <f>AK25*AM23</f>
        <v>#VALUE!</v>
      </c>
      <c r="AN25" s="445"/>
      <c r="AO25" s="54"/>
      <c r="AP25" s="412" t="e">
        <f>IF(AM25=0,0,AM25/$AM$34)</f>
        <v>#VALUE!</v>
      </c>
      <c r="AQ25" s="413"/>
    </row>
    <row r="26" spans="2:43" x14ac:dyDescent="0.15">
      <c r="B26" s="60"/>
      <c r="C26" s="480" t="str">
        <f>IF(VLOOKUP("0.19",Languages!$A$10:$F$111,VLOOKUP($AM$6,Languages!$C$2:$D$6,2,FALSE),FALSE)=0,"",VLOOKUP("0.19",Languages!$A$10:$F$111,VLOOKUP($AM$6,Languages!$C$2:$D$6,2,FALSE),FALSE))</f>
        <v/>
      </c>
      <c r="D26" s="480"/>
      <c r="E26" s="480"/>
      <c r="F26" s="481"/>
      <c r="G26" s="462"/>
      <c r="H26" s="463"/>
      <c r="I26" s="464"/>
      <c r="J26" s="53"/>
      <c r="K26" s="329"/>
      <c r="L26" s="259"/>
      <c r="M26" s="259"/>
      <c r="N26" s="259"/>
      <c r="O26" s="259"/>
      <c r="P26" s="259"/>
      <c r="Q26" s="259"/>
      <c r="R26" s="259"/>
      <c r="S26" s="73">
        <v>14</v>
      </c>
      <c r="T26" s="211" t="str">
        <f>VLOOKUP(S26,Languages!$A$10:$F$111,VLOOKUP($AM$6,Languages!$C$2:$D$6,2,FALSE),FALSE)</f>
        <v>Research and development costs</v>
      </c>
      <c r="U26" s="89"/>
      <c r="V26" s="76"/>
      <c r="W26" s="89"/>
      <c r="X26" s="89"/>
      <c r="Y26" s="89" t="s">
        <v>1241</v>
      </c>
      <c r="Z26" s="76"/>
      <c r="AA26" s="76"/>
      <c r="AB26" s="76"/>
      <c r="AC26" s="69"/>
      <c r="AD26" s="69"/>
      <c r="AE26" s="69"/>
      <c r="AF26" s="69"/>
      <c r="AG26" s="54"/>
      <c r="AH26" s="69"/>
      <c r="AI26" s="69"/>
      <c r="AJ26" s="233" t="str">
        <f>VLOOKUP(13.1,Languages!$A$10:$F$111,VLOOKUP($AM$6,Languages!$C$2:$D$6,2,FALSE),FALSE)</f>
        <v>fill in --&gt;</v>
      </c>
      <c r="AK26" s="516">
        <v>0</v>
      </c>
      <c r="AL26" s="517"/>
      <c r="AM26" s="404" t="e">
        <f>AK26*AM23</f>
        <v>#VALUE!</v>
      </c>
      <c r="AN26" s="405"/>
      <c r="AO26" s="54"/>
      <c r="AP26" s="412" t="e">
        <f>IF(AM26=0,0,AM26/$AM$34)</f>
        <v>#VALUE!</v>
      </c>
      <c r="AQ26" s="413"/>
    </row>
    <row r="27" spans="2:43" x14ac:dyDescent="0.15">
      <c r="B27" s="60"/>
      <c r="C27" s="480"/>
      <c r="D27" s="480"/>
      <c r="E27" s="480"/>
      <c r="F27" s="481"/>
      <c r="G27" s="462"/>
      <c r="H27" s="463"/>
      <c r="I27" s="464"/>
      <c r="J27" s="53"/>
      <c r="K27" s="329"/>
      <c r="L27" s="259"/>
      <c r="M27" s="259"/>
      <c r="N27" s="259"/>
      <c r="O27" s="259"/>
      <c r="P27" s="259"/>
      <c r="Q27" s="259"/>
      <c r="R27" s="259"/>
      <c r="S27" s="73">
        <v>15</v>
      </c>
      <c r="T27" s="75" t="str">
        <f>VLOOKUP(S27,Languages!$A$10:$F$111,VLOOKUP($AM$6,Languages!$C$2:$D$6,2,FALSE),FALSE)</f>
        <v>Other costs</v>
      </c>
      <c r="U27" s="6"/>
      <c r="V27" s="71" t="s">
        <v>1242</v>
      </c>
      <c r="W27" s="6"/>
      <c r="X27" s="6" t="s">
        <v>1243</v>
      </c>
      <c r="Y27" s="6"/>
      <c r="Z27" s="93" t="str">
        <f>VLOOKUP(15.1,Languages!$A$10:$F$111,VLOOKUP($AM$6,Languages!$C$2:$D$6,2,FALSE),FALSE)</f>
        <v>Explanation:</v>
      </c>
      <c r="AA27" s="478"/>
      <c r="AB27" s="478"/>
      <c r="AC27" s="478"/>
      <c r="AD27" s="478"/>
      <c r="AE27" s="478"/>
      <c r="AF27" s="478"/>
      <c r="AG27" s="478"/>
      <c r="AH27" s="478"/>
      <c r="AI27" s="478"/>
      <c r="AJ27" s="478"/>
      <c r="AK27" s="83"/>
      <c r="AL27" s="231" t="str">
        <f>VLOOKUP(13.1,Languages!$A$10:$F$111,VLOOKUP($AM$6,Languages!$C$2:$D$6,2,FALSE),FALSE)</f>
        <v>fill in --&gt;</v>
      </c>
      <c r="AM27" s="455">
        <v>0</v>
      </c>
      <c r="AN27" s="456"/>
      <c r="AO27" s="54"/>
      <c r="AP27" s="412">
        <f>IF(AM27=0,0,AM27/$AM$34)</f>
        <v>0</v>
      </c>
      <c r="AQ27" s="413"/>
    </row>
    <row r="28" spans="2:43" x14ac:dyDescent="0.15">
      <c r="B28" s="60"/>
      <c r="C28" s="480" t="str">
        <f>IF(VLOOKUP("0.21",Languages!$A$10:$F$111,VLOOKUP($AM$6,Languages!$C$2:$D$6,2,FALSE),FALSE)=0,"",VLOOKUP("0.21",Languages!$A$10:$F$111,VLOOKUP($AM$6,Languages!$C$2:$D$6,2,FALSE),FALSE))</f>
        <v/>
      </c>
      <c r="D28" s="480"/>
      <c r="E28" s="480"/>
      <c r="F28" s="481"/>
      <c r="G28" s="462"/>
      <c r="H28" s="463"/>
      <c r="I28" s="464"/>
      <c r="J28" s="53"/>
      <c r="K28" s="329"/>
      <c r="L28" s="259"/>
      <c r="M28" s="259"/>
      <c r="N28" s="259"/>
      <c r="O28" s="259"/>
      <c r="P28" s="259"/>
      <c r="Q28" s="259"/>
      <c r="R28" s="259"/>
      <c r="S28" s="73">
        <v>16</v>
      </c>
      <c r="T28" s="217" t="str">
        <f>VLOOKUP(S28,Languages!$A$10:$F$111,VLOOKUP($AM$6,Languages!$C$2:$D$6,2,FALSE),FALSE)</f>
        <v>Tools and devices allocated</v>
      </c>
      <c r="U28" s="81"/>
      <c r="V28" s="80"/>
      <c r="W28" s="81"/>
      <c r="X28" s="81" t="s">
        <v>1244</v>
      </c>
      <c r="Y28" s="81"/>
      <c r="Z28" s="80"/>
      <c r="AA28" s="80"/>
      <c r="AB28" s="81"/>
      <c r="AC28" s="35"/>
      <c r="AD28" s="482" t="e">
        <f>'Tools and Devices (16,24)'!X37-'Tools and Devices (16,24)'!AB37</f>
        <v>#VALUE!</v>
      </c>
      <c r="AE28" s="483"/>
      <c r="AF28" s="344">
        <f>G18</f>
        <v>0</v>
      </c>
      <c r="AG28" s="343"/>
      <c r="AH28" s="80"/>
      <c r="AI28" s="80"/>
      <c r="AJ28" s="80"/>
      <c r="AK28" s="81"/>
      <c r="AL28" s="218"/>
      <c r="AM28" s="404" t="e">
        <f>'Tools and Devices (16,24)'!AJ37</f>
        <v>#VALUE!</v>
      </c>
      <c r="AN28" s="405"/>
      <c r="AO28" s="54"/>
      <c r="AP28" s="412" t="e">
        <f>IF(AM28=0,0,AM28/$AM$34)</f>
        <v>#VALUE!</v>
      </c>
      <c r="AQ28" s="413"/>
    </row>
    <row r="29" spans="2:43" x14ac:dyDescent="0.15">
      <c r="B29" s="60"/>
      <c r="C29" s="480" t="str">
        <f>IF(VLOOKUP("0.22",Languages!$A$10:$F$111,VLOOKUP($AM$6,Languages!$C$2:$D$6,2,FALSE),FALSE)=0,"",VLOOKUP("0.22",Languages!$A$10:$F$111,VLOOKUP($AM$6,Languages!$C$2:$D$6,2,FALSE),FALSE))</f>
        <v/>
      </c>
      <c r="D29" s="480"/>
      <c r="E29" s="480"/>
      <c r="F29" s="481"/>
      <c r="G29" s="462"/>
      <c r="H29" s="463"/>
      <c r="I29" s="464"/>
      <c r="J29" s="53"/>
      <c r="K29" s="329"/>
      <c r="L29" s="259"/>
      <c r="M29" s="259"/>
      <c r="N29" s="259"/>
      <c r="O29" s="259"/>
      <c r="P29" s="259"/>
      <c r="Q29" s="259"/>
      <c r="R29" s="259"/>
      <c r="S29" s="216">
        <v>17</v>
      </c>
      <c r="T29" s="216" t="str">
        <f>VLOOKUP(S29,Languages!$A$10:$F$111,VLOOKUP($AM$6,Languages!$C$2:$D$6,2,FALSE),FALSE)</f>
        <v>Total costs</v>
      </c>
      <c r="U29" s="54"/>
      <c r="V29" s="69" t="s">
        <v>1245</v>
      </c>
      <c r="W29" s="54"/>
      <c r="X29" s="69" t="s">
        <v>12</v>
      </c>
      <c r="Y29" s="69"/>
      <c r="Z29" s="54"/>
      <c r="AA29" s="54"/>
      <c r="AB29" s="69"/>
      <c r="AC29" s="54"/>
      <c r="AD29" s="54"/>
      <c r="AE29" s="69"/>
      <c r="AF29" s="69"/>
      <c r="AG29" s="69"/>
      <c r="AH29" s="69"/>
      <c r="AI29" s="69"/>
      <c r="AJ29" s="69"/>
      <c r="AK29" s="54"/>
      <c r="AL29" s="85"/>
      <c r="AM29" s="442" t="e">
        <f>SUM(AM23+AM25+AM26+AM27+AM28)</f>
        <v>#VALUE!</v>
      </c>
      <c r="AN29" s="443"/>
      <c r="AO29" s="54"/>
      <c r="AP29" s="412" t="e">
        <f>IF(AM29=0,0,AM29/$AM$34)</f>
        <v>#VALUE!</v>
      </c>
      <c r="AQ29" s="413"/>
    </row>
    <row r="30" spans="2:43" x14ac:dyDescent="0.15">
      <c r="B30" s="60"/>
      <c r="C30" s="54"/>
      <c r="D30" s="54"/>
      <c r="E30" s="54"/>
      <c r="F30" s="89"/>
      <c r="G30" s="54"/>
      <c r="H30" s="54"/>
      <c r="I30" s="65"/>
      <c r="J30" s="53"/>
      <c r="K30" s="329"/>
      <c r="L30" s="73"/>
      <c r="M30" s="259"/>
      <c r="N30" s="73"/>
      <c r="O30" s="73"/>
      <c r="P30" s="73"/>
      <c r="Q30" s="73"/>
      <c r="R30" s="73"/>
      <c r="S30" s="73"/>
      <c r="T30" s="69"/>
      <c r="U30" s="54"/>
      <c r="V30" s="69"/>
      <c r="W30" s="54"/>
      <c r="X30" s="54"/>
      <c r="Y30" s="54"/>
      <c r="Z30" s="69"/>
      <c r="AA30" s="69"/>
      <c r="AB30" s="53"/>
      <c r="AC30" s="69"/>
      <c r="AD30" s="484" t="str">
        <f>VLOOKUP(18.1,Languages!$A$10:$F$111,VLOOKUP($AM$6,Languages!$C$2:$D$6,2,FALSE),FALSE)</f>
        <v>Raw material</v>
      </c>
      <c r="AE30" s="484"/>
      <c r="AF30" s="484" t="str">
        <f>VLOOKUP(18.2,Languages!$A$10:$F$111,VLOOKUP($AM$6,Languages!$C$2:$D$6,2,FALSE),FALSE)</f>
        <v>Purchased p.</v>
      </c>
      <c r="AG30" s="484"/>
      <c r="AH30" s="484" t="str">
        <f>VLOOKUP(18.3,Languages!$A$10:$F$111,VLOOKUP($AM$6,Languages!$C$2:$D$6,2,FALSE),FALSE)</f>
        <v>Manuf.</v>
      </c>
      <c r="AI30" s="484"/>
      <c r="AJ30" s="69"/>
      <c r="AK30" s="54"/>
      <c r="AL30" s="96"/>
      <c r="AM30" s="91"/>
      <c r="AN30" s="91"/>
      <c r="AO30" s="54"/>
      <c r="AP30" s="88"/>
      <c r="AQ30" s="223"/>
    </row>
    <row r="31" spans="2:43" x14ac:dyDescent="0.15">
      <c r="B31" s="60"/>
      <c r="C31" s="54"/>
      <c r="D31" s="54"/>
      <c r="E31" s="54"/>
      <c r="F31" s="54"/>
      <c r="G31" s="54"/>
      <c r="H31" s="54"/>
      <c r="I31" s="65"/>
      <c r="J31" s="53"/>
      <c r="K31" s="329"/>
      <c r="L31" s="259"/>
      <c r="M31" s="259"/>
      <c r="N31" s="259"/>
      <c r="O31" s="259"/>
      <c r="P31" s="259"/>
      <c r="Q31" s="259"/>
      <c r="R31" s="259"/>
      <c r="S31" s="73">
        <v>18</v>
      </c>
      <c r="T31" s="74" t="str">
        <f>VLOOKUP(S31,Languages!$A$10:$F$111,VLOOKUP($AM$6,Languages!$C$2:$D$6,2,FALSE),FALSE)</f>
        <v>Profit</v>
      </c>
      <c r="U31" s="83" t="s">
        <v>1246</v>
      </c>
      <c r="V31" s="70"/>
      <c r="W31" s="83"/>
      <c r="X31" s="83"/>
      <c r="Y31" s="83"/>
      <c r="Z31" s="70"/>
      <c r="AA31" s="70"/>
      <c r="AB31" s="83"/>
      <c r="AC31" s="232" t="str">
        <f>VLOOKUP(13.1,Languages!$A$10:$F$111,VLOOKUP($AM$6,Languages!$C$2:$D$6,2,FALSE),FALSE)</f>
        <v>fill in --&gt;</v>
      </c>
      <c r="AD31" s="516">
        <v>0</v>
      </c>
      <c r="AE31" s="517"/>
      <c r="AF31" s="516">
        <v>0</v>
      </c>
      <c r="AG31" s="517"/>
      <c r="AH31" s="516">
        <v>0</v>
      </c>
      <c r="AI31" s="517"/>
      <c r="AJ31" s="231"/>
      <c r="AK31" s="451" t="e">
        <f ca="1">IF(AM31=0,0,AM31/(AC14+AH14+AM18+AM19+AM20))</f>
        <v>#VALUE!</v>
      </c>
      <c r="AL31" s="452"/>
      <c r="AM31" s="404" t="e">
        <f ca="1">AD31*AC14+AF31*AH14+AH31*(AM18+AM19+AM20)</f>
        <v>#VALUE!</v>
      </c>
      <c r="AN31" s="405"/>
      <c r="AO31" s="54"/>
      <c r="AP31" s="412" t="e">
        <f ca="1">IF(AM31=0,0,AM31/$AM$34)</f>
        <v>#VALUE!</v>
      </c>
      <c r="AQ31" s="413"/>
    </row>
    <row r="32" spans="2:43" s="53" customFormat="1" x14ac:dyDescent="0.15">
      <c r="B32" s="87" t="str">
        <f>VLOOKUP("0.23",Languages!$A$10:$F$111,VLOOKUP($AM$6,Languages!$C$2:$D$6,2,FALSE),FALSE)</f>
        <v>Special agreements</v>
      </c>
      <c r="C32" s="88"/>
      <c r="D32" s="88"/>
      <c r="E32" s="88"/>
      <c r="F32" s="88"/>
      <c r="G32" s="88"/>
      <c r="H32" s="88"/>
      <c r="I32" s="78"/>
      <c r="K32" s="329"/>
      <c r="L32" s="259"/>
      <c r="M32" s="259"/>
      <c r="N32" s="259"/>
      <c r="O32" s="259"/>
      <c r="P32" s="259"/>
      <c r="Q32" s="259"/>
      <c r="R32" s="259"/>
      <c r="S32" s="73">
        <v>19</v>
      </c>
      <c r="T32" s="74" t="str">
        <f>VLOOKUP(S32,Languages!$A$10:$F$111,VLOOKUP($AM$6,Languages!$C$2:$D$6,2,FALSE),FALSE)</f>
        <v>Terms of payment</v>
      </c>
      <c r="U32" s="83"/>
      <c r="V32" s="70"/>
      <c r="W32" s="83" t="s">
        <v>1247</v>
      </c>
      <c r="X32" s="83"/>
      <c r="Y32" s="83"/>
      <c r="Z32" s="70"/>
      <c r="AA32" s="70"/>
      <c r="AB32" s="83"/>
      <c r="AC32" s="83"/>
      <c r="AD32" s="83"/>
      <c r="AE32" s="83"/>
      <c r="AF32" s="83"/>
      <c r="AG32" s="83"/>
      <c r="AH32" s="83"/>
      <c r="AI32" s="83"/>
      <c r="AJ32" s="232"/>
      <c r="AK32" s="280"/>
      <c r="AL32" s="281" t="str">
        <f>VLOOKUP(13.1,Languages!$A$10:$F$111,VLOOKUP($AM$6,Languages!$C$2:$D$6,2,FALSE),FALSE)</f>
        <v>fill in --&gt;</v>
      </c>
      <c r="AM32" s="455">
        <v>0</v>
      </c>
      <c r="AN32" s="456"/>
      <c r="AO32" s="54"/>
      <c r="AP32" s="412">
        <f>IF(AM32=0,0,AM32/$AM$34)</f>
        <v>0</v>
      </c>
      <c r="AQ32" s="413"/>
    </row>
    <row r="33" spans="2:44" ht="14.25" thickBot="1" x14ac:dyDescent="0.2">
      <c r="B33" s="467"/>
      <c r="C33" s="468"/>
      <c r="D33" s="468"/>
      <c r="E33" s="468"/>
      <c r="F33" s="468"/>
      <c r="G33" s="468"/>
      <c r="H33" s="468"/>
      <c r="I33" s="469"/>
      <c r="J33" s="53"/>
      <c r="K33" s="329"/>
      <c r="L33" s="259"/>
      <c r="M33" s="259"/>
      <c r="N33" s="259"/>
      <c r="O33" s="259"/>
      <c r="P33" s="259"/>
      <c r="Q33" s="259"/>
      <c r="R33" s="259"/>
      <c r="S33" s="73">
        <v>20</v>
      </c>
      <c r="T33" s="73" t="str">
        <f>VLOOKUP(S33,Languages!$A$10:$F$111,VLOOKUP($AM$6,Languages!$C$2:$D$6,2,FALSE),FALSE)</f>
        <v>Transport, duties</v>
      </c>
      <c r="U33" s="54"/>
      <c r="V33" s="69"/>
      <c r="W33" s="54" t="s">
        <v>1248</v>
      </c>
      <c r="X33" s="54"/>
      <c r="Y33" s="54"/>
      <c r="Z33" s="69"/>
      <c r="AA33" s="69"/>
      <c r="AB33" s="69"/>
      <c r="AC33" s="54"/>
      <c r="AD33" s="54"/>
      <c r="AE33" s="69"/>
      <c r="AF33" s="69"/>
      <c r="AG33" s="69"/>
      <c r="AH33" s="69"/>
      <c r="AI33" s="69"/>
      <c r="AJ33" s="54"/>
      <c r="AK33" s="54"/>
      <c r="AL33" s="234" t="str">
        <f>VLOOKUP(13.1,Languages!$A$10:$F$111,VLOOKUP($AM$6,Languages!$C$2:$D$6,2,FALSE),FALSE)</f>
        <v>fill in --&gt;</v>
      </c>
      <c r="AM33" s="518">
        <v>0</v>
      </c>
      <c r="AN33" s="519"/>
      <c r="AO33" s="54"/>
      <c r="AP33" s="412">
        <f>IF(AM33=0,0,AM33/$AM$34)</f>
        <v>0</v>
      </c>
      <c r="AQ33" s="413"/>
      <c r="AR33" s="53"/>
    </row>
    <row r="34" spans="2:44" ht="15" customHeight="1" thickBot="1" x14ac:dyDescent="0.2">
      <c r="B34" s="470"/>
      <c r="C34" s="471"/>
      <c r="D34" s="471"/>
      <c r="E34" s="471"/>
      <c r="F34" s="471"/>
      <c r="G34" s="471"/>
      <c r="H34" s="471"/>
      <c r="I34" s="472"/>
      <c r="J34" s="53"/>
      <c r="K34" s="329"/>
      <c r="L34" s="259"/>
      <c r="M34" s="259"/>
      <c r="N34" s="259"/>
      <c r="O34" s="259"/>
      <c r="P34" s="259"/>
      <c r="Q34" s="259"/>
      <c r="R34" s="259"/>
      <c r="S34" s="216">
        <v>21</v>
      </c>
      <c r="T34" s="100" t="str">
        <f>VLOOKUP(S34,Languages!$A$10:$F$111,VLOOKUP($AM$6,Languages!$C$2:$D$6,2,FALSE),FALSE)</f>
        <v>Quotation price (1)</v>
      </c>
      <c r="U34" s="219"/>
      <c r="V34" s="101"/>
      <c r="W34" s="219"/>
      <c r="X34" s="101" t="s">
        <v>13</v>
      </c>
      <c r="Y34" s="101"/>
      <c r="Z34" s="101" t="s">
        <v>1249</v>
      </c>
      <c r="AA34" s="101"/>
      <c r="AB34" s="101"/>
      <c r="AC34" s="219"/>
      <c r="AD34" s="219"/>
      <c r="AE34" s="101"/>
      <c r="AF34" s="101"/>
      <c r="AG34" s="101"/>
      <c r="AH34" s="101"/>
      <c r="AI34" s="101"/>
      <c r="AJ34" s="101"/>
      <c r="AK34" s="219"/>
      <c r="AL34" s="101"/>
      <c r="AM34" s="453" t="e">
        <f ca="1">SUM(AM29+AM31+AM32+AM33)</f>
        <v>#VALUE!</v>
      </c>
      <c r="AN34" s="454"/>
      <c r="AO34" s="54"/>
      <c r="AP34" s="412" t="e">
        <f ca="1">IF(AM34=0,0,AM34/$AM$34)</f>
        <v>#VALUE!</v>
      </c>
      <c r="AQ34" s="413"/>
      <c r="AR34" s="53"/>
    </row>
    <row r="35" spans="2:44" x14ac:dyDescent="0.15">
      <c r="B35" s="470"/>
      <c r="C35" s="471"/>
      <c r="D35" s="471"/>
      <c r="E35" s="471"/>
      <c r="F35" s="471"/>
      <c r="G35" s="471"/>
      <c r="H35" s="471"/>
      <c r="I35" s="472"/>
      <c r="J35" s="53"/>
      <c r="K35" s="329"/>
      <c r="L35" s="259"/>
      <c r="M35" s="259"/>
      <c r="N35" s="259"/>
      <c r="O35" s="259"/>
      <c r="P35" s="259"/>
      <c r="Q35" s="259"/>
      <c r="R35" s="259"/>
      <c r="S35" s="73">
        <v>22</v>
      </c>
      <c r="T35" s="73" t="str">
        <f>VLOOKUP(S35,Languages!$A$10:$F$111,VLOOKUP($AM$6,Languages!$C$2:$D$6,2,FALSE),FALSE)</f>
        <v>Specific development costs allocated</v>
      </c>
      <c r="U35" s="54"/>
      <c r="V35" s="54"/>
      <c r="W35" s="54"/>
      <c r="X35" s="54"/>
      <c r="Y35" s="54"/>
      <c r="Z35" s="54" t="s">
        <v>1250</v>
      </c>
      <c r="AA35" s="54"/>
      <c r="AB35" s="54"/>
      <c r="AC35" s="220"/>
      <c r="AD35" s="476">
        <f>AD40-AM40</f>
        <v>0</v>
      </c>
      <c r="AE35" s="477"/>
      <c r="AF35" s="221">
        <f>G18</f>
        <v>0</v>
      </c>
      <c r="AG35" s="53"/>
      <c r="AH35" s="54"/>
      <c r="AI35" s="54"/>
      <c r="AJ35" s="54"/>
      <c r="AK35" s="54"/>
      <c r="AL35" s="234" t="str">
        <f>VLOOKUP(13.1,Languages!$A$10:$F$111,VLOOKUP($AM$6,Languages!$C$2:$D$6,2,FALSE),FALSE)</f>
        <v>fill in --&gt;</v>
      </c>
      <c r="AM35" s="514">
        <v>0</v>
      </c>
      <c r="AN35" s="515"/>
      <c r="AO35" s="54"/>
      <c r="AP35" s="57"/>
      <c r="AQ35" s="65"/>
      <c r="AR35" s="53"/>
    </row>
    <row r="36" spans="2:44" x14ac:dyDescent="0.15">
      <c r="B36" s="470"/>
      <c r="C36" s="471"/>
      <c r="D36" s="471"/>
      <c r="E36" s="471"/>
      <c r="F36" s="471"/>
      <c r="G36" s="471"/>
      <c r="H36" s="471"/>
      <c r="I36" s="472"/>
      <c r="J36" s="53"/>
      <c r="K36" s="60"/>
      <c r="L36" s="54"/>
      <c r="M36" s="54"/>
      <c r="N36" s="54"/>
      <c r="O36" s="54"/>
      <c r="P36" s="54"/>
      <c r="Q36" s="54"/>
      <c r="R36" s="54"/>
      <c r="S36" s="73">
        <v>23</v>
      </c>
      <c r="T36" s="73" t="str">
        <f>VLOOKUP(S36,Languages!$A$10:$F$111,VLOOKUP($AM$6,Languages!$C$2:$D$6,2,FALSE),FALSE)</f>
        <v>Quotation price (2)</v>
      </c>
      <c r="U36" s="54"/>
      <c r="V36" s="54"/>
      <c r="W36" s="54"/>
      <c r="X36" s="69" t="s">
        <v>14</v>
      </c>
      <c r="Y36" s="54"/>
      <c r="Z36" s="94" t="s">
        <v>1249</v>
      </c>
      <c r="AA36" s="94"/>
      <c r="AB36" s="197"/>
      <c r="AC36" s="197"/>
      <c r="AD36" s="197"/>
      <c r="AE36" s="197"/>
      <c r="AF36" s="197"/>
      <c r="AG36" s="197"/>
      <c r="AH36" s="197"/>
      <c r="AI36" s="197"/>
      <c r="AJ36" s="197"/>
      <c r="AK36" s="197"/>
      <c r="AL36" s="264"/>
      <c r="AM36" s="404" t="e">
        <f ca="1">SUM(AM34+AM35)</f>
        <v>#VALUE!</v>
      </c>
      <c r="AN36" s="405"/>
      <c r="AO36" s="54"/>
      <c r="AP36" s="54"/>
      <c r="AQ36" s="65"/>
      <c r="AR36" s="53"/>
    </row>
    <row r="37" spans="2:44" x14ac:dyDescent="0.15">
      <c r="B37" s="470"/>
      <c r="C37" s="471"/>
      <c r="D37" s="471"/>
      <c r="E37" s="471"/>
      <c r="F37" s="471"/>
      <c r="G37" s="471"/>
      <c r="H37" s="471"/>
      <c r="I37" s="472"/>
      <c r="J37" s="53"/>
      <c r="K37" s="60"/>
      <c r="L37" s="69"/>
      <c r="M37" s="69"/>
      <c r="N37" s="69"/>
      <c r="O37" s="69"/>
      <c r="P37" s="69"/>
      <c r="Q37" s="69"/>
      <c r="R37" s="69"/>
      <c r="S37" s="69"/>
      <c r="T37" s="54"/>
      <c r="U37" s="54"/>
      <c r="V37" s="54"/>
      <c r="W37" s="54"/>
      <c r="X37" s="54"/>
      <c r="Y37" s="54"/>
      <c r="Z37" s="54"/>
      <c r="AA37" s="54"/>
      <c r="AB37" s="54"/>
      <c r="AC37" s="54"/>
      <c r="AD37" s="54"/>
      <c r="AE37" s="54"/>
      <c r="AF37" s="54"/>
      <c r="AG37" s="54"/>
      <c r="AH37" s="54"/>
      <c r="AI37" s="54"/>
      <c r="AJ37" s="54"/>
      <c r="AK37" s="54"/>
      <c r="AL37" s="54"/>
      <c r="AM37" s="54"/>
      <c r="AN37" s="54"/>
      <c r="AO37" s="54"/>
      <c r="AP37" s="54"/>
      <c r="AQ37" s="65"/>
      <c r="AR37" s="53"/>
    </row>
    <row r="38" spans="2:44" x14ac:dyDescent="0.15">
      <c r="B38" s="470"/>
      <c r="C38" s="471"/>
      <c r="D38" s="471"/>
      <c r="E38" s="471"/>
      <c r="F38" s="471"/>
      <c r="G38" s="471"/>
      <c r="H38" s="471"/>
      <c r="I38" s="472"/>
      <c r="J38" s="53"/>
      <c r="K38" s="60"/>
      <c r="L38" s="54"/>
      <c r="M38" s="54"/>
      <c r="N38" s="54"/>
      <c r="O38" s="54"/>
      <c r="P38" s="54"/>
      <c r="Q38" s="54"/>
      <c r="R38" s="54"/>
      <c r="S38" s="54"/>
      <c r="T38" s="58" t="str">
        <f>VLOOKUP(23.1,Languages!$A$10:$F$111,VLOOKUP($AM$6,Languages!$C$2:$D$6,2,FALSE),FALSE)</f>
        <v>One-time and instalment payments</v>
      </c>
      <c r="U38" s="54"/>
      <c r="V38" s="69"/>
      <c r="W38" s="54"/>
      <c r="X38" s="54"/>
      <c r="Y38" s="54"/>
      <c r="Z38" s="69" t="s">
        <v>1251</v>
      </c>
      <c r="AA38" s="69"/>
      <c r="AB38" s="69"/>
      <c r="AC38" s="54"/>
      <c r="AD38" s="54"/>
      <c r="AE38" s="69"/>
      <c r="AF38" s="69"/>
      <c r="AG38" s="69"/>
      <c r="AH38" s="69"/>
      <c r="AI38" s="69"/>
      <c r="AJ38" s="69"/>
      <c r="AK38" s="54"/>
      <c r="AL38" s="69"/>
      <c r="AM38" s="86"/>
      <c r="AN38" s="86"/>
      <c r="AO38" s="54"/>
      <c r="AP38" s="54"/>
      <c r="AQ38" s="65"/>
      <c r="AR38" s="53"/>
    </row>
    <row r="39" spans="2:44" x14ac:dyDescent="0.15">
      <c r="B39" s="470"/>
      <c r="C39" s="471"/>
      <c r="D39" s="471"/>
      <c r="E39" s="471"/>
      <c r="F39" s="471"/>
      <c r="G39" s="471"/>
      <c r="H39" s="471"/>
      <c r="I39" s="472"/>
      <c r="J39" s="53"/>
      <c r="K39" s="60"/>
      <c r="L39" s="54"/>
      <c r="M39" s="54"/>
      <c r="N39" s="54"/>
      <c r="O39" s="54"/>
      <c r="P39" s="54"/>
      <c r="Q39" s="54"/>
      <c r="R39" s="54"/>
      <c r="S39" s="69">
        <v>24</v>
      </c>
      <c r="T39" s="69" t="str">
        <f>VLOOKUP(S39,Languages!$A$10:$F$111,VLOOKUP($AM$6,Languages!$C$2:$D$6,2,FALSE),FALSE)</f>
        <v>Tools and devices</v>
      </c>
      <c r="U39" s="54"/>
      <c r="V39" s="69"/>
      <c r="W39" s="54" t="s">
        <v>1252</v>
      </c>
      <c r="X39" s="54"/>
      <c r="Y39" s="54"/>
      <c r="Z39" s="54"/>
      <c r="AA39" s="54"/>
      <c r="AB39" s="232"/>
      <c r="AC39" s="18" t="str">
        <f>VLOOKUP(25.1,Languages!$A$10:$F$111,VLOOKUP($AM$6,Languages!$C$2:$D$6,2,FALSE),FALSE)</f>
        <v>Total</v>
      </c>
      <c r="AD39" s="465" t="e">
        <f>'Tools and Devices (16,24)'!X37</f>
        <v>#VALUE!</v>
      </c>
      <c r="AE39" s="466"/>
      <c r="AF39" s="221">
        <f>G18</f>
        <v>0</v>
      </c>
      <c r="AG39" s="83"/>
      <c r="AH39" s="222" t="str">
        <f>VLOOKUP(24.2,Languages!$A$10:$F$111,VLOOKUP($AM$6,Languages!$C$2:$D$6,2,FALSE),FALSE)</f>
        <v>rest allocated in 16</v>
      </c>
      <c r="AI39" s="69"/>
      <c r="AJ39" s="69"/>
      <c r="AK39" s="54"/>
      <c r="AL39" s="231"/>
      <c r="AM39" s="510">
        <f>'Tools and Devices (16,24)'!AB37</f>
        <v>0</v>
      </c>
      <c r="AN39" s="511"/>
      <c r="AO39" s="54"/>
      <c r="AP39" s="54"/>
      <c r="AQ39" s="65"/>
      <c r="AR39" s="53"/>
    </row>
    <row r="40" spans="2:44" x14ac:dyDescent="0.15">
      <c r="B40" s="470"/>
      <c r="C40" s="471"/>
      <c r="D40" s="471"/>
      <c r="E40" s="471"/>
      <c r="F40" s="471"/>
      <c r="G40" s="471"/>
      <c r="H40" s="471"/>
      <c r="I40" s="472"/>
      <c r="J40" s="53"/>
      <c r="K40" s="60"/>
      <c r="L40" s="54"/>
      <c r="M40" s="54"/>
      <c r="N40" s="54"/>
      <c r="O40" s="54"/>
      <c r="P40" s="54"/>
      <c r="Q40" s="54"/>
      <c r="R40" s="54"/>
      <c r="S40" s="69">
        <v>25</v>
      </c>
      <c r="T40" s="76" t="str">
        <f>VLOOKUP(S40,Languages!$A$10:$F$111,VLOOKUP($AM$6,Languages!$C$2:$D$6,2,FALSE),FALSE)</f>
        <v>Specific development costs</v>
      </c>
      <c r="U40" s="89"/>
      <c r="V40" s="76"/>
      <c r="W40" s="89"/>
      <c r="X40" s="89" t="s">
        <v>1253</v>
      </c>
      <c r="Y40" s="89"/>
      <c r="Z40" s="89"/>
      <c r="AA40" s="291" t="str">
        <f>VLOOKUP(13.1,Languages!$A$10:$F$111,VLOOKUP($AM$6,Languages!$C$2:$D$6,2,FALSE),FALSE)</f>
        <v>fill in --&gt;</v>
      </c>
      <c r="AB40" s="53"/>
      <c r="AC40" s="45" t="str">
        <f>VLOOKUP(25.1,Languages!$A$10:$F$111,VLOOKUP($AM$6,Languages!$C$2:$D$6,2,FALSE),FALSE)</f>
        <v>Total</v>
      </c>
      <c r="AD40" s="457">
        <v>0</v>
      </c>
      <c r="AE40" s="458"/>
      <c r="AF40" s="230">
        <f>G18</f>
        <v>0</v>
      </c>
      <c r="AG40" s="53"/>
      <c r="AH40" s="97" t="str">
        <f>VLOOKUP(25.2,Languages!$A$10:$F$111,VLOOKUP($AM$6,Languages!$C$2:$D$6,2,FALSE),FALSE)</f>
        <v>rest allocated in 22</v>
      </c>
      <c r="AI40" s="89"/>
      <c r="AJ40" s="76"/>
      <c r="AK40" s="89"/>
      <c r="AL40" s="234" t="str">
        <f>VLOOKUP(13.1,Languages!$A$10:$F$111,VLOOKUP($AM$6,Languages!$C$2:$D$6,2,FALSE),FALSE)</f>
        <v>fill in --&gt;</v>
      </c>
      <c r="AM40" s="512">
        <v>0</v>
      </c>
      <c r="AN40" s="513"/>
      <c r="AO40" s="54"/>
      <c r="AP40" s="54"/>
      <c r="AQ40" s="65"/>
      <c r="AR40" s="53" t="str">
        <f>T38&amp;": "&amp;T40&amp;": "&amp;AM39</f>
        <v>One-time and instalment payments: Specific development costs: 0</v>
      </c>
    </row>
    <row r="41" spans="2:44" ht="14.25" thickBot="1" x14ac:dyDescent="0.2">
      <c r="B41" s="473"/>
      <c r="C41" s="474"/>
      <c r="D41" s="474"/>
      <c r="E41" s="474"/>
      <c r="F41" s="474"/>
      <c r="G41" s="474"/>
      <c r="H41" s="474"/>
      <c r="I41" s="475"/>
      <c r="J41" s="65"/>
      <c r="K41" s="61"/>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6"/>
      <c r="AR41" s="53"/>
    </row>
    <row r="42" spans="2:44" ht="14.25" thickBot="1" x14ac:dyDescent="0.2">
      <c r="B42" s="53"/>
      <c r="C42" s="53"/>
      <c r="D42" s="53"/>
      <c r="E42" s="53"/>
      <c r="F42" s="53"/>
      <c r="G42" s="53"/>
      <c r="H42" s="53"/>
      <c r="I42" s="53"/>
      <c r="J42" s="53"/>
      <c r="K42" s="53"/>
      <c r="L42" s="53"/>
      <c r="M42" s="53"/>
      <c r="N42" s="53"/>
      <c r="O42" s="53"/>
      <c r="P42" s="53"/>
      <c r="Q42" s="53"/>
      <c r="R42" s="53"/>
      <c r="S42" s="53"/>
      <c r="T42" s="53"/>
      <c r="U42" s="53"/>
      <c r="V42" s="53"/>
      <c r="W42" s="53"/>
      <c r="X42" s="53"/>
      <c r="Z42" s="53"/>
      <c r="AB42" s="53"/>
      <c r="AC42" s="53"/>
      <c r="AE42" s="53"/>
      <c r="AF42" s="53"/>
      <c r="AG42" s="53"/>
      <c r="AH42" s="53"/>
      <c r="AI42" s="53"/>
      <c r="AJ42" s="53"/>
      <c r="AK42" s="53"/>
      <c r="AL42" s="53"/>
      <c r="AM42" s="53"/>
      <c r="AN42" s="53"/>
      <c r="AO42" s="53"/>
      <c r="AP42" s="53"/>
      <c r="AQ42" s="53"/>
      <c r="AR42" s="53"/>
    </row>
    <row r="43" spans="2:44" x14ac:dyDescent="0.15">
      <c r="B43" s="492" t="str">
        <f>VLOOKUP("0.24",Languages!$A$10:$F$111,VLOOKUP($AM$6,Languages!$C$2:$D$6,2,FALSE),FALSE)</f>
        <v>Comments:</v>
      </c>
      <c r="C43" s="493"/>
      <c r="D43" s="493"/>
      <c r="E43" s="493"/>
      <c r="F43" s="494"/>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3"/>
      <c r="AR43" s="53"/>
    </row>
    <row r="44" spans="2:44" x14ac:dyDescent="0.15">
      <c r="B44" s="495"/>
      <c r="C44" s="496"/>
      <c r="D44" s="496"/>
      <c r="E44" s="496"/>
      <c r="F44" s="497"/>
      <c r="G44" s="504"/>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6"/>
      <c r="AR44" s="53"/>
    </row>
    <row r="45" spans="2:44" x14ac:dyDescent="0.15">
      <c r="B45" s="495"/>
      <c r="C45" s="496"/>
      <c r="D45" s="496"/>
      <c r="E45" s="496"/>
      <c r="F45" s="497"/>
      <c r="G45" s="504"/>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6"/>
      <c r="AR45" s="53"/>
    </row>
    <row r="46" spans="2:44" ht="14.25" thickBot="1" x14ac:dyDescent="0.2">
      <c r="B46" s="498"/>
      <c r="C46" s="499"/>
      <c r="D46" s="499"/>
      <c r="E46" s="499"/>
      <c r="F46" s="500"/>
      <c r="G46" s="507"/>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9"/>
      <c r="AR46" s="53"/>
    </row>
  </sheetData>
  <mergeCells count="109">
    <mergeCell ref="AC7:AD7"/>
    <mergeCell ref="AC8:AD8"/>
    <mergeCell ref="AC9:AD9"/>
    <mergeCell ref="AC10:AD10"/>
    <mergeCell ref="B43:F46"/>
    <mergeCell ref="G43:AQ46"/>
    <mergeCell ref="AM39:AN39"/>
    <mergeCell ref="AM40:AN40"/>
    <mergeCell ref="AC16:AD16"/>
    <mergeCell ref="AC21:AD21"/>
    <mergeCell ref="AM35:AN35"/>
    <mergeCell ref="AM36:AN36"/>
    <mergeCell ref="AK25:AL25"/>
    <mergeCell ref="AK26:AL26"/>
    <mergeCell ref="AK31:AL31"/>
    <mergeCell ref="AM28:AN28"/>
    <mergeCell ref="AM29:AN29"/>
    <mergeCell ref="AM31:AN31"/>
    <mergeCell ref="AM33:AN33"/>
    <mergeCell ref="AF30:AG30"/>
    <mergeCell ref="AD30:AE30"/>
    <mergeCell ref="AD31:AE31"/>
    <mergeCell ref="AF31:AG31"/>
    <mergeCell ref="AH31:AI31"/>
    <mergeCell ref="AD40:AE40"/>
    <mergeCell ref="G25:I25"/>
    <mergeCell ref="G26:I26"/>
    <mergeCell ref="G24:I24"/>
    <mergeCell ref="G27:I27"/>
    <mergeCell ref="G28:I28"/>
    <mergeCell ref="AD39:AE39"/>
    <mergeCell ref="B33:I41"/>
    <mergeCell ref="AD35:AE35"/>
    <mergeCell ref="AA27:AJ27"/>
    <mergeCell ref="AD24:AE24"/>
    <mergeCell ref="AF24:AG24"/>
    <mergeCell ref="C28:F28"/>
    <mergeCell ref="C29:F29"/>
    <mergeCell ref="AD28:AE28"/>
    <mergeCell ref="AH30:AI30"/>
    <mergeCell ref="G29:I29"/>
    <mergeCell ref="C27:F27"/>
    <mergeCell ref="C26:F26"/>
    <mergeCell ref="AP23:AQ23"/>
    <mergeCell ref="AP25:AQ25"/>
    <mergeCell ref="AH14:AI14"/>
    <mergeCell ref="AH16:AI16"/>
    <mergeCell ref="AH21:AI21"/>
    <mergeCell ref="AH19:AI19"/>
    <mergeCell ref="AK20:AL20"/>
    <mergeCell ref="AM34:AN34"/>
    <mergeCell ref="AM27:AN27"/>
    <mergeCell ref="AM32:AN32"/>
    <mergeCell ref="AP21:AQ21"/>
    <mergeCell ref="AP33:AQ33"/>
    <mergeCell ref="AP34:AQ34"/>
    <mergeCell ref="AP27:AQ27"/>
    <mergeCell ref="AH24:AI24"/>
    <mergeCell ref="AP32:AQ32"/>
    <mergeCell ref="AP31:AQ31"/>
    <mergeCell ref="AP29:AQ29"/>
    <mergeCell ref="AC14:AD14"/>
    <mergeCell ref="G17:I17"/>
    <mergeCell ref="G18:I18"/>
    <mergeCell ref="G19:I19"/>
    <mergeCell ref="C17:F17"/>
    <mergeCell ref="C18:F18"/>
    <mergeCell ref="AM14:AN14"/>
    <mergeCell ref="AP16:AQ16"/>
    <mergeCell ref="AP28:AQ28"/>
    <mergeCell ref="AM21:AN21"/>
    <mergeCell ref="AM23:AN23"/>
    <mergeCell ref="AM25:AN25"/>
    <mergeCell ref="AM26:AN26"/>
    <mergeCell ref="AP18:AQ18"/>
    <mergeCell ref="G15:I15"/>
    <mergeCell ref="G16:I16"/>
    <mergeCell ref="C16:F16"/>
    <mergeCell ref="AP26:AQ26"/>
    <mergeCell ref="AM16:AN16"/>
    <mergeCell ref="AP19:AQ19"/>
    <mergeCell ref="AP20:AQ20"/>
    <mergeCell ref="AM18:AN18"/>
    <mergeCell ref="AM19:AN19"/>
    <mergeCell ref="AM20:AN20"/>
    <mergeCell ref="AJ2:AQ2"/>
    <mergeCell ref="B3:J10"/>
    <mergeCell ref="AM6:AQ6"/>
    <mergeCell ref="K3:AI6"/>
    <mergeCell ref="AM15:AN15"/>
    <mergeCell ref="AJ3:AQ4"/>
    <mergeCell ref="AJ7:AQ7"/>
    <mergeCell ref="AJ8:AQ8"/>
    <mergeCell ref="AJ9:AQ9"/>
    <mergeCell ref="AP15:AQ15"/>
    <mergeCell ref="AK15:AL15"/>
    <mergeCell ref="AK13:AL13"/>
    <mergeCell ref="AM5:AQ5"/>
    <mergeCell ref="AJ10:AQ10"/>
    <mergeCell ref="AE11:AI11"/>
    <mergeCell ref="C14:F14"/>
    <mergeCell ref="AP13:AQ13"/>
    <mergeCell ref="AP14:AQ14"/>
    <mergeCell ref="U7:AA7"/>
    <mergeCell ref="U8:AA8"/>
    <mergeCell ref="U9:AA9"/>
    <mergeCell ref="U10:AA10"/>
    <mergeCell ref="C15:F15"/>
    <mergeCell ref="G14:I14"/>
  </mergeCells>
  <phoneticPr fontId="32" type="noConversion"/>
  <dataValidations count="3">
    <dataValidation type="list" allowBlank="1" showInputMessage="1" showErrorMessage="1" sqref="G18:I18">
      <formula1>QuotationCurrency</formula1>
    </dataValidation>
    <dataValidation type="list" allowBlank="1" showInputMessage="1" showErrorMessage="1" sqref="G19:I19">
      <formula1>QuotationUnit</formula1>
    </dataValidation>
    <dataValidation type="list" allowBlank="1" showInputMessage="1" showErrorMessage="1" sqref="AM6:AQ6">
      <formula1>Wording</formula1>
    </dataValidation>
  </dataValidations>
  <printOptions horizontalCentered="1"/>
  <pageMargins left="0.39370078740157483" right="0.39370078740157483" top="0.39370078740157483" bottom="0.39370078740157483" header="0.11811023622047245" footer="0.11811023622047245"/>
  <pageSetup paperSize="9" scale="73" orientation="landscape" r:id="rId1"/>
  <headerFooter>
    <oddHeader>&amp;RPage &amp;P (&amp;N)</oddHeader>
    <oddFooter>&amp;LFile: &amp;F&amp;RTemplate:  2.1 September 2017</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BC51"/>
  <sheetViews>
    <sheetView showGridLines="0" topLeftCell="U1" zoomScale="90" zoomScaleNormal="90" zoomScaleSheetLayoutView="100" workbookViewId="0">
      <selection activeCell="AT25" sqref="AT25:AU25"/>
    </sheetView>
  </sheetViews>
  <sheetFormatPr defaultRowHeight="13.5" x14ac:dyDescent="0.15"/>
  <cols>
    <col min="2" max="2" width="4.75" customWidth="1"/>
    <col min="3" max="8" width="4.75" style="53" customWidth="1"/>
    <col min="9" max="10" width="4.75" customWidth="1"/>
    <col min="11" max="15" width="4.75" style="53" customWidth="1"/>
    <col min="16" max="36" width="4.75" customWidth="1"/>
    <col min="37" max="37" width="5.75" customWidth="1"/>
    <col min="38" max="38" width="4.75" customWidth="1"/>
    <col min="39" max="39" width="5.75" customWidth="1"/>
    <col min="40" max="40" width="4.75" customWidth="1"/>
    <col min="41" max="41" width="5.75" customWidth="1"/>
    <col min="42" max="44" width="4.75" customWidth="1"/>
    <col min="45" max="45" width="5.75" customWidth="1"/>
    <col min="46" max="51" width="4.75" customWidth="1"/>
    <col min="52" max="52" width="4.75" style="53" hidden="1" customWidth="1"/>
    <col min="53" max="53" width="4.75" customWidth="1"/>
    <col min="54" max="55" width="9.125" customWidth="1"/>
  </cols>
  <sheetData>
    <row r="2" spans="1:55" ht="14.25" thickBot="1" x14ac:dyDescent="0.2">
      <c r="A2" s="53"/>
      <c r="B2" s="53"/>
      <c r="I2" s="53"/>
      <c r="J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382" t="s">
        <v>0</v>
      </c>
      <c r="AS2" s="382"/>
      <c r="AT2" s="382"/>
      <c r="AU2" s="382"/>
      <c r="AV2" s="382"/>
      <c r="AW2" s="382"/>
      <c r="AX2" s="382"/>
      <c r="AY2" s="382"/>
      <c r="BA2" s="53"/>
      <c r="BB2" s="53"/>
      <c r="BC2" s="53"/>
    </row>
    <row r="3" spans="1:55" ht="15" customHeight="1" x14ac:dyDescent="0.15">
      <c r="A3" s="53"/>
      <c r="B3" s="383" t="s">
        <v>1</v>
      </c>
      <c r="C3" s="384"/>
      <c r="D3" s="384"/>
      <c r="E3" s="384"/>
      <c r="F3" s="384"/>
      <c r="G3" s="384"/>
      <c r="H3" s="384"/>
      <c r="I3" s="384"/>
      <c r="J3" s="385"/>
      <c r="K3" s="395" t="str">
        <f>Summary!K3</f>
        <v>Cost Break Down (CBD)</v>
      </c>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7"/>
      <c r="AR3" s="395" t="str">
        <f>VLOOKUP("c",Languages!$A$1:$F$286,VLOOKUP(Summary!AM6,Languages!$C$2:$D$6,2,FALSE),FALSE)</f>
        <v>Material</v>
      </c>
      <c r="AS3" s="396"/>
      <c r="AT3" s="396"/>
      <c r="AU3" s="396"/>
      <c r="AV3" s="396"/>
      <c r="AW3" s="396"/>
      <c r="AX3" s="396"/>
      <c r="AY3" s="397"/>
      <c r="BA3" s="53"/>
      <c r="BB3" s="53"/>
      <c r="BC3" s="53"/>
    </row>
    <row r="4" spans="1:55" ht="15" customHeight="1" thickBot="1" x14ac:dyDescent="0.2">
      <c r="A4" s="53"/>
      <c r="B4" s="386"/>
      <c r="C4" s="387"/>
      <c r="D4" s="387"/>
      <c r="E4" s="387"/>
      <c r="F4" s="387"/>
      <c r="G4" s="387"/>
      <c r="H4" s="387"/>
      <c r="I4" s="387"/>
      <c r="J4" s="388"/>
      <c r="K4" s="398"/>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400"/>
      <c r="AR4" s="401"/>
      <c r="AS4" s="402"/>
      <c r="AT4" s="402"/>
      <c r="AU4" s="402"/>
      <c r="AV4" s="402"/>
      <c r="AW4" s="402"/>
      <c r="AX4" s="402"/>
      <c r="AY4" s="403"/>
      <c r="BA4" s="53"/>
      <c r="BB4" s="53"/>
      <c r="BC4" s="53"/>
    </row>
    <row r="5" spans="1:55" ht="9.9499999999999993" customHeight="1" thickBot="1" x14ac:dyDescent="0.2">
      <c r="A5" s="53"/>
      <c r="B5" s="386"/>
      <c r="C5" s="387"/>
      <c r="D5" s="387"/>
      <c r="E5" s="387"/>
      <c r="F5" s="387"/>
      <c r="G5" s="387"/>
      <c r="H5" s="387"/>
      <c r="I5" s="387"/>
      <c r="J5" s="388"/>
      <c r="K5" s="398"/>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400"/>
      <c r="AR5" s="235"/>
      <c r="AS5" s="236"/>
      <c r="AT5" s="236"/>
      <c r="AU5" s="307" t="str">
        <f>Summary!AL5</f>
        <v>Version</v>
      </c>
      <c r="AV5" s="308" t="str">
        <f>Summary!AM5</f>
        <v>2.1</v>
      </c>
      <c r="AW5" s="236"/>
      <c r="AX5" s="236"/>
      <c r="AY5" s="237"/>
      <c r="BA5" s="53"/>
      <c r="BB5" s="53"/>
      <c r="BC5" s="53"/>
    </row>
    <row r="6" spans="1:55" s="43" customFormat="1" ht="9.9499999999999993" customHeight="1" thickBot="1" x14ac:dyDescent="0.2">
      <c r="A6" s="53"/>
      <c r="B6" s="386"/>
      <c r="C6" s="387"/>
      <c r="D6" s="387"/>
      <c r="E6" s="387"/>
      <c r="F6" s="387"/>
      <c r="G6" s="387"/>
      <c r="H6" s="387"/>
      <c r="I6" s="387"/>
      <c r="J6" s="388"/>
      <c r="K6" s="401"/>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3"/>
      <c r="AR6" s="53"/>
      <c r="AS6" s="239"/>
      <c r="AT6" s="292"/>
      <c r="AU6" s="246" t="str">
        <f>Summary!AL6</f>
        <v>Language</v>
      </c>
      <c r="AV6" s="240" t="str">
        <f>Summary!AM6</f>
        <v>English</v>
      </c>
      <c r="AW6" s="240"/>
      <c r="AX6" s="240"/>
      <c r="AY6" s="241"/>
      <c r="AZ6" s="53"/>
      <c r="BA6" s="53"/>
      <c r="BB6" s="53"/>
      <c r="BC6" s="53"/>
    </row>
    <row r="7" spans="1:55" x14ac:dyDescent="0.15">
      <c r="A7" s="53"/>
      <c r="B7" s="386"/>
      <c r="C7" s="387"/>
      <c r="D7" s="387"/>
      <c r="E7" s="387"/>
      <c r="F7" s="387"/>
      <c r="G7" s="387"/>
      <c r="H7" s="387"/>
      <c r="I7" s="387"/>
      <c r="J7" s="388"/>
      <c r="K7" s="361"/>
      <c r="L7" s="48" t="str">
        <f>Summary!L7</f>
        <v>Supplier</v>
      </c>
      <c r="M7" s="55"/>
      <c r="N7" s="361"/>
      <c r="O7" s="8"/>
      <c r="P7" s="579" t="str">
        <f>IF(Summary!U7=0,"",Summary!U7)</f>
        <v>BEIJING GOLDRARE AUTOMOBILE PARTS CO.,LTD</v>
      </c>
      <c r="Q7" s="580"/>
      <c r="R7" s="580"/>
      <c r="S7" s="580"/>
      <c r="T7" s="580"/>
      <c r="U7" s="580"/>
      <c r="V7" s="580"/>
      <c r="W7" s="581"/>
      <c r="X7" s="53"/>
      <c r="Y7" s="485" t="str">
        <f>VLOOKUP("0.01",Languages!$A$10:$F$111,VLOOKUP(Summary!AM6,Languages!$C$2:$D$6,2,FALSE),FALSE)</f>
        <v>Field</v>
      </c>
      <c r="Z7" s="485"/>
      <c r="AA7" s="53"/>
      <c r="AB7" s="53"/>
      <c r="AC7" s="53"/>
      <c r="AD7" s="53"/>
      <c r="AE7" s="53"/>
      <c r="AF7" s="53"/>
      <c r="AG7" s="53"/>
      <c r="AH7" s="53"/>
      <c r="AI7" s="53"/>
      <c r="AJ7" s="53"/>
      <c r="AK7" s="54"/>
      <c r="AL7" s="54"/>
      <c r="AM7" s="53"/>
      <c r="AN7" s="48" t="str">
        <f>Summary!AF7</f>
        <v>Project</v>
      </c>
      <c r="AO7" s="83"/>
      <c r="AP7" s="48"/>
      <c r="AQ7" s="128"/>
      <c r="AR7" s="588" t="str">
        <f>IF(Summary!AJ7=0,"",Summary!AJ7)</f>
        <v/>
      </c>
      <c r="AS7" s="589"/>
      <c r="AT7" s="589"/>
      <c r="AU7" s="589"/>
      <c r="AV7" s="589"/>
      <c r="AW7" s="589"/>
      <c r="AX7" s="589"/>
      <c r="AY7" s="590"/>
      <c r="BA7" s="53"/>
      <c r="BB7" s="53"/>
      <c r="BC7" s="53"/>
    </row>
    <row r="8" spans="1:55" x14ac:dyDescent="0.15">
      <c r="A8" s="53"/>
      <c r="B8" s="386"/>
      <c r="C8" s="387"/>
      <c r="D8" s="387"/>
      <c r="E8" s="387"/>
      <c r="F8" s="387"/>
      <c r="G8" s="387"/>
      <c r="H8" s="387"/>
      <c r="I8" s="387"/>
      <c r="J8" s="388"/>
      <c r="K8" s="361"/>
      <c r="L8" s="49" t="str">
        <f>Summary!L8</f>
        <v>Contact person</v>
      </c>
      <c r="M8" s="273"/>
      <c r="N8" s="274"/>
      <c r="O8" s="1"/>
      <c r="P8" s="582" t="str">
        <f>IF(Summary!U8=0,"",Summary!U8)</f>
        <v>Vicky Wang (王东芳)</v>
      </c>
      <c r="Q8" s="583"/>
      <c r="R8" s="583"/>
      <c r="S8" s="583"/>
      <c r="T8" s="583"/>
      <c r="U8" s="583"/>
      <c r="V8" s="583"/>
      <c r="W8" s="584"/>
      <c r="X8" s="53"/>
      <c r="Y8" s="486" t="str">
        <f>VLOOKUP("0.02",Languages!$A$10:$F$111,VLOOKUP(Summary!AM6,Languages!$C$2:$D$6,2,FALSE),FALSE)</f>
        <v>mandatory</v>
      </c>
      <c r="Z8" s="487"/>
      <c r="AA8" s="53"/>
      <c r="AB8" s="53"/>
      <c r="AC8" s="53"/>
      <c r="AD8" s="53"/>
      <c r="AE8" s="53"/>
      <c r="AF8" s="53"/>
      <c r="AG8" s="53"/>
      <c r="AH8" s="53"/>
      <c r="AI8" s="53"/>
      <c r="AJ8" s="53"/>
      <c r="AK8" s="54"/>
      <c r="AL8" s="54"/>
      <c r="AM8" s="53"/>
      <c r="AN8" s="49" t="str">
        <f>Summary!AF8</f>
        <v>Part number</v>
      </c>
      <c r="AO8" s="6"/>
      <c r="AP8" s="49"/>
      <c r="AQ8" s="1"/>
      <c r="AR8" s="591" t="str">
        <f>IF(Summary!AJ8=0,"",Summary!AJ8)</f>
        <v/>
      </c>
      <c r="AS8" s="592"/>
      <c r="AT8" s="592"/>
      <c r="AU8" s="592"/>
      <c r="AV8" s="592"/>
      <c r="AW8" s="592"/>
      <c r="AX8" s="592"/>
      <c r="AY8" s="593"/>
      <c r="BA8" s="53"/>
      <c r="BB8" s="53"/>
      <c r="BC8" s="53"/>
    </row>
    <row r="9" spans="1:55" x14ac:dyDescent="0.15">
      <c r="A9" s="53"/>
      <c r="B9" s="386"/>
      <c r="C9" s="387"/>
      <c r="D9" s="387"/>
      <c r="E9" s="387"/>
      <c r="F9" s="387"/>
      <c r="G9" s="387"/>
      <c r="H9" s="387"/>
      <c r="I9" s="387"/>
      <c r="J9" s="388"/>
      <c r="K9" s="361"/>
      <c r="L9" s="49" t="str">
        <f>Summary!L9</f>
        <v>E-Mail</v>
      </c>
      <c r="M9" s="275"/>
      <c r="N9" s="204"/>
      <c r="O9" s="1"/>
      <c r="P9" s="582" t="str">
        <f>IF(Summary!U9=0,"",Summary!U9)</f>
        <v>wangdongfang@bjghrc.com</v>
      </c>
      <c r="Q9" s="583"/>
      <c r="R9" s="583"/>
      <c r="S9" s="583"/>
      <c r="T9" s="583"/>
      <c r="U9" s="583"/>
      <c r="V9" s="583"/>
      <c r="W9" s="584"/>
      <c r="X9" s="53"/>
      <c r="Y9" s="488" t="str">
        <f>VLOOKUP("0.03",Languages!$A$10:$F$111,VLOOKUP(Summary!AM6,Languages!$C$2:$D$6,2,FALSE),FALSE)</f>
        <v>optional</v>
      </c>
      <c r="Z9" s="489"/>
      <c r="AA9" s="53"/>
      <c r="AB9" s="53"/>
      <c r="AC9" s="53"/>
      <c r="AD9" s="53"/>
      <c r="AE9" s="53"/>
      <c r="AF9" s="53"/>
      <c r="AG9" s="53"/>
      <c r="AH9" s="53"/>
      <c r="AI9" s="53"/>
      <c r="AJ9" s="53"/>
      <c r="AK9" s="54"/>
      <c r="AL9" s="54"/>
      <c r="AM9" s="53"/>
      <c r="AN9" s="49" t="str">
        <f>Summary!AF9</f>
        <v>Part name</v>
      </c>
      <c r="AO9" s="6"/>
      <c r="AP9" s="49"/>
      <c r="AQ9" s="1"/>
      <c r="AR9" s="591" t="str">
        <f>IF(Summary!AJ9=0,"",Summary!AJ9)</f>
        <v/>
      </c>
      <c r="AS9" s="592"/>
      <c r="AT9" s="592"/>
      <c r="AU9" s="592"/>
      <c r="AV9" s="592"/>
      <c r="AW9" s="592"/>
      <c r="AX9" s="592"/>
      <c r="AY9" s="593"/>
      <c r="BA9" s="53"/>
      <c r="BB9" s="53"/>
      <c r="BC9" s="53"/>
    </row>
    <row r="10" spans="1:55" ht="14.25" thickBot="1" x14ac:dyDescent="0.2">
      <c r="A10" s="53"/>
      <c r="B10" s="389"/>
      <c r="C10" s="390"/>
      <c r="D10" s="390"/>
      <c r="E10" s="390"/>
      <c r="F10" s="390"/>
      <c r="G10" s="390"/>
      <c r="H10" s="390"/>
      <c r="I10" s="390"/>
      <c r="J10" s="391"/>
      <c r="K10" s="362"/>
      <c r="L10" s="50" t="str">
        <f>Summary!L10</f>
        <v>Telephone</v>
      </c>
      <c r="M10" s="272"/>
      <c r="N10" s="362"/>
      <c r="O10" s="10"/>
      <c r="P10" s="585">
        <f>IF(Summary!U10=0,"",Summary!U10)</f>
        <v>8618511780380</v>
      </c>
      <c r="Q10" s="586"/>
      <c r="R10" s="586"/>
      <c r="S10" s="586"/>
      <c r="T10" s="586"/>
      <c r="U10" s="586"/>
      <c r="V10" s="586"/>
      <c r="W10" s="587"/>
      <c r="X10" s="62"/>
      <c r="Y10" s="490" t="str">
        <f>VLOOKUP("0.04",Languages!$A$10:$F$111,VLOOKUP(Summary!AM6,Languages!$C$2:$D$6,2,FALSE),FALSE)</f>
        <v>calculated</v>
      </c>
      <c r="Z10" s="491"/>
      <c r="AA10" s="62"/>
      <c r="AB10" s="62"/>
      <c r="AC10" s="62"/>
      <c r="AD10" s="62"/>
      <c r="AE10" s="62"/>
      <c r="AF10" s="62"/>
      <c r="AG10" s="62"/>
      <c r="AH10" s="62"/>
      <c r="AI10" s="62"/>
      <c r="AJ10" s="62"/>
      <c r="AK10" s="62"/>
      <c r="AL10" s="62"/>
      <c r="AM10" s="62"/>
      <c r="AN10" s="50" t="str">
        <f>Summary!AF10</f>
        <v>Quotation date</v>
      </c>
      <c r="AO10" s="201"/>
      <c r="AP10" s="50"/>
      <c r="AQ10" s="16"/>
      <c r="AR10" s="594" t="str">
        <f>IF(Summary!AJ10=0,"",Summary!AJ10)</f>
        <v/>
      </c>
      <c r="AS10" s="595"/>
      <c r="AT10" s="595"/>
      <c r="AU10" s="595"/>
      <c r="AV10" s="595"/>
      <c r="AW10" s="595"/>
      <c r="AX10" s="595"/>
      <c r="AY10" s="596"/>
      <c r="BA10" s="53"/>
      <c r="BB10" s="53"/>
      <c r="BC10" s="53"/>
    </row>
    <row r="11" spans="1:55" ht="14.25" thickBot="1" x14ac:dyDescent="0.2">
      <c r="A11" s="53"/>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row>
    <row r="12" spans="1:55" ht="14.25" thickBot="1" x14ac:dyDescent="0.2">
      <c r="A12" s="53"/>
      <c r="B12" s="577" t="str">
        <f>VLOOKUP("M01",Languages!$A$1:$F$286,VLOOKUP(Summary!AM6,Languages!$C$2:$D$6,2,FALSE),FALSE)</f>
        <v>Description</v>
      </c>
      <c r="C12" s="578"/>
      <c r="D12" s="578"/>
      <c r="E12" s="578"/>
      <c r="F12" s="578"/>
      <c r="G12" s="578"/>
      <c r="H12" s="578"/>
      <c r="I12" s="578"/>
      <c r="J12" s="578"/>
      <c r="K12" s="578"/>
      <c r="L12" s="578"/>
      <c r="M12" s="578"/>
      <c r="N12" s="578"/>
      <c r="O12" s="578"/>
      <c r="P12" s="578"/>
      <c r="Q12" s="578"/>
      <c r="R12" s="578"/>
      <c r="S12" s="578"/>
      <c r="T12" s="578"/>
      <c r="U12" s="578"/>
      <c r="V12" s="578"/>
      <c r="W12" s="578"/>
      <c r="X12" s="577" t="str">
        <f>VLOOKUP("M02",Languages!$A$1:$F$286,VLOOKUP(Summary!AM6,Languages!$C$2:$D$6,2,FALSE),FALSE)</f>
        <v>Purchasing Currency</v>
      </c>
      <c r="Y12" s="578"/>
      <c r="Z12" s="578"/>
      <c r="AA12" s="578"/>
      <c r="AB12" s="578"/>
      <c r="AC12" s="653"/>
      <c r="AD12" s="577" t="str">
        <f>VLOOKUP("M03",Languages!$A$1:$F$286,VLOOKUP(Summary!AM6,Languages!$C$2:$D$6,2,FALSE),FALSE)</f>
        <v>Statement in Quotation currency</v>
      </c>
      <c r="AE12" s="578"/>
      <c r="AF12" s="578"/>
      <c r="AG12" s="578"/>
      <c r="AH12" s="578"/>
      <c r="AI12" s="578"/>
      <c r="AJ12" s="578"/>
      <c r="AK12" s="578"/>
      <c r="AL12" s="578"/>
      <c r="AM12" s="578"/>
      <c r="AN12" s="578"/>
      <c r="AO12" s="578"/>
      <c r="AP12" s="578"/>
      <c r="AQ12" s="578"/>
      <c r="AR12" s="578"/>
      <c r="AS12" s="578"/>
      <c r="AT12" s="578"/>
      <c r="AU12" s="578"/>
      <c r="AV12" s="578"/>
      <c r="AW12" s="578"/>
      <c r="AX12" s="578"/>
      <c r="AY12" s="653"/>
      <c r="AZ12" s="257"/>
      <c r="BA12" s="39"/>
      <c r="BB12" s="39"/>
      <c r="BC12" s="39"/>
    </row>
    <row r="13" spans="1:55" x14ac:dyDescent="0.15">
      <c r="A13" s="248"/>
      <c r="B13" s="37" t="s">
        <v>15</v>
      </c>
      <c r="C13" s="642" t="s">
        <v>16</v>
      </c>
      <c r="D13" s="643"/>
      <c r="E13" s="644"/>
      <c r="F13" s="568" t="s">
        <v>17</v>
      </c>
      <c r="G13" s="597"/>
      <c r="H13" s="597"/>
      <c r="I13" s="597"/>
      <c r="J13" s="569"/>
      <c r="K13" s="568" t="s">
        <v>18</v>
      </c>
      <c r="L13" s="597"/>
      <c r="M13" s="597"/>
      <c r="N13" s="597"/>
      <c r="O13" s="569"/>
      <c r="P13" s="568" t="s">
        <v>19</v>
      </c>
      <c r="Q13" s="597"/>
      <c r="R13" s="569"/>
      <c r="S13" s="568" t="s">
        <v>20</v>
      </c>
      <c r="T13" s="597"/>
      <c r="U13" s="569"/>
      <c r="V13" s="568" t="s">
        <v>21</v>
      </c>
      <c r="W13" s="570"/>
      <c r="X13" s="654" t="s">
        <v>22</v>
      </c>
      <c r="Y13" s="569"/>
      <c r="Z13" s="568" t="s">
        <v>23</v>
      </c>
      <c r="AA13" s="569"/>
      <c r="AB13" s="568" t="s">
        <v>24</v>
      </c>
      <c r="AC13" s="570"/>
      <c r="AD13" s="654" t="s">
        <v>25</v>
      </c>
      <c r="AE13" s="569"/>
      <c r="AF13" s="568" t="s">
        <v>26</v>
      </c>
      <c r="AG13" s="569"/>
      <c r="AH13" s="568" t="s">
        <v>27</v>
      </c>
      <c r="AI13" s="569"/>
      <c r="AJ13" s="568" t="s">
        <v>28</v>
      </c>
      <c r="AK13" s="569"/>
      <c r="AL13" s="568" t="s">
        <v>29</v>
      </c>
      <c r="AM13" s="569"/>
      <c r="AN13" s="568" t="s">
        <v>30</v>
      </c>
      <c r="AO13" s="569"/>
      <c r="AP13" s="568" t="s">
        <v>31</v>
      </c>
      <c r="AQ13" s="597"/>
      <c r="AR13" s="597"/>
      <c r="AS13" s="569"/>
      <c r="AT13" s="568" t="s">
        <v>32</v>
      </c>
      <c r="AU13" s="597"/>
      <c r="AV13" s="597"/>
      <c r="AW13" s="569"/>
      <c r="AX13" s="568" t="s">
        <v>33</v>
      </c>
      <c r="AY13" s="570"/>
      <c r="BA13" s="53"/>
      <c r="BB13" s="53"/>
      <c r="BC13" s="53"/>
    </row>
    <row r="14" spans="1:55" ht="69.95" customHeight="1" x14ac:dyDescent="0.15">
      <c r="A14" s="53"/>
      <c r="B14" s="381" t="str">
        <f>VLOOKUP(B13,Languages!$A$1:$F$286,VLOOKUP(Summary!AM6,Languages!$C$2:$D$6,2,FALSE),FALSE)</f>
        <v>No.</v>
      </c>
      <c r="C14" s="575" t="str">
        <f>VLOOKUP(C13,Languages!$A$1:$F$286,VLOOKUP(Summary!AM6,Languages!$C$2:$D$6,2,FALSE),FALSE)</f>
        <v>Item number</v>
      </c>
      <c r="D14" s="645"/>
      <c r="E14" s="646"/>
      <c r="F14" s="571" t="str">
        <f>VLOOKUP(F13,Languages!$A$1:$F$286,VLOOKUP(Summary!AM6,Languages!$C$2:$D$6,2,FALSE),FALSE)</f>
        <v>Part designation</v>
      </c>
      <c r="G14" s="611"/>
      <c r="H14" s="611"/>
      <c r="I14" s="611"/>
      <c r="J14" s="553"/>
      <c r="K14" s="571" t="str">
        <f>VLOOKUP(K13,Languages!$A$1:$F$286,VLOOKUP(Summary!AM6,Languages!$C$2:$D$6,2,FALSE),FALSE)</f>
        <v>Designation raw material</v>
      </c>
      <c r="L14" s="611"/>
      <c r="M14" s="611"/>
      <c r="N14" s="611"/>
      <c r="O14" s="553"/>
      <c r="P14" s="612" t="str">
        <f>VLOOKUP(P13,Languages!$A$1:$F$286,VLOOKUP(Summary!AM6,Languages!$C$2:$D$6,2,FALSE),FALSE)</f>
        <v>Material class</v>
      </c>
      <c r="Q14" s="613"/>
      <c r="R14" s="614"/>
      <c r="S14" s="571" t="str">
        <f>VLOOKUP(S13,Languages!$A$1:$F$286,VLOOKUP(Summary!AM6,Languages!$C$2:$D$6,2,FALSE),FALSE)</f>
        <v>Supplier</v>
      </c>
      <c r="T14" s="611"/>
      <c r="U14" s="553"/>
      <c r="V14" s="575" t="str">
        <f>VLOOKUP(V13,Languages!$A$1:$F$286,VLOOKUP(Summary!AM6,Languages!$C$2:$D$6,2,FALSE),FALSE)</f>
        <v>Unit</v>
      </c>
      <c r="W14" s="576"/>
      <c r="X14" s="552" t="str">
        <f>VLOOKUP(X13,Languages!$A$1:$F$286,VLOOKUP(Summary!AM6,Languages!$C$2:$D$6,2,FALSE),FALSE)</f>
        <v>Purchasing currency</v>
      </c>
      <c r="Y14" s="553"/>
      <c r="Z14" s="571" t="str">
        <f>VLOOKUP(Z13,Languages!$A$1:$F$286,VLOOKUP(Summary!AM6,Languages!$C$2:$D$6,2,FALSE),FALSE)</f>
        <v>Price in purchasing currency per unit</v>
      </c>
      <c r="AA14" s="553"/>
      <c r="AB14" s="571" t="str">
        <f>VLOOKUP(AB13,Languages!$A$1:$F$286,VLOOKUP(Summary!AM6,Languages!$C$2:$D$6,2,FALSE),FALSE)</f>
        <v>Rate of exchange (AW/BW)</v>
      </c>
      <c r="AC14" s="572"/>
      <c r="AD14" s="552" t="str">
        <f>VLOOKUP(AD13,Languages!$A$1:$F$286,VLOOKUP(Summary!AM6,Languages!$C$2:$D$6,2,FALSE),FALSE)</f>
        <v>Price in quotation currency per unit</v>
      </c>
      <c r="AE14" s="553"/>
      <c r="AF14" s="573" t="str">
        <f>VLOOKUP(AF13,Languages!$A$1:$F$286,VLOOKUP(Summary!AM6,Languages!$C$2:$D$6,2,FALSE),FALSE)</f>
        <v>Total Deployed weight/ quantity</v>
      </c>
      <c r="AG14" s="574"/>
      <c r="AH14" s="573" t="str">
        <f>VLOOKUP(AH13,Languages!$A$1:$F$286,VLOOKUP(Summary!AM6,Languages!$C$2:$D$6,2,FALSE),FALSE)</f>
        <v>Total Net weight of finished part (only for info.)</v>
      </c>
      <c r="AI14" s="574"/>
      <c r="AJ14" s="573" t="str">
        <f>VLOOKUP(AJ13,Languages!$A$1:$F$286,VLOOKUP(Summary!AM6,Languages!$C$2:$D$6,2,FALSE),FALSE)</f>
        <v>Material costs</v>
      </c>
      <c r="AK14" s="574"/>
      <c r="AL14" s="573" t="str">
        <f>VLOOKUP(AL13,Languages!$A$1:$F$286,VLOOKUP(Summary!AM6,Languages!$C$2:$D$6,2,FALSE),FALSE)</f>
        <v>Total Scrap (yield) only raw materials</v>
      </c>
      <c r="AM14" s="574"/>
      <c r="AN14" s="573" t="str">
        <f>VLOOKUP(AN13,Languages!$A$1:$F$286,VLOOKUP(Summary!AM6,Languages!$C$2:$D$6,2,FALSE),FALSE)</f>
        <v>DMC (Direct Material costs)</v>
      </c>
      <c r="AO14" s="574"/>
      <c r="AP14" s="573" t="str">
        <f>VLOOKUP(AP13,Languages!$A$1:$F$286,VLOOKUP(Summary!AM6,Languages!$C$2:$D$6,2,FALSE),FALSE)</f>
        <v>Material overhead costs</v>
      </c>
      <c r="AQ14" s="598"/>
      <c r="AR14" s="598"/>
      <c r="AS14" s="574"/>
      <c r="AT14" s="573" t="str">
        <f>VLOOKUP(AT13,Languages!$A$1:$F$286,VLOOKUP(Summary!AM6,Languages!$C$2:$D$6,2,FALSE),FALSE)</f>
        <v>Material scrap costs</v>
      </c>
      <c r="AU14" s="598"/>
      <c r="AV14" s="598"/>
      <c r="AW14" s="574"/>
      <c r="AX14" s="571" t="str">
        <f>VLOOKUP(AX13,Languages!$A$1:$F$286,VLOOKUP(Summary!AM6,Languages!$C$2:$D$6,2,FALSE),FALSE)</f>
        <v>Total material costs</v>
      </c>
      <c r="AY14" s="572"/>
      <c r="BA14" s="53"/>
      <c r="BB14" s="53"/>
      <c r="BC14" s="53"/>
    </row>
    <row r="15" spans="1:55" ht="24.95" customHeight="1" x14ac:dyDescent="0.15">
      <c r="A15" s="53"/>
      <c r="B15" s="13"/>
      <c r="C15" s="358"/>
      <c r="D15" s="358"/>
      <c r="E15" s="358"/>
      <c r="F15" s="250"/>
      <c r="I15" s="53"/>
      <c r="J15" s="36"/>
      <c r="P15" s="251"/>
      <c r="Q15" s="48"/>
      <c r="R15" s="36"/>
      <c r="S15" s="358"/>
      <c r="T15" s="54"/>
      <c r="U15" s="53"/>
      <c r="V15" s="250"/>
      <c r="W15" s="53"/>
      <c r="X15" s="366"/>
      <c r="Y15" s="53"/>
      <c r="Z15" s="367"/>
      <c r="AA15" s="53"/>
      <c r="AB15" s="367"/>
      <c r="AC15" s="53"/>
      <c r="AD15" s="366"/>
      <c r="AE15" s="53"/>
      <c r="AF15" s="371"/>
      <c r="AG15" s="53"/>
      <c r="AH15" s="371"/>
      <c r="AI15" s="53"/>
      <c r="AJ15" s="371"/>
      <c r="AK15" s="379"/>
      <c r="AL15" s="371"/>
      <c r="AM15" s="379"/>
      <c r="AN15" s="371"/>
      <c r="AO15" s="372"/>
      <c r="AP15" s="601" t="str">
        <f>VLOOKUP("M16,1",Languages!$A$1:$F$286,VLOOKUP(Summary!AM6,Languages!$C$2:$D$6,2,FALSE),FALSE)</f>
        <v>Base is M15</v>
      </c>
      <c r="AQ15" s="602"/>
      <c r="AR15" s="602"/>
      <c r="AS15" s="603"/>
      <c r="AT15" s="367"/>
      <c r="AU15" s="649" t="str">
        <f>VLOOKUP(13.3,Languages!$A$1:$F$286,VLOOKUP(Summary!AM6,Languages!$C$2:$D$6,2,FALSE),FALSE)</f>
        <v>/unit</v>
      </c>
      <c r="AV15" s="249"/>
      <c r="AW15" s="53"/>
      <c r="AX15" s="367"/>
      <c r="AY15" s="599" t="str">
        <f>VLOOKUP(13.3,Languages!$A$1:$F$286,VLOOKUP(Summary!AM6,Languages!$C$2:$D$6,2,FALSE),FALSE)</f>
        <v>/unit</v>
      </c>
      <c r="BA15" s="53"/>
      <c r="BB15" s="53"/>
      <c r="BC15" s="53"/>
    </row>
    <row r="16" spans="1:55" ht="15" customHeight="1" x14ac:dyDescent="0.15">
      <c r="A16" s="53"/>
      <c r="B16" s="9"/>
      <c r="C16" s="256"/>
      <c r="D16" s="256"/>
      <c r="E16" s="256"/>
      <c r="F16" s="15"/>
      <c r="I16" s="53"/>
      <c r="J16" s="196"/>
      <c r="P16" s="15"/>
      <c r="Q16" s="256"/>
      <c r="R16" s="196"/>
      <c r="S16" s="375"/>
      <c r="T16" s="17"/>
      <c r="U16" s="53"/>
      <c r="V16" s="374"/>
      <c r="W16" s="53"/>
      <c r="X16" s="60"/>
      <c r="Y16" s="53"/>
      <c r="Z16" s="188"/>
      <c r="AA16" s="53"/>
      <c r="AB16" s="376"/>
      <c r="AC16" s="53"/>
      <c r="AD16" s="550">
        <f>Summary!G18</f>
        <v>0</v>
      </c>
      <c r="AE16" s="551"/>
      <c r="AF16" s="376"/>
      <c r="AG16" s="53"/>
      <c r="AH16" s="377"/>
      <c r="AI16" s="53"/>
      <c r="AJ16" s="27">
        <f>Summary!G18</f>
        <v>0</v>
      </c>
      <c r="AK16" s="26" t="str">
        <f>VLOOKUP(13.3,Languages!$A$1:$F$286,VLOOKUP(Summary!AM6,Languages!$C$2:$D$6,2,FALSE),FALSE)</f>
        <v>/unit</v>
      </c>
      <c r="AL16" s="27">
        <f>Summary!G18</f>
        <v>0</v>
      </c>
      <c r="AM16" s="26" t="str">
        <f>VLOOKUP(13.3,Languages!$A$1:$F$286,VLOOKUP(Summary!AM6,Languages!$C$2:$D$6,2,FALSE),FALSE)</f>
        <v>/unit</v>
      </c>
      <c r="AN16" s="27">
        <f>Summary!G18</f>
        <v>0</v>
      </c>
      <c r="AO16" s="29" t="str">
        <f>VLOOKUP(13.3,Languages!$A$1:$F$286,VLOOKUP(Summary!AM6,Languages!$C$2:$D$6,2,FALSE),FALSE)</f>
        <v>/unit</v>
      </c>
      <c r="AP16" s="647" t="s">
        <v>7</v>
      </c>
      <c r="AQ16" s="648"/>
      <c r="AR16" s="28">
        <f>Summary!G18</f>
        <v>0</v>
      </c>
      <c r="AS16" s="285" t="str">
        <f>VLOOKUP(13.3,Languages!$A$1:$F$286,VLOOKUP(Summary!AM6,Languages!$C$2:$D$6,2,FALSE),FALSE)</f>
        <v>/unit</v>
      </c>
      <c r="AT16" s="27">
        <f>Summary!G18</f>
        <v>0</v>
      </c>
      <c r="AU16" s="650"/>
      <c r="AV16" s="651" t="s">
        <v>7</v>
      </c>
      <c r="AW16" s="652"/>
      <c r="AX16" s="27">
        <f>Summary!G18</f>
        <v>0</v>
      </c>
      <c r="AY16" s="600"/>
      <c r="BA16" s="53"/>
      <c r="BB16" s="53"/>
      <c r="BC16" s="53"/>
    </row>
    <row r="17" spans="2:52" x14ac:dyDescent="0.15">
      <c r="B17" s="333"/>
      <c r="C17" s="526"/>
      <c r="D17" s="535"/>
      <c r="E17" s="527"/>
      <c r="F17" s="528" t="s">
        <v>1168</v>
      </c>
      <c r="G17" s="536"/>
      <c r="H17" s="536"/>
      <c r="I17" s="536"/>
      <c r="J17" s="529"/>
      <c r="K17" s="528" t="s">
        <v>1169</v>
      </c>
      <c r="L17" s="536"/>
      <c r="M17" s="536"/>
      <c r="N17" s="536"/>
      <c r="O17" s="529"/>
      <c r="P17" s="537"/>
      <c r="Q17" s="538"/>
      <c r="R17" s="539"/>
      <c r="S17" s="540" t="s">
        <v>1170</v>
      </c>
      <c r="T17" s="541"/>
      <c r="U17" s="542"/>
      <c r="V17" s="528"/>
      <c r="W17" s="543"/>
      <c r="X17" s="544" t="s">
        <v>1049</v>
      </c>
      <c r="Y17" s="545"/>
      <c r="Z17" s="546" t="s">
        <v>1171</v>
      </c>
      <c r="AA17" s="547"/>
      <c r="AB17" s="548" t="s">
        <v>1172</v>
      </c>
      <c r="AC17" s="549"/>
      <c r="AD17" s="524" t="e">
        <f t="shared" ref="AD17:AD32" si="0">IF(Z17=0,0,Z17*AB17)</f>
        <v>#VALUE!</v>
      </c>
      <c r="AE17" s="525"/>
      <c r="AF17" s="526" t="s">
        <v>1173</v>
      </c>
      <c r="AG17" s="527"/>
      <c r="AH17" s="528" t="s">
        <v>1174</v>
      </c>
      <c r="AI17" s="529"/>
      <c r="AJ17" s="805" t="e">
        <f>AD17*AF17</f>
        <v>#VALUE!</v>
      </c>
      <c r="AK17" s="530"/>
      <c r="AL17" s="531" t="s">
        <v>1175</v>
      </c>
      <c r="AM17" s="532"/>
      <c r="AN17" s="522" t="e">
        <f>IF(P17="Raw material",AJ17-AL17,AJ17)</f>
        <v>#VALUE!</v>
      </c>
      <c r="AO17" s="530"/>
      <c r="AP17" s="533" t="s">
        <v>1176</v>
      </c>
      <c r="AQ17" s="534"/>
      <c r="AR17" s="522" t="e">
        <f>AN17*AP17</f>
        <v>#VALUE!</v>
      </c>
      <c r="AS17" s="530"/>
      <c r="AT17" s="531" t="s">
        <v>1177</v>
      </c>
      <c r="AU17" s="532"/>
      <c r="AV17" s="520" t="e">
        <f t="shared" ref="AV17:AV46" si="1">IF(AT17=0,"-",AT17/(AN17+AT17))</f>
        <v>#VALUE!</v>
      </c>
      <c r="AW17" s="521"/>
      <c r="AX17" s="522" t="e">
        <f t="shared" ref="AX17:AX46" si="2">SUM(AN17,AR17,AT17)</f>
        <v>#VALUE!</v>
      </c>
      <c r="AY17" s="523"/>
      <c r="AZ17" s="53" t="str">
        <f>$AH$14&amp;": "&amp;AH17</f>
        <v>Total Net weight of finished part (only for info.): 成品净重</v>
      </c>
    </row>
    <row r="18" spans="2:52" s="53" customFormat="1" x14ac:dyDescent="0.15">
      <c r="B18" s="333"/>
      <c r="C18" s="526"/>
      <c r="D18" s="535"/>
      <c r="E18" s="527"/>
      <c r="F18" s="528"/>
      <c r="G18" s="536"/>
      <c r="H18" s="536"/>
      <c r="I18" s="536"/>
      <c r="J18" s="529"/>
      <c r="K18" s="528"/>
      <c r="L18" s="536"/>
      <c r="M18" s="536"/>
      <c r="N18" s="536"/>
      <c r="O18" s="529"/>
      <c r="P18" s="537"/>
      <c r="Q18" s="538"/>
      <c r="R18" s="539"/>
      <c r="S18" s="540"/>
      <c r="T18" s="541"/>
      <c r="U18" s="542"/>
      <c r="V18" s="528"/>
      <c r="W18" s="543"/>
      <c r="X18" s="544"/>
      <c r="Y18" s="545"/>
      <c r="Z18" s="546"/>
      <c r="AA18" s="547"/>
      <c r="AB18" s="548"/>
      <c r="AC18" s="549"/>
      <c r="AD18" s="524">
        <f t="shared" ref="AD18:AD30" si="3">IF(Z18=0,0,Z18*AB18)</f>
        <v>0</v>
      </c>
      <c r="AE18" s="525"/>
      <c r="AF18" s="526"/>
      <c r="AG18" s="527"/>
      <c r="AH18" s="528"/>
      <c r="AI18" s="529"/>
      <c r="AJ18" s="522">
        <f t="shared" ref="AJ18:AJ30" si="4">AD18*AF18</f>
        <v>0</v>
      </c>
      <c r="AK18" s="530"/>
      <c r="AL18" s="531"/>
      <c r="AM18" s="532"/>
      <c r="AN18" s="522">
        <f t="shared" ref="AN18:AN30" si="5">IF(P18="Raw material",AJ18-AL18,AJ18)</f>
        <v>0</v>
      </c>
      <c r="AO18" s="530"/>
      <c r="AP18" s="533"/>
      <c r="AQ18" s="534"/>
      <c r="AR18" s="522">
        <f t="shared" ref="AR18:AR30" si="6">AN18*AP18</f>
        <v>0</v>
      </c>
      <c r="AS18" s="530"/>
      <c r="AT18" s="531"/>
      <c r="AU18" s="532"/>
      <c r="AV18" s="520" t="str">
        <f t="shared" si="1"/>
        <v>-</v>
      </c>
      <c r="AW18" s="521"/>
      <c r="AX18" s="522">
        <f t="shared" si="2"/>
        <v>0</v>
      </c>
      <c r="AY18" s="523"/>
      <c r="AZ18" s="53" t="str">
        <f t="shared" ref="AZ18:AZ30" si="7">$AH$14&amp;": "&amp;AH18</f>
        <v xml:space="preserve">Total Net weight of finished part (only for info.): </v>
      </c>
    </row>
    <row r="19" spans="2:52" s="53" customFormat="1" x14ac:dyDescent="0.15">
      <c r="B19" s="334"/>
      <c r="C19" s="526"/>
      <c r="D19" s="535"/>
      <c r="E19" s="527"/>
      <c r="F19" s="528"/>
      <c r="G19" s="536"/>
      <c r="H19" s="536"/>
      <c r="I19" s="536"/>
      <c r="J19" s="529"/>
      <c r="K19" s="528"/>
      <c r="L19" s="536"/>
      <c r="M19" s="536"/>
      <c r="N19" s="536"/>
      <c r="O19" s="529"/>
      <c r="P19" s="537"/>
      <c r="Q19" s="538"/>
      <c r="R19" s="539"/>
      <c r="S19" s="540"/>
      <c r="T19" s="541"/>
      <c r="U19" s="542"/>
      <c r="V19" s="528"/>
      <c r="W19" s="543"/>
      <c r="X19" s="544"/>
      <c r="Y19" s="545"/>
      <c r="Z19" s="546"/>
      <c r="AA19" s="547"/>
      <c r="AB19" s="548"/>
      <c r="AC19" s="549"/>
      <c r="AD19" s="524">
        <f t="shared" si="3"/>
        <v>0</v>
      </c>
      <c r="AE19" s="525"/>
      <c r="AF19" s="526"/>
      <c r="AG19" s="527"/>
      <c r="AH19" s="528"/>
      <c r="AI19" s="529"/>
      <c r="AJ19" s="522">
        <f t="shared" si="4"/>
        <v>0</v>
      </c>
      <c r="AK19" s="530"/>
      <c r="AL19" s="531"/>
      <c r="AM19" s="532"/>
      <c r="AN19" s="522">
        <f t="shared" si="5"/>
        <v>0</v>
      </c>
      <c r="AO19" s="530"/>
      <c r="AP19" s="533"/>
      <c r="AQ19" s="534"/>
      <c r="AR19" s="522">
        <f t="shared" si="6"/>
        <v>0</v>
      </c>
      <c r="AS19" s="530"/>
      <c r="AT19" s="531"/>
      <c r="AU19" s="532"/>
      <c r="AV19" s="520" t="str">
        <f t="shared" si="1"/>
        <v>-</v>
      </c>
      <c r="AW19" s="521"/>
      <c r="AX19" s="522">
        <f t="shared" si="2"/>
        <v>0</v>
      </c>
      <c r="AY19" s="523"/>
      <c r="AZ19" s="53" t="str">
        <f t="shared" si="7"/>
        <v xml:space="preserve">Total Net weight of finished part (only for info.): </v>
      </c>
    </row>
    <row r="20" spans="2:52" s="53" customFormat="1" x14ac:dyDescent="0.15">
      <c r="B20" s="334"/>
      <c r="C20" s="526"/>
      <c r="D20" s="535"/>
      <c r="E20" s="527"/>
      <c r="F20" s="528"/>
      <c r="G20" s="536"/>
      <c r="H20" s="536"/>
      <c r="I20" s="536"/>
      <c r="J20" s="529"/>
      <c r="K20" s="528"/>
      <c r="L20" s="536"/>
      <c r="M20" s="536"/>
      <c r="N20" s="536"/>
      <c r="O20" s="529"/>
      <c r="P20" s="537"/>
      <c r="Q20" s="538"/>
      <c r="R20" s="539"/>
      <c r="S20" s="540"/>
      <c r="T20" s="541"/>
      <c r="U20" s="542"/>
      <c r="V20" s="528"/>
      <c r="W20" s="543"/>
      <c r="X20" s="544"/>
      <c r="Y20" s="545"/>
      <c r="Z20" s="546"/>
      <c r="AA20" s="547"/>
      <c r="AB20" s="548"/>
      <c r="AC20" s="549"/>
      <c r="AD20" s="524">
        <f t="shared" si="3"/>
        <v>0</v>
      </c>
      <c r="AE20" s="525"/>
      <c r="AF20" s="526"/>
      <c r="AG20" s="527"/>
      <c r="AH20" s="528"/>
      <c r="AI20" s="529"/>
      <c r="AJ20" s="522">
        <f t="shared" si="4"/>
        <v>0</v>
      </c>
      <c r="AK20" s="530"/>
      <c r="AL20" s="531"/>
      <c r="AM20" s="532"/>
      <c r="AN20" s="522">
        <f t="shared" si="5"/>
        <v>0</v>
      </c>
      <c r="AO20" s="530"/>
      <c r="AP20" s="533"/>
      <c r="AQ20" s="534"/>
      <c r="AR20" s="522">
        <f t="shared" si="6"/>
        <v>0</v>
      </c>
      <c r="AS20" s="530"/>
      <c r="AT20" s="531"/>
      <c r="AU20" s="532"/>
      <c r="AV20" s="520" t="str">
        <f t="shared" si="1"/>
        <v>-</v>
      </c>
      <c r="AW20" s="521"/>
      <c r="AX20" s="522">
        <f t="shared" si="2"/>
        <v>0</v>
      </c>
      <c r="AY20" s="523"/>
      <c r="AZ20" s="53" t="str">
        <f t="shared" si="7"/>
        <v xml:space="preserve">Total Net weight of finished part (only for info.): </v>
      </c>
    </row>
    <row r="21" spans="2:52" s="53" customFormat="1" x14ac:dyDescent="0.15">
      <c r="B21" s="334"/>
      <c r="C21" s="526"/>
      <c r="D21" s="535"/>
      <c r="E21" s="527"/>
      <c r="F21" s="528"/>
      <c r="G21" s="536"/>
      <c r="H21" s="536"/>
      <c r="I21" s="536"/>
      <c r="J21" s="529"/>
      <c r="K21" s="528"/>
      <c r="L21" s="536"/>
      <c r="M21" s="536"/>
      <c r="N21" s="536"/>
      <c r="O21" s="529"/>
      <c r="P21" s="537"/>
      <c r="Q21" s="538"/>
      <c r="R21" s="539"/>
      <c r="S21" s="540"/>
      <c r="T21" s="541"/>
      <c r="U21" s="542"/>
      <c r="V21" s="528"/>
      <c r="W21" s="543"/>
      <c r="X21" s="544"/>
      <c r="Y21" s="545"/>
      <c r="Z21" s="546"/>
      <c r="AA21" s="547"/>
      <c r="AB21" s="548"/>
      <c r="AC21" s="549"/>
      <c r="AD21" s="524">
        <f t="shared" si="3"/>
        <v>0</v>
      </c>
      <c r="AE21" s="525"/>
      <c r="AF21" s="526"/>
      <c r="AG21" s="527"/>
      <c r="AH21" s="528"/>
      <c r="AI21" s="529"/>
      <c r="AJ21" s="522">
        <f t="shared" si="4"/>
        <v>0</v>
      </c>
      <c r="AK21" s="530"/>
      <c r="AL21" s="531"/>
      <c r="AM21" s="532"/>
      <c r="AN21" s="522">
        <f t="shared" si="5"/>
        <v>0</v>
      </c>
      <c r="AO21" s="530"/>
      <c r="AP21" s="533"/>
      <c r="AQ21" s="534"/>
      <c r="AR21" s="522">
        <f t="shared" si="6"/>
        <v>0</v>
      </c>
      <c r="AS21" s="530"/>
      <c r="AT21" s="531"/>
      <c r="AU21" s="532"/>
      <c r="AV21" s="520" t="str">
        <f t="shared" si="1"/>
        <v>-</v>
      </c>
      <c r="AW21" s="521"/>
      <c r="AX21" s="522">
        <f t="shared" si="2"/>
        <v>0</v>
      </c>
      <c r="AY21" s="523"/>
      <c r="AZ21" s="53" t="str">
        <f t="shared" si="7"/>
        <v xml:space="preserve">Total Net weight of finished part (only for info.): </v>
      </c>
    </row>
    <row r="22" spans="2:52" s="53" customFormat="1" x14ac:dyDescent="0.15">
      <c r="B22" s="334"/>
      <c r="C22" s="526"/>
      <c r="D22" s="535"/>
      <c r="E22" s="527"/>
      <c r="F22" s="528"/>
      <c r="G22" s="536"/>
      <c r="H22" s="536"/>
      <c r="I22" s="536"/>
      <c r="J22" s="529"/>
      <c r="K22" s="528"/>
      <c r="L22" s="536"/>
      <c r="M22" s="536"/>
      <c r="N22" s="536"/>
      <c r="O22" s="529"/>
      <c r="P22" s="537"/>
      <c r="Q22" s="538"/>
      <c r="R22" s="539"/>
      <c r="S22" s="540"/>
      <c r="T22" s="541"/>
      <c r="U22" s="542"/>
      <c r="V22" s="528"/>
      <c r="W22" s="543"/>
      <c r="X22" s="544"/>
      <c r="Y22" s="545"/>
      <c r="Z22" s="546"/>
      <c r="AA22" s="547"/>
      <c r="AB22" s="548"/>
      <c r="AC22" s="549"/>
      <c r="AD22" s="524">
        <f t="shared" si="3"/>
        <v>0</v>
      </c>
      <c r="AE22" s="525"/>
      <c r="AF22" s="526"/>
      <c r="AG22" s="527"/>
      <c r="AH22" s="528"/>
      <c r="AI22" s="529"/>
      <c r="AJ22" s="522">
        <f t="shared" si="4"/>
        <v>0</v>
      </c>
      <c r="AK22" s="530"/>
      <c r="AL22" s="531"/>
      <c r="AM22" s="532"/>
      <c r="AN22" s="522">
        <f t="shared" si="5"/>
        <v>0</v>
      </c>
      <c r="AO22" s="530"/>
      <c r="AP22" s="533"/>
      <c r="AQ22" s="534"/>
      <c r="AR22" s="522">
        <f t="shared" si="6"/>
        <v>0</v>
      </c>
      <c r="AS22" s="530"/>
      <c r="AT22" s="531"/>
      <c r="AU22" s="532"/>
      <c r="AV22" s="520" t="str">
        <f t="shared" si="1"/>
        <v>-</v>
      </c>
      <c r="AW22" s="521"/>
      <c r="AX22" s="522">
        <f t="shared" si="2"/>
        <v>0</v>
      </c>
      <c r="AY22" s="523"/>
      <c r="AZ22" s="53" t="str">
        <f t="shared" si="7"/>
        <v xml:space="preserve">Total Net weight of finished part (only for info.): </v>
      </c>
    </row>
    <row r="23" spans="2:52" s="53" customFormat="1" x14ac:dyDescent="0.15">
      <c r="B23" s="334"/>
      <c r="C23" s="526"/>
      <c r="D23" s="535"/>
      <c r="E23" s="527"/>
      <c r="F23" s="528"/>
      <c r="G23" s="536"/>
      <c r="H23" s="536"/>
      <c r="I23" s="536"/>
      <c r="J23" s="529"/>
      <c r="K23" s="528"/>
      <c r="L23" s="536"/>
      <c r="M23" s="536"/>
      <c r="N23" s="536"/>
      <c r="O23" s="529"/>
      <c r="P23" s="537"/>
      <c r="Q23" s="538"/>
      <c r="R23" s="539"/>
      <c r="S23" s="540"/>
      <c r="T23" s="541"/>
      <c r="U23" s="542"/>
      <c r="V23" s="528"/>
      <c r="W23" s="543"/>
      <c r="X23" s="544"/>
      <c r="Y23" s="545"/>
      <c r="Z23" s="546"/>
      <c r="AA23" s="547"/>
      <c r="AB23" s="548"/>
      <c r="AC23" s="549"/>
      <c r="AD23" s="524">
        <f t="shared" si="3"/>
        <v>0</v>
      </c>
      <c r="AE23" s="525"/>
      <c r="AF23" s="526"/>
      <c r="AG23" s="527"/>
      <c r="AH23" s="528"/>
      <c r="AI23" s="529"/>
      <c r="AJ23" s="522">
        <f t="shared" si="4"/>
        <v>0</v>
      </c>
      <c r="AK23" s="530"/>
      <c r="AL23" s="531"/>
      <c r="AM23" s="532"/>
      <c r="AN23" s="522">
        <f t="shared" si="5"/>
        <v>0</v>
      </c>
      <c r="AO23" s="530"/>
      <c r="AP23" s="533"/>
      <c r="AQ23" s="534"/>
      <c r="AR23" s="522">
        <f t="shared" si="6"/>
        <v>0</v>
      </c>
      <c r="AS23" s="530"/>
      <c r="AT23" s="531"/>
      <c r="AU23" s="532"/>
      <c r="AV23" s="520" t="str">
        <f t="shared" si="1"/>
        <v>-</v>
      </c>
      <c r="AW23" s="521"/>
      <c r="AX23" s="522">
        <f t="shared" si="2"/>
        <v>0</v>
      </c>
      <c r="AY23" s="523"/>
      <c r="AZ23" s="53" t="str">
        <f t="shared" si="7"/>
        <v xml:space="preserve">Total Net weight of finished part (only for info.): </v>
      </c>
    </row>
    <row r="24" spans="2:52" s="53" customFormat="1" x14ac:dyDescent="0.15">
      <c r="B24" s="334"/>
      <c r="C24" s="526"/>
      <c r="D24" s="535"/>
      <c r="E24" s="527"/>
      <c r="F24" s="528"/>
      <c r="G24" s="536"/>
      <c r="H24" s="536"/>
      <c r="I24" s="536"/>
      <c r="J24" s="529"/>
      <c r="K24" s="528"/>
      <c r="L24" s="536"/>
      <c r="M24" s="536"/>
      <c r="N24" s="536"/>
      <c r="O24" s="529"/>
      <c r="P24" s="537"/>
      <c r="Q24" s="538"/>
      <c r="R24" s="539"/>
      <c r="S24" s="540"/>
      <c r="T24" s="541"/>
      <c r="U24" s="542"/>
      <c r="V24" s="528"/>
      <c r="W24" s="543"/>
      <c r="X24" s="544"/>
      <c r="Y24" s="545"/>
      <c r="Z24" s="546"/>
      <c r="AA24" s="547"/>
      <c r="AB24" s="548"/>
      <c r="AC24" s="549"/>
      <c r="AD24" s="524">
        <f t="shared" si="3"/>
        <v>0</v>
      </c>
      <c r="AE24" s="525"/>
      <c r="AF24" s="526"/>
      <c r="AG24" s="527"/>
      <c r="AH24" s="528"/>
      <c r="AI24" s="529"/>
      <c r="AJ24" s="522">
        <f t="shared" si="4"/>
        <v>0</v>
      </c>
      <c r="AK24" s="530"/>
      <c r="AL24" s="531"/>
      <c r="AM24" s="532"/>
      <c r="AN24" s="522">
        <f t="shared" si="5"/>
        <v>0</v>
      </c>
      <c r="AO24" s="530"/>
      <c r="AP24" s="533"/>
      <c r="AQ24" s="534"/>
      <c r="AR24" s="522">
        <f t="shared" si="6"/>
        <v>0</v>
      </c>
      <c r="AS24" s="530"/>
      <c r="AT24" s="531"/>
      <c r="AU24" s="532"/>
      <c r="AV24" s="520" t="str">
        <f t="shared" si="1"/>
        <v>-</v>
      </c>
      <c r="AW24" s="521"/>
      <c r="AX24" s="522">
        <f t="shared" si="2"/>
        <v>0</v>
      </c>
      <c r="AY24" s="523"/>
      <c r="AZ24" s="53" t="str">
        <f t="shared" si="7"/>
        <v xml:space="preserve">Total Net weight of finished part (only for info.): </v>
      </c>
    </row>
    <row r="25" spans="2:52" s="53" customFormat="1" x14ac:dyDescent="0.15">
      <c r="B25" s="334"/>
      <c r="C25" s="526"/>
      <c r="D25" s="535"/>
      <c r="E25" s="527"/>
      <c r="F25" s="528"/>
      <c r="G25" s="536"/>
      <c r="H25" s="536"/>
      <c r="I25" s="536"/>
      <c r="J25" s="529"/>
      <c r="K25" s="528"/>
      <c r="L25" s="536"/>
      <c r="M25" s="536"/>
      <c r="N25" s="536"/>
      <c r="O25" s="529"/>
      <c r="P25" s="537"/>
      <c r="Q25" s="538"/>
      <c r="R25" s="539"/>
      <c r="S25" s="540"/>
      <c r="T25" s="541"/>
      <c r="U25" s="542"/>
      <c r="V25" s="528"/>
      <c r="W25" s="543"/>
      <c r="X25" s="544"/>
      <c r="Y25" s="545"/>
      <c r="Z25" s="546"/>
      <c r="AA25" s="547"/>
      <c r="AB25" s="548"/>
      <c r="AC25" s="549"/>
      <c r="AD25" s="524">
        <f t="shared" si="3"/>
        <v>0</v>
      </c>
      <c r="AE25" s="525"/>
      <c r="AF25" s="526"/>
      <c r="AG25" s="527"/>
      <c r="AH25" s="528"/>
      <c r="AI25" s="529"/>
      <c r="AJ25" s="522">
        <f t="shared" si="4"/>
        <v>0</v>
      </c>
      <c r="AK25" s="530"/>
      <c r="AL25" s="531"/>
      <c r="AM25" s="532"/>
      <c r="AN25" s="522">
        <f t="shared" si="5"/>
        <v>0</v>
      </c>
      <c r="AO25" s="530"/>
      <c r="AP25" s="533"/>
      <c r="AQ25" s="534"/>
      <c r="AR25" s="522">
        <f t="shared" si="6"/>
        <v>0</v>
      </c>
      <c r="AS25" s="530"/>
      <c r="AT25" s="531"/>
      <c r="AU25" s="532"/>
      <c r="AV25" s="520" t="str">
        <f t="shared" si="1"/>
        <v>-</v>
      </c>
      <c r="AW25" s="521"/>
      <c r="AX25" s="522">
        <f t="shared" si="2"/>
        <v>0</v>
      </c>
      <c r="AY25" s="523"/>
      <c r="AZ25" s="53" t="str">
        <f t="shared" si="7"/>
        <v xml:space="preserve">Total Net weight of finished part (only for info.): </v>
      </c>
    </row>
    <row r="26" spans="2:52" s="53" customFormat="1" x14ac:dyDescent="0.15">
      <c r="B26" s="334"/>
      <c r="C26" s="526"/>
      <c r="D26" s="535"/>
      <c r="E26" s="527"/>
      <c r="F26" s="528"/>
      <c r="G26" s="536"/>
      <c r="H26" s="536"/>
      <c r="I26" s="536"/>
      <c r="J26" s="529"/>
      <c r="K26" s="528"/>
      <c r="L26" s="536"/>
      <c r="M26" s="536"/>
      <c r="N26" s="536"/>
      <c r="O26" s="529"/>
      <c r="P26" s="537"/>
      <c r="Q26" s="538"/>
      <c r="R26" s="539"/>
      <c r="S26" s="540"/>
      <c r="T26" s="541"/>
      <c r="U26" s="542"/>
      <c r="V26" s="528"/>
      <c r="W26" s="543"/>
      <c r="X26" s="544"/>
      <c r="Y26" s="545"/>
      <c r="Z26" s="546"/>
      <c r="AA26" s="547"/>
      <c r="AB26" s="548"/>
      <c r="AC26" s="549"/>
      <c r="AD26" s="524">
        <f t="shared" si="3"/>
        <v>0</v>
      </c>
      <c r="AE26" s="525"/>
      <c r="AF26" s="526"/>
      <c r="AG26" s="527"/>
      <c r="AH26" s="528"/>
      <c r="AI26" s="529"/>
      <c r="AJ26" s="522">
        <f t="shared" si="4"/>
        <v>0</v>
      </c>
      <c r="AK26" s="530"/>
      <c r="AL26" s="531"/>
      <c r="AM26" s="532"/>
      <c r="AN26" s="522">
        <f t="shared" si="5"/>
        <v>0</v>
      </c>
      <c r="AO26" s="530"/>
      <c r="AP26" s="533"/>
      <c r="AQ26" s="534"/>
      <c r="AR26" s="522">
        <f t="shared" si="6"/>
        <v>0</v>
      </c>
      <c r="AS26" s="530"/>
      <c r="AT26" s="531"/>
      <c r="AU26" s="532"/>
      <c r="AV26" s="520" t="str">
        <f t="shared" si="1"/>
        <v>-</v>
      </c>
      <c r="AW26" s="521"/>
      <c r="AX26" s="522">
        <f t="shared" si="2"/>
        <v>0</v>
      </c>
      <c r="AY26" s="523"/>
      <c r="AZ26" s="53" t="str">
        <f t="shared" si="7"/>
        <v xml:space="preserve">Total Net weight of finished part (only for info.): </v>
      </c>
    </row>
    <row r="27" spans="2:52" s="53" customFormat="1" x14ac:dyDescent="0.15">
      <c r="B27" s="334"/>
      <c r="C27" s="526"/>
      <c r="D27" s="535"/>
      <c r="E27" s="527"/>
      <c r="F27" s="528"/>
      <c r="G27" s="536"/>
      <c r="H27" s="536"/>
      <c r="I27" s="536"/>
      <c r="J27" s="529"/>
      <c r="K27" s="528"/>
      <c r="L27" s="536"/>
      <c r="M27" s="536"/>
      <c r="N27" s="536"/>
      <c r="O27" s="529"/>
      <c r="P27" s="537"/>
      <c r="Q27" s="538"/>
      <c r="R27" s="539"/>
      <c r="S27" s="540"/>
      <c r="T27" s="541"/>
      <c r="U27" s="542"/>
      <c r="V27" s="528"/>
      <c r="W27" s="543"/>
      <c r="X27" s="544"/>
      <c r="Y27" s="545"/>
      <c r="Z27" s="546"/>
      <c r="AA27" s="547"/>
      <c r="AB27" s="548"/>
      <c r="AC27" s="549"/>
      <c r="AD27" s="524">
        <f t="shared" si="3"/>
        <v>0</v>
      </c>
      <c r="AE27" s="525"/>
      <c r="AF27" s="526"/>
      <c r="AG27" s="527"/>
      <c r="AH27" s="528"/>
      <c r="AI27" s="529"/>
      <c r="AJ27" s="522">
        <f t="shared" si="4"/>
        <v>0</v>
      </c>
      <c r="AK27" s="530"/>
      <c r="AL27" s="531"/>
      <c r="AM27" s="532"/>
      <c r="AN27" s="522">
        <f t="shared" si="5"/>
        <v>0</v>
      </c>
      <c r="AO27" s="530"/>
      <c r="AP27" s="533"/>
      <c r="AQ27" s="534"/>
      <c r="AR27" s="522">
        <f t="shared" si="6"/>
        <v>0</v>
      </c>
      <c r="AS27" s="530"/>
      <c r="AT27" s="531"/>
      <c r="AU27" s="532"/>
      <c r="AV27" s="520" t="str">
        <f t="shared" si="1"/>
        <v>-</v>
      </c>
      <c r="AW27" s="521"/>
      <c r="AX27" s="522">
        <f t="shared" si="2"/>
        <v>0</v>
      </c>
      <c r="AY27" s="523"/>
      <c r="AZ27" s="53" t="str">
        <f t="shared" si="7"/>
        <v xml:space="preserve">Total Net weight of finished part (only for info.): </v>
      </c>
    </row>
    <row r="28" spans="2:52" s="53" customFormat="1" x14ac:dyDescent="0.15">
      <c r="B28" s="334"/>
      <c r="C28" s="526"/>
      <c r="D28" s="535"/>
      <c r="E28" s="527"/>
      <c r="F28" s="528"/>
      <c r="G28" s="536"/>
      <c r="H28" s="536"/>
      <c r="I28" s="536"/>
      <c r="J28" s="529"/>
      <c r="K28" s="528"/>
      <c r="L28" s="536"/>
      <c r="M28" s="536"/>
      <c r="N28" s="536"/>
      <c r="O28" s="529"/>
      <c r="P28" s="537"/>
      <c r="Q28" s="538"/>
      <c r="R28" s="539"/>
      <c r="S28" s="540"/>
      <c r="T28" s="541"/>
      <c r="U28" s="542"/>
      <c r="V28" s="528"/>
      <c r="W28" s="543"/>
      <c r="X28" s="544"/>
      <c r="Y28" s="545"/>
      <c r="Z28" s="546"/>
      <c r="AA28" s="547"/>
      <c r="AB28" s="548"/>
      <c r="AC28" s="549"/>
      <c r="AD28" s="524">
        <f t="shared" si="3"/>
        <v>0</v>
      </c>
      <c r="AE28" s="525"/>
      <c r="AF28" s="526"/>
      <c r="AG28" s="527"/>
      <c r="AH28" s="528"/>
      <c r="AI28" s="529"/>
      <c r="AJ28" s="522">
        <f t="shared" si="4"/>
        <v>0</v>
      </c>
      <c r="AK28" s="530"/>
      <c r="AL28" s="531"/>
      <c r="AM28" s="532"/>
      <c r="AN28" s="522">
        <f t="shared" si="5"/>
        <v>0</v>
      </c>
      <c r="AO28" s="530"/>
      <c r="AP28" s="533"/>
      <c r="AQ28" s="534"/>
      <c r="AR28" s="522">
        <f t="shared" si="6"/>
        <v>0</v>
      </c>
      <c r="AS28" s="530"/>
      <c r="AT28" s="531"/>
      <c r="AU28" s="532"/>
      <c r="AV28" s="520" t="str">
        <f t="shared" si="1"/>
        <v>-</v>
      </c>
      <c r="AW28" s="521"/>
      <c r="AX28" s="522">
        <f t="shared" si="2"/>
        <v>0</v>
      </c>
      <c r="AY28" s="523"/>
      <c r="AZ28" s="53" t="str">
        <f t="shared" si="7"/>
        <v xml:space="preserve">Total Net weight of finished part (only for info.): </v>
      </c>
    </row>
    <row r="29" spans="2:52" s="53" customFormat="1" x14ac:dyDescent="0.15">
      <c r="B29" s="334"/>
      <c r="C29" s="526"/>
      <c r="D29" s="535"/>
      <c r="E29" s="527"/>
      <c r="F29" s="528"/>
      <c r="G29" s="536"/>
      <c r="H29" s="536"/>
      <c r="I29" s="536"/>
      <c r="J29" s="529"/>
      <c r="K29" s="528"/>
      <c r="L29" s="536"/>
      <c r="M29" s="536"/>
      <c r="N29" s="536"/>
      <c r="O29" s="529"/>
      <c r="P29" s="537"/>
      <c r="Q29" s="538"/>
      <c r="R29" s="539"/>
      <c r="S29" s="540"/>
      <c r="T29" s="541"/>
      <c r="U29" s="542"/>
      <c r="V29" s="528"/>
      <c r="W29" s="543"/>
      <c r="X29" s="544"/>
      <c r="Y29" s="545"/>
      <c r="Z29" s="546"/>
      <c r="AA29" s="547"/>
      <c r="AB29" s="548"/>
      <c r="AC29" s="549"/>
      <c r="AD29" s="524">
        <f t="shared" si="3"/>
        <v>0</v>
      </c>
      <c r="AE29" s="525"/>
      <c r="AF29" s="526"/>
      <c r="AG29" s="527"/>
      <c r="AH29" s="528"/>
      <c r="AI29" s="529"/>
      <c r="AJ29" s="522">
        <f t="shared" si="4"/>
        <v>0</v>
      </c>
      <c r="AK29" s="530"/>
      <c r="AL29" s="531"/>
      <c r="AM29" s="532"/>
      <c r="AN29" s="522">
        <f t="shared" si="5"/>
        <v>0</v>
      </c>
      <c r="AO29" s="530"/>
      <c r="AP29" s="533"/>
      <c r="AQ29" s="534"/>
      <c r="AR29" s="522">
        <f t="shared" si="6"/>
        <v>0</v>
      </c>
      <c r="AS29" s="530"/>
      <c r="AT29" s="531"/>
      <c r="AU29" s="532"/>
      <c r="AV29" s="520" t="str">
        <f t="shared" si="1"/>
        <v>-</v>
      </c>
      <c r="AW29" s="521"/>
      <c r="AX29" s="522">
        <f t="shared" si="2"/>
        <v>0</v>
      </c>
      <c r="AY29" s="523"/>
      <c r="AZ29" s="53" t="str">
        <f t="shared" si="7"/>
        <v xml:space="preserve">Total Net weight of finished part (only for info.): </v>
      </c>
    </row>
    <row r="30" spans="2:52" s="53" customFormat="1" x14ac:dyDescent="0.15">
      <c r="B30" s="334"/>
      <c r="C30" s="526"/>
      <c r="D30" s="535"/>
      <c r="E30" s="527"/>
      <c r="F30" s="528"/>
      <c r="G30" s="536"/>
      <c r="H30" s="536"/>
      <c r="I30" s="536"/>
      <c r="J30" s="529"/>
      <c r="K30" s="528"/>
      <c r="L30" s="536"/>
      <c r="M30" s="536"/>
      <c r="N30" s="536"/>
      <c r="O30" s="529"/>
      <c r="P30" s="537"/>
      <c r="Q30" s="538"/>
      <c r="R30" s="539"/>
      <c r="S30" s="540"/>
      <c r="T30" s="541"/>
      <c r="U30" s="542"/>
      <c r="V30" s="528"/>
      <c r="W30" s="543"/>
      <c r="X30" s="544"/>
      <c r="Y30" s="545"/>
      <c r="Z30" s="546"/>
      <c r="AA30" s="547"/>
      <c r="AB30" s="548"/>
      <c r="AC30" s="549"/>
      <c r="AD30" s="524">
        <f t="shared" si="3"/>
        <v>0</v>
      </c>
      <c r="AE30" s="525"/>
      <c r="AF30" s="526"/>
      <c r="AG30" s="527"/>
      <c r="AH30" s="528"/>
      <c r="AI30" s="529"/>
      <c r="AJ30" s="522">
        <f t="shared" si="4"/>
        <v>0</v>
      </c>
      <c r="AK30" s="530"/>
      <c r="AL30" s="531"/>
      <c r="AM30" s="532"/>
      <c r="AN30" s="522">
        <f t="shared" si="5"/>
        <v>0</v>
      </c>
      <c r="AO30" s="530"/>
      <c r="AP30" s="533"/>
      <c r="AQ30" s="534"/>
      <c r="AR30" s="522">
        <f t="shared" si="6"/>
        <v>0</v>
      </c>
      <c r="AS30" s="530"/>
      <c r="AT30" s="531"/>
      <c r="AU30" s="532"/>
      <c r="AV30" s="520" t="str">
        <f t="shared" si="1"/>
        <v>-</v>
      </c>
      <c r="AW30" s="521"/>
      <c r="AX30" s="522">
        <f t="shared" si="2"/>
        <v>0</v>
      </c>
      <c r="AY30" s="523"/>
      <c r="AZ30" s="53" t="str">
        <f t="shared" si="7"/>
        <v xml:space="preserve">Total Net weight of finished part (only for info.): </v>
      </c>
    </row>
    <row r="31" spans="2:52" s="53" customFormat="1" x14ac:dyDescent="0.15">
      <c r="B31" s="334"/>
      <c r="C31" s="526"/>
      <c r="D31" s="535"/>
      <c r="E31" s="527"/>
      <c r="F31" s="528"/>
      <c r="G31" s="536"/>
      <c r="H31" s="536"/>
      <c r="I31" s="536"/>
      <c r="J31" s="529"/>
      <c r="K31" s="528"/>
      <c r="L31" s="536"/>
      <c r="M31" s="536"/>
      <c r="N31" s="536"/>
      <c r="O31" s="529"/>
      <c r="P31" s="537"/>
      <c r="Q31" s="538"/>
      <c r="R31" s="539"/>
      <c r="S31" s="540"/>
      <c r="T31" s="541"/>
      <c r="U31" s="542"/>
      <c r="V31" s="528"/>
      <c r="W31" s="543"/>
      <c r="X31" s="544"/>
      <c r="Y31" s="545"/>
      <c r="Z31" s="546"/>
      <c r="AA31" s="547"/>
      <c r="AB31" s="548"/>
      <c r="AC31" s="549"/>
      <c r="AD31" s="524">
        <f t="shared" si="0"/>
        <v>0</v>
      </c>
      <c r="AE31" s="525"/>
      <c r="AF31" s="526"/>
      <c r="AG31" s="527"/>
      <c r="AH31" s="528"/>
      <c r="AI31" s="529"/>
      <c r="AJ31" s="522">
        <f t="shared" ref="AJ17:AJ32" si="8">AD31*AF31</f>
        <v>0</v>
      </c>
      <c r="AK31" s="530"/>
      <c r="AL31" s="531"/>
      <c r="AM31" s="532"/>
      <c r="AN31" s="522">
        <f t="shared" ref="AN31:AN32" si="9">IF(P31="Raw material",AJ31-AL31,AJ31)</f>
        <v>0</v>
      </c>
      <c r="AO31" s="530"/>
      <c r="AP31" s="533"/>
      <c r="AQ31" s="534"/>
      <c r="AR31" s="522">
        <f t="shared" ref="AR31:AR32" si="10">AN31*AP31</f>
        <v>0</v>
      </c>
      <c r="AS31" s="530"/>
      <c r="AT31" s="531"/>
      <c r="AU31" s="532"/>
      <c r="AV31" s="520" t="str">
        <f t="shared" ref="AV31:AV32" si="11">IF(AT31=0,"-",AT31/(AN31+AT31))</f>
        <v>-</v>
      </c>
      <c r="AW31" s="521"/>
      <c r="AX31" s="522">
        <f t="shared" ref="AX31:AX32" si="12">SUM(AN31,AR31,AT31)</f>
        <v>0</v>
      </c>
      <c r="AY31" s="523"/>
      <c r="AZ31" s="53" t="str">
        <f t="shared" ref="AZ31:AZ32" si="13">$AH$14&amp;": "&amp;AH31</f>
        <v xml:space="preserve">Total Net weight of finished part (only for info.): </v>
      </c>
    </row>
    <row r="32" spans="2:52" s="53" customFormat="1" x14ac:dyDescent="0.15">
      <c r="B32" s="334"/>
      <c r="C32" s="526"/>
      <c r="D32" s="535"/>
      <c r="E32" s="527"/>
      <c r="F32" s="528"/>
      <c r="G32" s="536"/>
      <c r="H32" s="536"/>
      <c r="I32" s="536"/>
      <c r="J32" s="529"/>
      <c r="K32" s="528"/>
      <c r="L32" s="536"/>
      <c r="M32" s="536"/>
      <c r="N32" s="536"/>
      <c r="O32" s="529"/>
      <c r="P32" s="537"/>
      <c r="Q32" s="538"/>
      <c r="R32" s="539"/>
      <c r="S32" s="540"/>
      <c r="T32" s="541"/>
      <c r="U32" s="542"/>
      <c r="V32" s="528"/>
      <c r="W32" s="543"/>
      <c r="X32" s="544"/>
      <c r="Y32" s="545"/>
      <c r="Z32" s="546"/>
      <c r="AA32" s="547"/>
      <c r="AB32" s="548"/>
      <c r="AC32" s="549"/>
      <c r="AD32" s="524">
        <f t="shared" si="0"/>
        <v>0</v>
      </c>
      <c r="AE32" s="525"/>
      <c r="AF32" s="526"/>
      <c r="AG32" s="527"/>
      <c r="AH32" s="528"/>
      <c r="AI32" s="529"/>
      <c r="AJ32" s="522">
        <f t="shared" si="8"/>
        <v>0</v>
      </c>
      <c r="AK32" s="530"/>
      <c r="AL32" s="531"/>
      <c r="AM32" s="532"/>
      <c r="AN32" s="522">
        <f t="shared" si="9"/>
        <v>0</v>
      </c>
      <c r="AO32" s="530"/>
      <c r="AP32" s="533"/>
      <c r="AQ32" s="534"/>
      <c r="AR32" s="522">
        <f t="shared" si="10"/>
        <v>0</v>
      </c>
      <c r="AS32" s="530"/>
      <c r="AT32" s="531"/>
      <c r="AU32" s="532"/>
      <c r="AV32" s="520" t="str">
        <f t="shared" si="11"/>
        <v>-</v>
      </c>
      <c r="AW32" s="521"/>
      <c r="AX32" s="522">
        <f t="shared" si="12"/>
        <v>0</v>
      </c>
      <c r="AY32" s="523"/>
      <c r="AZ32" s="53" t="str">
        <f t="shared" si="13"/>
        <v xml:space="preserve">Total Net weight of finished part (only for info.): </v>
      </c>
    </row>
    <row r="33" spans="1:55" x14ac:dyDescent="0.15">
      <c r="A33" s="53"/>
      <c r="B33" s="333"/>
      <c r="C33" s="526"/>
      <c r="D33" s="535"/>
      <c r="E33" s="527"/>
      <c r="F33" s="528"/>
      <c r="G33" s="536"/>
      <c r="H33" s="536"/>
      <c r="I33" s="536"/>
      <c r="J33" s="529"/>
      <c r="K33" s="528"/>
      <c r="L33" s="536"/>
      <c r="M33" s="536"/>
      <c r="N33" s="536"/>
      <c r="O33" s="529"/>
      <c r="P33" s="537"/>
      <c r="Q33" s="538"/>
      <c r="R33" s="539"/>
      <c r="S33" s="540"/>
      <c r="T33" s="541"/>
      <c r="U33" s="542"/>
      <c r="V33" s="528"/>
      <c r="W33" s="543"/>
      <c r="X33" s="544"/>
      <c r="Y33" s="545"/>
      <c r="Z33" s="546"/>
      <c r="AA33" s="547"/>
      <c r="AB33" s="548"/>
      <c r="AC33" s="549"/>
      <c r="AD33" s="524">
        <f t="shared" ref="AD33:AD46" si="14">IF(Z33=0,0,Z33*AB33)</f>
        <v>0</v>
      </c>
      <c r="AE33" s="525"/>
      <c r="AF33" s="526"/>
      <c r="AG33" s="527"/>
      <c r="AH33" s="528"/>
      <c r="AI33" s="529"/>
      <c r="AJ33" s="522">
        <f t="shared" ref="AJ33:AJ46" si="15">AD33*AF33</f>
        <v>0</v>
      </c>
      <c r="AK33" s="530"/>
      <c r="AL33" s="531"/>
      <c r="AM33" s="532"/>
      <c r="AN33" s="522">
        <f t="shared" ref="AN33:AN46" si="16">IF(P33="Raw material",AJ33-AL33,AJ33)</f>
        <v>0</v>
      </c>
      <c r="AO33" s="530"/>
      <c r="AP33" s="533"/>
      <c r="AQ33" s="534"/>
      <c r="AR33" s="522">
        <f t="shared" ref="AR33:AR46" si="17">AN33*AP33</f>
        <v>0</v>
      </c>
      <c r="AS33" s="530"/>
      <c r="AT33" s="531"/>
      <c r="AU33" s="532"/>
      <c r="AV33" s="520" t="str">
        <f t="shared" si="1"/>
        <v>-</v>
      </c>
      <c r="AW33" s="521"/>
      <c r="AX33" s="522">
        <f t="shared" si="2"/>
        <v>0</v>
      </c>
      <c r="AY33" s="523"/>
      <c r="AZ33" s="53" t="str">
        <f t="shared" ref="AZ33:AZ46" si="18">$AH$14&amp;": "&amp;AH33</f>
        <v xml:space="preserve">Total Net weight of finished part (only for info.): </v>
      </c>
      <c r="BA33" s="53"/>
      <c r="BB33" s="53"/>
      <c r="BC33" s="53"/>
    </row>
    <row r="34" spans="1:55" x14ac:dyDescent="0.15">
      <c r="A34" s="53"/>
      <c r="B34" s="334"/>
      <c r="C34" s="526"/>
      <c r="D34" s="535"/>
      <c r="E34" s="527"/>
      <c r="F34" s="528"/>
      <c r="G34" s="536"/>
      <c r="H34" s="536"/>
      <c r="I34" s="536"/>
      <c r="J34" s="529"/>
      <c r="K34" s="528"/>
      <c r="L34" s="536"/>
      <c r="M34" s="536"/>
      <c r="N34" s="536"/>
      <c r="O34" s="529"/>
      <c r="P34" s="537"/>
      <c r="Q34" s="538"/>
      <c r="R34" s="539"/>
      <c r="S34" s="540"/>
      <c r="T34" s="541"/>
      <c r="U34" s="542"/>
      <c r="V34" s="528"/>
      <c r="W34" s="543"/>
      <c r="X34" s="544"/>
      <c r="Y34" s="545"/>
      <c r="Z34" s="546"/>
      <c r="AA34" s="547"/>
      <c r="AB34" s="548"/>
      <c r="AC34" s="549"/>
      <c r="AD34" s="524">
        <f t="shared" si="14"/>
        <v>0</v>
      </c>
      <c r="AE34" s="525"/>
      <c r="AF34" s="526"/>
      <c r="AG34" s="527"/>
      <c r="AH34" s="528"/>
      <c r="AI34" s="529"/>
      <c r="AJ34" s="522">
        <f t="shared" si="15"/>
        <v>0</v>
      </c>
      <c r="AK34" s="530"/>
      <c r="AL34" s="531"/>
      <c r="AM34" s="532"/>
      <c r="AN34" s="522">
        <f t="shared" si="16"/>
        <v>0</v>
      </c>
      <c r="AO34" s="530"/>
      <c r="AP34" s="533"/>
      <c r="AQ34" s="534"/>
      <c r="AR34" s="522">
        <f t="shared" si="17"/>
        <v>0</v>
      </c>
      <c r="AS34" s="530"/>
      <c r="AT34" s="531"/>
      <c r="AU34" s="532"/>
      <c r="AV34" s="520" t="str">
        <f t="shared" si="1"/>
        <v>-</v>
      </c>
      <c r="AW34" s="521"/>
      <c r="AX34" s="522">
        <f t="shared" si="2"/>
        <v>0</v>
      </c>
      <c r="AY34" s="523"/>
      <c r="AZ34" s="53" t="str">
        <f t="shared" si="18"/>
        <v xml:space="preserve">Total Net weight of finished part (only for info.): </v>
      </c>
      <c r="BA34" s="53"/>
      <c r="BB34" s="53"/>
      <c r="BC34" s="53"/>
    </row>
    <row r="35" spans="1:55" x14ac:dyDescent="0.15">
      <c r="A35" s="53"/>
      <c r="B35" s="334"/>
      <c r="C35" s="526"/>
      <c r="D35" s="535"/>
      <c r="E35" s="527"/>
      <c r="F35" s="528"/>
      <c r="G35" s="536"/>
      <c r="H35" s="536"/>
      <c r="I35" s="536"/>
      <c r="J35" s="529"/>
      <c r="K35" s="528"/>
      <c r="L35" s="536"/>
      <c r="M35" s="536"/>
      <c r="N35" s="536"/>
      <c r="O35" s="529"/>
      <c r="P35" s="537"/>
      <c r="Q35" s="538"/>
      <c r="R35" s="539"/>
      <c r="S35" s="540"/>
      <c r="T35" s="541"/>
      <c r="U35" s="542"/>
      <c r="V35" s="528"/>
      <c r="W35" s="543"/>
      <c r="X35" s="544"/>
      <c r="Y35" s="545"/>
      <c r="Z35" s="546"/>
      <c r="AA35" s="547"/>
      <c r="AB35" s="548"/>
      <c r="AC35" s="549"/>
      <c r="AD35" s="524">
        <f t="shared" si="14"/>
        <v>0</v>
      </c>
      <c r="AE35" s="525"/>
      <c r="AF35" s="526"/>
      <c r="AG35" s="527"/>
      <c r="AH35" s="528"/>
      <c r="AI35" s="529"/>
      <c r="AJ35" s="522">
        <f t="shared" si="15"/>
        <v>0</v>
      </c>
      <c r="AK35" s="530"/>
      <c r="AL35" s="531"/>
      <c r="AM35" s="532"/>
      <c r="AN35" s="522">
        <f t="shared" si="16"/>
        <v>0</v>
      </c>
      <c r="AO35" s="530"/>
      <c r="AP35" s="533"/>
      <c r="AQ35" s="534"/>
      <c r="AR35" s="522">
        <f t="shared" si="17"/>
        <v>0</v>
      </c>
      <c r="AS35" s="530"/>
      <c r="AT35" s="531"/>
      <c r="AU35" s="532"/>
      <c r="AV35" s="520" t="str">
        <f t="shared" si="1"/>
        <v>-</v>
      </c>
      <c r="AW35" s="521"/>
      <c r="AX35" s="522">
        <f t="shared" si="2"/>
        <v>0</v>
      </c>
      <c r="AY35" s="523"/>
      <c r="AZ35" s="53" t="str">
        <f t="shared" si="18"/>
        <v xml:space="preserve">Total Net weight of finished part (only for info.): </v>
      </c>
      <c r="BA35" s="53"/>
      <c r="BB35" s="53"/>
      <c r="BC35" s="53"/>
    </row>
    <row r="36" spans="1:55" x14ac:dyDescent="0.15">
      <c r="A36" s="53"/>
      <c r="B36" s="334"/>
      <c r="C36" s="526"/>
      <c r="D36" s="535"/>
      <c r="E36" s="527"/>
      <c r="F36" s="528"/>
      <c r="G36" s="536"/>
      <c r="H36" s="536"/>
      <c r="I36" s="536"/>
      <c r="J36" s="529"/>
      <c r="K36" s="528"/>
      <c r="L36" s="536"/>
      <c r="M36" s="536"/>
      <c r="N36" s="536"/>
      <c r="O36" s="529"/>
      <c r="P36" s="537"/>
      <c r="Q36" s="538"/>
      <c r="R36" s="539"/>
      <c r="S36" s="540"/>
      <c r="T36" s="541"/>
      <c r="U36" s="542"/>
      <c r="V36" s="528"/>
      <c r="W36" s="543"/>
      <c r="X36" s="544"/>
      <c r="Y36" s="545"/>
      <c r="Z36" s="546"/>
      <c r="AA36" s="547"/>
      <c r="AB36" s="548"/>
      <c r="AC36" s="549"/>
      <c r="AD36" s="524">
        <f t="shared" si="14"/>
        <v>0</v>
      </c>
      <c r="AE36" s="525"/>
      <c r="AF36" s="526"/>
      <c r="AG36" s="527"/>
      <c r="AH36" s="528"/>
      <c r="AI36" s="529"/>
      <c r="AJ36" s="522">
        <f t="shared" si="15"/>
        <v>0</v>
      </c>
      <c r="AK36" s="530"/>
      <c r="AL36" s="531"/>
      <c r="AM36" s="532"/>
      <c r="AN36" s="522">
        <f t="shared" si="16"/>
        <v>0</v>
      </c>
      <c r="AO36" s="530"/>
      <c r="AP36" s="533"/>
      <c r="AQ36" s="534"/>
      <c r="AR36" s="522">
        <f t="shared" si="17"/>
        <v>0</v>
      </c>
      <c r="AS36" s="530"/>
      <c r="AT36" s="531"/>
      <c r="AU36" s="532"/>
      <c r="AV36" s="520" t="str">
        <f t="shared" si="1"/>
        <v>-</v>
      </c>
      <c r="AW36" s="521"/>
      <c r="AX36" s="522">
        <f t="shared" si="2"/>
        <v>0</v>
      </c>
      <c r="AY36" s="523"/>
      <c r="AZ36" s="53" t="str">
        <f t="shared" si="18"/>
        <v xml:space="preserve">Total Net weight of finished part (only for info.): </v>
      </c>
      <c r="BA36" s="53"/>
      <c r="BB36" s="53"/>
      <c r="BC36" s="53"/>
    </row>
    <row r="37" spans="1:55" x14ac:dyDescent="0.15">
      <c r="A37" s="53"/>
      <c r="B37" s="334"/>
      <c r="C37" s="526"/>
      <c r="D37" s="535"/>
      <c r="E37" s="527"/>
      <c r="F37" s="528"/>
      <c r="G37" s="536"/>
      <c r="H37" s="536"/>
      <c r="I37" s="536"/>
      <c r="J37" s="529"/>
      <c r="K37" s="528"/>
      <c r="L37" s="536"/>
      <c r="M37" s="536"/>
      <c r="N37" s="536"/>
      <c r="O37" s="529"/>
      <c r="P37" s="537"/>
      <c r="Q37" s="538"/>
      <c r="R37" s="539"/>
      <c r="S37" s="540"/>
      <c r="T37" s="541"/>
      <c r="U37" s="542"/>
      <c r="V37" s="528"/>
      <c r="W37" s="543"/>
      <c r="X37" s="544"/>
      <c r="Y37" s="545"/>
      <c r="Z37" s="546"/>
      <c r="AA37" s="547"/>
      <c r="AB37" s="548"/>
      <c r="AC37" s="549"/>
      <c r="AD37" s="524">
        <f t="shared" si="14"/>
        <v>0</v>
      </c>
      <c r="AE37" s="525"/>
      <c r="AF37" s="526"/>
      <c r="AG37" s="527"/>
      <c r="AH37" s="528"/>
      <c r="AI37" s="529"/>
      <c r="AJ37" s="522">
        <f t="shared" si="15"/>
        <v>0</v>
      </c>
      <c r="AK37" s="530"/>
      <c r="AL37" s="531"/>
      <c r="AM37" s="532"/>
      <c r="AN37" s="522">
        <f t="shared" si="16"/>
        <v>0</v>
      </c>
      <c r="AO37" s="530"/>
      <c r="AP37" s="533"/>
      <c r="AQ37" s="534"/>
      <c r="AR37" s="522">
        <f t="shared" si="17"/>
        <v>0</v>
      </c>
      <c r="AS37" s="530"/>
      <c r="AT37" s="531"/>
      <c r="AU37" s="532"/>
      <c r="AV37" s="520" t="str">
        <f t="shared" si="1"/>
        <v>-</v>
      </c>
      <c r="AW37" s="521"/>
      <c r="AX37" s="522">
        <f t="shared" si="2"/>
        <v>0</v>
      </c>
      <c r="AY37" s="523"/>
      <c r="AZ37" s="53" t="str">
        <f t="shared" si="18"/>
        <v xml:space="preserve">Total Net weight of finished part (only for info.): </v>
      </c>
      <c r="BA37" s="53"/>
      <c r="BB37" s="53"/>
      <c r="BC37" s="53"/>
    </row>
    <row r="38" spans="1:55" x14ac:dyDescent="0.15">
      <c r="A38" s="53"/>
      <c r="B38" s="334"/>
      <c r="C38" s="526"/>
      <c r="D38" s="535"/>
      <c r="E38" s="527"/>
      <c r="F38" s="528"/>
      <c r="G38" s="536"/>
      <c r="H38" s="536"/>
      <c r="I38" s="536"/>
      <c r="J38" s="529"/>
      <c r="K38" s="528"/>
      <c r="L38" s="536"/>
      <c r="M38" s="536"/>
      <c r="N38" s="536"/>
      <c r="O38" s="529"/>
      <c r="P38" s="537"/>
      <c r="Q38" s="538"/>
      <c r="R38" s="539"/>
      <c r="S38" s="540"/>
      <c r="T38" s="541"/>
      <c r="U38" s="542"/>
      <c r="V38" s="528"/>
      <c r="W38" s="543"/>
      <c r="X38" s="544"/>
      <c r="Y38" s="545"/>
      <c r="Z38" s="546"/>
      <c r="AA38" s="547"/>
      <c r="AB38" s="548"/>
      <c r="AC38" s="549"/>
      <c r="AD38" s="524">
        <f t="shared" si="14"/>
        <v>0</v>
      </c>
      <c r="AE38" s="525"/>
      <c r="AF38" s="526"/>
      <c r="AG38" s="527"/>
      <c r="AH38" s="528"/>
      <c r="AI38" s="529"/>
      <c r="AJ38" s="522">
        <f t="shared" si="15"/>
        <v>0</v>
      </c>
      <c r="AK38" s="530"/>
      <c r="AL38" s="531"/>
      <c r="AM38" s="532"/>
      <c r="AN38" s="522">
        <f t="shared" si="16"/>
        <v>0</v>
      </c>
      <c r="AO38" s="530"/>
      <c r="AP38" s="533"/>
      <c r="AQ38" s="534"/>
      <c r="AR38" s="522">
        <f t="shared" si="17"/>
        <v>0</v>
      </c>
      <c r="AS38" s="530"/>
      <c r="AT38" s="531"/>
      <c r="AU38" s="532"/>
      <c r="AV38" s="520" t="str">
        <f t="shared" si="1"/>
        <v>-</v>
      </c>
      <c r="AW38" s="521"/>
      <c r="AX38" s="522">
        <f t="shared" si="2"/>
        <v>0</v>
      </c>
      <c r="AY38" s="523"/>
      <c r="AZ38" s="53" t="str">
        <f t="shared" si="18"/>
        <v xml:space="preserve">Total Net weight of finished part (only for info.): </v>
      </c>
      <c r="BA38" s="53"/>
      <c r="BB38" s="53"/>
      <c r="BC38" s="53"/>
    </row>
    <row r="39" spans="1:55" x14ac:dyDescent="0.15">
      <c r="A39" s="53"/>
      <c r="B39" s="334"/>
      <c r="C39" s="526"/>
      <c r="D39" s="535"/>
      <c r="E39" s="527"/>
      <c r="F39" s="528"/>
      <c r="G39" s="536"/>
      <c r="H39" s="536"/>
      <c r="I39" s="536"/>
      <c r="J39" s="529"/>
      <c r="K39" s="528"/>
      <c r="L39" s="536"/>
      <c r="M39" s="536"/>
      <c r="N39" s="536"/>
      <c r="O39" s="529"/>
      <c r="P39" s="537"/>
      <c r="Q39" s="538"/>
      <c r="R39" s="539"/>
      <c r="S39" s="540"/>
      <c r="T39" s="541"/>
      <c r="U39" s="542"/>
      <c r="V39" s="528"/>
      <c r="W39" s="543"/>
      <c r="X39" s="544"/>
      <c r="Y39" s="545"/>
      <c r="Z39" s="546"/>
      <c r="AA39" s="547"/>
      <c r="AB39" s="548"/>
      <c r="AC39" s="549"/>
      <c r="AD39" s="524">
        <f t="shared" si="14"/>
        <v>0</v>
      </c>
      <c r="AE39" s="525"/>
      <c r="AF39" s="526"/>
      <c r="AG39" s="527"/>
      <c r="AH39" s="528"/>
      <c r="AI39" s="529"/>
      <c r="AJ39" s="522">
        <f t="shared" si="15"/>
        <v>0</v>
      </c>
      <c r="AK39" s="530"/>
      <c r="AL39" s="531"/>
      <c r="AM39" s="532"/>
      <c r="AN39" s="522">
        <f t="shared" si="16"/>
        <v>0</v>
      </c>
      <c r="AO39" s="530"/>
      <c r="AP39" s="533"/>
      <c r="AQ39" s="534"/>
      <c r="AR39" s="522">
        <f t="shared" si="17"/>
        <v>0</v>
      </c>
      <c r="AS39" s="530"/>
      <c r="AT39" s="531"/>
      <c r="AU39" s="532"/>
      <c r="AV39" s="520" t="str">
        <f t="shared" si="1"/>
        <v>-</v>
      </c>
      <c r="AW39" s="521"/>
      <c r="AX39" s="522">
        <f t="shared" si="2"/>
        <v>0</v>
      </c>
      <c r="AY39" s="523"/>
      <c r="AZ39" s="53" t="str">
        <f t="shared" si="18"/>
        <v xml:space="preserve">Total Net weight of finished part (only for info.): </v>
      </c>
      <c r="BA39" s="53"/>
      <c r="BB39" s="53"/>
      <c r="BC39" s="53"/>
    </row>
    <row r="40" spans="1:55" x14ac:dyDescent="0.15">
      <c r="A40" s="53"/>
      <c r="B40" s="334"/>
      <c r="C40" s="526"/>
      <c r="D40" s="535"/>
      <c r="E40" s="527"/>
      <c r="F40" s="528"/>
      <c r="G40" s="536"/>
      <c r="H40" s="536"/>
      <c r="I40" s="536"/>
      <c r="J40" s="529"/>
      <c r="K40" s="528"/>
      <c r="L40" s="536"/>
      <c r="M40" s="536"/>
      <c r="N40" s="536"/>
      <c r="O40" s="529"/>
      <c r="P40" s="537"/>
      <c r="Q40" s="538"/>
      <c r="R40" s="539"/>
      <c r="S40" s="540"/>
      <c r="T40" s="541"/>
      <c r="U40" s="542"/>
      <c r="V40" s="528"/>
      <c r="W40" s="543"/>
      <c r="X40" s="544"/>
      <c r="Y40" s="545"/>
      <c r="Z40" s="546"/>
      <c r="AA40" s="547"/>
      <c r="AB40" s="548"/>
      <c r="AC40" s="549"/>
      <c r="AD40" s="524">
        <f t="shared" si="14"/>
        <v>0</v>
      </c>
      <c r="AE40" s="525"/>
      <c r="AF40" s="526"/>
      <c r="AG40" s="527"/>
      <c r="AH40" s="528"/>
      <c r="AI40" s="529"/>
      <c r="AJ40" s="522">
        <f t="shared" si="15"/>
        <v>0</v>
      </c>
      <c r="AK40" s="530"/>
      <c r="AL40" s="531"/>
      <c r="AM40" s="532"/>
      <c r="AN40" s="522">
        <f t="shared" si="16"/>
        <v>0</v>
      </c>
      <c r="AO40" s="530"/>
      <c r="AP40" s="533"/>
      <c r="AQ40" s="534"/>
      <c r="AR40" s="522">
        <f t="shared" si="17"/>
        <v>0</v>
      </c>
      <c r="AS40" s="530"/>
      <c r="AT40" s="531"/>
      <c r="AU40" s="532"/>
      <c r="AV40" s="520" t="str">
        <f t="shared" si="1"/>
        <v>-</v>
      </c>
      <c r="AW40" s="521"/>
      <c r="AX40" s="522">
        <f t="shared" si="2"/>
        <v>0</v>
      </c>
      <c r="AY40" s="523"/>
      <c r="AZ40" s="53" t="str">
        <f t="shared" si="18"/>
        <v xml:space="preserve">Total Net weight of finished part (only for info.): </v>
      </c>
      <c r="BA40" s="53"/>
      <c r="BB40" s="53"/>
      <c r="BC40" s="53"/>
    </row>
    <row r="41" spans="1:55" x14ac:dyDescent="0.15">
      <c r="A41" s="53"/>
      <c r="B41" s="334"/>
      <c r="C41" s="526"/>
      <c r="D41" s="535"/>
      <c r="E41" s="527"/>
      <c r="F41" s="528"/>
      <c r="G41" s="536"/>
      <c r="H41" s="536"/>
      <c r="I41" s="536"/>
      <c r="J41" s="529"/>
      <c r="K41" s="528"/>
      <c r="L41" s="536"/>
      <c r="M41" s="536"/>
      <c r="N41" s="536"/>
      <c r="O41" s="529"/>
      <c r="P41" s="537"/>
      <c r="Q41" s="538"/>
      <c r="R41" s="539"/>
      <c r="S41" s="540"/>
      <c r="T41" s="541"/>
      <c r="U41" s="542"/>
      <c r="V41" s="528"/>
      <c r="W41" s="543"/>
      <c r="X41" s="544"/>
      <c r="Y41" s="545"/>
      <c r="Z41" s="546"/>
      <c r="AA41" s="547"/>
      <c r="AB41" s="548"/>
      <c r="AC41" s="549"/>
      <c r="AD41" s="524">
        <f t="shared" si="14"/>
        <v>0</v>
      </c>
      <c r="AE41" s="525"/>
      <c r="AF41" s="526"/>
      <c r="AG41" s="527"/>
      <c r="AH41" s="528"/>
      <c r="AI41" s="529"/>
      <c r="AJ41" s="522">
        <f t="shared" si="15"/>
        <v>0</v>
      </c>
      <c r="AK41" s="530"/>
      <c r="AL41" s="531"/>
      <c r="AM41" s="532"/>
      <c r="AN41" s="522">
        <f t="shared" si="16"/>
        <v>0</v>
      </c>
      <c r="AO41" s="530"/>
      <c r="AP41" s="533"/>
      <c r="AQ41" s="534"/>
      <c r="AR41" s="522">
        <f t="shared" si="17"/>
        <v>0</v>
      </c>
      <c r="AS41" s="530"/>
      <c r="AT41" s="531"/>
      <c r="AU41" s="532"/>
      <c r="AV41" s="520" t="str">
        <f t="shared" si="1"/>
        <v>-</v>
      </c>
      <c r="AW41" s="521"/>
      <c r="AX41" s="522">
        <f t="shared" si="2"/>
        <v>0</v>
      </c>
      <c r="AY41" s="523"/>
      <c r="AZ41" s="53" t="str">
        <f t="shared" si="18"/>
        <v xml:space="preserve">Total Net weight of finished part (only for info.): </v>
      </c>
      <c r="BA41" s="53"/>
      <c r="BB41" s="53"/>
      <c r="BC41" s="53"/>
    </row>
    <row r="42" spans="1:55" x14ac:dyDescent="0.15">
      <c r="A42" s="53"/>
      <c r="B42" s="334"/>
      <c r="C42" s="526"/>
      <c r="D42" s="535"/>
      <c r="E42" s="527"/>
      <c r="F42" s="528"/>
      <c r="G42" s="536"/>
      <c r="H42" s="536"/>
      <c r="I42" s="536"/>
      <c r="J42" s="529"/>
      <c r="K42" s="528"/>
      <c r="L42" s="536"/>
      <c r="M42" s="536"/>
      <c r="N42" s="536"/>
      <c r="O42" s="529"/>
      <c r="P42" s="537"/>
      <c r="Q42" s="538"/>
      <c r="R42" s="539"/>
      <c r="S42" s="540"/>
      <c r="T42" s="541"/>
      <c r="U42" s="542"/>
      <c r="V42" s="528"/>
      <c r="W42" s="543"/>
      <c r="X42" s="544"/>
      <c r="Y42" s="545"/>
      <c r="Z42" s="546"/>
      <c r="AA42" s="547"/>
      <c r="AB42" s="548"/>
      <c r="AC42" s="549"/>
      <c r="AD42" s="524">
        <f t="shared" si="14"/>
        <v>0</v>
      </c>
      <c r="AE42" s="525"/>
      <c r="AF42" s="526"/>
      <c r="AG42" s="527"/>
      <c r="AH42" s="528"/>
      <c r="AI42" s="529"/>
      <c r="AJ42" s="522">
        <f t="shared" si="15"/>
        <v>0</v>
      </c>
      <c r="AK42" s="530"/>
      <c r="AL42" s="531"/>
      <c r="AM42" s="532"/>
      <c r="AN42" s="522">
        <f t="shared" si="16"/>
        <v>0</v>
      </c>
      <c r="AO42" s="530"/>
      <c r="AP42" s="533"/>
      <c r="AQ42" s="534"/>
      <c r="AR42" s="522">
        <f t="shared" si="17"/>
        <v>0</v>
      </c>
      <c r="AS42" s="530"/>
      <c r="AT42" s="531"/>
      <c r="AU42" s="532"/>
      <c r="AV42" s="520" t="str">
        <f t="shared" si="1"/>
        <v>-</v>
      </c>
      <c r="AW42" s="521"/>
      <c r="AX42" s="522">
        <f t="shared" si="2"/>
        <v>0</v>
      </c>
      <c r="AY42" s="523"/>
      <c r="AZ42" s="53" t="str">
        <f t="shared" si="18"/>
        <v xml:space="preserve">Total Net weight of finished part (only for info.): </v>
      </c>
      <c r="BA42" s="53"/>
      <c r="BB42" s="53"/>
      <c r="BC42" s="53"/>
    </row>
    <row r="43" spans="1:55" x14ac:dyDescent="0.15">
      <c r="A43" s="53"/>
      <c r="B43" s="334"/>
      <c r="C43" s="526"/>
      <c r="D43" s="535"/>
      <c r="E43" s="527"/>
      <c r="F43" s="528"/>
      <c r="G43" s="536"/>
      <c r="H43" s="536"/>
      <c r="I43" s="536"/>
      <c r="J43" s="529"/>
      <c r="K43" s="528"/>
      <c r="L43" s="536"/>
      <c r="M43" s="536"/>
      <c r="N43" s="536"/>
      <c r="O43" s="529"/>
      <c r="P43" s="537"/>
      <c r="Q43" s="538"/>
      <c r="R43" s="539"/>
      <c r="S43" s="540"/>
      <c r="T43" s="541"/>
      <c r="U43" s="542"/>
      <c r="V43" s="528"/>
      <c r="W43" s="543"/>
      <c r="X43" s="544"/>
      <c r="Y43" s="545"/>
      <c r="Z43" s="546"/>
      <c r="AA43" s="547"/>
      <c r="AB43" s="548"/>
      <c r="AC43" s="549"/>
      <c r="AD43" s="524">
        <f t="shared" si="14"/>
        <v>0</v>
      </c>
      <c r="AE43" s="525"/>
      <c r="AF43" s="526"/>
      <c r="AG43" s="527"/>
      <c r="AH43" s="528"/>
      <c r="AI43" s="529"/>
      <c r="AJ43" s="522">
        <f t="shared" si="15"/>
        <v>0</v>
      </c>
      <c r="AK43" s="530"/>
      <c r="AL43" s="531"/>
      <c r="AM43" s="532"/>
      <c r="AN43" s="522">
        <f t="shared" si="16"/>
        <v>0</v>
      </c>
      <c r="AO43" s="530"/>
      <c r="AP43" s="533"/>
      <c r="AQ43" s="534"/>
      <c r="AR43" s="522">
        <f t="shared" si="17"/>
        <v>0</v>
      </c>
      <c r="AS43" s="530"/>
      <c r="AT43" s="531"/>
      <c r="AU43" s="532"/>
      <c r="AV43" s="520" t="str">
        <f t="shared" si="1"/>
        <v>-</v>
      </c>
      <c r="AW43" s="521"/>
      <c r="AX43" s="522">
        <f t="shared" si="2"/>
        <v>0</v>
      </c>
      <c r="AY43" s="523"/>
      <c r="AZ43" s="53" t="str">
        <f t="shared" si="18"/>
        <v xml:space="preserve">Total Net weight of finished part (only for info.): </v>
      </c>
      <c r="BA43" s="53"/>
      <c r="BB43" s="53"/>
      <c r="BC43" s="53"/>
    </row>
    <row r="44" spans="1:55" x14ac:dyDescent="0.15">
      <c r="A44" s="53"/>
      <c r="B44" s="334"/>
      <c r="C44" s="526"/>
      <c r="D44" s="535"/>
      <c r="E44" s="527"/>
      <c r="F44" s="528"/>
      <c r="G44" s="536"/>
      <c r="H44" s="536"/>
      <c r="I44" s="536"/>
      <c r="J44" s="529"/>
      <c r="K44" s="528"/>
      <c r="L44" s="536"/>
      <c r="M44" s="536"/>
      <c r="N44" s="536"/>
      <c r="O44" s="529"/>
      <c r="P44" s="537"/>
      <c r="Q44" s="538"/>
      <c r="R44" s="539"/>
      <c r="S44" s="540"/>
      <c r="T44" s="541"/>
      <c r="U44" s="542"/>
      <c r="V44" s="528"/>
      <c r="W44" s="543"/>
      <c r="X44" s="544"/>
      <c r="Y44" s="545"/>
      <c r="Z44" s="546"/>
      <c r="AA44" s="547"/>
      <c r="AB44" s="548"/>
      <c r="AC44" s="549"/>
      <c r="AD44" s="524">
        <f t="shared" si="14"/>
        <v>0</v>
      </c>
      <c r="AE44" s="525"/>
      <c r="AF44" s="526"/>
      <c r="AG44" s="527"/>
      <c r="AH44" s="528"/>
      <c r="AI44" s="529"/>
      <c r="AJ44" s="522">
        <f t="shared" si="15"/>
        <v>0</v>
      </c>
      <c r="AK44" s="530"/>
      <c r="AL44" s="531"/>
      <c r="AM44" s="532"/>
      <c r="AN44" s="522">
        <f t="shared" si="16"/>
        <v>0</v>
      </c>
      <c r="AO44" s="530"/>
      <c r="AP44" s="533"/>
      <c r="AQ44" s="534"/>
      <c r="AR44" s="522">
        <f t="shared" si="17"/>
        <v>0</v>
      </c>
      <c r="AS44" s="530"/>
      <c r="AT44" s="531"/>
      <c r="AU44" s="532"/>
      <c r="AV44" s="520" t="str">
        <f t="shared" si="1"/>
        <v>-</v>
      </c>
      <c r="AW44" s="521"/>
      <c r="AX44" s="522">
        <f t="shared" si="2"/>
        <v>0</v>
      </c>
      <c r="AY44" s="523"/>
      <c r="AZ44" s="53" t="str">
        <f t="shared" si="18"/>
        <v xml:space="preserve">Total Net weight of finished part (only for info.): </v>
      </c>
      <c r="BA44" s="53"/>
      <c r="BB44" s="53"/>
      <c r="BC44" s="53"/>
    </row>
    <row r="45" spans="1:55" x14ac:dyDescent="0.15">
      <c r="A45" s="53"/>
      <c r="B45" s="334"/>
      <c r="C45" s="526"/>
      <c r="D45" s="535"/>
      <c r="E45" s="527"/>
      <c r="F45" s="528"/>
      <c r="G45" s="536"/>
      <c r="H45" s="536"/>
      <c r="I45" s="536"/>
      <c r="J45" s="529"/>
      <c r="K45" s="528"/>
      <c r="L45" s="536"/>
      <c r="M45" s="536"/>
      <c r="N45" s="536"/>
      <c r="O45" s="529"/>
      <c r="P45" s="537"/>
      <c r="Q45" s="538"/>
      <c r="R45" s="539"/>
      <c r="S45" s="540"/>
      <c r="T45" s="541"/>
      <c r="U45" s="542"/>
      <c r="V45" s="528"/>
      <c r="W45" s="543"/>
      <c r="X45" s="544"/>
      <c r="Y45" s="545"/>
      <c r="Z45" s="546"/>
      <c r="AA45" s="547"/>
      <c r="AB45" s="548"/>
      <c r="AC45" s="549"/>
      <c r="AD45" s="524">
        <f t="shared" si="14"/>
        <v>0</v>
      </c>
      <c r="AE45" s="525"/>
      <c r="AF45" s="526"/>
      <c r="AG45" s="527"/>
      <c r="AH45" s="528"/>
      <c r="AI45" s="529"/>
      <c r="AJ45" s="522">
        <f t="shared" si="15"/>
        <v>0</v>
      </c>
      <c r="AK45" s="530"/>
      <c r="AL45" s="531"/>
      <c r="AM45" s="532"/>
      <c r="AN45" s="522">
        <f t="shared" si="16"/>
        <v>0</v>
      </c>
      <c r="AO45" s="530"/>
      <c r="AP45" s="533"/>
      <c r="AQ45" s="534"/>
      <c r="AR45" s="522">
        <f t="shared" si="17"/>
        <v>0</v>
      </c>
      <c r="AS45" s="530"/>
      <c r="AT45" s="531"/>
      <c r="AU45" s="532"/>
      <c r="AV45" s="520" t="str">
        <f t="shared" si="1"/>
        <v>-</v>
      </c>
      <c r="AW45" s="521"/>
      <c r="AX45" s="522">
        <f t="shared" si="2"/>
        <v>0</v>
      </c>
      <c r="AY45" s="523"/>
      <c r="AZ45" s="53" t="str">
        <f t="shared" si="18"/>
        <v xml:space="preserve">Total Net weight of finished part (only for info.): </v>
      </c>
      <c r="BA45" s="53"/>
      <c r="BB45" s="53"/>
      <c r="BC45" s="53"/>
    </row>
    <row r="46" spans="1:55" ht="14.25" thickBot="1" x14ac:dyDescent="0.2">
      <c r="A46" s="53"/>
      <c r="B46" s="335"/>
      <c r="C46" s="554"/>
      <c r="D46" s="555"/>
      <c r="E46" s="556"/>
      <c r="F46" s="559"/>
      <c r="G46" s="560"/>
      <c r="H46" s="560"/>
      <c r="I46" s="560"/>
      <c r="J46" s="561"/>
      <c r="K46" s="559"/>
      <c r="L46" s="560"/>
      <c r="M46" s="560"/>
      <c r="N46" s="560"/>
      <c r="O46" s="561"/>
      <c r="P46" s="565"/>
      <c r="Q46" s="566"/>
      <c r="R46" s="567"/>
      <c r="S46" s="562"/>
      <c r="T46" s="563"/>
      <c r="U46" s="564"/>
      <c r="V46" s="559"/>
      <c r="W46" s="615"/>
      <c r="X46" s="557"/>
      <c r="Y46" s="558"/>
      <c r="Z46" s="620"/>
      <c r="AA46" s="621"/>
      <c r="AB46" s="618"/>
      <c r="AC46" s="619"/>
      <c r="AD46" s="616">
        <f t="shared" si="14"/>
        <v>0</v>
      </c>
      <c r="AE46" s="617"/>
      <c r="AF46" s="554"/>
      <c r="AG46" s="556"/>
      <c r="AH46" s="559"/>
      <c r="AI46" s="561"/>
      <c r="AJ46" s="604">
        <f t="shared" si="15"/>
        <v>0</v>
      </c>
      <c r="AK46" s="605"/>
      <c r="AL46" s="606"/>
      <c r="AM46" s="607"/>
      <c r="AN46" s="604">
        <f t="shared" si="16"/>
        <v>0</v>
      </c>
      <c r="AO46" s="605"/>
      <c r="AP46" s="640"/>
      <c r="AQ46" s="641"/>
      <c r="AR46" s="604">
        <f t="shared" si="17"/>
        <v>0</v>
      </c>
      <c r="AS46" s="605"/>
      <c r="AT46" s="606"/>
      <c r="AU46" s="607"/>
      <c r="AV46" s="608" t="str">
        <f t="shared" si="1"/>
        <v>-</v>
      </c>
      <c r="AW46" s="609"/>
      <c r="AX46" s="604">
        <f t="shared" si="2"/>
        <v>0</v>
      </c>
      <c r="AY46" s="610"/>
      <c r="AZ46" s="53" t="str">
        <f t="shared" si="18"/>
        <v xml:space="preserve">Total Net weight of finished part (only for info.): </v>
      </c>
      <c r="BA46" s="53"/>
      <c r="BB46" s="53"/>
      <c r="BC46" s="53"/>
    </row>
    <row r="47" spans="1:55" ht="14.25" thickBot="1" x14ac:dyDescent="0.2">
      <c r="A47" s="248"/>
      <c r="B47" s="53"/>
      <c r="I47" s="53"/>
      <c r="J47" s="53"/>
      <c r="P47" s="53"/>
      <c r="Q47" s="53"/>
      <c r="R47" s="53"/>
      <c r="S47" s="53"/>
      <c r="T47" s="53"/>
      <c r="U47" s="53"/>
      <c r="V47" s="53"/>
      <c r="W47" s="53"/>
      <c r="X47" s="53"/>
      <c r="Y47" s="53"/>
      <c r="Z47" s="53"/>
      <c r="AA47" s="53"/>
      <c r="AB47" s="53"/>
      <c r="AC47" s="54"/>
      <c r="AD47" s="53"/>
      <c r="AE47" s="53"/>
      <c r="AF47" s="53"/>
      <c r="AG47" s="53"/>
      <c r="AH47" s="53"/>
      <c r="AI47" s="53"/>
      <c r="AJ47" s="53"/>
      <c r="AK47" s="53"/>
      <c r="AL47" s="53"/>
      <c r="AM47" s="53"/>
      <c r="AN47" s="53"/>
      <c r="AO47" s="53"/>
      <c r="AP47" s="53"/>
      <c r="AQ47" s="53"/>
      <c r="AR47" s="53"/>
      <c r="AS47" s="53"/>
      <c r="AT47" s="53"/>
      <c r="AU47" s="53"/>
      <c r="AV47" s="53"/>
      <c r="AW47" s="53"/>
      <c r="AX47" s="53"/>
      <c r="AY47" s="53"/>
      <c r="BA47" s="53"/>
      <c r="BB47" s="53"/>
      <c r="BC47" s="53"/>
    </row>
    <row r="48" spans="1:55" x14ac:dyDescent="0.15">
      <c r="A48" s="248"/>
      <c r="B48" s="492" t="s">
        <v>34</v>
      </c>
      <c r="C48" s="493"/>
      <c r="D48" s="493"/>
      <c r="E48" s="493"/>
      <c r="F48" s="501"/>
      <c r="G48" s="502"/>
      <c r="H48" s="502"/>
      <c r="I48" s="502"/>
      <c r="J48" s="502"/>
      <c r="K48" s="502"/>
      <c r="L48" s="502"/>
      <c r="M48" s="502"/>
      <c r="N48" s="502"/>
      <c r="O48" s="502"/>
      <c r="P48" s="502"/>
      <c r="Q48" s="502"/>
      <c r="R48" s="502"/>
      <c r="S48" s="502"/>
      <c r="T48" s="502"/>
      <c r="U48" s="502"/>
      <c r="V48" s="502"/>
      <c r="W48" s="502"/>
      <c r="X48" s="502"/>
      <c r="Y48" s="502"/>
      <c r="Z48" s="502"/>
      <c r="AA48" s="503"/>
      <c r="AB48" s="626" t="str">
        <f>VLOOKUP("M20",Languages!$A$1:$F$286,VLOOKUP(Summary!AM6,Languages!$C$2:$D$6,2,FALSE),FALSE)</f>
        <v>Sums</v>
      </c>
      <c r="AC48" s="627"/>
      <c r="AD48" s="190"/>
      <c r="AE48" s="191"/>
      <c r="AF48" s="191"/>
      <c r="AG48" s="191"/>
      <c r="AH48" s="64"/>
      <c r="AI48" s="64"/>
      <c r="AJ48" s="191"/>
      <c r="AK48" s="64"/>
      <c r="AL48" s="637" t="str">
        <f>VLOOKUP("M21",Languages!$A$1:$F$286,VLOOKUP(Summary!AM6,Languages!$C$2:$D$6,2,FALSE),FALSE)</f>
        <v>Scrap (yield)</v>
      </c>
      <c r="AM48" s="637"/>
      <c r="AN48" s="639" t="str">
        <f>VLOOKUP("M22",Languages!$A$1:$F$286,VLOOKUP(Summary!AM6,Languages!$C$2:$D$6,2,FALSE),FALSE)</f>
        <v>Total DMC</v>
      </c>
      <c r="AO48" s="639"/>
      <c r="AP48" s="639"/>
      <c r="AQ48" s="64"/>
      <c r="AR48" s="158" t="str">
        <f>VLOOKUP("M25",Languages!$A$1:$F$286,VLOOKUP(Summary!AM6,Languages!$C$2:$D$6,2,FALSE),FALSE)</f>
        <v>Mat. OH</v>
      </c>
      <c r="AS48" s="158"/>
      <c r="AT48" s="637" t="str">
        <f>VLOOKUP("M26",Languages!$A$1:$F$286,VLOOKUP(Summary!AM6,Languages!$C$2:$D$6,2,FALSE),FALSE)</f>
        <v>Scrap</v>
      </c>
      <c r="AU48" s="637"/>
      <c r="AV48" s="64"/>
      <c r="AW48" s="64"/>
      <c r="AX48" s="637" t="str">
        <f>VLOOKUP("M27",Languages!$A$1:$F$286,VLOOKUP(Summary!AM6,Languages!$C$2:$D$6,2,FALSE),FALSE)</f>
        <v>Total MC</v>
      </c>
      <c r="AY48" s="638"/>
      <c r="BA48" s="53"/>
      <c r="BB48" s="53"/>
      <c r="BC48" s="53"/>
    </row>
    <row r="49" spans="2:51" x14ac:dyDescent="0.15">
      <c r="B49" s="495" t="str">
        <f>VLOOKUP("M19",Languages!$A$1:$F$286,VLOOKUP(Summary!AM6,Languages!$C$2:$D$6,2,FALSE),FALSE)</f>
        <v>Comments</v>
      </c>
      <c r="C49" s="496"/>
      <c r="D49" s="496"/>
      <c r="E49" s="496"/>
      <c r="F49" s="504"/>
      <c r="G49" s="505"/>
      <c r="H49" s="505"/>
      <c r="I49" s="505"/>
      <c r="J49" s="505"/>
      <c r="K49" s="505"/>
      <c r="L49" s="505"/>
      <c r="M49" s="505"/>
      <c r="N49" s="505"/>
      <c r="O49" s="505"/>
      <c r="P49" s="505"/>
      <c r="Q49" s="505"/>
      <c r="R49" s="505"/>
      <c r="S49" s="505"/>
      <c r="T49" s="505"/>
      <c r="U49" s="505"/>
      <c r="V49" s="505"/>
      <c r="W49" s="505"/>
      <c r="X49" s="505"/>
      <c r="Y49" s="505"/>
      <c r="Z49" s="505"/>
      <c r="AA49" s="506"/>
      <c r="AB49" s="628"/>
      <c r="AC49" s="629"/>
      <c r="AD49" s="189"/>
      <c r="AE49" s="192"/>
      <c r="AF49" s="192"/>
      <c r="AG49" s="192"/>
      <c r="AH49" s="53"/>
      <c r="AI49" s="53"/>
      <c r="AJ49" s="192"/>
      <c r="AK49" s="18" t="str">
        <f>VLOOKUP("M22",Languages!$A$1:$F$286,VLOOKUP(Summary!AM6,Languages!$C$2:$D$6,2,FALSE),FALSE)</f>
        <v>Total DMC</v>
      </c>
      <c r="AL49" s="624">
        <f>SUM(AL16:AM46)</f>
        <v>0</v>
      </c>
      <c r="AM49" s="625"/>
      <c r="AN49" s="624" t="e">
        <f>SUM(AN16:AO46)</f>
        <v>#VALUE!</v>
      </c>
      <c r="AO49" s="625"/>
      <c r="AP49" s="53"/>
      <c r="AQ49" s="54"/>
      <c r="AR49" s="624" t="e">
        <f>SUM(AR16:AS46)</f>
        <v>#VALUE!</v>
      </c>
      <c r="AS49" s="625"/>
      <c r="AT49" s="633">
        <f>SUM(AT16:AU46)</f>
        <v>0</v>
      </c>
      <c r="AU49" s="634"/>
      <c r="AV49" s="54"/>
      <c r="AW49" s="54"/>
      <c r="AX49" s="633" t="e">
        <f>SUM(AX16:AY46)</f>
        <v>#VALUE!</v>
      </c>
      <c r="AY49" s="636"/>
    </row>
    <row r="50" spans="2:51" x14ac:dyDescent="0.15">
      <c r="B50" s="495"/>
      <c r="C50" s="496"/>
      <c r="D50" s="496"/>
      <c r="E50" s="496"/>
      <c r="F50" s="504"/>
      <c r="G50" s="505"/>
      <c r="H50" s="505"/>
      <c r="I50" s="505"/>
      <c r="J50" s="505"/>
      <c r="K50" s="505"/>
      <c r="L50" s="505"/>
      <c r="M50" s="505"/>
      <c r="N50" s="505"/>
      <c r="O50" s="505"/>
      <c r="P50" s="505"/>
      <c r="Q50" s="505"/>
      <c r="R50" s="505"/>
      <c r="S50" s="505"/>
      <c r="T50" s="505"/>
      <c r="U50" s="505"/>
      <c r="V50" s="505"/>
      <c r="W50" s="505"/>
      <c r="X50" s="505"/>
      <c r="Y50" s="505"/>
      <c r="Z50" s="505"/>
      <c r="AA50" s="506"/>
      <c r="AB50" s="628"/>
      <c r="AC50" s="629"/>
      <c r="AD50" s="189"/>
      <c r="AE50" s="192"/>
      <c r="AF50" s="192"/>
      <c r="AG50" s="192"/>
      <c r="AH50" s="192"/>
      <c r="AI50" s="192"/>
      <c r="AJ50" s="192"/>
      <c r="AK50" s="18" t="str">
        <f>VLOOKUP("M23",Languages!$A$1:$F$286,VLOOKUP(Summary!AM6,Languages!$C$2:$D$6,2,FALSE),FALSE)</f>
        <v>Raw Materials</v>
      </c>
      <c r="AL50" s="624">
        <f>SUM(AL16:AM46)</f>
        <v>0</v>
      </c>
      <c r="AM50" s="625"/>
      <c r="AN50" s="624">
        <f ca="1">SUMIF(P16:R46,Assumption!H5,AN16:AO46)</f>
        <v>0</v>
      </c>
      <c r="AO50" s="625"/>
      <c r="AP50" s="53"/>
      <c r="AQ50" s="54"/>
      <c r="AR50" s="624">
        <f ca="1">SUMIF(P16:R46,Assumption!H5,AR16:AS46)</f>
        <v>0</v>
      </c>
      <c r="AS50" s="625"/>
      <c r="AT50" s="252"/>
      <c r="AU50" s="253"/>
      <c r="AV50" s="54"/>
      <c r="AW50" s="54"/>
      <c r="AX50" s="624">
        <f ca="1">SUMIF(P16:R46,Assumption!H5,AX16:AY46)</f>
        <v>0</v>
      </c>
      <c r="AY50" s="635"/>
    </row>
    <row r="51" spans="2:51" ht="14.25" thickBot="1" x14ac:dyDescent="0.2">
      <c r="B51" s="225"/>
      <c r="C51" s="50"/>
      <c r="D51" s="50"/>
      <c r="E51" s="50"/>
      <c r="F51" s="507"/>
      <c r="G51" s="508"/>
      <c r="H51" s="508"/>
      <c r="I51" s="508"/>
      <c r="J51" s="508"/>
      <c r="K51" s="508"/>
      <c r="L51" s="508"/>
      <c r="M51" s="508"/>
      <c r="N51" s="508"/>
      <c r="O51" s="508"/>
      <c r="P51" s="508"/>
      <c r="Q51" s="508"/>
      <c r="R51" s="508"/>
      <c r="S51" s="508"/>
      <c r="T51" s="508"/>
      <c r="U51" s="508"/>
      <c r="V51" s="508"/>
      <c r="W51" s="508"/>
      <c r="X51" s="508"/>
      <c r="Y51" s="508"/>
      <c r="Z51" s="508"/>
      <c r="AA51" s="509"/>
      <c r="AB51" s="630"/>
      <c r="AC51" s="631"/>
      <c r="AD51" s="193"/>
      <c r="AE51" s="194"/>
      <c r="AF51" s="194"/>
      <c r="AG51" s="194"/>
      <c r="AH51" s="194"/>
      <c r="AI51" s="194"/>
      <c r="AJ51" s="194"/>
      <c r="AK51" s="19" t="str">
        <f>VLOOKUP("M24",Languages!$A$1:$F$286,VLOOKUP(Summary!AM6,Languages!$C$2:$D$6,2,FALSE),FALSE)</f>
        <v>Purchased Parts</v>
      </c>
      <c r="AL51" s="62"/>
      <c r="AM51" s="269"/>
      <c r="AN51" s="622" t="e">
        <f ca="1">SUM(AN16:AO46)-AN50</f>
        <v>#VALUE!</v>
      </c>
      <c r="AO51" s="632"/>
      <c r="AP51" s="270"/>
      <c r="AQ51" s="62"/>
      <c r="AR51" s="622" t="e">
        <f ca="1">SUM(AR16:AS46)-AR50</f>
        <v>#VALUE!</v>
      </c>
      <c r="AS51" s="632"/>
      <c r="AT51" s="254"/>
      <c r="AU51" s="255"/>
      <c r="AV51" s="62"/>
      <c r="AW51" s="62"/>
      <c r="AX51" s="622" t="e">
        <f ca="1">SUM(AX16:AY46)-AX50</f>
        <v>#VALUE!</v>
      </c>
      <c r="AY51" s="623"/>
    </row>
  </sheetData>
  <mergeCells count="681">
    <mergeCell ref="Y8:Z8"/>
    <mergeCell ref="Y9:Z9"/>
    <mergeCell ref="Y10:Z10"/>
    <mergeCell ref="K17:O17"/>
    <mergeCell ref="K33:O33"/>
    <mergeCell ref="K34:O34"/>
    <mergeCell ref="K35:O35"/>
    <mergeCell ref="K36:O36"/>
    <mergeCell ref="Z33:AA33"/>
    <mergeCell ref="X33:Y33"/>
    <mergeCell ref="X35:Y35"/>
    <mergeCell ref="X36:Y36"/>
    <mergeCell ref="K37:O37"/>
    <mergeCell ref="K38:O38"/>
    <mergeCell ref="K39:O39"/>
    <mergeCell ref="K40:O40"/>
    <mergeCell ref="X12:AC12"/>
    <mergeCell ref="AD12:AY12"/>
    <mergeCell ref="AD13:AE13"/>
    <mergeCell ref="X13:Y13"/>
    <mergeCell ref="AX13:AY13"/>
    <mergeCell ref="AF14:AG14"/>
    <mergeCell ref="AT13:AW13"/>
    <mergeCell ref="AX14:AY14"/>
    <mergeCell ref="AF38:AG38"/>
    <mergeCell ref="AF39:AG39"/>
    <mergeCell ref="Z38:AA38"/>
    <mergeCell ref="AB38:AC38"/>
    <mergeCell ref="AB39:AC39"/>
    <mergeCell ref="Z39:AA39"/>
    <mergeCell ref="AD38:AE38"/>
    <mergeCell ref="AV36:AW36"/>
    <mergeCell ref="X38:Y38"/>
    <mergeCell ref="AH17:AI17"/>
    <mergeCell ref="AJ34:AK34"/>
    <mergeCell ref="Z35:AA35"/>
    <mergeCell ref="AV34:AW34"/>
    <mergeCell ref="AT17:AU17"/>
    <mergeCell ref="AJ17:AK17"/>
    <mergeCell ref="X37:Y37"/>
    <mergeCell ref="AP17:AQ17"/>
    <mergeCell ref="AR34:AS34"/>
    <mergeCell ref="AR35:AS35"/>
    <mergeCell ref="AR36:AS36"/>
    <mergeCell ref="AF36:AG36"/>
    <mergeCell ref="AH36:AI36"/>
    <mergeCell ref="AB37:AC37"/>
    <mergeCell ref="AL36:AM36"/>
    <mergeCell ref="AL37:AM37"/>
    <mergeCell ref="Z17:AA17"/>
    <mergeCell ref="AL17:AM17"/>
    <mergeCell ref="AL33:AM33"/>
    <mergeCell ref="AF17:AG17"/>
    <mergeCell ref="AJ36:AK36"/>
    <mergeCell ref="AJ35:AK35"/>
    <mergeCell ref="AN17:AO17"/>
    <mergeCell ref="AH31:AI31"/>
    <mergeCell ref="AJ31:AK31"/>
    <mergeCell ref="AL31:AM31"/>
    <mergeCell ref="AN31:AO31"/>
    <mergeCell ref="AP46:AQ46"/>
    <mergeCell ref="AN46:AO46"/>
    <mergeCell ref="AV42:AW42"/>
    <mergeCell ref="AX43:AY43"/>
    <mergeCell ref="AX44:AY44"/>
    <mergeCell ref="AV35:AW35"/>
    <mergeCell ref="F14:J14"/>
    <mergeCell ref="C13:E13"/>
    <mergeCell ref="C14:E14"/>
    <mergeCell ref="K14:O14"/>
    <mergeCell ref="K13:O13"/>
    <mergeCell ref="AP16:AQ16"/>
    <mergeCell ref="AU15:AU16"/>
    <mergeCell ref="AV16:AW16"/>
    <mergeCell ref="AT34:AU34"/>
    <mergeCell ref="AT35:AU35"/>
    <mergeCell ref="AH34:AI34"/>
    <mergeCell ref="AH35:AI35"/>
    <mergeCell ref="AF34:AG34"/>
    <mergeCell ref="AF35:AG35"/>
    <mergeCell ref="AJ33:AK33"/>
    <mergeCell ref="AL34:AM34"/>
    <mergeCell ref="AL35:AM35"/>
    <mergeCell ref="AN33:AO33"/>
    <mergeCell ref="AX51:AY51"/>
    <mergeCell ref="AN49:AO49"/>
    <mergeCell ref="AL49:AM49"/>
    <mergeCell ref="AB48:AC51"/>
    <mergeCell ref="AN50:AO50"/>
    <mergeCell ref="AN51:AO51"/>
    <mergeCell ref="AL50:AM50"/>
    <mergeCell ref="AR51:AS51"/>
    <mergeCell ref="AT49:AU49"/>
    <mergeCell ref="AX50:AY50"/>
    <mergeCell ref="AX49:AY49"/>
    <mergeCell ref="AR49:AS49"/>
    <mergeCell ref="AR50:AS50"/>
    <mergeCell ref="AL48:AM48"/>
    <mergeCell ref="AX48:AY48"/>
    <mergeCell ref="AT48:AU48"/>
    <mergeCell ref="AN48:AP48"/>
    <mergeCell ref="V46:W46"/>
    <mergeCell ref="X45:Y45"/>
    <mergeCell ref="AH45:AI45"/>
    <mergeCell ref="AJ46:AK46"/>
    <mergeCell ref="AL46:AM46"/>
    <mergeCell ref="AD46:AE46"/>
    <mergeCell ref="AF45:AG45"/>
    <mergeCell ref="AF46:AG46"/>
    <mergeCell ref="AB46:AC46"/>
    <mergeCell ref="AL45:AM45"/>
    <mergeCell ref="Z45:AA45"/>
    <mergeCell ref="Z46:AA46"/>
    <mergeCell ref="AH46:AI46"/>
    <mergeCell ref="AJ45:AK45"/>
    <mergeCell ref="X41:Y41"/>
    <mergeCell ref="X42:Y42"/>
    <mergeCell ref="Z36:AA36"/>
    <mergeCell ref="AD42:AE42"/>
    <mergeCell ref="V44:W44"/>
    <mergeCell ref="X43:Y43"/>
    <mergeCell ref="Z44:AA44"/>
    <mergeCell ref="AD45:AE45"/>
    <mergeCell ref="AD43:AE43"/>
    <mergeCell ref="Z43:AA43"/>
    <mergeCell ref="AB45:AC45"/>
    <mergeCell ref="X44:Y44"/>
    <mergeCell ref="Z42:AA42"/>
    <mergeCell ref="AF40:AG40"/>
    <mergeCell ref="AF37:AG37"/>
    <mergeCell ref="AH37:AI37"/>
    <mergeCell ref="AH38:AI38"/>
    <mergeCell ref="AH41:AI41"/>
    <mergeCell ref="AH42:AI42"/>
    <mergeCell ref="AH39:AI39"/>
    <mergeCell ref="AH40:AI40"/>
    <mergeCell ref="AJ43:AK43"/>
    <mergeCell ref="AH43:AI43"/>
    <mergeCell ref="AJ39:AK39"/>
    <mergeCell ref="AJ40:AK40"/>
    <mergeCell ref="AJ37:AK37"/>
    <mergeCell ref="AJ38:AK38"/>
    <mergeCell ref="AJ41:AK41"/>
    <mergeCell ref="AJ42:AK42"/>
    <mergeCell ref="AF42:AG42"/>
    <mergeCell ref="AF43:AG43"/>
    <mergeCell ref="AT37:AU37"/>
    <mergeCell ref="AT38:AU38"/>
    <mergeCell ref="AP35:AQ35"/>
    <mergeCell ref="AP36:AQ36"/>
    <mergeCell ref="AV40:AW40"/>
    <mergeCell ref="AP41:AQ41"/>
    <mergeCell ref="AV37:AW37"/>
    <mergeCell ref="AT40:AU40"/>
    <mergeCell ref="AT39:AU39"/>
    <mergeCell ref="AT33:AU33"/>
    <mergeCell ref="AN45:AO45"/>
    <mergeCell ref="AH33:AI33"/>
    <mergeCell ref="V17:W17"/>
    <mergeCell ref="V33:W33"/>
    <mergeCell ref="V34:W34"/>
    <mergeCell ref="V35:W35"/>
    <mergeCell ref="V36:W36"/>
    <mergeCell ref="F13:J13"/>
    <mergeCell ref="F33:J33"/>
    <mergeCell ref="F17:J17"/>
    <mergeCell ref="F34:J34"/>
    <mergeCell ref="F35:J35"/>
    <mergeCell ref="F36:J36"/>
    <mergeCell ref="S13:U13"/>
    <mergeCell ref="S14:U14"/>
    <mergeCell ref="S17:U17"/>
    <mergeCell ref="S33:U33"/>
    <mergeCell ref="S34:U34"/>
    <mergeCell ref="S35:U35"/>
    <mergeCell ref="S36:U36"/>
    <mergeCell ref="P13:R13"/>
    <mergeCell ref="P14:R14"/>
    <mergeCell ref="P17:R17"/>
    <mergeCell ref="AV43:AW43"/>
    <mergeCell ref="AT43:AU43"/>
    <mergeCell ref="F41:J41"/>
    <mergeCell ref="K41:O41"/>
    <mergeCell ref="K42:O42"/>
    <mergeCell ref="K43:O43"/>
    <mergeCell ref="K44:O44"/>
    <mergeCell ref="S41:U41"/>
    <mergeCell ref="V43:W43"/>
    <mergeCell ref="P41:R41"/>
    <mergeCell ref="P42:R42"/>
    <mergeCell ref="P43:R43"/>
    <mergeCell ref="V41:W41"/>
    <mergeCell ref="AF44:AG44"/>
    <mergeCell ref="AD41:AE41"/>
    <mergeCell ref="AB41:AC41"/>
    <mergeCell ref="AB42:AC42"/>
    <mergeCell ref="AB43:AC43"/>
    <mergeCell ref="AB44:AC44"/>
    <mergeCell ref="AD44:AE44"/>
    <mergeCell ref="AV41:AW41"/>
    <mergeCell ref="AH44:AI44"/>
    <mergeCell ref="AN41:AO41"/>
    <mergeCell ref="AN42:AO42"/>
    <mergeCell ref="AR46:AS46"/>
    <mergeCell ref="AT45:AU45"/>
    <mergeCell ref="AT46:AU46"/>
    <mergeCell ref="AV44:AW44"/>
    <mergeCell ref="AV45:AW45"/>
    <mergeCell ref="AV46:AW46"/>
    <mergeCell ref="AX45:AY45"/>
    <mergeCell ref="AX46:AY46"/>
    <mergeCell ref="AT44:AU44"/>
    <mergeCell ref="AR45:AS45"/>
    <mergeCell ref="AR44:AS44"/>
    <mergeCell ref="P44:R44"/>
    <mergeCell ref="S43:U43"/>
    <mergeCell ref="AJ44:AK44"/>
    <mergeCell ref="AN43:AO43"/>
    <mergeCell ref="AB40:AC40"/>
    <mergeCell ref="AL44:AM44"/>
    <mergeCell ref="AR37:AS37"/>
    <mergeCell ref="AD37:AE37"/>
    <mergeCell ref="Z37:AA37"/>
    <mergeCell ref="P37:R37"/>
    <mergeCell ref="AN39:AO39"/>
    <mergeCell ref="AP38:AQ38"/>
    <mergeCell ref="AP39:AQ39"/>
    <mergeCell ref="AP40:AQ40"/>
    <mergeCell ref="P40:R40"/>
    <mergeCell ref="Z40:AA40"/>
    <mergeCell ref="Z41:AA41"/>
    <mergeCell ref="AF41:AG41"/>
    <mergeCell ref="AL38:AM38"/>
    <mergeCell ref="AL42:AM42"/>
    <mergeCell ref="AL39:AM39"/>
    <mergeCell ref="AL40:AM40"/>
    <mergeCell ref="AP42:AQ42"/>
    <mergeCell ref="AR43:AS43"/>
    <mergeCell ref="AX41:AY41"/>
    <mergeCell ref="AX42:AY42"/>
    <mergeCell ref="AR39:AS39"/>
    <mergeCell ref="AR40:AS40"/>
    <mergeCell ref="AR41:AS41"/>
    <mergeCell ref="AR42:AS42"/>
    <mergeCell ref="AT41:AU41"/>
    <mergeCell ref="AT42:AU42"/>
    <mergeCell ref="AV38:AW38"/>
    <mergeCell ref="AV39:AW39"/>
    <mergeCell ref="AR38:AS38"/>
    <mergeCell ref="AX39:AY39"/>
    <mergeCell ref="AP43:AQ43"/>
    <mergeCell ref="AP44:AQ44"/>
    <mergeCell ref="AL43:AM43"/>
    <mergeCell ref="AP37:AQ37"/>
    <mergeCell ref="AN36:AO36"/>
    <mergeCell ref="AN37:AO37"/>
    <mergeCell ref="AP33:AQ33"/>
    <mergeCell ref="AP34:AQ34"/>
    <mergeCell ref="AL41:AM41"/>
    <mergeCell ref="AN44:AO44"/>
    <mergeCell ref="AN38:AO38"/>
    <mergeCell ref="AN40:AO40"/>
    <mergeCell ref="AN34:AO34"/>
    <mergeCell ref="AN35:AO35"/>
    <mergeCell ref="AP45:AQ45"/>
    <mergeCell ref="AR3:AY4"/>
    <mergeCell ref="AR7:AY7"/>
    <mergeCell ref="AR8:AY8"/>
    <mergeCell ref="AR9:AY9"/>
    <mergeCell ref="AR10:AY10"/>
    <mergeCell ref="AX40:AY40"/>
    <mergeCell ref="AV17:AW17"/>
    <mergeCell ref="AV33:AW33"/>
    <mergeCell ref="AX35:AY35"/>
    <mergeCell ref="AX36:AY36"/>
    <mergeCell ref="AX17:AY17"/>
    <mergeCell ref="AX33:AY33"/>
    <mergeCell ref="AX34:AY34"/>
    <mergeCell ref="AT36:AU36"/>
    <mergeCell ref="AR17:AS17"/>
    <mergeCell ref="AR33:AS33"/>
    <mergeCell ref="AP13:AS13"/>
    <mergeCell ref="AP14:AS14"/>
    <mergeCell ref="AY15:AY16"/>
    <mergeCell ref="AP15:AS15"/>
    <mergeCell ref="AT14:AW14"/>
    <mergeCell ref="AX37:AY37"/>
    <mergeCell ref="AX38:AY38"/>
    <mergeCell ref="AN13:AO13"/>
    <mergeCell ref="K3:AQ6"/>
    <mergeCell ref="AB13:AC13"/>
    <mergeCell ref="AB14:AC14"/>
    <mergeCell ref="AH13:AI13"/>
    <mergeCell ref="AH14:AI14"/>
    <mergeCell ref="V14:W14"/>
    <mergeCell ref="Z13:AA13"/>
    <mergeCell ref="Z14:AA14"/>
    <mergeCell ref="V13:W13"/>
    <mergeCell ref="AJ13:AK13"/>
    <mergeCell ref="AL13:AM13"/>
    <mergeCell ref="B12:W12"/>
    <mergeCell ref="B3:J10"/>
    <mergeCell ref="P7:W7"/>
    <mergeCell ref="P8:W8"/>
    <mergeCell ref="P9:W9"/>
    <mergeCell ref="P10:W10"/>
    <mergeCell ref="AF13:AG13"/>
    <mergeCell ref="AD14:AE14"/>
    <mergeCell ref="AN14:AO14"/>
    <mergeCell ref="AJ14:AK14"/>
    <mergeCell ref="AL14:AM14"/>
    <mergeCell ref="Y7:Z7"/>
    <mergeCell ref="B49:E50"/>
    <mergeCell ref="B48:E48"/>
    <mergeCell ref="F48:AA51"/>
    <mergeCell ref="C42:E42"/>
    <mergeCell ref="C43:E43"/>
    <mergeCell ref="C44:E44"/>
    <mergeCell ref="C45:E45"/>
    <mergeCell ref="C46:E46"/>
    <mergeCell ref="X46:Y46"/>
    <mergeCell ref="F44:J44"/>
    <mergeCell ref="F45:J45"/>
    <mergeCell ref="F46:J46"/>
    <mergeCell ref="F42:J42"/>
    <mergeCell ref="F43:J43"/>
    <mergeCell ref="S42:U42"/>
    <mergeCell ref="S44:U44"/>
    <mergeCell ref="S45:U45"/>
    <mergeCell ref="S46:U46"/>
    <mergeCell ref="P46:R46"/>
    <mergeCell ref="V45:W45"/>
    <mergeCell ref="V42:W42"/>
    <mergeCell ref="K45:O45"/>
    <mergeCell ref="K46:O46"/>
    <mergeCell ref="P45:R45"/>
    <mergeCell ref="C41:E41"/>
    <mergeCell ref="X14:Y14"/>
    <mergeCell ref="F39:J39"/>
    <mergeCell ref="F40:J40"/>
    <mergeCell ref="V37:W37"/>
    <mergeCell ref="F37:J37"/>
    <mergeCell ref="X40:Y40"/>
    <mergeCell ref="S38:U38"/>
    <mergeCell ref="S39:U39"/>
    <mergeCell ref="S40:U40"/>
    <mergeCell ref="X39:Y39"/>
    <mergeCell ref="V38:W38"/>
    <mergeCell ref="V39:W39"/>
    <mergeCell ref="P33:R33"/>
    <mergeCell ref="P34:R34"/>
    <mergeCell ref="P35:R35"/>
    <mergeCell ref="P36:R36"/>
    <mergeCell ref="C17:E17"/>
    <mergeCell ref="C33:E33"/>
    <mergeCell ref="C34:E34"/>
    <mergeCell ref="C35:E35"/>
    <mergeCell ref="C36:E36"/>
    <mergeCell ref="C37:E37"/>
    <mergeCell ref="C38:E38"/>
    <mergeCell ref="AD16:AE16"/>
    <mergeCell ref="AD33:AE33"/>
    <mergeCell ref="AF33:AG33"/>
    <mergeCell ref="C39:E39"/>
    <mergeCell ref="C40:E40"/>
    <mergeCell ref="AD17:AE17"/>
    <mergeCell ref="X17:Y17"/>
    <mergeCell ref="F38:J38"/>
    <mergeCell ref="S37:U37"/>
    <mergeCell ref="AB17:AC17"/>
    <mergeCell ref="AB33:AC33"/>
    <mergeCell ref="P38:R38"/>
    <mergeCell ref="V40:W40"/>
    <mergeCell ref="P39:R39"/>
    <mergeCell ref="AD39:AE39"/>
    <mergeCell ref="AD40:AE40"/>
    <mergeCell ref="AB34:AC34"/>
    <mergeCell ref="AB36:AC36"/>
    <mergeCell ref="AB35:AC35"/>
    <mergeCell ref="AD34:AE34"/>
    <mergeCell ref="AD35:AE35"/>
    <mergeCell ref="AD36:AE36"/>
    <mergeCell ref="X34:Y34"/>
    <mergeCell ref="Z34:AA34"/>
    <mergeCell ref="AT31:AU31"/>
    <mergeCell ref="C31:E31"/>
    <mergeCell ref="F31:J31"/>
    <mergeCell ref="K31:O31"/>
    <mergeCell ref="P31:R31"/>
    <mergeCell ref="S31:U31"/>
    <mergeCell ref="V31:W31"/>
    <mergeCell ref="X31:Y31"/>
    <mergeCell ref="Z31:AA31"/>
    <mergeCell ref="AB31:AC31"/>
    <mergeCell ref="AP31:AQ31"/>
    <mergeCell ref="AR31:AS31"/>
    <mergeCell ref="AV31:AW31"/>
    <mergeCell ref="AX31:AY31"/>
    <mergeCell ref="C32:E32"/>
    <mergeCell ref="F32:J32"/>
    <mergeCell ref="K32:O32"/>
    <mergeCell ref="P32:R32"/>
    <mergeCell ref="S32:U32"/>
    <mergeCell ref="V32:W32"/>
    <mergeCell ref="X32:Y32"/>
    <mergeCell ref="Z32:AA32"/>
    <mergeCell ref="AB32:AC32"/>
    <mergeCell ref="AD32:AE32"/>
    <mergeCell ref="AF32:AG32"/>
    <mergeCell ref="AH32:AI32"/>
    <mergeCell ref="AJ32:AK32"/>
    <mergeCell ref="AL32:AM32"/>
    <mergeCell ref="AN32:AO32"/>
    <mergeCell ref="AP32:AQ32"/>
    <mergeCell ref="AR32:AS32"/>
    <mergeCell ref="AT32:AU32"/>
    <mergeCell ref="AV32:AW32"/>
    <mergeCell ref="AX32:AY32"/>
    <mergeCell ref="AD31:AE31"/>
    <mergeCell ref="AF31:AG31"/>
    <mergeCell ref="AJ18:AK18"/>
    <mergeCell ref="AL18:AM18"/>
    <mergeCell ref="AN18:AO18"/>
    <mergeCell ref="AP18:AQ18"/>
    <mergeCell ref="AR18:AS18"/>
    <mergeCell ref="AT18:AU18"/>
    <mergeCell ref="C18:E18"/>
    <mergeCell ref="F18:J18"/>
    <mergeCell ref="K18:O18"/>
    <mergeCell ref="P18:R18"/>
    <mergeCell ref="S18:U18"/>
    <mergeCell ref="V18:W18"/>
    <mergeCell ref="X18:Y18"/>
    <mergeCell ref="Z18:AA18"/>
    <mergeCell ref="AB18:AC18"/>
    <mergeCell ref="AH18:AI18"/>
    <mergeCell ref="AV18:AW18"/>
    <mergeCell ref="AX18:AY18"/>
    <mergeCell ref="C19:E19"/>
    <mergeCell ref="F19:J19"/>
    <mergeCell ref="K19:O19"/>
    <mergeCell ref="P19:R19"/>
    <mergeCell ref="S19:U19"/>
    <mergeCell ref="V19:W19"/>
    <mergeCell ref="X19:Y19"/>
    <mergeCell ref="Z19:AA19"/>
    <mergeCell ref="AB19:AC19"/>
    <mergeCell ref="AD19:AE19"/>
    <mergeCell ref="AF19:AG19"/>
    <mergeCell ref="AH19:AI19"/>
    <mergeCell ref="AJ19:AK19"/>
    <mergeCell ref="AL19:AM19"/>
    <mergeCell ref="AN19:AO19"/>
    <mergeCell ref="AP19:AQ19"/>
    <mergeCell ref="AR19:AS19"/>
    <mergeCell ref="AT19:AU19"/>
    <mergeCell ref="AV19:AW19"/>
    <mergeCell ref="AX19:AY19"/>
    <mergeCell ref="AD18:AE18"/>
    <mergeCell ref="AF18:AG18"/>
    <mergeCell ref="AH20:AI20"/>
    <mergeCell ref="AJ20:AK20"/>
    <mergeCell ref="AL20:AM20"/>
    <mergeCell ref="AN20:AO20"/>
    <mergeCell ref="AP20:AQ20"/>
    <mergeCell ref="AR20:AS20"/>
    <mergeCell ref="AT20:AU20"/>
    <mergeCell ref="C20:E20"/>
    <mergeCell ref="F20:J20"/>
    <mergeCell ref="K20:O20"/>
    <mergeCell ref="P20:R20"/>
    <mergeCell ref="S20:U20"/>
    <mergeCell ref="V20:W20"/>
    <mergeCell ref="X20:Y20"/>
    <mergeCell ref="Z20:AA20"/>
    <mergeCell ref="AB20:AC20"/>
    <mergeCell ref="AV20:AW20"/>
    <mergeCell ref="AX20:AY20"/>
    <mergeCell ref="C21:E21"/>
    <mergeCell ref="F21:J21"/>
    <mergeCell ref="K21:O21"/>
    <mergeCell ref="P21:R21"/>
    <mergeCell ref="S21:U21"/>
    <mergeCell ref="V21:W21"/>
    <mergeCell ref="X21:Y21"/>
    <mergeCell ref="Z21:AA21"/>
    <mergeCell ref="AB21:AC21"/>
    <mergeCell ref="AD21:AE21"/>
    <mergeCell ref="AF21:AG21"/>
    <mergeCell ref="AH21:AI21"/>
    <mergeCell ref="AJ21:AK21"/>
    <mergeCell ref="AL21:AM21"/>
    <mergeCell ref="AN21:AO21"/>
    <mergeCell ref="AP21:AQ21"/>
    <mergeCell ref="AR21:AS21"/>
    <mergeCell ref="AT21:AU21"/>
    <mergeCell ref="AV21:AW21"/>
    <mergeCell ref="AX21:AY21"/>
    <mergeCell ref="AD20:AE20"/>
    <mergeCell ref="AF20:AG20"/>
    <mergeCell ref="AH22:AI22"/>
    <mergeCell ref="AJ22:AK22"/>
    <mergeCell ref="AL22:AM22"/>
    <mergeCell ref="AN22:AO22"/>
    <mergeCell ref="AP22:AQ22"/>
    <mergeCell ref="AR22:AS22"/>
    <mergeCell ref="AT22:AU22"/>
    <mergeCell ref="C22:E22"/>
    <mergeCell ref="F22:J22"/>
    <mergeCell ref="K22:O22"/>
    <mergeCell ref="P22:R22"/>
    <mergeCell ref="S22:U22"/>
    <mergeCell ref="V22:W22"/>
    <mergeCell ref="X22:Y22"/>
    <mergeCell ref="Z22:AA22"/>
    <mergeCell ref="AB22:AC22"/>
    <mergeCell ref="AV22:AW22"/>
    <mergeCell ref="AX22:AY22"/>
    <mergeCell ref="C23:E23"/>
    <mergeCell ref="F23:J23"/>
    <mergeCell ref="K23:O23"/>
    <mergeCell ref="P23:R23"/>
    <mergeCell ref="S23:U23"/>
    <mergeCell ref="V23:W23"/>
    <mergeCell ref="X23:Y23"/>
    <mergeCell ref="Z23:AA23"/>
    <mergeCell ref="AB23:AC23"/>
    <mergeCell ref="AD23:AE23"/>
    <mergeCell ref="AF23:AG23"/>
    <mergeCell ref="AH23:AI23"/>
    <mergeCell ref="AJ23:AK23"/>
    <mergeCell ref="AL23:AM23"/>
    <mergeCell ref="AN23:AO23"/>
    <mergeCell ref="AP23:AQ23"/>
    <mergeCell ref="AR23:AS23"/>
    <mergeCell ref="AT23:AU23"/>
    <mergeCell ref="AV23:AW23"/>
    <mergeCell ref="AX23:AY23"/>
    <mergeCell ref="AD22:AE22"/>
    <mergeCell ref="AF22:AG22"/>
    <mergeCell ref="AH24:AI24"/>
    <mergeCell ref="AJ24:AK24"/>
    <mergeCell ref="AL24:AM24"/>
    <mergeCell ref="AN24:AO24"/>
    <mergeCell ref="AP24:AQ24"/>
    <mergeCell ref="AR24:AS24"/>
    <mergeCell ref="AT24:AU24"/>
    <mergeCell ref="C24:E24"/>
    <mergeCell ref="F24:J24"/>
    <mergeCell ref="K24:O24"/>
    <mergeCell ref="P24:R24"/>
    <mergeCell ref="S24:U24"/>
    <mergeCell ref="V24:W24"/>
    <mergeCell ref="X24:Y24"/>
    <mergeCell ref="Z24:AA24"/>
    <mergeCell ref="AB24:AC24"/>
    <mergeCell ref="AV24:AW24"/>
    <mergeCell ref="AX24:AY24"/>
    <mergeCell ref="C25:E25"/>
    <mergeCell ref="F25:J25"/>
    <mergeCell ref="K25:O25"/>
    <mergeCell ref="P25:R25"/>
    <mergeCell ref="S25:U25"/>
    <mergeCell ref="V25:W25"/>
    <mergeCell ref="X25:Y25"/>
    <mergeCell ref="Z25:AA25"/>
    <mergeCell ref="AB25:AC25"/>
    <mergeCell ref="AD25:AE25"/>
    <mergeCell ref="AF25:AG25"/>
    <mergeCell ref="AH25:AI25"/>
    <mergeCell ref="AJ25:AK25"/>
    <mergeCell ref="AL25:AM25"/>
    <mergeCell ref="AN25:AO25"/>
    <mergeCell ref="AP25:AQ25"/>
    <mergeCell ref="AR25:AS25"/>
    <mergeCell ref="AT25:AU25"/>
    <mergeCell ref="AV25:AW25"/>
    <mergeCell ref="AX25:AY25"/>
    <mergeCell ref="AD24:AE24"/>
    <mergeCell ref="AF24:AG24"/>
    <mergeCell ref="AH26:AI26"/>
    <mergeCell ref="AJ26:AK26"/>
    <mergeCell ref="AL26:AM26"/>
    <mergeCell ref="AN26:AO26"/>
    <mergeCell ref="AP26:AQ26"/>
    <mergeCell ref="AR26:AS26"/>
    <mergeCell ref="AT26:AU26"/>
    <mergeCell ref="C26:E26"/>
    <mergeCell ref="F26:J26"/>
    <mergeCell ref="K26:O26"/>
    <mergeCell ref="P26:R26"/>
    <mergeCell ref="S26:U26"/>
    <mergeCell ref="V26:W26"/>
    <mergeCell ref="X26:Y26"/>
    <mergeCell ref="Z26:AA26"/>
    <mergeCell ref="AB26:AC26"/>
    <mergeCell ref="AV26:AW26"/>
    <mergeCell ref="AX26:AY26"/>
    <mergeCell ref="C27:E27"/>
    <mergeCell ref="F27:J27"/>
    <mergeCell ref="K27:O27"/>
    <mergeCell ref="P27:R27"/>
    <mergeCell ref="S27:U27"/>
    <mergeCell ref="V27:W27"/>
    <mergeCell ref="X27:Y27"/>
    <mergeCell ref="Z27:AA27"/>
    <mergeCell ref="AB27:AC27"/>
    <mergeCell ref="AD27:AE27"/>
    <mergeCell ref="AF27:AG27"/>
    <mergeCell ref="AH27:AI27"/>
    <mergeCell ref="AJ27:AK27"/>
    <mergeCell ref="AL27:AM27"/>
    <mergeCell ref="AN27:AO27"/>
    <mergeCell ref="AP27:AQ27"/>
    <mergeCell ref="AR27:AS27"/>
    <mergeCell ref="AT27:AU27"/>
    <mergeCell ref="AV27:AW27"/>
    <mergeCell ref="AX27:AY27"/>
    <mergeCell ref="AD26:AE26"/>
    <mergeCell ref="AF26:AG26"/>
    <mergeCell ref="C28:E28"/>
    <mergeCell ref="F28:J28"/>
    <mergeCell ref="K28:O28"/>
    <mergeCell ref="P28:R28"/>
    <mergeCell ref="S28:U28"/>
    <mergeCell ref="V28:W28"/>
    <mergeCell ref="X28:Y28"/>
    <mergeCell ref="Z28:AA28"/>
    <mergeCell ref="AB28:AC28"/>
    <mergeCell ref="AX29:AY29"/>
    <mergeCell ref="AD28:AE28"/>
    <mergeCell ref="AF28:AG28"/>
    <mergeCell ref="AH28:AI28"/>
    <mergeCell ref="AJ28:AK28"/>
    <mergeCell ref="AL28:AM28"/>
    <mergeCell ref="AN28:AO28"/>
    <mergeCell ref="AP28:AQ28"/>
    <mergeCell ref="AR28:AS28"/>
    <mergeCell ref="AT28:AU28"/>
    <mergeCell ref="C29:E29"/>
    <mergeCell ref="F29:J29"/>
    <mergeCell ref="K29:O29"/>
    <mergeCell ref="P29:R29"/>
    <mergeCell ref="S29:U29"/>
    <mergeCell ref="V29:W29"/>
    <mergeCell ref="X29:Y29"/>
    <mergeCell ref="Z29:AA29"/>
    <mergeCell ref="AB29:AC29"/>
    <mergeCell ref="C30:E30"/>
    <mergeCell ref="F30:J30"/>
    <mergeCell ref="K30:O30"/>
    <mergeCell ref="P30:R30"/>
    <mergeCell ref="S30:U30"/>
    <mergeCell ref="V30:W30"/>
    <mergeCell ref="X30:Y30"/>
    <mergeCell ref="Z30:AA30"/>
    <mergeCell ref="AB30:AC30"/>
    <mergeCell ref="AR2:AY2"/>
    <mergeCell ref="AV30:AW30"/>
    <mergeCell ref="AX30:AY30"/>
    <mergeCell ref="AD30:AE30"/>
    <mergeCell ref="AF30:AG30"/>
    <mergeCell ref="AH30:AI30"/>
    <mergeCell ref="AJ30:AK30"/>
    <mergeCell ref="AL30:AM30"/>
    <mergeCell ref="AN30:AO30"/>
    <mergeCell ref="AP30:AQ30"/>
    <mergeCell ref="AR30:AS30"/>
    <mergeCell ref="AT30:AU30"/>
    <mergeCell ref="AV28:AW28"/>
    <mergeCell ref="AX28:AY28"/>
    <mergeCell ref="AD29:AE29"/>
    <mergeCell ref="AF29:AG29"/>
    <mergeCell ref="AH29:AI29"/>
    <mergeCell ref="AJ29:AK29"/>
    <mergeCell ref="AL29:AM29"/>
    <mergeCell ref="AN29:AO29"/>
    <mergeCell ref="AP29:AQ29"/>
    <mergeCell ref="AR29:AS29"/>
    <mergeCell ref="AT29:AU29"/>
    <mergeCell ref="AV29:AW29"/>
  </mergeCells>
  <phoneticPr fontId="32" type="noConversion"/>
  <dataValidations count="3">
    <dataValidation type="list" allowBlank="1" showInputMessage="1" showErrorMessage="1" sqref="X17:Y46">
      <formula1>PurchasingCurrency</formula1>
    </dataValidation>
    <dataValidation type="list" allowBlank="1" showInputMessage="1" showErrorMessage="1" sqref="V17:W46">
      <formula1>PurchasingUnit</formula1>
    </dataValidation>
    <dataValidation type="list" allowBlank="1" showInputMessage="1" showErrorMessage="1" sqref="P17:R46">
      <formula1>MaterialClass</formula1>
    </dataValidation>
  </dataValidations>
  <printOptions horizontalCentered="1"/>
  <pageMargins left="0.39370078740157483" right="0.39370078740157483" top="0.39370078740157483" bottom="0.39370078740157483" header="0.11811023622047245" footer="0.11811023622047245"/>
  <pageSetup paperSize="9" scale="57" orientation="landscape" r:id="rId1"/>
  <headerFooter>
    <oddHeader>&amp;RPage &amp;P (&amp;N)</oddHeader>
    <oddFooter>&amp;LFile: &amp;F&amp;RTemplate:  2.1 September 2017</oddFooter>
  </headerFooter>
  <ignoredErrors>
    <ignoredError sqref="AK16:AM16 AN16 AS1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BH51"/>
  <sheetViews>
    <sheetView showGridLines="0" topLeftCell="Q1" zoomScale="80" zoomScaleNormal="80" zoomScaleSheetLayoutView="70" workbookViewId="0">
      <selection activeCell="AW17" sqref="AW17:AX17"/>
    </sheetView>
  </sheetViews>
  <sheetFormatPr defaultRowHeight="13.5" x14ac:dyDescent="0.15"/>
  <cols>
    <col min="1" max="1" width="9.125" style="248"/>
    <col min="2" max="3" width="4.75" customWidth="1"/>
    <col min="4" max="4" width="4.75" style="53" customWidth="1"/>
    <col min="5" max="6" width="4.75" customWidth="1"/>
    <col min="7" max="7" width="4.75" style="53" customWidth="1"/>
    <col min="8" max="19" width="4.75" customWidth="1"/>
    <col min="20" max="21" width="4.75" style="53" customWidth="1"/>
    <col min="22" max="22" width="6.75" customWidth="1"/>
    <col min="23" max="23" width="4.75" style="53" customWidth="1"/>
    <col min="24" max="24" width="6.75" style="53" customWidth="1"/>
    <col min="25" max="25" width="4.75" style="53" customWidth="1"/>
    <col min="26" max="27" width="4.75" customWidth="1"/>
    <col min="28" max="28" width="6.75" customWidth="1"/>
    <col min="29" max="29" width="4.75" customWidth="1"/>
    <col min="30" max="30" width="6.75" customWidth="1"/>
    <col min="31" max="31" width="4.75" customWidth="1"/>
    <col min="32" max="32" width="6.75" customWidth="1"/>
    <col min="33" max="35" width="4.75" customWidth="1"/>
    <col min="36" max="36" width="6.75" customWidth="1"/>
    <col min="37" max="37" width="4.75" customWidth="1"/>
    <col min="38" max="38" width="6.75" customWidth="1"/>
    <col min="39" max="41" width="4.75" style="53" customWidth="1"/>
    <col min="42" max="42" width="6.75" style="53" customWidth="1"/>
    <col min="43" max="43" width="4.75" style="53" customWidth="1"/>
    <col min="44" max="44" width="6.75" style="53" customWidth="1"/>
    <col min="45" max="47" width="4.75" style="53" customWidth="1"/>
    <col min="48" max="48" width="6.75" style="53" customWidth="1"/>
    <col min="49" max="51" width="4.75" style="53" customWidth="1"/>
    <col min="52" max="52" width="6.75" style="53" customWidth="1"/>
    <col min="53" max="56" width="9.125" hidden="1" customWidth="1"/>
    <col min="57" max="57" width="9.125" style="53" hidden="1" customWidth="1"/>
    <col min="58" max="58" width="5.375" hidden="1" customWidth="1" collapsed="1"/>
    <col min="59" max="59" width="11.875" hidden="1" customWidth="1"/>
    <col min="60" max="60" width="9.125" hidden="1" customWidth="1" collapsed="1"/>
    <col min="61" max="61" width="4.75" customWidth="1"/>
  </cols>
  <sheetData>
    <row r="2" spans="1:60" ht="14.25" thickBot="1" x14ac:dyDescent="0.2">
      <c r="B2" s="53"/>
      <c r="C2" s="53"/>
      <c r="E2" s="53"/>
      <c r="F2" s="53"/>
      <c r="H2" s="53"/>
      <c r="I2" s="53"/>
      <c r="J2" s="53"/>
      <c r="K2" s="53"/>
      <c r="L2" s="53"/>
      <c r="M2" s="53"/>
      <c r="N2" s="53"/>
      <c r="O2" s="53"/>
      <c r="P2" s="53"/>
      <c r="Q2" s="53"/>
      <c r="R2" s="53"/>
      <c r="S2" s="53"/>
      <c r="V2" s="53"/>
      <c r="Z2" s="53"/>
      <c r="AA2" s="53"/>
      <c r="AB2" s="53"/>
      <c r="AC2" s="53"/>
      <c r="AD2" s="53"/>
      <c r="AE2" s="53"/>
      <c r="AF2" s="53"/>
      <c r="AG2" s="53"/>
      <c r="AH2" s="53"/>
      <c r="AI2" s="53"/>
      <c r="AJ2" s="53"/>
      <c r="AK2" s="53"/>
      <c r="AL2" s="53"/>
      <c r="AS2" s="382" t="s">
        <v>0</v>
      </c>
      <c r="AT2" s="382"/>
      <c r="AU2" s="382"/>
      <c r="AV2" s="382"/>
      <c r="AW2" s="382"/>
      <c r="AX2" s="382"/>
      <c r="AY2" s="382"/>
      <c r="AZ2" s="382"/>
      <c r="BA2" s="53"/>
      <c r="BB2" s="53"/>
      <c r="BC2" s="53"/>
      <c r="BD2" s="53"/>
      <c r="BF2" s="53"/>
      <c r="BG2" s="53"/>
      <c r="BH2" s="53"/>
    </row>
    <row r="3" spans="1:60" ht="15" customHeight="1" x14ac:dyDescent="0.15">
      <c r="B3" s="383" t="s">
        <v>1</v>
      </c>
      <c r="C3" s="384"/>
      <c r="D3" s="384"/>
      <c r="E3" s="384"/>
      <c r="F3" s="384"/>
      <c r="G3" s="384"/>
      <c r="H3" s="384"/>
      <c r="I3" s="384"/>
      <c r="J3" s="385"/>
      <c r="K3" s="395" t="str">
        <f>Summary!K3</f>
        <v>Cost Break Down (CBD)</v>
      </c>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5" t="str">
        <f>VLOOKUP("d",Languages!$A$1:$F$386,VLOOKUP(Summary!AM6,Languages!$C$2:$D$6,2,FALSE),FALSE)</f>
        <v>Manufacturing</v>
      </c>
      <c r="AT3" s="396"/>
      <c r="AU3" s="396"/>
      <c r="AV3" s="396"/>
      <c r="AW3" s="396"/>
      <c r="AX3" s="396"/>
      <c r="AY3" s="396"/>
      <c r="AZ3" s="397"/>
      <c r="BA3" s="53"/>
      <c r="BB3" s="53"/>
      <c r="BC3" s="53"/>
      <c r="BD3" s="53"/>
      <c r="BF3" s="53"/>
      <c r="BG3" s="53"/>
      <c r="BH3" s="53"/>
    </row>
    <row r="4" spans="1:60" ht="15" customHeight="1" thickBot="1" x14ac:dyDescent="0.2">
      <c r="B4" s="386"/>
      <c r="C4" s="387"/>
      <c r="D4" s="387"/>
      <c r="E4" s="387"/>
      <c r="F4" s="387"/>
      <c r="G4" s="387"/>
      <c r="H4" s="387"/>
      <c r="I4" s="387"/>
      <c r="J4" s="388"/>
      <c r="K4" s="398"/>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8"/>
      <c r="AT4" s="399"/>
      <c r="AU4" s="399"/>
      <c r="AV4" s="399"/>
      <c r="AW4" s="399"/>
      <c r="AX4" s="399"/>
      <c r="AY4" s="399"/>
      <c r="AZ4" s="400"/>
      <c r="BA4" s="53"/>
      <c r="BB4" s="53"/>
      <c r="BC4" s="53"/>
      <c r="BD4" s="53"/>
      <c r="BF4" s="53"/>
      <c r="BG4" s="53"/>
      <c r="BH4" s="53"/>
    </row>
    <row r="5" spans="1:60" ht="9.9499999999999993" customHeight="1" thickBot="1" x14ac:dyDescent="0.2">
      <c r="B5" s="386"/>
      <c r="C5" s="387"/>
      <c r="D5" s="387"/>
      <c r="E5" s="387"/>
      <c r="F5" s="387"/>
      <c r="G5" s="387"/>
      <c r="H5" s="387"/>
      <c r="I5" s="387"/>
      <c r="J5" s="388"/>
      <c r="K5" s="398"/>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265"/>
      <c r="AT5" s="236"/>
      <c r="AU5" s="236"/>
      <c r="AV5" s="307" t="str">
        <f>Summary!AL5</f>
        <v>Version</v>
      </c>
      <c r="AW5" s="308" t="str">
        <f>Summary!AM5</f>
        <v>2.1</v>
      </c>
      <c r="AX5" s="236"/>
      <c r="AY5" s="236"/>
      <c r="AZ5" s="237"/>
      <c r="BA5" s="53"/>
      <c r="BB5" s="53"/>
      <c r="BC5" s="53"/>
      <c r="BD5" s="53"/>
      <c r="BF5" s="53"/>
      <c r="BG5" s="53"/>
      <c r="BH5" s="53"/>
    </row>
    <row r="6" spans="1:60" s="43" customFormat="1" ht="9.9499999999999993" customHeight="1" thickBot="1" x14ac:dyDescent="0.2">
      <c r="A6" s="248"/>
      <c r="B6" s="386"/>
      <c r="C6" s="387"/>
      <c r="D6" s="387"/>
      <c r="E6" s="387"/>
      <c r="F6" s="387"/>
      <c r="G6" s="387"/>
      <c r="H6" s="387"/>
      <c r="I6" s="387"/>
      <c r="J6" s="388"/>
      <c r="K6" s="401"/>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238"/>
      <c r="AT6" s="239"/>
      <c r="AU6" s="239"/>
      <c r="AV6" s="247" t="str">
        <f>Summary!AL6</f>
        <v>Language</v>
      </c>
      <c r="AW6" s="363" t="str">
        <f>Summary!AM6</f>
        <v>English</v>
      </c>
      <c r="AX6" s="363"/>
      <c r="AY6" s="363"/>
      <c r="AZ6" s="364"/>
      <c r="BA6" s="53"/>
      <c r="BB6" s="53"/>
      <c r="BC6" s="53"/>
      <c r="BD6" s="53"/>
      <c r="BE6" s="53"/>
      <c r="BF6" s="53"/>
      <c r="BG6" s="53"/>
      <c r="BH6" s="53"/>
    </row>
    <row r="7" spans="1:60" x14ac:dyDescent="0.15">
      <c r="B7" s="386"/>
      <c r="C7" s="387"/>
      <c r="D7" s="387"/>
      <c r="E7" s="387"/>
      <c r="F7" s="387"/>
      <c r="G7" s="387"/>
      <c r="H7" s="387"/>
      <c r="I7" s="387"/>
      <c r="J7" s="388"/>
      <c r="K7" s="160"/>
      <c r="L7" s="198" t="str">
        <f>Summary!L7</f>
        <v>Supplier</v>
      </c>
      <c r="M7" s="83"/>
      <c r="N7" s="83"/>
      <c r="O7" s="53"/>
      <c r="P7" s="722" t="str">
        <f>IF(Summary!U7=0,"",Summary!U7)</f>
        <v>BEIJING GOLDRARE AUTOMOBILE PARTS CO.,LTD</v>
      </c>
      <c r="Q7" s="723"/>
      <c r="R7" s="723"/>
      <c r="S7" s="723"/>
      <c r="T7" s="723"/>
      <c r="U7" s="723"/>
      <c r="V7" s="723"/>
      <c r="W7" s="724"/>
      <c r="X7" s="54"/>
      <c r="Y7" s="485" t="str">
        <f>VLOOKUP("0.01",Languages!$A$10:$F$111,VLOOKUP(Summary!AM6,Languages!$C$2:$D$6,2,FALSE),FALSE)</f>
        <v>Field</v>
      </c>
      <c r="Z7" s="485"/>
      <c r="AA7" s="54"/>
      <c r="AB7" s="54"/>
      <c r="AC7" s="54"/>
      <c r="AD7" s="54"/>
      <c r="AE7" s="54"/>
      <c r="AF7" s="54"/>
      <c r="AG7" s="53"/>
      <c r="AH7" s="53"/>
      <c r="AI7" s="53"/>
      <c r="AJ7" s="53"/>
      <c r="AK7" s="53"/>
      <c r="AL7" s="53"/>
      <c r="AO7" s="198" t="str">
        <f>Summary!AF7</f>
        <v>Project</v>
      </c>
      <c r="AP7" s="83"/>
      <c r="AQ7" s="83"/>
      <c r="AR7" s="8"/>
      <c r="AS7" s="687" t="str">
        <f>IF(Summary!AJ7=0,"",Summary!AJ7)</f>
        <v/>
      </c>
      <c r="AT7" s="589"/>
      <c r="AU7" s="589"/>
      <c r="AV7" s="589"/>
      <c r="AW7" s="589"/>
      <c r="AX7" s="589"/>
      <c r="AY7" s="589"/>
      <c r="AZ7" s="590"/>
      <c r="BA7" s="53"/>
      <c r="BB7" s="53"/>
      <c r="BC7" s="53"/>
      <c r="BD7" s="53"/>
      <c r="BF7" s="53"/>
      <c r="BG7" s="53"/>
      <c r="BH7" s="53"/>
    </row>
    <row r="8" spans="1:60" x14ac:dyDescent="0.15">
      <c r="B8" s="386"/>
      <c r="C8" s="387"/>
      <c r="D8" s="387"/>
      <c r="E8" s="387"/>
      <c r="F8" s="387"/>
      <c r="G8" s="387"/>
      <c r="H8" s="387"/>
      <c r="I8" s="387"/>
      <c r="J8" s="388"/>
      <c r="K8" s="160"/>
      <c r="L8" s="49" t="str">
        <f>Summary!L8</f>
        <v>Contact person</v>
      </c>
      <c r="M8" s="6"/>
      <c r="N8" s="6"/>
      <c r="O8" s="6"/>
      <c r="P8" s="725" t="str">
        <f>IF(Summary!U8=0,"",Summary!U8)</f>
        <v>Vicky Wang (王东芳)</v>
      </c>
      <c r="Q8" s="583"/>
      <c r="R8" s="583"/>
      <c r="S8" s="583"/>
      <c r="T8" s="583"/>
      <c r="U8" s="583"/>
      <c r="V8" s="583"/>
      <c r="W8" s="584"/>
      <c r="X8" s="54"/>
      <c r="Y8" s="486" t="str">
        <f>VLOOKUP("0.02",Languages!$A$10:$F$111,VLOOKUP(Summary!AM6,Languages!$C$2:$D$6,2,FALSE),FALSE)</f>
        <v>mandatory</v>
      </c>
      <c r="Z8" s="487"/>
      <c r="AA8" s="54"/>
      <c r="AB8" s="54"/>
      <c r="AC8" s="54"/>
      <c r="AD8" s="54"/>
      <c r="AE8" s="54"/>
      <c r="AF8" s="54"/>
      <c r="AG8" s="53"/>
      <c r="AH8" s="53"/>
      <c r="AI8" s="53"/>
      <c r="AJ8" s="53"/>
      <c r="AK8" s="53"/>
      <c r="AL8" s="53"/>
      <c r="AO8" s="49" t="str">
        <f>Summary!AF8</f>
        <v>Part number</v>
      </c>
      <c r="AP8" s="6"/>
      <c r="AQ8" s="6"/>
      <c r="AR8" s="1"/>
      <c r="AS8" s="591" t="str">
        <f>IF(Summary!AJ8=0,"",Summary!AJ8)</f>
        <v/>
      </c>
      <c r="AT8" s="592"/>
      <c r="AU8" s="592"/>
      <c r="AV8" s="592"/>
      <c r="AW8" s="592"/>
      <c r="AX8" s="592"/>
      <c r="AY8" s="592"/>
      <c r="AZ8" s="593"/>
      <c r="BA8" s="53"/>
      <c r="BB8" s="53"/>
      <c r="BC8" s="53"/>
      <c r="BD8" s="53"/>
      <c r="BF8" s="53"/>
      <c r="BG8" s="53"/>
      <c r="BH8" s="53"/>
    </row>
    <row r="9" spans="1:60" x14ac:dyDescent="0.15">
      <c r="B9" s="386"/>
      <c r="C9" s="387"/>
      <c r="D9" s="387"/>
      <c r="E9" s="387"/>
      <c r="F9" s="387"/>
      <c r="G9" s="387"/>
      <c r="H9" s="387"/>
      <c r="I9" s="387"/>
      <c r="J9" s="388"/>
      <c r="K9" s="160"/>
      <c r="L9" s="49" t="str">
        <f>Summary!L9</f>
        <v>E-Mail</v>
      </c>
      <c r="M9" s="6"/>
      <c r="N9" s="6"/>
      <c r="O9" s="6"/>
      <c r="P9" s="725" t="str">
        <f>IF(Summary!U9=0,"",Summary!U9)</f>
        <v>wangdongfang@bjghrc.com</v>
      </c>
      <c r="Q9" s="583"/>
      <c r="R9" s="583"/>
      <c r="S9" s="583"/>
      <c r="T9" s="583"/>
      <c r="U9" s="583"/>
      <c r="V9" s="583"/>
      <c r="W9" s="584"/>
      <c r="X9" s="54"/>
      <c r="Y9" s="488" t="str">
        <f>VLOOKUP("0.03",Languages!$A$10:$F$111,VLOOKUP(Summary!AM6,Languages!$C$2:$D$6,2,FALSE),FALSE)</f>
        <v>optional</v>
      </c>
      <c r="Z9" s="489"/>
      <c r="AA9" s="54"/>
      <c r="AB9" s="54"/>
      <c r="AC9" s="54"/>
      <c r="AD9" s="54"/>
      <c r="AE9" s="54"/>
      <c r="AF9" s="54"/>
      <c r="AG9" s="53"/>
      <c r="AH9" s="53"/>
      <c r="AI9" s="53"/>
      <c r="AJ9" s="53"/>
      <c r="AK9" s="53"/>
      <c r="AL9" s="53"/>
      <c r="AO9" s="49" t="str">
        <f>Summary!AF9</f>
        <v>Part name</v>
      </c>
      <c r="AP9" s="6"/>
      <c r="AQ9" s="6"/>
      <c r="AR9" s="1"/>
      <c r="AS9" s="591" t="str">
        <f>IF(Summary!AJ9=0,"",Summary!AJ9)</f>
        <v/>
      </c>
      <c r="AT9" s="592"/>
      <c r="AU9" s="592"/>
      <c r="AV9" s="592"/>
      <c r="AW9" s="592"/>
      <c r="AX9" s="592"/>
      <c r="AY9" s="592"/>
      <c r="AZ9" s="593"/>
      <c r="BA9" s="53"/>
      <c r="BB9" s="53"/>
      <c r="BC9" s="53"/>
      <c r="BD9" s="53"/>
      <c r="BF9" s="53"/>
      <c r="BG9" s="53"/>
      <c r="BH9" s="53"/>
    </row>
    <row r="10" spans="1:60" ht="14.25" thickBot="1" x14ac:dyDescent="0.2">
      <c r="B10" s="389"/>
      <c r="C10" s="390"/>
      <c r="D10" s="390"/>
      <c r="E10" s="390"/>
      <c r="F10" s="390"/>
      <c r="G10" s="390"/>
      <c r="H10" s="390"/>
      <c r="I10" s="390"/>
      <c r="J10" s="391"/>
      <c r="K10" s="161"/>
      <c r="L10" s="200" t="str">
        <f>Summary!L10</f>
        <v>Telephone</v>
      </c>
      <c r="M10" s="201"/>
      <c r="N10" s="201"/>
      <c r="O10" s="201"/>
      <c r="P10" s="726">
        <f>IF(Summary!U10=0,"",Summary!U10)</f>
        <v>8618511780380</v>
      </c>
      <c r="Q10" s="586"/>
      <c r="R10" s="586"/>
      <c r="S10" s="586"/>
      <c r="T10" s="586"/>
      <c r="U10" s="586"/>
      <c r="V10" s="586"/>
      <c r="W10" s="587"/>
      <c r="X10" s="62"/>
      <c r="Y10" s="490" t="str">
        <f>VLOOKUP("0.04",Languages!$A$10:$F$111,VLOOKUP(Summary!AM6,Languages!$C$2:$D$6,2,FALSE),FALSE)</f>
        <v>calculated</v>
      </c>
      <c r="Z10" s="491"/>
      <c r="AA10" s="62"/>
      <c r="AB10" s="62"/>
      <c r="AC10" s="62"/>
      <c r="AD10" s="62"/>
      <c r="AE10" s="62"/>
      <c r="AF10" s="62"/>
      <c r="AG10" s="62"/>
      <c r="AH10" s="62"/>
      <c r="AI10" s="62"/>
      <c r="AJ10" s="62"/>
      <c r="AK10" s="62"/>
      <c r="AL10" s="62"/>
      <c r="AM10" s="62"/>
      <c r="AN10" s="62"/>
      <c r="AO10" s="200" t="str">
        <f>Summary!AF10</f>
        <v>Quotation date</v>
      </c>
      <c r="AP10" s="201"/>
      <c r="AQ10" s="201"/>
      <c r="AR10" s="10"/>
      <c r="AS10" s="594" t="str">
        <f>IF(Summary!AJ10=0,"",Summary!AJ10)</f>
        <v/>
      </c>
      <c r="AT10" s="595"/>
      <c r="AU10" s="595"/>
      <c r="AV10" s="595"/>
      <c r="AW10" s="595"/>
      <c r="AX10" s="595"/>
      <c r="AY10" s="595"/>
      <c r="AZ10" s="596"/>
      <c r="BA10" s="53"/>
      <c r="BB10" s="53"/>
      <c r="BC10" s="53"/>
      <c r="BD10" s="53"/>
      <c r="BF10" s="53"/>
      <c r="BG10" s="53"/>
      <c r="BH10" s="53"/>
    </row>
    <row r="11" spans="1:60" ht="14.25" thickBot="1" x14ac:dyDescent="0.2">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53"/>
      <c r="BB11" s="53"/>
      <c r="BC11" s="53"/>
      <c r="BD11" s="53"/>
      <c r="BF11" s="53"/>
      <c r="BG11" s="53"/>
      <c r="BH11" s="53"/>
    </row>
    <row r="12" spans="1:60" ht="15.75" customHeight="1" thickBot="1" x14ac:dyDescent="0.2">
      <c r="B12" s="577" t="str">
        <f>VLOOKUP("P01",Languages!$A$1:$F$286,VLOOKUP(Summary!AM6,Languages!$C$2:$D$6,2,FALSE),FALSE)</f>
        <v>Description</v>
      </c>
      <c r="C12" s="578"/>
      <c r="D12" s="578"/>
      <c r="E12" s="578"/>
      <c r="F12" s="578"/>
      <c r="G12" s="578"/>
      <c r="H12" s="578"/>
      <c r="I12" s="578"/>
      <c r="J12" s="578"/>
      <c r="K12" s="578"/>
      <c r="L12" s="578"/>
      <c r="M12" s="578"/>
      <c r="N12" s="578"/>
      <c r="O12" s="578"/>
      <c r="P12" s="653"/>
      <c r="Q12" s="577" t="str">
        <f>VLOOKUP("P02",Languages!$A$1:$F$286,VLOOKUP(Summary!AM6,Languages!$C$2:$D$6,2,FALSE),FALSE)</f>
        <v>Statement in quotation currency</v>
      </c>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653"/>
      <c r="BA12" s="53"/>
      <c r="BB12" s="53"/>
      <c r="BC12" s="53"/>
      <c r="BD12" s="53"/>
      <c r="BE12" s="721" t="s">
        <v>35</v>
      </c>
      <c r="BF12" s="53"/>
      <c r="BG12" s="53"/>
      <c r="BH12" s="721" t="str">
        <f>O14&amp;"    "
&amp;$AG$14</f>
        <v>Utilization ratio (only for info.)    Manufacturing lot size (only for info.)</v>
      </c>
    </row>
    <row r="13" spans="1:60" ht="15" customHeight="1" x14ac:dyDescent="0.15">
      <c r="B13" s="37" t="s">
        <v>36</v>
      </c>
      <c r="C13" s="642" t="s">
        <v>37</v>
      </c>
      <c r="D13" s="643"/>
      <c r="E13" s="643"/>
      <c r="F13" s="643"/>
      <c r="G13" s="644"/>
      <c r="H13" s="642" t="s">
        <v>38</v>
      </c>
      <c r="I13" s="643"/>
      <c r="J13" s="643"/>
      <c r="K13" s="644"/>
      <c r="L13" s="642" t="s">
        <v>39</v>
      </c>
      <c r="M13" s="643"/>
      <c r="N13" s="643"/>
      <c r="O13" s="642" t="s">
        <v>40</v>
      </c>
      <c r="P13" s="691"/>
      <c r="Q13" s="706" t="s">
        <v>41</v>
      </c>
      <c r="R13" s="644"/>
      <c r="S13" s="642" t="s">
        <v>42</v>
      </c>
      <c r="T13" s="644"/>
      <c r="U13" s="642" t="s">
        <v>43</v>
      </c>
      <c r="V13" s="644"/>
      <c r="W13" s="642" t="s">
        <v>44</v>
      </c>
      <c r="X13" s="644"/>
      <c r="Y13" s="642" t="s">
        <v>45</v>
      </c>
      <c r="Z13" s="644"/>
      <c r="AA13" s="642" t="s">
        <v>46</v>
      </c>
      <c r="AB13" s="644"/>
      <c r="AC13" s="642" t="s">
        <v>47</v>
      </c>
      <c r="AD13" s="644"/>
      <c r="AE13" s="642" t="s">
        <v>48</v>
      </c>
      <c r="AF13" s="644"/>
      <c r="AG13" s="642" t="s">
        <v>49</v>
      </c>
      <c r="AH13" s="644"/>
      <c r="AI13" s="642" t="s">
        <v>50</v>
      </c>
      <c r="AJ13" s="644"/>
      <c r="AK13" s="642" t="s">
        <v>51</v>
      </c>
      <c r="AL13" s="644"/>
      <c r="AM13" s="642" t="s">
        <v>52</v>
      </c>
      <c r="AN13" s="643"/>
      <c r="AO13" s="643"/>
      <c r="AP13" s="644"/>
      <c r="AQ13" s="642" t="s">
        <v>53</v>
      </c>
      <c r="AR13" s="643"/>
      <c r="AS13" s="643"/>
      <c r="AT13" s="644"/>
      <c r="AU13" s="642" t="s">
        <v>54</v>
      </c>
      <c r="AV13" s="644"/>
      <c r="AW13" s="642" t="s">
        <v>55</v>
      </c>
      <c r="AX13" s="644"/>
      <c r="AY13" s="642" t="s">
        <v>56</v>
      </c>
      <c r="AZ13" s="691"/>
      <c r="BA13" s="53"/>
      <c r="BB13" s="53"/>
      <c r="BC13" s="53"/>
      <c r="BD13" s="53"/>
      <c r="BE13" s="721"/>
      <c r="BF13" s="53"/>
      <c r="BG13" s="53"/>
      <c r="BH13" s="721"/>
    </row>
    <row r="14" spans="1:60" ht="69.95" customHeight="1" x14ac:dyDescent="0.15">
      <c r="B14" s="381" t="str">
        <f>VLOOKUP("P1",Languages!$A$1:$F$286,VLOOKUP(Summary!AM6,Languages!$C$2:$D$6,2,FALSE),FALSE)</f>
        <v>Manufacturing step no.</v>
      </c>
      <c r="C14" s="612" t="str">
        <f>VLOOKUP(C13,Languages!$A$1:$F$286,VLOOKUP(Summary!AM6,Languages!$C$2:$D$6,2,FALSE),FALSE)</f>
        <v>Designation Manufacturing step</v>
      </c>
      <c r="D14" s="613"/>
      <c r="E14" s="613"/>
      <c r="F14" s="613"/>
      <c r="G14" s="614"/>
      <c r="H14" s="612" t="str">
        <f>VLOOKUP(H13,Languages!$A$1:$F$286,VLOOKUP(Summary!AM6,Languages!$C$2:$D$6,2,FALSE),FALSE)</f>
        <v>Designation facility / machine / type</v>
      </c>
      <c r="I14" s="613"/>
      <c r="J14" s="613"/>
      <c r="K14" s="614"/>
      <c r="L14" s="612" t="str">
        <f>VLOOKUP(L13,Languages!$A$1:$F$286,VLOOKUP(Summary!$AM$6,Languages!$C$2:$D$6,2,FALSE),FALSE)</f>
        <v>Investment facility / machine / type</v>
      </c>
      <c r="M14" s="613"/>
      <c r="N14" s="613"/>
      <c r="O14" s="573" t="str">
        <f>VLOOKUP(O13,Languages!$A$1:$F$286,VLOOKUP(Summary!$AM$6,Languages!$C$2:$D$6,2,FALSE),FALSE)</f>
        <v>Utilization ratio (only for info.)</v>
      </c>
      <c r="P14" s="707"/>
      <c r="Q14" s="628" t="str">
        <f>VLOOKUP(Q13,Languages!$A$1:$F$286,VLOOKUP(Summary!$AM$6,Languages!$C$2:$D$6,2,FALSE),FALSE)</f>
        <v>Cycle time</v>
      </c>
      <c r="R14" s="614"/>
      <c r="S14" s="612" t="str">
        <f>VLOOKUP(S13,Languages!$A$1:$F$286,VLOOKUP(Summary!$AM$6,Languages!$C$2:$D$6,2,FALSE),FALSE)</f>
        <v>Number of parts per cycle</v>
      </c>
      <c r="T14" s="614"/>
      <c r="U14" s="612" t="str">
        <f>VLOOKUP(U13,Languages!$A$1:$F$286,VLOOKUP(Summary!$AM$6,Languages!$C$2:$D$6,2,FALSE),FALSE)</f>
        <v>Machine hourly rate</v>
      </c>
      <c r="V14" s="614"/>
      <c r="W14" s="612" t="str">
        <f>VLOOKUP(W13,Languages!$A$1:$F$286,VLOOKUP(Summary!$AM$6,Languages!$C$2:$D$6,2,FALSE),FALSE)</f>
        <v>Machine costs</v>
      </c>
      <c r="X14" s="614"/>
      <c r="Y14" s="612" t="str">
        <f>VLOOKUP(Y13,Languages!$A$1:$F$286,VLOOKUP(Summary!$AM$6,Languages!$C$2:$D$6,2,FALSE),FALSE)</f>
        <v>Number of direct workers</v>
      </c>
      <c r="Z14" s="614"/>
      <c r="AA14" s="612" t="str">
        <f>VLOOKUP(AA13,Languages!$A$1:$F$286,VLOOKUP(Summary!$AM$6,Languages!$C$2:$D$6,2,FALSE),FALSE)</f>
        <v>Total labor hourly rate</v>
      </c>
      <c r="AB14" s="614"/>
      <c r="AC14" s="612" t="str">
        <f>VLOOKUP(AC13,Languages!$A$1:$F$286,VLOOKUP(Summary!$AM$6,Languages!$C$2:$D$6,2,FALSE),FALSE)</f>
        <v>Direct labor costs</v>
      </c>
      <c r="AD14" s="614"/>
      <c r="AE14" s="727" t="str">
        <f>VLOOKUP(AE13,Languages!$A$1:$F$286,VLOOKUP(Summary!$AM$6,Languages!$C$2:$D$6,2,FALSE),FALSE)</f>
        <v>Setup costs / Costs per unit</v>
      </c>
      <c r="AF14" s="728"/>
      <c r="AG14" s="612" t="str">
        <f>VLOOKUP(AG13,Languages!$A$1:$F$286,VLOOKUP(Summary!$AM$6,Languages!$C$2:$D$6,2,FALSE),FALSE)</f>
        <v>Manufacturing lot size (only for info.)</v>
      </c>
      <c r="AH14" s="614"/>
      <c r="AI14" s="612" t="str">
        <f>VLOOKUP(AI13,Languages!$A$1:$F$286,VLOOKUP(Summary!$AM$6,Languages!$C$2:$D$6,2,FALSE),FALSE)</f>
        <v>Tool maintenance</v>
      </c>
      <c r="AJ14" s="614"/>
      <c r="AK14" s="612" t="str">
        <f>VLOOKUP(AK13,Languages!$A$1:$F$286,VLOOKUP(Summary!$AM$6,Languages!$C$2:$D$6,2,FALSE),FALSE)</f>
        <v>Direct manufacturing costs</v>
      </c>
      <c r="AL14" s="614"/>
      <c r="AM14" s="698" t="str">
        <f>VLOOKUP(AM13,Languages!$A$1:$F$286,VLOOKUP(Summary!$AM$6,Languages!$C$2:$D$6,2,FALSE),FALSE)</f>
        <v>Manufacturing 
overhead costs</v>
      </c>
      <c r="AN14" s="699"/>
      <c r="AO14" s="699"/>
      <c r="AP14" s="700"/>
      <c r="AQ14" s="571" t="str">
        <f>VLOOKUP(AQ13,Languages!$A$1:$F$286,VLOOKUP(Summary!$AM$6,Languages!$C$2:$D$6,2,FALSE),FALSE)</f>
        <v>Manufacturing scrap</v>
      </c>
      <c r="AR14" s="611"/>
      <c r="AS14" s="611"/>
      <c r="AT14" s="553"/>
      <c r="AU14" s="612" t="str">
        <f>VLOOKUP(AU13,Languages!$A$1:$F$286,VLOOKUP(Summary!$AM$6,Languages!$C$2:$D$6,2,FALSE),FALSE)</f>
        <v>Manufacturing costs</v>
      </c>
      <c r="AV14" s="614"/>
      <c r="AW14" s="612" t="str">
        <f>VLOOKUP(AW13,Languages!$A$1:$F$286,VLOOKUP(Summary!$AM$6,Languages!$C$2:$D$6,2,FALSE),FALSE)</f>
        <v>Usage</v>
      </c>
      <c r="AX14" s="614"/>
      <c r="AY14" s="612" t="str">
        <f>VLOOKUP(AY13,Languages!$A$1:$F$286,VLOOKUP(Summary!$AM$6,Languages!$C$2:$D$6,2,FALSE),FALSE)</f>
        <v>Total Manufacturing costs</v>
      </c>
      <c r="AZ14" s="629"/>
      <c r="BA14" s="22" t="s">
        <v>57</v>
      </c>
      <c r="BB14" s="22" t="s">
        <v>58</v>
      </c>
      <c r="BC14" s="22" t="s">
        <v>59</v>
      </c>
      <c r="BD14" s="370" t="s">
        <v>60</v>
      </c>
      <c r="BE14" s="721"/>
      <c r="BF14" s="370" t="s">
        <v>61</v>
      </c>
      <c r="BG14" s="370" t="s">
        <v>62</v>
      </c>
      <c r="BH14" s="721"/>
    </row>
    <row r="15" spans="1:60" ht="15" customHeight="1" x14ac:dyDescent="0.15">
      <c r="B15" s="381"/>
      <c r="C15" s="367"/>
      <c r="D15" s="54"/>
      <c r="E15" s="54"/>
      <c r="F15" s="54"/>
      <c r="G15" s="54"/>
      <c r="H15" s="367"/>
      <c r="I15" s="368"/>
      <c r="J15" s="54"/>
      <c r="K15" s="54"/>
      <c r="L15" s="367"/>
      <c r="M15" s="54"/>
      <c r="N15" s="54"/>
      <c r="O15" s="188"/>
      <c r="P15" s="65"/>
      <c r="Q15" s="366"/>
      <c r="R15" s="36"/>
      <c r="S15" s="367"/>
      <c r="T15" s="36"/>
      <c r="U15" s="371"/>
      <c r="V15" s="372"/>
      <c r="W15" s="371"/>
      <c r="X15" s="372"/>
      <c r="Y15" s="367"/>
      <c r="Z15" s="36"/>
      <c r="AA15" s="371"/>
      <c r="AB15" s="372"/>
      <c r="AC15" s="371"/>
      <c r="AD15" s="372"/>
      <c r="AE15" s="371"/>
      <c r="AF15" s="372"/>
      <c r="AG15" s="379"/>
      <c r="AH15" s="53"/>
      <c r="AI15" s="371"/>
      <c r="AJ15" s="372"/>
      <c r="AK15" s="371"/>
      <c r="AL15" s="379"/>
      <c r="AM15" s="688" t="str">
        <f>VLOOKUP("P17.1",Languages!$A$1:$F$286,VLOOKUP(Summary!$AM$6,Languages!$C$2:$D$6,2,FALSE),FALSE)</f>
        <v>Base is P16</v>
      </c>
      <c r="AN15" s="689"/>
      <c r="AO15" s="689"/>
      <c r="AP15" s="690"/>
      <c r="AQ15" s="367"/>
      <c r="AR15" s="368"/>
      <c r="AS15" s="368"/>
      <c r="AT15" s="368"/>
      <c r="AU15" s="371"/>
      <c r="AV15" s="379"/>
      <c r="AW15" s="24"/>
      <c r="AX15" s="38"/>
      <c r="AY15" s="24"/>
      <c r="AZ15" s="692" t="str">
        <f>VLOOKUP(13.6,Languages!$A$1:$F$286,VLOOKUP(Summary!$AM$6,Languages!$C$2:$D$6,2,FALSE),FALSE)</f>
        <v>/quot. Unit</v>
      </c>
      <c r="BA15" s="23"/>
      <c r="BB15" s="53"/>
      <c r="BC15" s="53"/>
      <c r="BD15" s="53"/>
      <c r="BF15" s="53"/>
      <c r="BG15" s="53"/>
      <c r="BH15" s="53"/>
    </row>
    <row r="16" spans="1:60" x14ac:dyDescent="0.15">
      <c r="B16" s="9"/>
      <c r="C16" s="374"/>
      <c r="D16" s="54"/>
      <c r="E16" s="54"/>
      <c r="F16" s="54"/>
      <c r="G16" s="54"/>
      <c r="H16" s="708"/>
      <c r="I16" s="709"/>
      <c r="J16" s="54"/>
      <c r="K16" s="54"/>
      <c r="L16" s="704">
        <f>Summary!G18</f>
        <v>0</v>
      </c>
      <c r="M16" s="705"/>
      <c r="N16" s="705"/>
      <c r="O16" s="694" t="s">
        <v>7</v>
      </c>
      <c r="P16" s="695"/>
      <c r="Q16" s="550" t="str">
        <f>VLOOKUP("P6.1",Languages!$A$1:$F$286,VLOOKUP(Summary!$AM$6,Languages!$C$2:$D$6,2,FALSE),FALSE)</f>
        <v>s</v>
      </c>
      <c r="R16" s="551"/>
      <c r="S16" s="373"/>
      <c r="T16" s="196"/>
      <c r="U16" s="27">
        <f>Summary!G18</f>
        <v>0</v>
      </c>
      <c r="V16" s="29" t="str">
        <f>VLOOKUP("P8.1",Languages!$A$1:$F$286,VLOOKUP(Summary!$AM$6,Languages!$C$2:$D$6,2,FALSE),FALSE)</f>
        <v>/hour</v>
      </c>
      <c r="W16" s="27">
        <f>Summary!G18</f>
        <v>0</v>
      </c>
      <c r="X16" s="31" t="str">
        <f>VLOOKUP(13.3,Languages!$A$1:$F$286,VLOOKUP(Summary!$AM$6,Languages!$C$2:$D$6,2,FALSE),FALSE)</f>
        <v>/unit</v>
      </c>
      <c r="Y16" s="704" t="str">
        <f>VLOOKUP(13.4,Languages!$A$1:$F$286,VLOOKUP(Summary!$AM$6,Languages!$C$2:$D$6,2,FALSE),FALSE)</f>
        <v>unit</v>
      </c>
      <c r="Z16" s="710"/>
      <c r="AA16" s="27">
        <f>Summary!G18</f>
        <v>0</v>
      </c>
      <c r="AB16" s="31" t="str">
        <f>VLOOKUP("P8.1",Languages!$A$1:$F$286,VLOOKUP(Summary!$AM$6,Languages!$C$2:$D$6,2,FALSE),FALSE)</f>
        <v>/hour</v>
      </c>
      <c r="AC16" s="27">
        <f>Summary!G18</f>
        <v>0</v>
      </c>
      <c r="AD16" s="31" t="str">
        <f>VLOOKUP(13.3,Languages!$A$1:$F$286,VLOOKUP(Summary!$AM$6,Languages!$C$2:$D$6,2,FALSE),FALSE)</f>
        <v>/unit</v>
      </c>
      <c r="AE16" s="27">
        <f>Summary!G18</f>
        <v>0</v>
      </c>
      <c r="AF16" s="31" t="str">
        <f>VLOOKUP(13.3,Languages!$A$1:$F$286,VLOOKUP(Summary!$AM$6,Languages!$C$2:$D$6,2,FALSE),FALSE)</f>
        <v>/unit</v>
      </c>
      <c r="AG16" s="197"/>
      <c r="AH16" s="53"/>
      <c r="AI16" s="27">
        <f>Summary!G18</f>
        <v>0</v>
      </c>
      <c r="AJ16" s="31" t="str">
        <f>VLOOKUP(13.3,Languages!$A$1:$F$286,VLOOKUP(Summary!$AM$6,Languages!$C$2:$D$6,2,FALSE),FALSE)</f>
        <v>/unit</v>
      </c>
      <c r="AK16" s="30">
        <f>Summary!G18</f>
        <v>0</v>
      </c>
      <c r="AL16" s="32" t="str">
        <f>VLOOKUP(13.3,Languages!$A$1:$F$286,VLOOKUP(Summary!$AM$6,Languages!$C$2:$D$6,2,FALSE),FALSE)</f>
        <v>/unit</v>
      </c>
      <c r="AM16" s="681" t="s">
        <v>7</v>
      </c>
      <c r="AN16" s="682"/>
      <c r="AO16" s="28">
        <f>Summary!G18</f>
        <v>0</v>
      </c>
      <c r="AP16" s="33" t="str">
        <f>VLOOKUP(13.3,Languages!$A$1:$F$286,VLOOKUP(Summary!$AM$6,Languages!$C$2:$D$6,2,FALSE),FALSE)</f>
        <v>/unit</v>
      </c>
      <c r="AQ16" s="30">
        <f>Summary!G18</f>
        <v>0</v>
      </c>
      <c r="AR16" s="34" t="str">
        <f>VLOOKUP(13.3,Languages!$A$1:$F$286,VLOOKUP(Summary!$AM$6,Languages!$C$2:$D$6,2,FALSE),FALSE)</f>
        <v>/unit</v>
      </c>
      <c r="AS16" s="679" t="s">
        <v>7</v>
      </c>
      <c r="AT16" s="680"/>
      <c r="AU16" s="27">
        <f>Summary!G18</f>
        <v>0</v>
      </c>
      <c r="AV16" s="25" t="str">
        <f>VLOOKUP(13.3,Languages!$A$1:$F$286,VLOOKUP(Summary!$AM$6,Languages!$C$2:$D$6,2,FALSE),FALSE)</f>
        <v>/unit</v>
      </c>
      <c r="AW16" s="696" t="str">
        <f>VLOOKUP(13.5,Languages!$A$1:$F$286,VLOOKUP(Summary!$AM$6,Languages!$C$2:$D$6,2,FALSE),FALSE)</f>
        <v>units</v>
      </c>
      <c r="AX16" s="697"/>
      <c r="AY16" s="28">
        <f>Summary!G18</f>
        <v>0</v>
      </c>
      <c r="AZ16" s="693"/>
      <c r="BA16" s="23"/>
      <c r="BB16" s="53"/>
      <c r="BC16" s="53"/>
      <c r="BD16" s="53"/>
      <c r="BF16" s="53"/>
      <c r="BG16" s="53"/>
      <c r="BH16" s="53"/>
    </row>
    <row r="17" spans="1:60" x14ac:dyDescent="0.15">
      <c r="B17" s="330" t="s">
        <v>1178</v>
      </c>
      <c r="C17" s="528" t="s">
        <v>1179</v>
      </c>
      <c r="D17" s="536"/>
      <c r="E17" s="536"/>
      <c r="F17" s="536"/>
      <c r="G17" s="529"/>
      <c r="H17" s="537" t="s">
        <v>1180</v>
      </c>
      <c r="I17" s="538"/>
      <c r="J17" s="538"/>
      <c r="K17" s="539"/>
      <c r="L17" s="531" t="s">
        <v>1181</v>
      </c>
      <c r="M17" s="661"/>
      <c r="N17" s="532"/>
      <c r="O17" s="662" t="s">
        <v>1182</v>
      </c>
      <c r="P17" s="663"/>
      <c r="Q17" s="664" t="s">
        <v>1183</v>
      </c>
      <c r="R17" s="529"/>
      <c r="S17" s="528" t="s">
        <v>1184</v>
      </c>
      <c r="T17" s="529"/>
      <c r="U17" s="531" t="s">
        <v>1185</v>
      </c>
      <c r="V17" s="532"/>
      <c r="W17" s="522" t="e">
        <f t="shared" ref="W17:W46" si="0">IF(S17&gt;0,U17*Q17/S17/3600,0)</f>
        <v>#VALUE!</v>
      </c>
      <c r="X17" s="530"/>
      <c r="Y17" s="528" t="s">
        <v>1186</v>
      </c>
      <c r="Z17" s="529"/>
      <c r="AA17" s="531" t="s">
        <v>1187</v>
      </c>
      <c r="AB17" s="532"/>
      <c r="AC17" s="522" t="e">
        <f t="shared" ref="AC17:AC46" si="1">IF(S17&gt;0,(Y17*AA17)*Q17/S17/3600,0)</f>
        <v>#VALUE!</v>
      </c>
      <c r="AD17" s="530"/>
      <c r="AE17" s="531" t="s">
        <v>1188</v>
      </c>
      <c r="AF17" s="532"/>
      <c r="AG17" s="659" t="s">
        <v>1189</v>
      </c>
      <c r="AH17" s="660"/>
      <c r="AI17" s="657" t="s">
        <v>1190</v>
      </c>
      <c r="AJ17" s="658"/>
      <c r="AK17" s="522" t="e">
        <f t="shared" ref="AK17:AK46" si="2">SUM(W17+AC17+AE17+AI17)</f>
        <v>#VALUE!</v>
      </c>
      <c r="AL17" s="530"/>
      <c r="AM17" s="533" t="s">
        <v>1191</v>
      </c>
      <c r="AN17" s="534"/>
      <c r="AO17" s="522" t="e">
        <f>AK17*AM17</f>
        <v>#VALUE!</v>
      </c>
      <c r="AP17" s="530"/>
      <c r="AQ17" s="531" t="s">
        <v>1192</v>
      </c>
      <c r="AR17" s="532"/>
      <c r="AS17" s="520" t="e">
        <f>IF(AQ17=0,"-",AQ17/AU17)</f>
        <v>#VALUE!</v>
      </c>
      <c r="AT17" s="521"/>
      <c r="AU17" s="522" t="e">
        <f>SUM(AK17+AO17+AQ17)</f>
        <v>#VALUE!</v>
      </c>
      <c r="AV17" s="530"/>
      <c r="AW17" s="655" t="s">
        <v>1193</v>
      </c>
      <c r="AX17" s="656"/>
      <c r="AY17" s="522" t="e">
        <f>IF(AU17=0,"-",AU17*AW17)</f>
        <v>#VALUE!</v>
      </c>
      <c r="AZ17" s="523"/>
      <c r="BA17" s="23" t="e">
        <f t="shared" ref="BA17:BA46" si="3">W17*AW17</f>
        <v>#VALUE!</v>
      </c>
      <c r="BB17" s="23" t="e">
        <f t="shared" ref="BB17:BB46" si="4">AC17*AW17</f>
        <v>#VALUE!</v>
      </c>
      <c r="BC17" s="23" t="e">
        <f t="shared" ref="BC17:BC46" si="5">AE17*AW17</f>
        <v>#VALUE!</v>
      </c>
      <c r="BD17" s="23" t="e">
        <f t="shared" ref="BD17:BD46" si="6">AI17*AW17</f>
        <v>#VALUE!</v>
      </c>
      <c r="BE17" s="23" t="e">
        <f>BA17+BC17+BD17</f>
        <v>#VALUE!</v>
      </c>
      <c r="BF17" s="23" t="e">
        <f t="shared" ref="BF17:BF46" si="7">AO17*AW17</f>
        <v>#VALUE!</v>
      </c>
      <c r="BG17" s="23" t="e">
        <f t="shared" ref="BG17:BG46" si="8">AQ17*AW17</f>
        <v>#VALUE!</v>
      </c>
      <c r="BH17" s="53" t="e">
        <f t="shared" ref="BH17:BH46" si="9">$O$14&amp;": "&amp;O17*100&amp;" %"&amp;"    "&amp;$AG$14&amp;": "&amp;AG17</f>
        <v>#VALUE!</v>
      </c>
    </row>
    <row r="18" spans="1:60" s="53" customFormat="1" x14ac:dyDescent="0.15">
      <c r="A18" s="248"/>
      <c r="B18" s="330"/>
      <c r="C18" s="528"/>
      <c r="D18" s="536"/>
      <c r="E18" s="536"/>
      <c r="F18" s="536"/>
      <c r="G18" s="529"/>
      <c r="H18" s="537"/>
      <c r="I18" s="538"/>
      <c r="J18" s="538"/>
      <c r="K18" s="539"/>
      <c r="L18" s="531"/>
      <c r="M18" s="661"/>
      <c r="N18" s="532"/>
      <c r="O18" s="662"/>
      <c r="P18" s="663"/>
      <c r="Q18" s="664"/>
      <c r="R18" s="529"/>
      <c r="S18" s="528"/>
      <c r="T18" s="529"/>
      <c r="U18" s="531"/>
      <c r="V18" s="532"/>
      <c r="W18" s="522">
        <f t="shared" ref="W18:W23" si="10">IF(S18&gt;0,U18*Q18/S18/3600,0)</f>
        <v>0</v>
      </c>
      <c r="X18" s="530"/>
      <c r="Y18" s="528"/>
      <c r="Z18" s="529"/>
      <c r="AA18" s="531"/>
      <c r="AB18" s="532"/>
      <c r="AC18" s="522">
        <f t="shared" ref="AC18:AC23" si="11">IF(S18&gt;0,(Y18*AA18)*Q18/S18/3600,0)</f>
        <v>0</v>
      </c>
      <c r="AD18" s="530"/>
      <c r="AE18" s="531"/>
      <c r="AF18" s="532"/>
      <c r="AG18" s="659"/>
      <c r="AH18" s="660"/>
      <c r="AI18" s="657"/>
      <c r="AJ18" s="658"/>
      <c r="AK18" s="522">
        <f t="shared" ref="AK18:AK23" si="12">SUM(W18+AC18+AE18+AI18)</f>
        <v>0</v>
      </c>
      <c r="AL18" s="530"/>
      <c r="AM18" s="533"/>
      <c r="AN18" s="534"/>
      <c r="AO18" s="522">
        <f t="shared" ref="AO18:AO23" si="13">AK18*AM18</f>
        <v>0</v>
      </c>
      <c r="AP18" s="530"/>
      <c r="AQ18" s="531"/>
      <c r="AR18" s="532"/>
      <c r="AS18" s="520" t="str">
        <f t="shared" ref="AS18:AS23" si="14">IF(AQ18=0,"-",AQ18/AU18)</f>
        <v>-</v>
      </c>
      <c r="AT18" s="521"/>
      <c r="AU18" s="522">
        <f t="shared" ref="AU18:AU23" si="15">SUM(AK18+AO18+AQ18)</f>
        <v>0</v>
      </c>
      <c r="AV18" s="530"/>
      <c r="AW18" s="655"/>
      <c r="AX18" s="656"/>
      <c r="AY18" s="522" t="str">
        <f t="shared" ref="AY18:AY23" si="16">IF(AU18=0,"-",AU18*AW18)</f>
        <v>-</v>
      </c>
      <c r="AZ18" s="523"/>
      <c r="BA18" s="23">
        <f t="shared" ref="BA18:BA23" si="17">W18*AW18</f>
        <v>0</v>
      </c>
      <c r="BB18" s="23">
        <f t="shared" ref="BB18:BB23" si="18">AC18*AW18</f>
        <v>0</v>
      </c>
      <c r="BC18" s="23">
        <f t="shared" ref="BC18:BC23" si="19">AE18*AW18</f>
        <v>0</v>
      </c>
      <c r="BD18" s="23">
        <f t="shared" ref="BD18:BD23" si="20">AI18*AW18</f>
        <v>0</v>
      </c>
      <c r="BE18" s="23">
        <f t="shared" ref="BE18:BE23" si="21">BA18+BC18+BD18</f>
        <v>0</v>
      </c>
      <c r="BF18" s="23">
        <f t="shared" ref="BF18:BF23" si="22">AO18*AW18</f>
        <v>0</v>
      </c>
      <c r="BG18" s="23">
        <f t="shared" ref="BG18:BG23" si="23">AQ18*AW18</f>
        <v>0</v>
      </c>
      <c r="BH18" s="53" t="str">
        <f t="shared" ref="BH18:BH23" si="24">$O$14&amp;": "&amp;O18*100&amp;" %"&amp;"    "&amp;$AG$14&amp;": "&amp;AG18</f>
        <v xml:space="preserve">Utilization ratio (only for info.): 0 %    Manufacturing lot size (only for info.): </v>
      </c>
    </row>
    <row r="19" spans="1:60" s="53" customFormat="1" x14ac:dyDescent="0.15">
      <c r="A19" s="248"/>
      <c r="B19" s="330"/>
      <c r="C19" s="528"/>
      <c r="D19" s="536"/>
      <c r="E19" s="536"/>
      <c r="F19" s="536"/>
      <c r="G19" s="529"/>
      <c r="H19" s="537"/>
      <c r="I19" s="538"/>
      <c r="J19" s="538"/>
      <c r="K19" s="539"/>
      <c r="L19" s="531"/>
      <c r="M19" s="661"/>
      <c r="N19" s="532"/>
      <c r="O19" s="662"/>
      <c r="P19" s="663"/>
      <c r="Q19" s="664"/>
      <c r="R19" s="529"/>
      <c r="S19" s="528"/>
      <c r="T19" s="529"/>
      <c r="U19" s="531"/>
      <c r="V19" s="532"/>
      <c r="W19" s="522">
        <f t="shared" si="10"/>
        <v>0</v>
      </c>
      <c r="X19" s="530"/>
      <c r="Y19" s="528"/>
      <c r="Z19" s="529"/>
      <c r="AA19" s="531"/>
      <c r="AB19" s="532"/>
      <c r="AC19" s="522">
        <f t="shared" si="11"/>
        <v>0</v>
      </c>
      <c r="AD19" s="530"/>
      <c r="AE19" s="531"/>
      <c r="AF19" s="532"/>
      <c r="AG19" s="659"/>
      <c r="AH19" s="660"/>
      <c r="AI19" s="657"/>
      <c r="AJ19" s="658"/>
      <c r="AK19" s="522">
        <f t="shared" si="12"/>
        <v>0</v>
      </c>
      <c r="AL19" s="530"/>
      <c r="AM19" s="533"/>
      <c r="AN19" s="534"/>
      <c r="AO19" s="522">
        <f t="shared" si="13"/>
        <v>0</v>
      </c>
      <c r="AP19" s="530"/>
      <c r="AQ19" s="531"/>
      <c r="AR19" s="532"/>
      <c r="AS19" s="520" t="str">
        <f t="shared" si="14"/>
        <v>-</v>
      </c>
      <c r="AT19" s="521"/>
      <c r="AU19" s="522">
        <f t="shared" si="15"/>
        <v>0</v>
      </c>
      <c r="AV19" s="530"/>
      <c r="AW19" s="655"/>
      <c r="AX19" s="656"/>
      <c r="AY19" s="522" t="str">
        <f t="shared" si="16"/>
        <v>-</v>
      </c>
      <c r="AZ19" s="523"/>
      <c r="BA19" s="23">
        <f t="shared" si="17"/>
        <v>0</v>
      </c>
      <c r="BB19" s="23">
        <f t="shared" si="18"/>
        <v>0</v>
      </c>
      <c r="BC19" s="23">
        <f t="shared" si="19"/>
        <v>0</v>
      </c>
      <c r="BD19" s="23">
        <f t="shared" si="20"/>
        <v>0</v>
      </c>
      <c r="BE19" s="23">
        <f t="shared" si="21"/>
        <v>0</v>
      </c>
      <c r="BF19" s="23">
        <f t="shared" si="22"/>
        <v>0</v>
      </c>
      <c r="BG19" s="23">
        <f t="shared" si="23"/>
        <v>0</v>
      </c>
      <c r="BH19" s="53" t="str">
        <f t="shared" si="24"/>
        <v xml:space="preserve">Utilization ratio (only for info.): 0 %    Manufacturing lot size (only for info.): </v>
      </c>
    </row>
    <row r="20" spans="1:60" s="53" customFormat="1" x14ac:dyDescent="0.15">
      <c r="A20" s="248"/>
      <c r="B20" s="330"/>
      <c r="C20" s="528"/>
      <c r="D20" s="536"/>
      <c r="E20" s="536"/>
      <c r="F20" s="536"/>
      <c r="G20" s="529"/>
      <c r="H20" s="537"/>
      <c r="I20" s="538"/>
      <c r="J20" s="538"/>
      <c r="K20" s="539"/>
      <c r="L20" s="531"/>
      <c r="M20" s="661"/>
      <c r="N20" s="532"/>
      <c r="O20" s="662"/>
      <c r="P20" s="663"/>
      <c r="Q20" s="664"/>
      <c r="R20" s="529"/>
      <c r="S20" s="528"/>
      <c r="T20" s="529"/>
      <c r="U20" s="531"/>
      <c r="V20" s="532"/>
      <c r="W20" s="522">
        <f t="shared" si="10"/>
        <v>0</v>
      </c>
      <c r="X20" s="530"/>
      <c r="Y20" s="528"/>
      <c r="Z20" s="529"/>
      <c r="AA20" s="531"/>
      <c r="AB20" s="532"/>
      <c r="AC20" s="522">
        <f t="shared" si="11"/>
        <v>0</v>
      </c>
      <c r="AD20" s="530"/>
      <c r="AE20" s="531"/>
      <c r="AF20" s="532"/>
      <c r="AG20" s="659"/>
      <c r="AH20" s="660"/>
      <c r="AI20" s="657"/>
      <c r="AJ20" s="658"/>
      <c r="AK20" s="522">
        <f t="shared" si="12"/>
        <v>0</v>
      </c>
      <c r="AL20" s="530"/>
      <c r="AM20" s="533"/>
      <c r="AN20" s="534"/>
      <c r="AO20" s="522">
        <f t="shared" si="13"/>
        <v>0</v>
      </c>
      <c r="AP20" s="530"/>
      <c r="AQ20" s="531"/>
      <c r="AR20" s="532"/>
      <c r="AS20" s="520" t="str">
        <f t="shared" si="14"/>
        <v>-</v>
      </c>
      <c r="AT20" s="521"/>
      <c r="AU20" s="522">
        <f t="shared" si="15"/>
        <v>0</v>
      </c>
      <c r="AV20" s="530"/>
      <c r="AW20" s="655"/>
      <c r="AX20" s="656"/>
      <c r="AY20" s="522" t="str">
        <f t="shared" si="16"/>
        <v>-</v>
      </c>
      <c r="AZ20" s="523"/>
      <c r="BA20" s="23">
        <f t="shared" si="17"/>
        <v>0</v>
      </c>
      <c r="BB20" s="23">
        <f t="shared" si="18"/>
        <v>0</v>
      </c>
      <c r="BC20" s="23">
        <f t="shared" si="19"/>
        <v>0</v>
      </c>
      <c r="BD20" s="23">
        <f t="shared" si="20"/>
        <v>0</v>
      </c>
      <c r="BE20" s="23">
        <f t="shared" si="21"/>
        <v>0</v>
      </c>
      <c r="BF20" s="23">
        <f t="shared" si="22"/>
        <v>0</v>
      </c>
      <c r="BG20" s="23">
        <f t="shared" si="23"/>
        <v>0</v>
      </c>
      <c r="BH20" s="53" t="str">
        <f t="shared" si="24"/>
        <v xml:space="preserve">Utilization ratio (only for info.): 0 %    Manufacturing lot size (only for info.): </v>
      </c>
    </row>
    <row r="21" spans="1:60" s="53" customFormat="1" x14ac:dyDescent="0.15">
      <c r="A21" s="248"/>
      <c r="B21" s="330"/>
      <c r="C21" s="528"/>
      <c r="D21" s="536"/>
      <c r="E21" s="536"/>
      <c r="F21" s="536"/>
      <c r="G21" s="529"/>
      <c r="H21" s="537"/>
      <c r="I21" s="538"/>
      <c r="J21" s="538"/>
      <c r="K21" s="539"/>
      <c r="L21" s="531"/>
      <c r="M21" s="661"/>
      <c r="N21" s="532"/>
      <c r="O21" s="662"/>
      <c r="P21" s="663"/>
      <c r="Q21" s="664"/>
      <c r="R21" s="529"/>
      <c r="S21" s="528"/>
      <c r="T21" s="529"/>
      <c r="U21" s="531"/>
      <c r="V21" s="532"/>
      <c r="W21" s="522">
        <f t="shared" si="10"/>
        <v>0</v>
      </c>
      <c r="X21" s="530"/>
      <c r="Y21" s="528"/>
      <c r="Z21" s="529"/>
      <c r="AA21" s="531"/>
      <c r="AB21" s="532"/>
      <c r="AC21" s="522">
        <f t="shared" si="11"/>
        <v>0</v>
      </c>
      <c r="AD21" s="530"/>
      <c r="AE21" s="531"/>
      <c r="AF21" s="532"/>
      <c r="AG21" s="659"/>
      <c r="AH21" s="660"/>
      <c r="AI21" s="657"/>
      <c r="AJ21" s="658"/>
      <c r="AK21" s="522">
        <f t="shared" si="12"/>
        <v>0</v>
      </c>
      <c r="AL21" s="530"/>
      <c r="AM21" s="533"/>
      <c r="AN21" s="534"/>
      <c r="AO21" s="522">
        <f t="shared" si="13"/>
        <v>0</v>
      </c>
      <c r="AP21" s="530"/>
      <c r="AQ21" s="531"/>
      <c r="AR21" s="532"/>
      <c r="AS21" s="520" t="str">
        <f t="shared" si="14"/>
        <v>-</v>
      </c>
      <c r="AT21" s="521"/>
      <c r="AU21" s="522">
        <f t="shared" si="15"/>
        <v>0</v>
      </c>
      <c r="AV21" s="530"/>
      <c r="AW21" s="655"/>
      <c r="AX21" s="656"/>
      <c r="AY21" s="522" t="str">
        <f t="shared" si="16"/>
        <v>-</v>
      </c>
      <c r="AZ21" s="523"/>
      <c r="BA21" s="23">
        <f t="shared" si="17"/>
        <v>0</v>
      </c>
      <c r="BB21" s="23">
        <f t="shared" si="18"/>
        <v>0</v>
      </c>
      <c r="BC21" s="23">
        <f t="shared" si="19"/>
        <v>0</v>
      </c>
      <c r="BD21" s="23">
        <f t="shared" si="20"/>
        <v>0</v>
      </c>
      <c r="BE21" s="23">
        <f t="shared" si="21"/>
        <v>0</v>
      </c>
      <c r="BF21" s="23">
        <f t="shared" si="22"/>
        <v>0</v>
      </c>
      <c r="BG21" s="23">
        <f t="shared" si="23"/>
        <v>0</v>
      </c>
      <c r="BH21" s="53" t="str">
        <f t="shared" si="24"/>
        <v xml:space="preserve">Utilization ratio (only for info.): 0 %    Manufacturing lot size (only for info.): </v>
      </c>
    </row>
    <row r="22" spans="1:60" s="53" customFormat="1" x14ac:dyDescent="0.15">
      <c r="A22" s="248"/>
      <c r="B22" s="330"/>
      <c r="C22" s="528"/>
      <c r="D22" s="536"/>
      <c r="E22" s="536"/>
      <c r="F22" s="536"/>
      <c r="G22" s="529"/>
      <c r="H22" s="537"/>
      <c r="I22" s="538"/>
      <c r="J22" s="538"/>
      <c r="K22" s="539"/>
      <c r="L22" s="531"/>
      <c r="M22" s="661"/>
      <c r="N22" s="532"/>
      <c r="O22" s="662"/>
      <c r="P22" s="663"/>
      <c r="Q22" s="664"/>
      <c r="R22" s="529"/>
      <c r="S22" s="528"/>
      <c r="T22" s="529"/>
      <c r="U22" s="531"/>
      <c r="V22" s="532"/>
      <c r="W22" s="522">
        <f t="shared" si="10"/>
        <v>0</v>
      </c>
      <c r="X22" s="530"/>
      <c r="Y22" s="528"/>
      <c r="Z22" s="529"/>
      <c r="AA22" s="531"/>
      <c r="AB22" s="532"/>
      <c r="AC22" s="522">
        <f t="shared" si="11"/>
        <v>0</v>
      </c>
      <c r="AD22" s="530"/>
      <c r="AE22" s="531"/>
      <c r="AF22" s="532"/>
      <c r="AG22" s="659"/>
      <c r="AH22" s="660"/>
      <c r="AI22" s="657"/>
      <c r="AJ22" s="658"/>
      <c r="AK22" s="522">
        <f t="shared" si="12"/>
        <v>0</v>
      </c>
      <c r="AL22" s="530"/>
      <c r="AM22" s="533"/>
      <c r="AN22" s="534"/>
      <c r="AO22" s="522">
        <f t="shared" si="13"/>
        <v>0</v>
      </c>
      <c r="AP22" s="530"/>
      <c r="AQ22" s="531"/>
      <c r="AR22" s="532"/>
      <c r="AS22" s="520" t="str">
        <f t="shared" si="14"/>
        <v>-</v>
      </c>
      <c r="AT22" s="521"/>
      <c r="AU22" s="522">
        <f t="shared" si="15"/>
        <v>0</v>
      </c>
      <c r="AV22" s="530"/>
      <c r="AW22" s="655"/>
      <c r="AX22" s="656"/>
      <c r="AY22" s="522" t="str">
        <f t="shared" si="16"/>
        <v>-</v>
      </c>
      <c r="AZ22" s="523"/>
      <c r="BA22" s="23">
        <f t="shared" si="17"/>
        <v>0</v>
      </c>
      <c r="BB22" s="23">
        <f t="shared" si="18"/>
        <v>0</v>
      </c>
      <c r="BC22" s="23">
        <f t="shared" si="19"/>
        <v>0</v>
      </c>
      <c r="BD22" s="23">
        <f t="shared" si="20"/>
        <v>0</v>
      </c>
      <c r="BE22" s="23">
        <f t="shared" si="21"/>
        <v>0</v>
      </c>
      <c r="BF22" s="23">
        <f t="shared" si="22"/>
        <v>0</v>
      </c>
      <c r="BG22" s="23">
        <f t="shared" si="23"/>
        <v>0</v>
      </c>
      <c r="BH22" s="53" t="str">
        <f t="shared" si="24"/>
        <v xml:space="preserve">Utilization ratio (only for info.): 0 %    Manufacturing lot size (only for info.): </v>
      </c>
    </row>
    <row r="23" spans="1:60" s="53" customFormat="1" x14ac:dyDescent="0.15">
      <c r="A23" s="248"/>
      <c r="B23" s="330"/>
      <c r="C23" s="528"/>
      <c r="D23" s="536"/>
      <c r="E23" s="536"/>
      <c r="F23" s="536"/>
      <c r="G23" s="529"/>
      <c r="H23" s="537"/>
      <c r="I23" s="538"/>
      <c r="J23" s="538"/>
      <c r="K23" s="539"/>
      <c r="L23" s="531"/>
      <c r="M23" s="661"/>
      <c r="N23" s="532"/>
      <c r="O23" s="662"/>
      <c r="P23" s="663"/>
      <c r="Q23" s="664"/>
      <c r="R23" s="529"/>
      <c r="S23" s="528"/>
      <c r="T23" s="529"/>
      <c r="U23" s="531"/>
      <c r="V23" s="532"/>
      <c r="W23" s="522">
        <f t="shared" si="10"/>
        <v>0</v>
      </c>
      <c r="X23" s="530"/>
      <c r="Y23" s="528"/>
      <c r="Z23" s="529"/>
      <c r="AA23" s="531"/>
      <c r="AB23" s="532"/>
      <c r="AC23" s="522">
        <f t="shared" si="11"/>
        <v>0</v>
      </c>
      <c r="AD23" s="530"/>
      <c r="AE23" s="531"/>
      <c r="AF23" s="532"/>
      <c r="AG23" s="659"/>
      <c r="AH23" s="660"/>
      <c r="AI23" s="657"/>
      <c r="AJ23" s="658"/>
      <c r="AK23" s="522">
        <f t="shared" si="12"/>
        <v>0</v>
      </c>
      <c r="AL23" s="530"/>
      <c r="AM23" s="533"/>
      <c r="AN23" s="534"/>
      <c r="AO23" s="522">
        <f t="shared" si="13"/>
        <v>0</v>
      </c>
      <c r="AP23" s="530"/>
      <c r="AQ23" s="531"/>
      <c r="AR23" s="532"/>
      <c r="AS23" s="520" t="str">
        <f t="shared" si="14"/>
        <v>-</v>
      </c>
      <c r="AT23" s="521"/>
      <c r="AU23" s="522">
        <f t="shared" si="15"/>
        <v>0</v>
      </c>
      <c r="AV23" s="530"/>
      <c r="AW23" s="655"/>
      <c r="AX23" s="656"/>
      <c r="AY23" s="522" t="str">
        <f t="shared" si="16"/>
        <v>-</v>
      </c>
      <c r="AZ23" s="523"/>
      <c r="BA23" s="23">
        <f t="shared" si="17"/>
        <v>0</v>
      </c>
      <c r="BB23" s="23">
        <f t="shared" si="18"/>
        <v>0</v>
      </c>
      <c r="BC23" s="23">
        <f t="shared" si="19"/>
        <v>0</v>
      </c>
      <c r="BD23" s="23">
        <f t="shared" si="20"/>
        <v>0</v>
      </c>
      <c r="BE23" s="23">
        <f t="shared" si="21"/>
        <v>0</v>
      </c>
      <c r="BF23" s="23">
        <f t="shared" si="22"/>
        <v>0</v>
      </c>
      <c r="BG23" s="23">
        <f t="shared" si="23"/>
        <v>0</v>
      </c>
      <c r="BH23" s="53" t="str">
        <f t="shared" si="24"/>
        <v xml:space="preserve">Utilization ratio (only for info.): 0 %    Manufacturing lot size (only for info.): </v>
      </c>
    </row>
    <row r="24" spans="1:60" s="53" customFormat="1" x14ac:dyDescent="0.15">
      <c r="A24" s="248"/>
      <c r="B24" s="330"/>
      <c r="C24" s="528"/>
      <c r="D24" s="536"/>
      <c r="E24" s="536"/>
      <c r="F24" s="536"/>
      <c r="G24" s="529"/>
      <c r="H24" s="537"/>
      <c r="I24" s="538"/>
      <c r="J24" s="538"/>
      <c r="K24" s="539"/>
      <c r="L24" s="531"/>
      <c r="M24" s="661"/>
      <c r="N24" s="532"/>
      <c r="O24" s="662"/>
      <c r="P24" s="663"/>
      <c r="Q24" s="664"/>
      <c r="R24" s="529"/>
      <c r="S24" s="528"/>
      <c r="T24" s="529"/>
      <c r="U24" s="531"/>
      <c r="V24" s="532"/>
      <c r="W24" s="522">
        <f t="shared" ref="W24:W28" si="25">IF(S24&gt;0,U24*Q24/S24/3600,0)</f>
        <v>0</v>
      </c>
      <c r="X24" s="530"/>
      <c r="Y24" s="528"/>
      <c r="Z24" s="529"/>
      <c r="AA24" s="531"/>
      <c r="AB24" s="532"/>
      <c r="AC24" s="522">
        <f t="shared" ref="AC24:AC28" si="26">IF(S24&gt;0,(Y24*AA24)*Q24/S24/3600,0)</f>
        <v>0</v>
      </c>
      <c r="AD24" s="530"/>
      <c r="AE24" s="531"/>
      <c r="AF24" s="532"/>
      <c r="AG24" s="659"/>
      <c r="AH24" s="660"/>
      <c r="AI24" s="657"/>
      <c r="AJ24" s="658"/>
      <c r="AK24" s="522">
        <f t="shared" ref="AK24:AK28" si="27">SUM(W24+AC24+AE24+AI24)</f>
        <v>0</v>
      </c>
      <c r="AL24" s="530"/>
      <c r="AM24" s="533"/>
      <c r="AN24" s="534"/>
      <c r="AO24" s="522">
        <f t="shared" ref="AO24:AO28" si="28">AK24*AM24</f>
        <v>0</v>
      </c>
      <c r="AP24" s="530"/>
      <c r="AQ24" s="531"/>
      <c r="AR24" s="532"/>
      <c r="AS24" s="520" t="str">
        <f t="shared" ref="AS24:AS28" si="29">IF(AQ24=0,"-",AQ24/AU24)</f>
        <v>-</v>
      </c>
      <c r="AT24" s="521"/>
      <c r="AU24" s="522">
        <f t="shared" ref="AU24:AU28" si="30">SUM(AK24+AO24+AQ24)</f>
        <v>0</v>
      </c>
      <c r="AV24" s="530"/>
      <c r="AW24" s="655"/>
      <c r="AX24" s="656"/>
      <c r="AY24" s="522" t="str">
        <f t="shared" ref="AY24:AY28" si="31">IF(AU24=0,"-",AU24*AW24)</f>
        <v>-</v>
      </c>
      <c r="AZ24" s="523"/>
      <c r="BA24" s="23">
        <f t="shared" ref="BA24:BA28" si="32">W24*AW24</f>
        <v>0</v>
      </c>
      <c r="BB24" s="23">
        <f t="shared" ref="BB24:BB28" si="33">AC24*AW24</f>
        <v>0</v>
      </c>
      <c r="BC24" s="23">
        <f t="shared" ref="BC24:BC28" si="34">AE24*AW24</f>
        <v>0</v>
      </c>
      <c r="BD24" s="23">
        <f t="shared" ref="BD24:BD28" si="35">AI24*AW24</f>
        <v>0</v>
      </c>
      <c r="BE24" s="23">
        <f t="shared" ref="BE24:BE28" si="36">BA24+BC24+BD24</f>
        <v>0</v>
      </c>
      <c r="BF24" s="23">
        <f t="shared" ref="BF24:BF28" si="37">AO24*AW24</f>
        <v>0</v>
      </c>
      <c r="BG24" s="23">
        <f t="shared" ref="BG24:BG28" si="38">AQ24*AW24</f>
        <v>0</v>
      </c>
      <c r="BH24" s="53" t="str">
        <f t="shared" ref="BH24:BH28" si="39">$O$14&amp;": "&amp;O24*100&amp;" %"&amp;"    "&amp;$AG$14&amp;": "&amp;AG24</f>
        <v xml:space="preserve">Utilization ratio (only for info.): 0 %    Manufacturing lot size (only for info.): </v>
      </c>
    </row>
    <row r="25" spans="1:60" s="53" customFormat="1" x14ac:dyDescent="0.15">
      <c r="A25" s="248"/>
      <c r="B25" s="330"/>
      <c r="C25" s="528"/>
      <c r="D25" s="536"/>
      <c r="E25" s="536"/>
      <c r="F25" s="536"/>
      <c r="G25" s="529"/>
      <c r="H25" s="537"/>
      <c r="I25" s="538"/>
      <c r="J25" s="538"/>
      <c r="K25" s="539"/>
      <c r="L25" s="531"/>
      <c r="M25" s="661"/>
      <c r="N25" s="532"/>
      <c r="O25" s="662"/>
      <c r="P25" s="663"/>
      <c r="Q25" s="664"/>
      <c r="R25" s="529"/>
      <c r="S25" s="528"/>
      <c r="T25" s="529"/>
      <c r="U25" s="531"/>
      <c r="V25" s="532"/>
      <c r="W25" s="522">
        <f t="shared" si="25"/>
        <v>0</v>
      </c>
      <c r="X25" s="530"/>
      <c r="Y25" s="528"/>
      <c r="Z25" s="529"/>
      <c r="AA25" s="531"/>
      <c r="AB25" s="532"/>
      <c r="AC25" s="522">
        <f t="shared" si="26"/>
        <v>0</v>
      </c>
      <c r="AD25" s="530"/>
      <c r="AE25" s="531"/>
      <c r="AF25" s="532"/>
      <c r="AG25" s="659"/>
      <c r="AH25" s="660"/>
      <c r="AI25" s="657"/>
      <c r="AJ25" s="658"/>
      <c r="AK25" s="522">
        <f t="shared" si="27"/>
        <v>0</v>
      </c>
      <c r="AL25" s="530"/>
      <c r="AM25" s="533"/>
      <c r="AN25" s="534"/>
      <c r="AO25" s="522">
        <f t="shared" si="28"/>
        <v>0</v>
      </c>
      <c r="AP25" s="530"/>
      <c r="AQ25" s="531"/>
      <c r="AR25" s="532"/>
      <c r="AS25" s="520" t="str">
        <f t="shared" si="29"/>
        <v>-</v>
      </c>
      <c r="AT25" s="521"/>
      <c r="AU25" s="522">
        <f t="shared" si="30"/>
        <v>0</v>
      </c>
      <c r="AV25" s="530"/>
      <c r="AW25" s="655"/>
      <c r="AX25" s="656"/>
      <c r="AY25" s="522" t="str">
        <f t="shared" si="31"/>
        <v>-</v>
      </c>
      <c r="AZ25" s="523"/>
      <c r="BA25" s="23">
        <f t="shared" si="32"/>
        <v>0</v>
      </c>
      <c r="BB25" s="23">
        <f t="shared" si="33"/>
        <v>0</v>
      </c>
      <c r="BC25" s="23">
        <f t="shared" si="34"/>
        <v>0</v>
      </c>
      <c r="BD25" s="23">
        <f t="shared" si="35"/>
        <v>0</v>
      </c>
      <c r="BE25" s="23">
        <f t="shared" si="36"/>
        <v>0</v>
      </c>
      <c r="BF25" s="23">
        <f t="shared" si="37"/>
        <v>0</v>
      </c>
      <c r="BG25" s="23">
        <f t="shared" si="38"/>
        <v>0</v>
      </c>
      <c r="BH25" s="53" t="str">
        <f t="shared" si="39"/>
        <v xml:space="preserve">Utilization ratio (only for info.): 0 %    Manufacturing lot size (only for info.): </v>
      </c>
    </row>
    <row r="26" spans="1:60" s="53" customFormat="1" x14ac:dyDescent="0.15">
      <c r="A26" s="248"/>
      <c r="B26" s="330"/>
      <c r="C26" s="528"/>
      <c r="D26" s="536"/>
      <c r="E26" s="536"/>
      <c r="F26" s="536"/>
      <c r="G26" s="529"/>
      <c r="H26" s="537"/>
      <c r="I26" s="538"/>
      <c r="J26" s="538"/>
      <c r="K26" s="539"/>
      <c r="L26" s="531"/>
      <c r="M26" s="661"/>
      <c r="N26" s="532"/>
      <c r="O26" s="662"/>
      <c r="P26" s="663"/>
      <c r="Q26" s="664"/>
      <c r="R26" s="529"/>
      <c r="S26" s="528"/>
      <c r="T26" s="529"/>
      <c r="U26" s="531"/>
      <c r="V26" s="532"/>
      <c r="W26" s="522">
        <f t="shared" si="25"/>
        <v>0</v>
      </c>
      <c r="X26" s="530"/>
      <c r="Y26" s="528"/>
      <c r="Z26" s="529"/>
      <c r="AA26" s="531"/>
      <c r="AB26" s="532"/>
      <c r="AC26" s="522">
        <f t="shared" si="26"/>
        <v>0</v>
      </c>
      <c r="AD26" s="530"/>
      <c r="AE26" s="531"/>
      <c r="AF26" s="532"/>
      <c r="AG26" s="659"/>
      <c r="AH26" s="660"/>
      <c r="AI26" s="657"/>
      <c r="AJ26" s="658"/>
      <c r="AK26" s="522">
        <f t="shared" si="27"/>
        <v>0</v>
      </c>
      <c r="AL26" s="530"/>
      <c r="AM26" s="533"/>
      <c r="AN26" s="534"/>
      <c r="AO26" s="522">
        <f t="shared" si="28"/>
        <v>0</v>
      </c>
      <c r="AP26" s="530"/>
      <c r="AQ26" s="531"/>
      <c r="AR26" s="532"/>
      <c r="AS26" s="520" t="str">
        <f t="shared" si="29"/>
        <v>-</v>
      </c>
      <c r="AT26" s="521"/>
      <c r="AU26" s="522">
        <f t="shared" si="30"/>
        <v>0</v>
      </c>
      <c r="AV26" s="530"/>
      <c r="AW26" s="655"/>
      <c r="AX26" s="656"/>
      <c r="AY26" s="522" t="str">
        <f t="shared" si="31"/>
        <v>-</v>
      </c>
      <c r="AZ26" s="523"/>
      <c r="BA26" s="23">
        <f t="shared" si="32"/>
        <v>0</v>
      </c>
      <c r="BB26" s="23">
        <f t="shared" si="33"/>
        <v>0</v>
      </c>
      <c r="BC26" s="23">
        <f t="shared" si="34"/>
        <v>0</v>
      </c>
      <c r="BD26" s="23">
        <f t="shared" si="35"/>
        <v>0</v>
      </c>
      <c r="BE26" s="23">
        <f t="shared" si="36"/>
        <v>0</v>
      </c>
      <c r="BF26" s="23">
        <f t="shared" si="37"/>
        <v>0</v>
      </c>
      <c r="BG26" s="23">
        <f t="shared" si="38"/>
        <v>0</v>
      </c>
      <c r="BH26" s="53" t="str">
        <f t="shared" si="39"/>
        <v xml:space="preserve">Utilization ratio (only for info.): 0 %    Manufacturing lot size (only for info.): </v>
      </c>
    </row>
    <row r="27" spans="1:60" s="53" customFormat="1" x14ac:dyDescent="0.15">
      <c r="A27" s="248"/>
      <c r="B27" s="330"/>
      <c r="C27" s="528"/>
      <c r="D27" s="536"/>
      <c r="E27" s="536"/>
      <c r="F27" s="536"/>
      <c r="G27" s="529"/>
      <c r="H27" s="537"/>
      <c r="I27" s="538"/>
      <c r="J27" s="538"/>
      <c r="K27" s="539"/>
      <c r="L27" s="531"/>
      <c r="M27" s="661"/>
      <c r="N27" s="532"/>
      <c r="O27" s="662"/>
      <c r="P27" s="663"/>
      <c r="Q27" s="664"/>
      <c r="R27" s="529"/>
      <c r="S27" s="528"/>
      <c r="T27" s="529"/>
      <c r="U27" s="531"/>
      <c r="V27" s="532"/>
      <c r="W27" s="522">
        <f t="shared" si="25"/>
        <v>0</v>
      </c>
      <c r="X27" s="530"/>
      <c r="Y27" s="528"/>
      <c r="Z27" s="529"/>
      <c r="AA27" s="531"/>
      <c r="AB27" s="532"/>
      <c r="AC27" s="522">
        <f t="shared" si="26"/>
        <v>0</v>
      </c>
      <c r="AD27" s="530"/>
      <c r="AE27" s="531"/>
      <c r="AF27" s="532"/>
      <c r="AG27" s="659"/>
      <c r="AH27" s="660"/>
      <c r="AI27" s="657"/>
      <c r="AJ27" s="658"/>
      <c r="AK27" s="522">
        <f t="shared" si="27"/>
        <v>0</v>
      </c>
      <c r="AL27" s="530"/>
      <c r="AM27" s="533"/>
      <c r="AN27" s="534"/>
      <c r="AO27" s="522">
        <f t="shared" si="28"/>
        <v>0</v>
      </c>
      <c r="AP27" s="530"/>
      <c r="AQ27" s="531"/>
      <c r="AR27" s="532"/>
      <c r="AS27" s="520" t="str">
        <f t="shared" si="29"/>
        <v>-</v>
      </c>
      <c r="AT27" s="521"/>
      <c r="AU27" s="522">
        <f t="shared" si="30"/>
        <v>0</v>
      </c>
      <c r="AV27" s="530"/>
      <c r="AW27" s="655"/>
      <c r="AX27" s="656"/>
      <c r="AY27" s="522" t="str">
        <f t="shared" si="31"/>
        <v>-</v>
      </c>
      <c r="AZ27" s="523"/>
      <c r="BA27" s="23">
        <f t="shared" si="32"/>
        <v>0</v>
      </c>
      <c r="BB27" s="23">
        <f t="shared" si="33"/>
        <v>0</v>
      </c>
      <c r="BC27" s="23">
        <f t="shared" si="34"/>
        <v>0</v>
      </c>
      <c r="BD27" s="23">
        <f t="shared" si="35"/>
        <v>0</v>
      </c>
      <c r="BE27" s="23">
        <f t="shared" si="36"/>
        <v>0</v>
      </c>
      <c r="BF27" s="23">
        <f t="shared" si="37"/>
        <v>0</v>
      </c>
      <c r="BG27" s="23">
        <f t="shared" si="38"/>
        <v>0</v>
      </c>
      <c r="BH27" s="53" t="str">
        <f t="shared" si="39"/>
        <v xml:space="preserve">Utilization ratio (only for info.): 0 %    Manufacturing lot size (only for info.): </v>
      </c>
    </row>
    <row r="28" spans="1:60" s="53" customFormat="1" x14ac:dyDescent="0.15">
      <c r="A28" s="248"/>
      <c r="B28" s="330"/>
      <c r="C28" s="528"/>
      <c r="D28" s="536"/>
      <c r="E28" s="536"/>
      <c r="F28" s="536"/>
      <c r="G28" s="529"/>
      <c r="H28" s="537"/>
      <c r="I28" s="538"/>
      <c r="J28" s="538"/>
      <c r="K28" s="539"/>
      <c r="L28" s="531"/>
      <c r="M28" s="661"/>
      <c r="N28" s="532"/>
      <c r="O28" s="662"/>
      <c r="P28" s="663"/>
      <c r="Q28" s="664"/>
      <c r="R28" s="529"/>
      <c r="S28" s="528"/>
      <c r="T28" s="529"/>
      <c r="U28" s="531"/>
      <c r="V28" s="532"/>
      <c r="W28" s="522">
        <f t="shared" si="25"/>
        <v>0</v>
      </c>
      <c r="X28" s="530"/>
      <c r="Y28" s="528"/>
      <c r="Z28" s="529"/>
      <c r="AA28" s="531"/>
      <c r="AB28" s="532"/>
      <c r="AC28" s="522">
        <f t="shared" si="26"/>
        <v>0</v>
      </c>
      <c r="AD28" s="530"/>
      <c r="AE28" s="531"/>
      <c r="AF28" s="532"/>
      <c r="AG28" s="659"/>
      <c r="AH28" s="660"/>
      <c r="AI28" s="657"/>
      <c r="AJ28" s="658"/>
      <c r="AK28" s="522">
        <f t="shared" si="27"/>
        <v>0</v>
      </c>
      <c r="AL28" s="530"/>
      <c r="AM28" s="533"/>
      <c r="AN28" s="534"/>
      <c r="AO28" s="522">
        <f t="shared" si="28"/>
        <v>0</v>
      </c>
      <c r="AP28" s="530"/>
      <c r="AQ28" s="531"/>
      <c r="AR28" s="532"/>
      <c r="AS28" s="520" t="str">
        <f t="shared" si="29"/>
        <v>-</v>
      </c>
      <c r="AT28" s="521"/>
      <c r="AU28" s="522">
        <f t="shared" si="30"/>
        <v>0</v>
      </c>
      <c r="AV28" s="530"/>
      <c r="AW28" s="655"/>
      <c r="AX28" s="656"/>
      <c r="AY28" s="522" t="str">
        <f t="shared" si="31"/>
        <v>-</v>
      </c>
      <c r="AZ28" s="523"/>
      <c r="BA28" s="23">
        <f t="shared" si="32"/>
        <v>0</v>
      </c>
      <c r="BB28" s="23">
        <f t="shared" si="33"/>
        <v>0</v>
      </c>
      <c r="BC28" s="23">
        <f t="shared" si="34"/>
        <v>0</v>
      </c>
      <c r="BD28" s="23">
        <f t="shared" si="35"/>
        <v>0</v>
      </c>
      <c r="BE28" s="23">
        <f t="shared" si="36"/>
        <v>0</v>
      </c>
      <c r="BF28" s="23">
        <f t="shared" si="37"/>
        <v>0</v>
      </c>
      <c r="BG28" s="23">
        <f t="shared" si="38"/>
        <v>0</v>
      </c>
      <c r="BH28" s="53" t="str">
        <f t="shared" si="39"/>
        <v xml:space="preserve">Utilization ratio (only for info.): 0 %    Manufacturing lot size (only for info.): </v>
      </c>
    </row>
    <row r="29" spans="1:60" x14ac:dyDescent="0.15">
      <c r="B29" s="330"/>
      <c r="C29" s="528"/>
      <c r="D29" s="536"/>
      <c r="E29" s="536"/>
      <c r="F29" s="536"/>
      <c r="G29" s="529"/>
      <c r="H29" s="537"/>
      <c r="I29" s="538"/>
      <c r="J29" s="538"/>
      <c r="K29" s="539"/>
      <c r="L29" s="531"/>
      <c r="M29" s="661"/>
      <c r="N29" s="532"/>
      <c r="O29" s="662"/>
      <c r="P29" s="663"/>
      <c r="Q29" s="664"/>
      <c r="R29" s="529"/>
      <c r="S29" s="528"/>
      <c r="T29" s="529"/>
      <c r="U29" s="531"/>
      <c r="V29" s="532"/>
      <c r="W29" s="522">
        <f t="shared" si="0"/>
        <v>0</v>
      </c>
      <c r="X29" s="530"/>
      <c r="Y29" s="528"/>
      <c r="Z29" s="529"/>
      <c r="AA29" s="531"/>
      <c r="AB29" s="532"/>
      <c r="AC29" s="522">
        <f t="shared" si="1"/>
        <v>0</v>
      </c>
      <c r="AD29" s="530"/>
      <c r="AE29" s="531"/>
      <c r="AF29" s="532"/>
      <c r="AG29" s="659"/>
      <c r="AH29" s="660"/>
      <c r="AI29" s="657"/>
      <c r="AJ29" s="658"/>
      <c r="AK29" s="522">
        <f t="shared" si="2"/>
        <v>0</v>
      </c>
      <c r="AL29" s="530"/>
      <c r="AM29" s="533"/>
      <c r="AN29" s="534"/>
      <c r="AO29" s="522">
        <f t="shared" ref="AO29:AO46" si="40">AK29*AM29</f>
        <v>0</v>
      </c>
      <c r="AP29" s="530"/>
      <c r="AQ29" s="531"/>
      <c r="AR29" s="532"/>
      <c r="AS29" s="520" t="str">
        <f t="shared" ref="AS29:AS46" si="41">IF(AQ29=0,"-",AQ29/AU29)</f>
        <v>-</v>
      </c>
      <c r="AT29" s="521"/>
      <c r="AU29" s="522">
        <f t="shared" ref="AU29:AU46" si="42">SUM(AK29+AO29+AQ29)</f>
        <v>0</v>
      </c>
      <c r="AV29" s="530"/>
      <c r="AW29" s="655"/>
      <c r="AX29" s="656"/>
      <c r="AY29" s="522" t="str">
        <f t="shared" ref="AY29:AY46" si="43">IF(AU29=0,"-",AU29*AW29)</f>
        <v>-</v>
      </c>
      <c r="AZ29" s="523"/>
      <c r="BA29" s="23">
        <f t="shared" si="3"/>
        <v>0</v>
      </c>
      <c r="BB29" s="23">
        <f t="shared" si="4"/>
        <v>0</v>
      </c>
      <c r="BC29" s="23">
        <f t="shared" si="5"/>
        <v>0</v>
      </c>
      <c r="BD29" s="23">
        <f t="shared" si="6"/>
        <v>0</v>
      </c>
      <c r="BE29" s="23">
        <f t="shared" ref="BE29:BE46" si="44">BA29+BC29+BD29</f>
        <v>0</v>
      </c>
      <c r="BF29" s="23">
        <f t="shared" si="7"/>
        <v>0</v>
      </c>
      <c r="BG29" s="23">
        <f t="shared" si="8"/>
        <v>0</v>
      </c>
      <c r="BH29" s="53" t="str">
        <f t="shared" si="9"/>
        <v xml:space="preserve">Utilization ratio (only for info.): 0 %    Manufacturing lot size (only for info.): </v>
      </c>
    </row>
    <row r="30" spans="1:60" x14ac:dyDescent="0.15">
      <c r="B30" s="330"/>
      <c r="C30" s="528"/>
      <c r="D30" s="536"/>
      <c r="E30" s="536"/>
      <c r="F30" s="536"/>
      <c r="G30" s="529"/>
      <c r="H30" s="537"/>
      <c r="I30" s="538"/>
      <c r="J30" s="538"/>
      <c r="K30" s="539"/>
      <c r="L30" s="531"/>
      <c r="M30" s="661"/>
      <c r="N30" s="532"/>
      <c r="O30" s="662"/>
      <c r="P30" s="663"/>
      <c r="Q30" s="664"/>
      <c r="R30" s="529"/>
      <c r="S30" s="528"/>
      <c r="T30" s="529"/>
      <c r="U30" s="531"/>
      <c r="V30" s="532"/>
      <c r="W30" s="522">
        <f t="shared" si="0"/>
        <v>0</v>
      </c>
      <c r="X30" s="530"/>
      <c r="Y30" s="528"/>
      <c r="Z30" s="529"/>
      <c r="AA30" s="531"/>
      <c r="AB30" s="532"/>
      <c r="AC30" s="522">
        <f t="shared" si="1"/>
        <v>0</v>
      </c>
      <c r="AD30" s="530"/>
      <c r="AE30" s="531"/>
      <c r="AF30" s="532"/>
      <c r="AG30" s="659"/>
      <c r="AH30" s="660"/>
      <c r="AI30" s="657"/>
      <c r="AJ30" s="658"/>
      <c r="AK30" s="522">
        <f t="shared" si="2"/>
        <v>0</v>
      </c>
      <c r="AL30" s="530"/>
      <c r="AM30" s="533"/>
      <c r="AN30" s="534"/>
      <c r="AO30" s="522">
        <f t="shared" si="40"/>
        <v>0</v>
      </c>
      <c r="AP30" s="530"/>
      <c r="AQ30" s="531"/>
      <c r="AR30" s="532"/>
      <c r="AS30" s="520" t="str">
        <f t="shared" si="41"/>
        <v>-</v>
      </c>
      <c r="AT30" s="521"/>
      <c r="AU30" s="522">
        <f t="shared" si="42"/>
        <v>0</v>
      </c>
      <c r="AV30" s="530"/>
      <c r="AW30" s="655"/>
      <c r="AX30" s="656"/>
      <c r="AY30" s="522" t="str">
        <f t="shared" si="43"/>
        <v>-</v>
      </c>
      <c r="AZ30" s="523"/>
      <c r="BA30" s="23">
        <f t="shared" si="3"/>
        <v>0</v>
      </c>
      <c r="BB30" s="23">
        <f t="shared" si="4"/>
        <v>0</v>
      </c>
      <c r="BC30" s="23">
        <f t="shared" si="5"/>
        <v>0</v>
      </c>
      <c r="BD30" s="23">
        <f t="shared" si="6"/>
        <v>0</v>
      </c>
      <c r="BE30" s="23">
        <f t="shared" si="44"/>
        <v>0</v>
      </c>
      <c r="BF30" s="23">
        <f t="shared" si="7"/>
        <v>0</v>
      </c>
      <c r="BG30" s="23">
        <f t="shared" si="8"/>
        <v>0</v>
      </c>
      <c r="BH30" s="53" t="str">
        <f t="shared" si="9"/>
        <v xml:space="preserve">Utilization ratio (only for info.): 0 %    Manufacturing lot size (only for info.): </v>
      </c>
    </row>
    <row r="31" spans="1:60" s="53" customFormat="1" x14ac:dyDescent="0.15">
      <c r="A31" s="248"/>
      <c r="B31" s="330"/>
      <c r="C31" s="528"/>
      <c r="D31" s="536"/>
      <c r="E31" s="536"/>
      <c r="F31" s="536"/>
      <c r="G31" s="529"/>
      <c r="H31" s="537"/>
      <c r="I31" s="538"/>
      <c r="J31" s="538"/>
      <c r="K31" s="539"/>
      <c r="L31" s="531"/>
      <c r="M31" s="661"/>
      <c r="N31" s="532"/>
      <c r="O31" s="662"/>
      <c r="P31" s="663"/>
      <c r="Q31" s="664"/>
      <c r="R31" s="529"/>
      <c r="S31" s="528"/>
      <c r="T31" s="529"/>
      <c r="U31" s="531"/>
      <c r="V31" s="532"/>
      <c r="W31" s="522">
        <f t="shared" ref="W31:W33" si="45">IF(S31&gt;0,U31*Q31/S31/3600,0)</f>
        <v>0</v>
      </c>
      <c r="X31" s="530"/>
      <c r="Y31" s="528"/>
      <c r="Z31" s="529"/>
      <c r="AA31" s="531"/>
      <c r="AB31" s="532"/>
      <c r="AC31" s="522">
        <f t="shared" ref="AC31:AC33" si="46">IF(S31&gt;0,(Y31*AA31)*Q31/S31/3600,0)</f>
        <v>0</v>
      </c>
      <c r="AD31" s="530"/>
      <c r="AE31" s="531"/>
      <c r="AF31" s="532"/>
      <c r="AG31" s="659"/>
      <c r="AH31" s="660"/>
      <c r="AI31" s="657"/>
      <c r="AJ31" s="658"/>
      <c r="AK31" s="522">
        <f t="shared" ref="AK31:AK33" si="47">SUM(W31+AC31+AE31+AI31)</f>
        <v>0</v>
      </c>
      <c r="AL31" s="530"/>
      <c r="AM31" s="533"/>
      <c r="AN31" s="534"/>
      <c r="AO31" s="522">
        <f t="shared" ref="AO31:AO33" si="48">AK31*AM31</f>
        <v>0</v>
      </c>
      <c r="AP31" s="530"/>
      <c r="AQ31" s="531"/>
      <c r="AR31" s="532"/>
      <c r="AS31" s="520" t="str">
        <f t="shared" ref="AS31:AS33" si="49">IF(AQ31=0,"-",AQ31/AU31)</f>
        <v>-</v>
      </c>
      <c r="AT31" s="521"/>
      <c r="AU31" s="522">
        <f t="shared" ref="AU31:AU33" si="50">SUM(AK31+AO31+AQ31)</f>
        <v>0</v>
      </c>
      <c r="AV31" s="530"/>
      <c r="AW31" s="655"/>
      <c r="AX31" s="656"/>
      <c r="AY31" s="522" t="str">
        <f t="shared" ref="AY31:AY33" si="51">IF(AU31=0,"-",AU31*AW31)</f>
        <v>-</v>
      </c>
      <c r="AZ31" s="523"/>
      <c r="BA31" s="23">
        <f t="shared" ref="BA31:BA33" si="52">W31*AW31</f>
        <v>0</v>
      </c>
      <c r="BB31" s="23">
        <f t="shared" ref="BB31:BB33" si="53">AC31*AW31</f>
        <v>0</v>
      </c>
      <c r="BC31" s="23">
        <f t="shared" ref="BC31:BC33" si="54">AE31*AW31</f>
        <v>0</v>
      </c>
      <c r="BD31" s="23">
        <f t="shared" ref="BD31:BD33" si="55">AI31*AW31</f>
        <v>0</v>
      </c>
      <c r="BE31" s="23">
        <f t="shared" ref="BE31:BE33" si="56">BA31+BC31+BD31</f>
        <v>0</v>
      </c>
      <c r="BF31" s="23">
        <f t="shared" ref="BF31:BF33" si="57">AO31*AW31</f>
        <v>0</v>
      </c>
      <c r="BG31" s="23">
        <f t="shared" ref="BG31:BG33" si="58">AQ31*AW31</f>
        <v>0</v>
      </c>
      <c r="BH31" s="53" t="str">
        <f t="shared" ref="BH31:BH33" si="59">$O$14&amp;": "&amp;O31*100&amp;" %"&amp;"    "&amp;$AG$14&amp;": "&amp;AG31</f>
        <v xml:space="preserve">Utilization ratio (only for info.): 0 %    Manufacturing lot size (only for info.): </v>
      </c>
    </row>
    <row r="32" spans="1:60" s="53" customFormat="1" x14ac:dyDescent="0.15">
      <c r="A32" s="248"/>
      <c r="B32" s="330"/>
      <c r="C32" s="528"/>
      <c r="D32" s="536"/>
      <c r="E32" s="536"/>
      <c r="F32" s="536"/>
      <c r="G32" s="529"/>
      <c r="H32" s="537"/>
      <c r="I32" s="538"/>
      <c r="J32" s="538"/>
      <c r="K32" s="539"/>
      <c r="L32" s="531"/>
      <c r="M32" s="661"/>
      <c r="N32" s="532"/>
      <c r="O32" s="662"/>
      <c r="P32" s="663"/>
      <c r="Q32" s="664"/>
      <c r="R32" s="529"/>
      <c r="S32" s="528"/>
      <c r="T32" s="529"/>
      <c r="U32" s="531"/>
      <c r="V32" s="532"/>
      <c r="W32" s="522">
        <f t="shared" si="45"/>
        <v>0</v>
      </c>
      <c r="X32" s="530"/>
      <c r="Y32" s="528"/>
      <c r="Z32" s="529"/>
      <c r="AA32" s="531"/>
      <c r="AB32" s="532"/>
      <c r="AC32" s="522">
        <f t="shared" si="46"/>
        <v>0</v>
      </c>
      <c r="AD32" s="530"/>
      <c r="AE32" s="531"/>
      <c r="AF32" s="532"/>
      <c r="AG32" s="659"/>
      <c r="AH32" s="660"/>
      <c r="AI32" s="657"/>
      <c r="AJ32" s="658"/>
      <c r="AK32" s="522">
        <f t="shared" si="47"/>
        <v>0</v>
      </c>
      <c r="AL32" s="530"/>
      <c r="AM32" s="533"/>
      <c r="AN32" s="534"/>
      <c r="AO32" s="522">
        <f t="shared" si="48"/>
        <v>0</v>
      </c>
      <c r="AP32" s="530"/>
      <c r="AQ32" s="531"/>
      <c r="AR32" s="532"/>
      <c r="AS32" s="520" t="str">
        <f t="shared" si="49"/>
        <v>-</v>
      </c>
      <c r="AT32" s="521"/>
      <c r="AU32" s="522">
        <f t="shared" si="50"/>
        <v>0</v>
      </c>
      <c r="AV32" s="530"/>
      <c r="AW32" s="655"/>
      <c r="AX32" s="656"/>
      <c r="AY32" s="522" t="str">
        <f t="shared" si="51"/>
        <v>-</v>
      </c>
      <c r="AZ32" s="523"/>
      <c r="BA32" s="23">
        <f t="shared" si="52"/>
        <v>0</v>
      </c>
      <c r="BB32" s="23">
        <f t="shared" si="53"/>
        <v>0</v>
      </c>
      <c r="BC32" s="23">
        <f t="shared" si="54"/>
        <v>0</v>
      </c>
      <c r="BD32" s="23">
        <f t="shared" si="55"/>
        <v>0</v>
      </c>
      <c r="BE32" s="23">
        <f t="shared" si="56"/>
        <v>0</v>
      </c>
      <c r="BF32" s="23">
        <f t="shared" si="57"/>
        <v>0</v>
      </c>
      <c r="BG32" s="23">
        <f t="shared" si="58"/>
        <v>0</v>
      </c>
      <c r="BH32" s="53" t="str">
        <f t="shared" si="59"/>
        <v xml:space="preserve">Utilization ratio (only for info.): 0 %    Manufacturing lot size (only for info.): </v>
      </c>
    </row>
    <row r="33" spans="1:60" s="53" customFormat="1" x14ac:dyDescent="0.15">
      <c r="A33" s="248"/>
      <c r="B33" s="330"/>
      <c r="C33" s="528"/>
      <c r="D33" s="536"/>
      <c r="E33" s="536"/>
      <c r="F33" s="536"/>
      <c r="G33" s="529"/>
      <c r="H33" s="537"/>
      <c r="I33" s="538"/>
      <c r="J33" s="538"/>
      <c r="K33" s="539"/>
      <c r="L33" s="531"/>
      <c r="M33" s="661"/>
      <c r="N33" s="532"/>
      <c r="O33" s="662"/>
      <c r="P33" s="663"/>
      <c r="Q33" s="664"/>
      <c r="R33" s="529"/>
      <c r="S33" s="528"/>
      <c r="T33" s="529"/>
      <c r="U33" s="531"/>
      <c r="V33" s="532"/>
      <c r="W33" s="522">
        <f t="shared" si="45"/>
        <v>0</v>
      </c>
      <c r="X33" s="530"/>
      <c r="Y33" s="528"/>
      <c r="Z33" s="529"/>
      <c r="AA33" s="531"/>
      <c r="AB33" s="532"/>
      <c r="AC33" s="522">
        <f t="shared" si="46"/>
        <v>0</v>
      </c>
      <c r="AD33" s="530"/>
      <c r="AE33" s="531"/>
      <c r="AF33" s="532"/>
      <c r="AG33" s="659"/>
      <c r="AH33" s="660"/>
      <c r="AI33" s="657"/>
      <c r="AJ33" s="658"/>
      <c r="AK33" s="522">
        <f t="shared" si="47"/>
        <v>0</v>
      </c>
      <c r="AL33" s="530"/>
      <c r="AM33" s="533"/>
      <c r="AN33" s="534"/>
      <c r="AO33" s="522">
        <f t="shared" si="48"/>
        <v>0</v>
      </c>
      <c r="AP33" s="530"/>
      <c r="AQ33" s="531"/>
      <c r="AR33" s="532"/>
      <c r="AS33" s="520" t="str">
        <f t="shared" si="49"/>
        <v>-</v>
      </c>
      <c r="AT33" s="521"/>
      <c r="AU33" s="522">
        <f t="shared" si="50"/>
        <v>0</v>
      </c>
      <c r="AV33" s="530"/>
      <c r="AW33" s="655"/>
      <c r="AX33" s="656"/>
      <c r="AY33" s="522" t="str">
        <f t="shared" si="51"/>
        <v>-</v>
      </c>
      <c r="AZ33" s="523"/>
      <c r="BA33" s="23">
        <f t="shared" si="52"/>
        <v>0</v>
      </c>
      <c r="BB33" s="23">
        <f t="shared" si="53"/>
        <v>0</v>
      </c>
      <c r="BC33" s="23">
        <f t="shared" si="54"/>
        <v>0</v>
      </c>
      <c r="BD33" s="23">
        <f t="shared" si="55"/>
        <v>0</v>
      </c>
      <c r="BE33" s="23">
        <f t="shared" si="56"/>
        <v>0</v>
      </c>
      <c r="BF33" s="23">
        <f t="shared" si="57"/>
        <v>0</v>
      </c>
      <c r="BG33" s="23">
        <f t="shared" si="58"/>
        <v>0</v>
      </c>
      <c r="BH33" s="53" t="str">
        <f t="shared" si="59"/>
        <v xml:space="preserve">Utilization ratio (only for info.): 0 %    Manufacturing lot size (only for info.): </v>
      </c>
    </row>
    <row r="34" spans="1:60" x14ac:dyDescent="0.15">
      <c r="B34" s="330"/>
      <c r="C34" s="528"/>
      <c r="D34" s="536"/>
      <c r="E34" s="536"/>
      <c r="F34" s="536"/>
      <c r="G34" s="529"/>
      <c r="H34" s="537"/>
      <c r="I34" s="538"/>
      <c r="J34" s="538"/>
      <c r="K34" s="539"/>
      <c r="L34" s="531"/>
      <c r="M34" s="661"/>
      <c r="N34" s="532"/>
      <c r="O34" s="662"/>
      <c r="P34" s="663"/>
      <c r="Q34" s="664"/>
      <c r="R34" s="529"/>
      <c r="S34" s="528"/>
      <c r="T34" s="529"/>
      <c r="U34" s="531"/>
      <c r="V34" s="532"/>
      <c r="W34" s="522">
        <f t="shared" si="0"/>
        <v>0</v>
      </c>
      <c r="X34" s="530"/>
      <c r="Y34" s="528"/>
      <c r="Z34" s="529"/>
      <c r="AA34" s="531"/>
      <c r="AB34" s="532"/>
      <c r="AC34" s="522">
        <f t="shared" si="1"/>
        <v>0</v>
      </c>
      <c r="AD34" s="530"/>
      <c r="AE34" s="531"/>
      <c r="AF34" s="532"/>
      <c r="AG34" s="659"/>
      <c r="AH34" s="660"/>
      <c r="AI34" s="657"/>
      <c r="AJ34" s="658"/>
      <c r="AK34" s="522">
        <f t="shared" si="2"/>
        <v>0</v>
      </c>
      <c r="AL34" s="530"/>
      <c r="AM34" s="533"/>
      <c r="AN34" s="534"/>
      <c r="AO34" s="522">
        <f t="shared" si="40"/>
        <v>0</v>
      </c>
      <c r="AP34" s="530"/>
      <c r="AQ34" s="531"/>
      <c r="AR34" s="532"/>
      <c r="AS34" s="520" t="str">
        <f t="shared" si="41"/>
        <v>-</v>
      </c>
      <c r="AT34" s="521"/>
      <c r="AU34" s="522">
        <f t="shared" si="42"/>
        <v>0</v>
      </c>
      <c r="AV34" s="530"/>
      <c r="AW34" s="655"/>
      <c r="AX34" s="656"/>
      <c r="AY34" s="522" t="str">
        <f t="shared" si="43"/>
        <v>-</v>
      </c>
      <c r="AZ34" s="523"/>
      <c r="BA34" s="23">
        <f t="shared" si="3"/>
        <v>0</v>
      </c>
      <c r="BB34" s="23">
        <f t="shared" si="4"/>
        <v>0</v>
      </c>
      <c r="BC34" s="23">
        <f t="shared" si="5"/>
        <v>0</v>
      </c>
      <c r="BD34" s="23">
        <f t="shared" si="6"/>
        <v>0</v>
      </c>
      <c r="BE34" s="23">
        <f t="shared" si="44"/>
        <v>0</v>
      </c>
      <c r="BF34" s="23">
        <f t="shared" si="7"/>
        <v>0</v>
      </c>
      <c r="BG34" s="23">
        <f t="shared" si="8"/>
        <v>0</v>
      </c>
      <c r="BH34" s="53" t="str">
        <f t="shared" si="9"/>
        <v xml:space="preserve">Utilization ratio (only for info.): 0 %    Manufacturing lot size (only for info.): </v>
      </c>
    </row>
    <row r="35" spans="1:60" x14ac:dyDescent="0.15">
      <c r="B35" s="330"/>
      <c r="C35" s="528"/>
      <c r="D35" s="536"/>
      <c r="E35" s="536"/>
      <c r="F35" s="536"/>
      <c r="G35" s="529"/>
      <c r="H35" s="537"/>
      <c r="I35" s="538"/>
      <c r="J35" s="538"/>
      <c r="K35" s="539"/>
      <c r="L35" s="531"/>
      <c r="M35" s="661"/>
      <c r="N35" s="532"/>
      <c r="O35" s="662"/>
      <c r="P35" s="663"/>
      <c r="Q35" s="664"/>
      <c r="R35" s="529"/>
      <c r="S35" s="528"/>
      <c r="T35" s="529"/>
      <c r="U35" s="531"/>
      <c r="V35" s="532"/>
      <c r="W35" s="522">
        <f t="shared" si="0"/>
        <v>0</v>
      </c>
      <c r="X35" s="530"/>
      <c r="Y35" s="528"/>
      <c r="Z35" s="529"/>
      <c r="AA35" s="531"/>
      <c r="AB35" s="532"/>
      <c r="AC35" s="522">
        <f t="shared" si="1"/>
        <v>0</v>
      </c>
      <c r="AD35" s="530"/>
      <c r="AE35" s="531"/>
      <c r="AF35" s="532"/>
      <c r="AG35" s="659"/>
      <c r="AH35" s="660"/>
      <c r="AI35" s="657"/>
      <c r="AJ35" s="658"/>
      <c r="AK35" s="522">
        <f t="shared" si="2"/>
        <v>0</v>
      </c>
      <c r="AL35" s="530"/>
      <c r="AM35" s="533"/>
      <c r="AN35" s="534"/>
      <c r="AO35" s="522">
        <f t="shared" si="40"/>
        <v>0</v>
      </c>
      <c r="AP35" s="530"/>
      <c r="AQ35" s="531"/>
      <c r="AR35" s="532"/>
      <c r="AS35" s="520" t="str">
        <f t="shared" si="41"/>
        <v>-</v>
      </c>
      <c r="AT35" s="521"/>
      <c r="AU35" s="522">
        <f t="shared" si="42"/>
        <v>0</v>
      </c>
      <c r="AV35" s="530"/>
      <c r="AW35" s="655"/>
      <c r="AX35" s="656"/>
      <c r="AY35" s="522" t="str">
        <f t="shared" si="43"/>
        <v>-</v>
      </c>
      <c r="AZ35" s="523"/>
      <c r="BA35" s="23">
        <f t="shared" si="3"/>
        <v>0</v>
      </c>
      <c r="BB35" s="23">
        <f t="shared" si="4"/>
        <v>0</v>
      </c>
      <c r="BC35" s="23">
        <f t="shared" si="5"/>
        <v>0</v>
      </c>
      <c r="BD35" s="23">
        <f t="shared" si="6"/>
        <v>0</v>
      </c>
      <c r="BE35" s="23">
        <f t="shared" si="44"/>
        <v>0</v>
      </c>
      <c r="BF35" s="23">
        <f t="shared" si="7"/>
        <v>0</v>
      </c>
      <c r="BG35" s="23">
        <f t="shared" si="8"/>
        <v>0</v>
      </c>
      <c r="BH35" s="53" t="str">
        <f t="shared" si="9"/>
        <v xml:space="preserve">Utilization ratio (only for info.): 0 %    Manufacturing lot size (only for info.): </v>
      </c>
    </row>
    <row r="36" spans="1:60" x14ac:dyDescent="0.15">
      <c r="B36" s="330"/>
      <c r="C36" s="528"/>
      <c r="D36" s="536"/>
      <c r="E36" s="536"/>
      <c r="F36" s="536"/>
      <c r="G36" s="529"/>
      <c r="H36" s="537"/>
      <c r="I36" s="538"/>
      <c r="J36" s="538"/>
      <c r="K36" s="539"/>
      <c r="L36" s="531"/>
      <c r="M36" s="661"/>
      <c r="N36" s="532"/>
      <c r="O36" s="662"/>
      <c r="P36" s="663"/>
      <c r="Q36" s="664"/>
      <c r="R36" s="529"/>
      <c r="S36" s="528"/>
      <c r="T36" s="529"/>
      <c r="U36" s="531"/>
      <c r="V36" s="532"/>
      <c r="W36" s="522">
        <f t="shared" si="0"/>
        <v>0</v>
      </c>
      <c r="X36" s="530"/>
      <c r="Y36" s="528"/>
      <c r="Z36" s="529"/>
      <c r="AA36" s="531"/>
      <c r="AB36" s="532"/>
      <c r="AC36" s="522">
        <f t="shared" si="1"/>
        <v>0</v>
      </c>
      <c r="AD36" s="530"/>
      <c r="AE36" s="531"/>
      <c r="AF36" s="532"/>
      <c r="AG36" s="659"/>
      <c r="AH36" s="660"/>
      <c r="AI36" s="657"/>
      <c r="AJ36" s="658"/>
      <c r="AK36" s="522">
        <f t="shared" si="2"/>
        <v>0</v>
      </c>
      <c r="AL36" s="530"/>
      <c r="AM36" s="533"/>
      <c r="AN36" s="534"/>
      <c r="AO36" s="522">
        <f t="shared" si="40"/>
        <v>0</v>
      </c>
      <c r="AP36" s="530"/>
      <c r="AQ36" s="531"/>
      <c r="AR36" s="532"/>
      <c r="AS36" s="520" t="str">
        <f t="shared" si="41"/>
        <v>-</v>
      </c>
      <c r="AT36" s="521"/>
      <c r="AU36" s="522">
        <f t="shared" si="42"/>
        <v>0</v>
      </c>
      <c r="AV36" s="530"/>
      <c r="AW36" s="655"/>
      <c r="AX36" s="656"/>
      <c r="AY36" s="522" t="str">
        <f t="shared" si="43"/>
        <v>-</v>
      </c>
      <c r="AZ36" s="523"/>
      <c r="BA36" s="23">
        <f t="shared" si="3"/>
        <v>0</v>
      </c>
      <c r="BB36" s="23">
        <f t="shared" si="4"/>
        <v>0</v>
      </c>
      <c r="BC36" s="23">
        <f t="shared" si="5"/>
        <v>0</v>
      </c>
      <c r="BD36" s="23">
        <f t="shared" si="6"/>
        <v>0</v>
      </c>
      <c r="BE36" s="23">
        <f t="shared" si="44"/>
        <v>0</v>
      </c>
      <c r="BF36" s="23">
        <f t="shared" si="7"/>
        <v>0</v>
      </c>
      <c r="BG36" s="23">
        <f t="shared" si="8"/>
        <v>0</v>
      </c>
      <c r="BH36" s="53" t="str">
        <f t="shared" si="9"/>
        <v xml:space="preserve">Utilization ratio (only for info.): 0 %    Manufacturing lot size (only for info.): </v>
      </c>
    </row>
    <row r="37" spans="1:60" x14ac:dyDescent="0.15">
      <c r="B37" s="330"/>
      <c r="C37" s="528"/>
      <c r="D37" s="536"/>
      <c r="E37" s="536"/>
      <c r="F37" s="536"/>
      <c r="G37" s="529"/>
      <c r="H37" s="537"/>
      <c r="I37" s="538"/>
      <c r="J37" s="538"/>
      <c r="K37" s="539"/>
      <c r="L37" s="531"/>
      <c r="M37" s="661"/>
      <c r="N37" s="532"/>
      <c r="O37" s="662"/>
      <c r="P37" s="663"/>
      <c r="Q37" s="664"/>
      <c r="R37" s="529"/>
      <c r="S37" s="528"/>
      <c r="T37" s="529"/>
      <c r="U37" s="531"/>
      <c r="V37" s="532"/>
      <c r="W37" s="522">
        <f t="shared" si="0"/>
        <v>0</v>
      </c>
      <c r="X37" s="530"/>
      <c r="Y37" s="528"/>
      <c r="Z37" s="529"/>
      <c r="AA37" s="531"/>
      <c r="AB37" s="532"/>
      <c r="AC37" s="522">
        <f t="shared" si="1"/>
        <v>0</v>
      </c>
      <c r="AD37" s="530"/>
      <c r="AE37" s="531"/>
      <c r="AF37" s="532"/>
      <c r="AG37" s="659"/>
      <c r="AH37" s="660"/>
      <c r="AI37" s="657"/>
      <c r="AJ37" s="658"/>
      <c r="AK37" s="522">
        <f t="shared" si="2"/>
        <v>0</v>
      </c>
      <c r="AL37" s="530"/>
      <c r="AM37" s="533"/>
      <c r="AN37" s="534"/>
      <c r="AO37" s="522">
        <f t="shared" si="40"/>
        <v>0</v>
      </c>
      <c r="AP37" s="530"/>
      <c r="AQ37" s="531"/>
      <c r="AR37" s="532"/>
      <c r="AS37" s="520" t="str">
        <f t="shared" si="41"/>
        <v>-</v>
      </c>
      <c r="AT37" s="521"/>
      <c r="AU37" s="522">
        <f t="shared" si="42"/>
        <v>0</v>
      </c>
      <c r="AV37" s="530"/>
      <c r="AW37" s="655"/>
      <c r="AX37" s="656"/>
      <c r="AY37" s="522" t="str">
        <f t="shared" si="43"/>
        <v>-</v>
      </c>
      <c r="AZ37" s="523"/>
      <c r="BA37" s="23">
        <f t="shared" si="3"/>
        <v>0</v>
      </c>
      <c r="BB37" s="23">
        <f t="shared" si="4"/>
        <v>0</v>
      </c>
      <c r="BC37" s="23">
        <f t="shared" si="5"/>
        <v>0</v>
      </c>
      <c r="BD37" s="23">
        <f t="shared" si="6"/>
        <v>0</v>
      </c>
      <c r="BE37" s="23">
        <f t="shared" si="44"/>
        <v>0</v>
      </c>
      <c r="BF37" s="23">
        <f t="shared" si="7"/>
        <v>0</v>
      </c>
      <c r="BG37" s="23">
        <f t="shared" si="8"/>
        <v>0</v>
      </c>
      <c r="BH37" s="53" t="str">
        <f t="shared" si="9"/>
        <v xml:space="preserve">Utilization ratio (only for info.): 0 %    Manufacturing lot size (only for info.): </v>
      </c>
    </row>
    <row r="38" spans="1:60" x14ac:dyDescent="0.15">
      <c r="B38" s="330"/>
      <c r="C38" s="528"/>
      <c r="D38" s="536"/>
      <c r="E38" s="536"/>
      <c r="F38" s="536"/>
      <c r="G38" s="529"/>
      <c r="H38" s="537"/>
      <c r="I38" s="538"/>
      <c r="J38" s="538"/>
      <c r="K38" s="539"/>
      <c r="L38" s="531"/>
      <c r="M38" s="661"/>
      <c r="N38" s="532"/>
      <c r="O38" s="662"/>
      <c r="P38" s="663"/>
      <c r="Q38" s="664"/>
      <c r="R38" s="529"/>
      <c r="S38" s="528"/>
      <c r="T38" s="529"/>
      <c r="U38" s="531"/>
      <c r="V38" s="532"/>
      <c r="W38" s="522">
        <f t="shared" si="0"/>
        <v>0</v>
      </c>
      <c r="X38" s="530"/>
      <c r="Y38" s="528"/>
      <c r="Z38" s="529"/>
      <c r="AA38" s="531"/>
      <c r="AB38" s="532"/>
      <c r="AC38" s="522">
        <f t="shared" si="1"/>
        <v>0</v>
      </c>
      <c r="AD38" s="530"/>
      <c r="AE38" s="531"/>
      <c r="AF38" s="532"/>
      <c r="AG38" s="659"/>
      <c r="AH38" s="660"/>
      <c r="AI38" s="657"/>
      <c r="AJ38" s="658"/>
      <c r="AK38" s="522">
        <f t="shared" si="2"/>
        <v>0</v>
      </c>
      <c r="AL38" s="530"/>
      <c r="AM38" s="533"/>
      <c r="AN38" s="534"/>
      <c r="AO38" s="522">
        <f t="shared" si="40"/>
        <v>0</v>
      </c>
      <c r="AP38" s="530"/>
      <c r="AQ38" s="531"/>
      <c r="AR38" s="532"/>
      <c r="AS38" s="520" t="str">
        <f t="shared" si="41"/>
        <v>-</v>
      </c>
      <c r="AT38" s="521"/>
      <c r="AU38" s="522">
        <f t="shared" si="42"/>
        <v>0</v>
      </c>
      <c r="AV38" s="530"/>
      <c r="AW38" s="655"/>
      <c r="AX38" s="656"/>
      <c r="AY38" s="522" t="str">
        <f t="shared" si="43"/>
        <v>-</v>
      </c>
      <c r="AZ38" s="523"/>
      <c r="BA38" s="23">
        <f t="shared" si="3"/>
        <v>0</v>
      </c>
      <c r="BB38" s="23">
        <f t="shared" si="4"/>
        <v>0</v>
      </c>
      <c r="BC38" s="23">
        <f t="shared" si="5"/>
        <v>0</v>
      </c>
      <c r="BD38" s="23">
        <f t="shared" si="6"/>
        <v>0</v>
      </c>
      <c r="BE38" s="23">
        <f t="shared" si="44"/>
        <v>0</v>
      </c>
      <c r="BF38" s="23">
        <f t="shared" si="7"/>
        <v>0</v>
      </c>
      <c r="BG38" s="23">
        <f t="shared" si="8"/>
        <v>0</v>
      </c>
      <c r="BH38" s="53" t="str">
        <f t="shared" si="9"/>
        <v xml:space="preserve">Utilization ratio (only for info.): 0 %    Manufacturing lot size (only for info.): </v>
      </c>
    </row>
    <row r="39" spans="1:60" x14ac:dyDescent="0.15">
      <c r="B39" s="330"/>
      <c r="C39" s="528"/>
      <c r="D39" s="536"/>
      <c r="E39" s="536"/>
      <c r="F39" s="536"/>
      <c r="G39" s="529"/>
      <c r="H39" s="537"/>
      <c r="I39" s="538"/>
      <c r="J39" s="538"/>
      <c r="K39" s="539"/>
      <c r="L39" s="531"/>
      <c r="M39" s="661"/>
      <c r="N39" s="532"/>
      <c r="O39" s="662"/>
      <c r="P39" s="663"/>
      <c r="Q39" s="664"/>
      <c r="R39" s="529"/>
      <c r="S39" s="528"/>
      <c r="T39" s="529"/>
      <c r="U39" s="531"/>
      <c r="V39" s="532"/>
      <c r="W39" s="522">
        <f t="shared" si="0"/>
        <v>0</v>
      </c>
      <c r="X39" s="530"/>
      <c r="Y39" s="528"/>
      <c r="Z39" s="529"/>
      <c r="AA39" s="531"/>
      <c r="AB39" s="532"/>
      <c r="AC39" s="522">
        <f t="shared" si="1"/>
        <v>0</v>
      </c>
      <c r="AD39" s="530"/>
      <c r="AE39" s="531"/>
      <c r="AF39" s="532"/>
      <c r="AG39" s="659"/>
      <c r="AH39" s="660"/>
      <c r="AI39" s="657"/>
      <c r="AJ39" s="658"/>
      <c r="AK39" s="522">
        <f t="shared" si="2"/>
        <v>0</v>
      </c>
      <c r="AL39" s="530"/>
      <c r="AM39" s="533"/>
      <c r="AN39" s="534"/>
      <c r="AO39" s="522">
        <f t="shared" si="40"/>
        <v>0</v>
      </c>
      <c r="AP39" s="530"/>
      <c r="AQ39" s="531"/>
      <c r="AR39" s="532"/>
      <c r="AS39" s="520" t="str">
        <f t="shared" si="41"/>
        <v>-</v>
      </c>
      <c r="AT39" s="521"/>
      <c r="AU39" s="522">
        <f t="shared" si="42"/>
        <v>0</v>
      </c>
      <c r="AV39" s="530"/>
      <c r="AW39" s="655"/>
      <c r="AX39" s="656"/>
      <c r="AY39" s="522" t="str">
        <f t="shared" si="43"/>
        <v>-</v>
      </c>
      <c r="AZ39" s="523"/>
      <c r="BA39" s="23">
        <f t="shared" si="3"/>
        <v>0</v>
      </c>
      <c r="BB39" s="23">
        <f t="shared" si="4"/>
        <v>0</v>
      </c>
      <c r="BC39" s="23">
        <f t="shared" si="5"/>
        <v>0</v>
      </c>
      <c r="BD39" s="23">
        <f t="shared" si="6"/>
        <v>0</v>
      </c>
      <c r="BE39" s="23">
        <f t="shared" si="44"/>
        <v>0</v>
      </c>
      <c r="BF39" s="23">
        <f t="shared" si="7"/>
        <v>0</v>
      </c>
      <c r="BG39" s="23">
        <f t="shared" si="8"/>
        <v>0</v>
      </c>
      <c r="BH39" s="53" t="str">
        <f t="shared" si="9"/>
        <v xml:space="preserve">Utilization ratio (only for info.): 0 %    Manufacturing lot size (only for info.): </v>
      </c>
    </row>
    <row r="40" spans="1:60" x14ac:dyDescent="0.15">
      <c r="B40" s="330"/>
      <c r="C40" s="528"/>
      <c r="D40" s="536"/>
      <c r="E40" s="536"/>
      <c r="F40" s="536"/>
      <c r="G40" s="529"/>
      <c r="H40" s="537"/>
      <c r="I40" s="538"/>
      <c r="J40" s="538"/>
      <c r="K40" s="539"/>
      <c r="L40" s="531"/>
      <c r="M40" s="661"/>
      <c r="N40" s="532"/>
      <c r="O40" s="662"/>
      <c r="P40" s="663"/>
      <c r="Q40" s="664"/>
      <c r="R40" s="529"/>
      <c r="S40" s="528"/>
      <c r="T40" s="529"/>
      <c r="U40" s="531"/>
      <c r="V40" s="532"/>
      <c r="W40" s="522">
        <f t="shared" si="0"/>
        <v>0</v>
      </c>
      <c r="X40" s="530"/>
      <c r="Y40" s="528"/>
      <c r="Z40" s="529"/>
      <c r="AA40" s="531"/>
      <c r="AB40" s="532"/>
      <c r="AC40" s="522">
        <f t="shared" si="1"/>
        <v>0</v>
      </c>
      <c r="AD40" s="530"/>
      <c r="AE40" s="531"/>
      <c r="AF40" s="532"/>
      <c r="AG40" s="659"/>
      <c r="AH40" s="660"/>
      <c r="AI40" s="657"/>
      <c r="AJ40" s="658"/>
      <c r="AK40" s="522">
        <f t="shared" si="2"/>
        <v>0</v>
      </c>
      <c r="AL40" s="530"/>
      <c r="AM40" s="533"/>
      <c r="AN40" s="534"/>
      <c r="AO40" s="522">
        <f t="shared" si="40"/>
        <v>0</v>
      </c>
      <c r="AP40" s="530"/>
      <c r="AQ40" s="531"/>
      <c r="AR40" s="532"/>
      <c r="AS40" s="520" t="str">
        <f t="shared" si="41"/>
        <v>-</v>
      </c>
      <c r="AT40" s="521"/>
      <c r="AU40" s="522">
        <f t="shared" si="42"/>
        <v>0</v>
      </c>
      <c r="AV40" s="530"/>
      <c r="AW40" s="655"/>
      <c r="AX40" s="656"/>
      <c r="AY40" s="522" t="str">
        <f t="shared" si="43"/>
        <v>-</v>
      </c>
      <c r="AZ40" s="523"/>
      <c r="BA40" s="23">
        <f t="shared" si="3"/>
        <v>0</v>
      </c>
      <c r="BB40" s="23">
        <f t="shared" si="4"/>
        <v>0</v>
      </c>
      <c r="BC40" s="23">
        <f t="shared" si="5"/>
        <v>0</v>
      </c>
      <c r="BD40" s="23">
        <f t="shared" si="6"/>
        <v>0</v>
      </c>
      <c r="BE40" s="23">
        <f t="shared" si="44"/>
        <v>0</v>
      </c>
      <c r="BF40" s="23">
        <f t="shared" si="7"/>
        <v>0</v>
      </c>
      <c r="BG40" s="23">
        <f t="shared" si="8"/>
        <v>0</v>
      </c>
      <c r="BH40" s="53" t="str">
        <f t="shared" si="9"/>
        <v xml:space="preserve">Utilization ratio (only for info.): 0 %    Manufacturing lot size (only for info.): </v>
      </c>
    </row>
    <row r="41" spans="1:60" x14ac:dyDescent="0.15">
      <c r="B41" s="330"/>
      <c r="C41" s="528"/>
      <c r="D41" s="536"/>
      <c r="E41" s="536"/>
      <c r="F41" s="536"/>
      <c r="G41" s="529"/>
      <c r="H41" s="537"/>
      <c r="I41" s="538"/>
      <c r="J41" s="538"/>
      <c r="K41" s="539"/>
      <c r="L41" s="531"/>
      <c r="M41" s="661"/>
      <c r="N41" s="532"/>
      <c r="O41" s="662"/>
      <c r="P41" s="663"/>
      <c r="Q41" s="664"/>
      <c r="R41" s="529"/>
      <c r="S41" s="528"/>
      <c r="T41" s="529"/>
      <c r="U41" s="531"/>
      <c r="V41" s="532"/>
      <c r="W41" s="522">
        <f t="shared" si="0"/>
        <v>0</v>
      </c>
      <c r="X41" s="530"/>
      <c r="Y41" s="528"/>
      <c r="Z41" s="529"/>
      <c r="AA41" s="531"/>
      <c r="AB41" s="532"/>
      <c r="AC41" s="522">
        <f t="shared" si="1"/>
        <v>0</v>
      </c>
      <c r="AD41" s="530"/>
      <c r="AE41" s="531"/>
      <c r="AF41" s="532"/>
      <c r="AG41" s="659"/>
      <c r="AH41" s="660"/>
      <c r="AI41" s="657"/>
      <c r="AJ41" s="658"/>
      <c r="AK41" s="522">
        <f t="shared" si="2"/>
        <v>0</v>
      </c>
      <c r="AL41" s="530"/>
      <c r="AM41" s="533"/>
      <c r="AN41" s="534"/>
      <c r="AO41" s="522">
        <f t="shared" si="40"/>
        <v>0</v>
      </c>
      <c r="AP41" s="530"/>
      <c r="AQ41" s="531"/>
      <c r="AR41" s="532"/>
      <c r="AS41" s="520" t="str">
        <f t="shared" si="41"/>
        <v>-</v>
      </c>
      <c r="AT41" s="521"/>
      <c r="AU41" s="522">
        <f t="shared" si="42"/>
        <v>0</v>
      </c>
      <c r="AV41" s="530"/>
      <c r="AW41" s="655"/>
      <c r="AX41" s="656"/>
      <c r="AY41" s="522" t="str">
        <f t="shared" si="43"/>
        <v>-</v>
      </c>
      <c r="AZ41" s="523"/>
      <c r="BA41" s="23">
        <f t="shared" si="3"/>
        <v>0</v>
      </c>
      <c r="BB41" s="23">
        <f t="shared" si="4"/>
        <v>0</v>
      </c>
      <c r="BC41" s="23">
        <f t="shared" si="5"/>
        <v>0</v>
      </c>
      <c r="BD41" s="23">
        <f t="shared" si="6"/>
        <v>0</v>
      </c>
      <c r="BE41" s="23">
        <f t="shared" si="44"/>
        <v>0</v>
      </c>
      <c r="BF41" s="23">
        <f t="shared" si="7"/>
        <v>0</v>
      </c>
      <c r="BG41" s="23">
        <f t="shared" si="8"/>
        <v>0</v>
      </c>
      <c r="BH41" s="53" t="str">
        <f t="shared" si="9"/>
        <v xml:space="preserve">Utilization ratio (only for info.): 0 %    Manufacturing lot size (only for info.): </v>
      </c>
    </row>
    <row r="42" spans="1:60" x14ac:dyDescent="0.15">
      <c r="B42" s="330"/>
      <c r="C42" s="528"/>
      <c r="D42" s="536"/>
      <c r="E42" s="536"/>
      <c r="F42" s="536"/>
      <c r="G42" s="529"/>
      <c r="H42" s="537"/>
      <c r="I42" s="538"/>
      <c r="J42" s="538"/>
      <c r="K42" s="539"/>
      <c r="L42" s="531"/>
      <c r="M42" s="661"/>
      <c r="N42" s="532"/>
      <c r="O42" s="662"/>
      <c r="P42" s="663"/>
      <c r="Q42" s="664"/>
      <c r="R42" s="529"/>
      <c r="S42" s="528"/>
      <c r="T42" s="529"/>
      <c r="U42" s="531"/>
      <c r="V42" s="532"/>
      <c r="W42" s="522">
        <f t="shared" si="0"/>
        <v>0</v>
      </c>
      <c r="X42" s="530"/>
      <c r="Y42" s="528"/>
      <c r="Z42" s="529"/>
      <c r="AA42" s="531"/>
      <c r="AB42" s="532"/>
      <c r="AC42" s="522">
        <f t="shared" si="1"/>
        <v>0</v>
      </c>
      <c r="AD42" s="530"/>
      <c r="AE42" s="531"/>
      <c r="AF42" s="532"/>
      <c r="AG42" s="659"/>
      <c r="AH42" s="660"/>
      <c r="AI42" s="657"/>
      <c r="AJ42" s="658"/>
      <c r="AK42" s="522">
        <f t="shared" si="2"/>
        <v>0</v>
      </c>
      <c r="AL42" s="530"/>
      <c r="AM42" s="533"/>
      <c r="AN42" s="534"/>
      <c r="AO42" s="522">
        <f t="shared" si="40"/>
        <v>0</v>
      </c>
      <c r="AP42" s="530"/>
      <c r="AQ42" s="531"/>
      <c r="AR42" s="532"/>
      <c r="AS42" s="520" t="str">
        <f t="shared" si="41"/>
        <v>-</v>
      </c>
      <c r="AT42" s="521"/>
      <c r="AU42" s="522">
        <f t="shared" si="42"/>
        <v>0</v>
      </c>
      <c r="AV42" s="530"/>
      <c r="AW42" s="655"/>
      <c r="AX42" s="656"/>
      <c r="AY42" s="522" t="str">
        <f t="shared" si="43"/>
        <v>-</v>
      </c>
      <c r="AZ42" s="523"/>
      <c r="BA42" s="23">
        <f t="shared" si="3"/>
        <v>0</v>
      </c>
      <c r="BB42" s="23">
        <f t="shared" si="4"/>
        <v>0</v>
      </c>
      <c r="BC42" s="23">
        <f t="shared" si="5"/>
        <v>0</v>
      </c>
      <c r="BD42" s="23">
        <f t="shared" si="6"/>
        <v>0</v>
      </c>
      <c r="BE42" s="23">
        <f t="shared" si="44"/>
        <v>0</v>
      </c>
      <c r="BF42" s="23">
        <f t="shared" si="7"/>
        <v>0</v>
      </c>
      <c r="BG42" s="23">
        <f t="shared" si="8"/>
        <v>0</v>
      </c>
      <c r="BH42" s="53" t="str">
        <f t="shared" si="9"/>
        <v xml:space="preserve">Utilization ratio (only for info.): 0 %    Manufacturing lot size (only for info.): </v>
      </c>
    </row>
    <row r="43" spans="1:60" x14ac:dyDescent="0.15">
      <c r="B43" s="330"/>
      <c r="C43" s="528"/>
      <c r="D43" s="536"/>
      <c r="E43" s="536"/>
      <c r="F43" s="536"/>
      <c r="G43" s="529"/>
      <c r="H43" s="537"/>
      <c r="I43" s="538"/>
      <c r="J43" s="538"/>
      <c r="K43" s="539"/>
      <c r="L43" s="531"/>
      <c r="M43" s="661"/>
      <c r="N43" s="532"/>
      <c r="O43" s="662"/>
      <c r="P43" s="663"/>
      <c r="Q43" s="664"/>
      <c r="R43" s="529"/>
      <c r="S43" s="528"/>
      <c r="T43" s="529"/>
      <c r="U43" s="531"/>
      <c r="V43" s="532"/>
      <c r="W43" s="522">
        <f t="shared" si="0"/>
        <v>0</v>
      </c>
      <c r="X43" s="530"/>
      <c r="Y43" s="528"/>
      <c r="Z43" s="529"/>
      <c r="AA43" s="531"/>
      <c r="AB43" s="532"/>
      <c r="AC43" s="522">
        <f t="shared" si="1"/>
        <v>0</v>
      </c>
      <c r="AD43" s="530"/>
      <c r="AE43" s="531"/>
      <c r="AF43" s="532"/>
      <c r="AG43" s="659"/>
      <c r="AH43" s="660"/>
      <c r="AI43" s="657"/>
      <c r="AJ43" s="658"/>
      <c r="AK43" s="522">
        <f t="shared" si="2"/>
        <v>0</v>
      </c>
      <c r="AL43" s="530"/>
      <c r="AM43" s="533"/>
      <c r="AN43" s="534"/>
      <c r="AO43" s="522">
        <f t="shared" si="40"/>
        <v>0</v>
      </c>
      <c r="AP43" s="530"/>
      <c r="AQ43" s="531"/>
      <c r="AR43" s="532"/>
      <c r="AS43" s="520" t="str">
        <f t="shared" si="41"/>
        <v>-</v>
      </c>
      <c r="AT43" s="521"/>
      <c r="AU43" s="522">
        <f t="shared" si="42"/>
        <v>0</v>
      </c>
      <c r="AV43" s="530"/>
      <c r="AW43" s="655"/>
      <c r="AX43" s="656"/>
      <c r="AY43" s="522" t="str">
        <f t="shared" si="43"/>
        <v>-</v>
      </c>
      <c r="AZ43" s="523"/>
      <c r="BA43" s="23">
        <f t="shared" si="3"/>
        <v>0</v>
      </c>
      <c r="BB43" s="23">
        <f t="shared" si="4"/>
        <v>0</v>
      </c>
      <c r="BC43" s="23">
        <f t="shared" si="5"/>
        <v>0</v>
      </c>
      <c r="BD43" s="23">
        <f t="shared" si="6"/>
        <v>0</v>
      </c>
      <c r="BE43" s="23">
        <f t="shared" si="44"/>
        <v>0</v>
      </c>
      <c r="BF43" s="23">
        <f t="shared" si="7"/>
        <v>0</v>
      </c>
      <c r="BG43" s="23">
        <f t="shared" si="8"/>
        <v>0</v>
      </c>
      <c r="BH43" s="53" t="str">
        <f t="shared" si="9"/>
        <v xml:space="preserve">Utilization ratio (only for info.): 0 %    Manufacturing lot size (only for info.): </v>
      </c>
    </row>
    <row r="44" spans="1:60" x14ac:dyDescent="0.15">
      <c r="B44" s="330"/>
      <c r="C44" s="528"/>
      <c r="D44" s="536"/>
      <c r="E44" s="536"/>
      <c r="F44" s="536"/>
      <c r="G44" s="529"/>
      <c r="H44" s="537"/>
      <c r="I44" s="538"/>
      <c r="J44" s="538"/>
      <c r="K44" s="539"/>
      <c r="L44" s="531"/>
      <c r="M44" s="661"/>
      <c r="N44" s="532"/>
      <c r="O44" s="662"/>
      <c r="P44" s="663"/>
      <c r="Q44" s="664"/>
      <c r="R44" s="529"/>
      <c r="S44" s="528"/>
      <c r="T44" s="529"/>
      <c r="U44" s="531"/>
      <c r="V44" s="532"/>
      <c r="W44" s="522">
        <f t="shared" si="0"/>
        <v>0</v>
      </c>
      <c r="X44" s="530"/>
      <c r="Y44" s="528"/>
      <c r="Z44" s="529"/>
      <c r="AA44" s="531"/>
      <c r="AB44" s="532"/>
      <c r="AC44" s="522">
        <f t="shared" si="1"/>
        <v>0</v>
      </c>
      <c r="AD44" s="530"/>
      <c r="AE44" s="531"/>
      <c r="AF44" s="532"/>
      <c r="AG44" s="659"/>
      <c r="AH44" s="660"/>
      <c r="AI44" s="657"/>
      <c r="AJ44" s="658"/>
      <c r="AK44" s="522">
        <f t="shared" si="2"/>
        <v>0</v>
      </c>
      <c r="AL44" s="530"/>
      <c r="AM44" s="533"/>
      <c r="AN44" s="534"/>
      <c r="AO44" s="522">
        <f t="shared" si="40"/>
        <v>0</v>
      </c>
      <c r="AP44" s="530"/>
      <c r="AQ44" s="531"/>
      <c r="AR44" s="532"/>
      <c r="AS44" s="520" t="str">
        <f t="shared" si="41"/>
        <v>-</v>
      </c>
      <c r="AT44" s="521"/>
      <c r="AU44" s="522">
        <f t="shared" si="42"/>
        <v>0</v>
      </c>
      <c r="AV44" s="530"/>
      <c r="AW44" s="655"/>
      <c r="AX44" s="656"/>
      <c r="AY44" s="522" t="str">
        <f t="shared" si="43"/>
        <v>-</v>
      </c>
      <c r="AZ44" s="523"/>
      <c r="BA44" s="23">
        <f t="shared" si="3"/>
        <v>0</v>
      </c>
      <c r="BB44" s="23">
        <f t="shared" si="4"/>
        <v>0</v>
      </c>
      <c r="BC44" s="23">
        <f t="shared" si="5"/>
        <v>0</v>
      </c>
      <c r="BD44" s="23">
        <f t="shared" si="6"/>
        <v>0</v>
      </c>
      <c r="BE44" s="23">
        <f t="shared" si="44"/>
        <v>0</v>
      </c>
      <c r="BF44" s="23">
        <f t="shared" si="7"/>
        <v>0</v>
      </c>
      <c r="BG44" s="23">
        <f t="shared" si="8"/>
        <v>0</v>
      </c>
      <c r="BH44" s="53" t="str">
        <f t="shared" si="9"/>
        <v xml:space="preserve">Utilization ratio (only for info.): 0 %    Manufacturing lot size (only for info.): </v>
      </c>
    </row>
    <row r="45" spans="1:60" x14ac:dyDescent="0.15">
      <c r="B45" s="330"/>
      <c r="C45" s="528"/>
      <c r="D45" s="536"/>
      <c r="E45" s="536"/>
      <c r="F45" s="536"/>
      <c r="G45" s="529"/>
      <c r="H45" s="537"/>
      <c r="I45" s="538"/>
      <c r="J45" s="538"/>
      <c r="K45" s="539"/>
      <c r="L45" s="531"/>
      <c r="M45" s="661"/>
      <c r="N45" s="532"/>
      <c r="O45" s="662"/>
      <c r="P45" s="663"/>
      <c r="Q45" s="664"/>
      <c r="R45" s="529"/>
      <c r="S45" s="528"/>
      <c r="T45" s="529"/>
      <c r="U45" s="531"/>
      <c r="V45" s="532"/>
      <c r="W45" s="522">
        <f t="shared" si="0"/>
        <v>0</v>
      </c>
      <c r="X45" s="530"/>
      <c r="Y45" s="528"/>
      <c r="Z45" s="529"/>
      <c r="AA45" s="531"/>
      <c r="AB45" s="532"/>
      <c r="AC45" s="522">
        <f t="shared" si="1"/>
        <v>0</v>
      </c>
      <c r="AD45" s="530"/>
      <c r="AE45" s="531"/>
      <c r="AF45" s="532"/>
      <c r="AG45" s="659"/>
      <c r="AH45" s="660"/>
      <c r="AI45" s="657"/>
      <c r="AJ45" s="658"/>
      <c r="AK45" s="522">
        <f t="shared" si="2"/>
        <v>0</v>
      </c>
      <c r="AL45" s="530"/>
      <c r="AM45" s="533"/>
      <c r="AN45" s="534"/>
      <c r="AO45" s="522">
        <f t="shared" si="40"/>
        <v>0</v>
      </c>
      <c r="AP45" s="530"/>
      <c r="AQ45" s="531"/>
      <c r="AR45" s="532"/>
      <c r="AS45" s="520" t="str">
        <f t="shared" si="41"/>
        <v>-</v>
      </c>
      <c r="AT45" s="521"/>
      <c r="AU45" s="522">
        <f t="shared" si="42"/>
        <v>0</v>
      </c>
      <c r="AV45" s="530"/>
      <c r="AW45" s="655"/>
      <c r="AX45" s="656"/>
      <c r="AY45" s="522" t="str">
        <f t="shared" si="43"/>
        <v>-</v>
      </c>
      <c r="AZ45" s="523"/>
      <c r="BA45" s="23">
        <f t="shared" si="3"/>
        <v>0</v>
      </c>
      <c r="BB45" s="23">
        <f t="shared" si="4"/>
        <v>0</v>
      </c>
      <c r="BC45" s="23">
        <f t="shared" si="5"/>
        <v>0</v>
      </c>
      <c r="BD45" s="23">
        <f t="shared" si="6"/>
        <v>0</v>
      </c>
      <c r="BE45" s="23">
        <f t="shared" si="44"/>
        <v>0</v>
      </c>
      <c r="BF45" s="23">
        <f t="shared" si="7"/>
        <v>0</v>
      </c>
      <c r="BG45" s="23">
        <f t="shared" si="8"/>
        <v>0</v>
      </c>
      <c r="BH45" s="53" t="str">
        <f t="shared" si="9"/>
        <v xml:space="preserve">Utilization ratio (only for info.): 0 %    Manufacturing lot size (only for info.): </v>
      </c>
    </row>
    <row r="46" spans="1:60" ht="14.25" thickBot="1" x14ac:dyDescent="0.2">
      <c r="A46" s="53"/>
      <c r="B46" s="331"/>
      <c r="C46" s="559"/>
      <c r="D46" s="560"/>
      <c r="E46" s="560"/>
      <c r="F46" s="560"/>
      <c r="G46" s="561"/>
      <c r="H46" s="565"/>
      <c r="I46" s="566"/>
      <c r="J46" s="566"/>
      <c r="K46" s="567"/>
      <c r="L46" s="606"/>
      <c r="M46" s="678"/>
      <c r="N46" s="607"/>
      <c r="O46" s="701"/>
      <c r="P46" s="702"/>
      <c r="Q46" s="703"/>
      <c r="R46" s="561"/>
      <c r="S46" s="559"/>
      <c r="T46" s="561"/>
      <c r="U46" s="606"/>
      <c r="V46" s="607"/>
      <c r="W46" s="604">
        <f t="shared" si="0"/>
        <v>0</v>
      </c>
      <c r="X46" s="605"/>
      <c r="Y46" s="559"/>
      <c r="Z46" s="561"/>
      <c r="AA46" s="606"/>
      <c r="AB46" s="607"/>
      <c r="AC46" s="604">
        <f t="shared" si="1"/>
        <v>0</v>
      </c>
      <c r="AD46" s="605"/>
      <c r="AE46" s="606"/>
      <c r="AF46" s="607"/>
      <c r="AG46" s="716"/>
      <c r="AH46" s="717"/>
      <c r="AI46" s="683"/>
      <c r="AJ46" s="684"/>
      <c r="AK46" s="604">
        <f t="shared" si="2"/>
        <v>0</v>
      </c>
      <c r="AL46" s="605"/>
      <c r="AM46" s="640"/>
      <c r="AN46" s="641"/>
      <c r="AO46" s="604">
        <f t="shared" si="40"/>
        <v>0</v>
      </c>
      <c r="AP46" s="605"/>
      <c r="AQ46" s="606"/>
      <c r="AR46" s="607"/>
      <c r="AS46" s="608" t="str">
        <f t="shared" si="41"/>
        <v>-</v>
      </c>
      <c r="AT46" s="609"/>
      <c r="AU46" s="604">
        <f t="shared" si="42"/>
        <v>0</v>
      </c>
      <c r="AV46" s="605"/>
      <c r="AW46" s="685"/>
      <c r="AX46" s="686"/>
      <c r="AY46" s="604" t="str">
        <f t="shared" si="43"/>
        <v>-</v>
      </c>
      <c r="AZ46" s="610"/>
      <c r="BA46" s="23">
        <f t="shared" si="3"/>
        <v>0</v>
      </c>
      <c r="BB46" s="23">
        <f t="shared" si="4"/>
        <v>0</v>
      </c>
      <c r="BC46" s="23">
        <f t="shared" si="5"/>
        <v>0</v>
      </c>
      <c r="BD46" s="23">
        <f t="shared" si="6"/>
        <v>0</v>
      </c>
      <c r="BE46" s="23">
        <f t="shared" si="44"/>
        <v>0</v>
      </c>
      <c r="BF46" s="23">
        <f t="shared" si="7"/>
        <v>0</v>
      </c>
      <c r="BG46" s="23">
        <f t="shared" si="8"/>
        <v>0</v>
      </c>
      <c r="BH46" s="53" t="str">
        <f t="shared" si="9"/>
        <v xml:space="preserve">Utilization ratio (only for info.): 0 %    Manufacturing lot size (only for info.): </v>
      </c>
    </row>
    <row r="47" spans="1:60" ht="14.25" thickBot="1" x14ac:dyDescent="0.2">
      <c r="B47" s="53"/>
      <c r="C47" s="53"/>
      <c r="E47" s="53"/>
      <c r="F47" s="53"/>
      <c r="H47" s="53"/>
      <c r="I47" s="53"/>
      <c r="J47" s="53"/>
      <c r="K47" s="53"/>
      <c r="L47" s="53"/>
      <c r="M47" s="53"/>
      <c r="N47" s="53"/>
      <c r="O47" s="53"/>
      <c r="P47" s="53"/>
      <c r="Q47" s="53"/>
      <c r="R47" s="53"/>
      <c r="S47" s="53"/>
      <c r="V47" s="53"/>
      <c r="Z47" s="53"/>
      <c r="AA47" s="53"/>
      <c r="AB47" s="54"/>
      <c r="AC47" s="54"/>
      <c r="AD47" s="54"/>
      <c r="AE47" s="54"/>
      <c r="AF47" s="54"/>
      <c r="AG47" s="53"/>
      <c r="AH47" s="53"/>
      <c r="AI47" s="53"/>
      <c r="AJ47" s="53"/>
      <c r="AK47" s="53"/>
      <c r="AL47" s="53"/>
      <c r="BA47" s="23"/>
      <c r="BB47" s="53"/>
      <c r="BC47" s="53"/>
      <c r="BD47" s="53"/>
      <c r="BF47" s="53"/>
      <c r="BG47" s="53"/>
      <c r="BH47" s="53"/>
    </row>
    <row r="48" spans="1:60" x14ac:dyDescent="0.15">
      <c r="B48" s="718" t="s">
        <v>63</v>
      </c>
      <c r="C48" s="719"/>
      <c r="D48" s="667"/>
      <c r="E48" s="668"/>
      <c r="F48" s="668"/>
      <c r="G48" s="668"/>
      <c r="H48" s="668"/>
      <c r="I48" s="668"/>
      <c r="J48" s="668"/>
      <c r="K48" s="668"/>
      <c r="L48" s="668"/>
      <c r="M48" s="668"/>
      <c r="N48" s="668"/>
      <c r="O48" s="668"/>
      <c r="P48" s="669"/>
      <c r="Q48" s="626" t="str">
        <f>VLOOKUP("P24",Languages!$A$1:$F$286,VLOOKUP(Summary!AM6,Languages!$C$2:$D$6,2,FALSE),FALSE)</f>
        <v>Sums</v>
      </c>
      <c r="R48" s="627"/>
      <c r="S48" s="64"/>
      <c r="T48" s="64"/>
      <c r="U48" s="64"/>
      <c r="V48" s="64"/>
      <c r="W48" s="158" t="str">
        <f>VLOOKUP(W13,Languages!$A$1:$F$286,VLOOKUP(Summary!AM6,Languages!$C$2:$D$6,2,FALSE),FALSE)</f>
        <v>Machine costs</v>
      </c>
      <c r="X48" s="158"/>
      <c r="Y48" s="64"/>
      <c r="Z48" s="64"/>
      <c r="AA48" s="64"/>
      <c r="AB48" s="64"/>
      <c r="AC48" s="713" t="str">
        <f>VLOOKUP("P25",Languages!$A$1:$F$286,VLOOKUP(Summary!AM6,Languages!$C$2:$D$6,2,FALSE),FALSE)</f>
        <v>Labor</v>
      </c>
      <c r="AD48" s="713"/>
      <c r="AE48" s="637" t="str">
        <f>VLOOKUP("P26",Languages!$A$1:$F$286,VLOOKUP(Summary!AM6,Languages!$C$2:$D$6,2,FALSE),FALSE)</f>
        <v>Setup</v>
      </c>
      <c r="AF48" s="637"/>
      <c r="AG48" s="64"/>
      <c r="AH48" s="380"/>
      <c r="AI48" s="637" t="str">
        <f>VLOOKUP("P27",Languages!$A$1:$F$286,VLOOKUP(Summary!AM6,Languages!$C$2:$D$6,2,FALSE),FALSE)</f>
        <v>Tool maint.</v>
      </c>
      <c r="AJ48" s="637"/>
      <c r="AK48" s="64"/>
      <c r="AL48" s="64"/>
      <c r="AM48" s="720" t="str">
        <f>VLOOKUP("P30",Languages!$A$1:$F$286,VLOOKUP(Summary!AM6,Languages!$C$2:$D$6,2,FALSE),FALSE)</f>
        <v>Man. OH</v>
      </c>
      <c r="AN48" s="720"/>
      <c r="AO48" s="720"/>
      <c r="AP48" s="720"/>
      <c r="AQ48" s="637" t="str">
        <f>VLOOKUP("P31",Languages!$A$1:$F$286,VLOOKUP(Summary!AM6,Languages!$C$2:$D$6,2,FALSE),FALSE)</f>
        <v>Scrap</v>
      </c>
      <c r="AR48" s="637"/>
      <c r="AS48" s="64"/>
      <c r="AT48" s="64"/>
      <c r="AU48" s="64"/>
      <c r="AV48" s="64"/>
      <c r="AW48" s="51"/>
      <c r="AX48" s="51"/>
      <c r="AY48" s="51"/>
      <c r="AZ48" s="52" t="str">
        <f>VLOOKUP("P32",Languages!$A$1:$F$286,VLOOKUP(Summary!AM6,Languages!$C$2:$D$6,2,FALSE),FALSE)</f>
        <v>Manufacturing costs</v>
      </c>
      <c r="BA48" s="23" t="e">
        <f>SUM(BA16:BA46)</f>
        <v>#VALUE!</v>
      </c>
      <c r="BB48" s="23" t="e">
        <f t="shared" ref="BB48:BG48" si="60">SUM(BB16:BB46)</f>
        <v>#VALUE!</v>
      </c>
      <c r="BC48" s="23" t="e">
        <f t="shared" si="60"/>
        <v>#VALUE!</v>
      </c>
      <c r="BD48" s="23" t="e">
        <f t="shared" si="60"/>
        <v>#VALUE!</v>
      </c>
      <c r="BE48" s="23" t="e">
        <f t="shared" si="60"/>
        <v>#VALUE!</v>
      </c>
      <c r="BF48" s="23" t="e">
        <f t="shared" si="60"/>
        <v>#VALUE!</v>
      </c>
      <c r="BG48" s="23" t="e">
        <f t="shared" si="60"/>
        <v>#VALUE!</v>
      </c>
      <c r="BH48" s="53"/>
    </row>
    <row r="49" spans="2:52" ht="15" customHeight="1" x14ac:dyDescent="0.15">
      <c r="B49" s="665" t="str">
        <f>VLOOKUP("P23",Languages!$A$1:$F$286,VLOOKUP(Summary!AM6,Languages!$C$2:$D$6,2,FALSE),FALSE)</f>
        <v>Comments</v>
      </c>
      <c r="C49" s="666"/>
      <c r="D49" s="670"/>
      <c r="E49" s="671"/>
      <c r="F49" s="671"/>
      <c r="G49" s="671"/>
      <c r="H49" s="671"/>
      <c r="I49" s="671"/>
      <c r="J49" s="671"/>
      <c r="K49" s="671"/>
      <c r="L49" s="671"/>
      <c r="M49" s="671"/>
      <c r="N49" s="671"/>
      <c r="O49" s="671"/>
      <c r="P49" s="672"/>
      <c r="Q49" s="628"/>
      <c r="R49" s="629"/>
      <c r="S49" s="54"/>
      <c r="T49" s="54"/>
      <c r="U49" s="54"/>
      <c r="V49" s="54"/>
      <c r="W49" s="714" t="e">
        <f>SUM(W16:X46)</f>
        <v>#VALUE!</v>
      </c>
      <c r="X49" s="715"/>
      <c r="Y49" s="54"/>
      <c r="Z49" s="54"/>
      <c r="AA49" s="54"/>
      <c r="AB49" s="54"/>
      <c r="AC49" s="714" t="e">
        <f>SUM(AC16:AD46)</f>
        <v>#VALUE!</v>
      </c>
      <c r="AD49" s="715"/>
      <c r="AE49" s="633">
        <f>SUM(AE16:AF46)</f>
        <v>0</v>
      </c>
      <c r="AF49" s="634"/>
      <c r="AG49" s="188"/>
      <c r="AH49" s="206"/>
      <c r="AI49" s="633">
        <f>SUM(AI16:AJ46)</f>
        <v>0</v>
      </c>
      <c r="AJ49" s="634"/>
      <c r="AK49" s="54"/>
      <c r="AL49" s="54"/>
      <c r="AM49" s="195"/>
      <c r="AN49" s="54"/>
      <c r="AO49" s="711" t="e">
        <f>SUM(AO16:AP46)</f>
        <v>#VALUE!</v>
      </c>
      <c r="AP49" s="712"/>
      <c r="AQ49" s="711">
        <f>SUM(AQ16:AR46)</f>
        <v>0</v>
      </c>
      <c r="AR49" s="712"/>
      <c r="AW49" s="20"/>
      <c r="AX49" s="20"/>
      <c r="AY49" s="633" t="e">
        <f>SUM(AY16:AZ46)</f>
        <v>#VALUE!</v>
      </c>
      <c r="AZ49" s="636"/>
    </row>
    <row r="50" spans="2:52" x14ac:dyDescent="0.15">
      <c r="B50" s="665"/>
      <c r="C50" s="666"/>
      <c r="D50" s="670"/>
      <c r="E50" s="671"/>
      <c r="F50" s="671"/>
      <c r="G50" s="671"/>
      <c r="H50" s="671"/>
      <c r="I50" s="671"/>
      <c r="J50" s="671"/>
      <c r="K50" s="671"/>
      <c r="L50" s="671"/>
      <c r="M50" s="671"/>
      <c r="N50" s="671"/>
      <c r="O50" s="671"/>
      <c r="P50" s="672"/>
      <c r="Q50" s="628"/>
      <c r="R50" s="629"/>
      <c r="S50" s="54"/>
      <c r="T50" s="54"/>
      <c r="U50" s="54"/>
      <c r="V50" s="54"/>
      <c r="W50" s="54"/>
      <c r="X50" s="54"/>
      <c r="Y50" s="20"/>
      <c r="Z50" s="54"/>
      <c r="AA50" s="54"/>
      <c r="AB50" s="20"/>
      <c r="AC50" s="20"/>
      <c r="AD50" s="20"/>
      <c r="AE50" s="20"/>
      <c r="AF50" s="18"/>
      <c r="AG50" s="54"/>
      <c r="AH50" s="18" t="str">
        <f>VLOOKUP("P28",Languages!$A$1:$F$286,VLOOKUP(Summary!AM6,Languages!$C$2:$D$6,2,FALSE),FALSE)</f>
        <v>+ Machine costs and Setup costs</v>
      </c>
      <c r="AI50" s="633" t="e">
        <f>W49+AE49</f>
        <v>#VALUE!</v>
      </c>
      <c r="AJ50" s="634"/>
      <c r="AK50" s="20"/>
      <c r="AL50" s="20"/>
      <c r="AM50" s="54"/>
      <c r="AN50" s="20"/>
      <c r="AO50" s="20"/>
      <c r="AP50" s="20"/>
      <c r="AQ50" s="54"/>
      <c r="AR50" s="54"/>
      <c r="AS50" s="54"/>
      <c r="AT50" s="54"/>
      <c r="AU50" s="54"/>
      <c r="AV50" s="54"/>
      <c r="AW50" s="54"/>
      <c r="AX50" s="54"/>
      <c r="AY50" s="54"/>
      <c r="AZ50" s="65"/>
    </row>
    <row r="51" spans="2:52" ht="14.25" thickBot="1" x14ac:dyDescent="0.2">
      <c r="B51" s="324"/>
      <c r="C51" s="325"/>
      <c r="D51" s="673"/>
      <c r="E51" s="674"/>
      <c r="F51" s="674"/>
      <c r="G51" s="674"/>
      <c r="H51" s="674"/>
      <c r="I51" s="674"/>
      <c r="J51" s="674"/>
      <c r="K51" s="674"/>
      <c r="L51" s="674"/>
      <c r="M51" s="674"/>
      <c r="N51" s="674"/>
      <c r="O51" s="674"/>
      <c r="P51" s="675"/>
      <c r="Q51" s="630"/>
      <c r="R51" s="631"/>
      <c r="S51" s="62"/>
      <c r="T51" s="62"/>
      <c r="U51" s="62"/>
      <c r="V51" s="62"/>
      <c r="W51" s="19"/>
      <c r="X51" s="19"/>
      <c r="Y51" s="21"/>
      <c r="Z51" s="62"/>
      <c r="AA51" s="62"/>
      <c r="AB51" s="21"/>
      <c r="AC51" s="21"/>
      <c r="AD51" s="21"/>
      <c r="AE51" s="21"/>
      <c r="AF51" s="19"/>
      <c r="AG51" s="62"/>
      <c r="AH51" s="19" t="str">
        <f>VLOOKUP("P29",Languages!$A$1:$F$286,VLOOKUP(Summary!AM6,Languages!$C$2:$D$6,2,FALSE),FALSE)</f>
        <v>Manufacturing Costs / Machine Costs</v>
      </c>
      <c r="AI51" s="676" t="e">
        <f>AI49+AI50</f>
        <v>#VALUE!</v>
      </c>
      <c r="AJ51" s="677"/>
      <c r="AK51" s="21"/>
      <c r="AL51" s="21"/>
      <c r="AM51" s="62"/>
      <c r="AN51" s="21"/>
      <c r="AO51" s="21"/>
      <c r="AP51" s="21"/>
      <c r="AQ51" s="62"/>
      <c r="AR51" s="62"/>
      <c r="AS51" s="62"/>
      <c r="AT51" s="62"/>
      <c r="AU51" s="62"/>
      <c r="AV51" s="62"/>
      <c r="AW51" s="62"/>
      <c r="AX51" s="62"/>
      <c r="AY51" s="62"/>
      <c r="AZ51" s="66"/>
    </row>
  </sheetData>
  <mergeCells count="748">
    <mergeCell ref="AG14:AH14"/>
    <mergeCell ref="AW13:AX13"/>
    <mergeCell ref="AI38:AJ38"/>
    <mergeCell ref="AI39:AJ39"/>
    <mergeCell ref="B48:C48"/>
    <mergeCell ref="AM48:AP48"/>
    <mergeCell ref="BH12:BH14"/>
    <mergeCell ref="AS3:AZ4"/>
    <mergeCell ref="P7:W7"/>
    <mergeCell ref="P8:W8"/>
    <mergeCell ref="P9:W9"/>
    <mergeCell ref="P10:W10"/>
    <mergeCell ref="BE12:BE14"/>
    <mergeCell ref="AC13:AD13"/>
    <mergeCell ref="AC14:AD14"/>
    <mergeCell ref="U14:V14"/>
    <mergeCell ref="W13:X13"/>
    <mergeCell ref="W14:X14"/>
    <mergeCell ref="AA13:AB13"/>
    <mergeCell ref="AA14:AB14"/>
    <mergeCell ref="AE13:AF13"/>
    <mergeCell ref="AE14:AF14"/>
    <mergeCell ref="Y13:Z13"/>
    <mergeCell ref="Y14:Z14"/>
    <mergeCell ref="S13:T13"/>
    <mergeCell ref="S14:T14"/>
    <mergeCell ref="AE41:AF41"/>
    <mergeCell ref="AK39:AL39"/>
    <mergeCell ref="AG13:AH13"/>
    <mergeCell ref="U46:V46"/>
    <mergeCell ref="U45:V45"/>
    <mergeCell ref="AQ48:AR48"/>
    <mergeCell ref="AE45:AF45"/>
    <mergeCell ref="AE46:AF46"/>
    <mergeCell ref="AO44:AP44"/>
    <mergeCell ref="AO45:AP45"/>
    <mergeCell ref="AM46:AN46"/>
    <mergeCell ref="AG45:AH45"/>
    <mergeCell ref="AG46:AH46"/>
    <mergeCell ref="AC42:AD42"/>
    <mergeCell ref="U36:V36"/>
    <mergeCell ref="AK35:AL35"/>
    <mergeCell ref="AO35:AP35"/>
    <mergeCell ref="S34:T34"/>
    <mergeCell ref="S35:T35"/>
    <mergeCell ref="S30:T30"/>
    <mergeCell ref="Y35:Z35"/>
    <mergeCell ref="AA35:AB35"/>
    <mergeCell ref="B12:P12"/>
    <mergeCell ref="Q12:AZ12"/>
    <mergeCell ref="Q37:R37"/>
    <mergeCell ref="AE29:AF29"/>
    <mergeCell ref="AE30:AF30"/>
    <mergeCell ref="AI36:AJ36"/>
    <mergeCell ref="AI37:AJ37"/>
    <mergeCell ref="AS41:AT41"/>
    <mergeCell ref="AS30:AT30"/>
    <mergeCell ref="AS34:AT34"/>
    <mergeCell ref="AS35:AT35"/>
    <mergeCell ref="AS36:AT36"/>
    <mergeCell ref="AG34:AH34"/>
    <mergeCell ref="AG35:AH35"/>
    <mergeCell ref="AE34:AF34"/>
    <mergeCell ref="AK37:AL37"/>
    <mergeCell ref="AA40:AB40"/>
    <mergeCell ref="AA41:AB41"/>
    <mergeCell ref="AO38:AP38"/>
    <mergeCell ref="AO39:AP39"/>
    <mergeCell ref="AO40:AP40"/>
    <mergeCell ref="U29:V29"/>
    <mergeCell ref="W29:X29"/>
    <mergeCell ref="S29:T29"/>
    <mergeCell ref="AE49:AF49"/>
    <mergeCell ref="AC49:AD49"/>
    <mergeCell ref="AE43:AF43"/>
    <mergeCell ref="AE42:AF42"/>
    <mergeCell ref="AK46:AL46"/>
    <mergeCell ref="U43:V43"/>
    <mergeCell ref="W44:X44"/>
    <mergeCell ref="Y44:Z44"/>
    <mergeCell ref="Y42:Z42"/>
    <mergeCell ref="Y43:Z43"/>
    <mergeCell ref="AA42:AB42"/>
    <mergeCell ref="AA43:AB43"/>
    <mergeCell ref="AA44:AB44"/>
    <mergeCell ref="AY49:AZ49"/>
    <mergeCell ref="AQ49:AR49"/>
    <mergeCell ref="W30:X30"/>
    <mergeCell ref="W34:X34"/>
    <mergeCell ref="AG39:AH39"/>
    <mergeCell ref="AE38:AF38"/>
    <mergeCell ref="AE39:AF39"/>
    <mergeCell ref="AU34:AV34"/>
    <mergeCell ref="AC46:AD46"/>
    <mergeCell ref="AC45:AD45"/>
    <mergeCell ref="AC44:AD44"/>
    <mergeCell ref="W40:X40"/>
    <mergeCell ref="W41:X41"/>
    <mergeCell ref="W42:X42"/>
    <mergeCell ref="W43:X43"/>
    <mergeCell ref="AC48:AD48"/>
    <mergeCell ref="W49:X49"/>
    <mergeCell ref="AI48:AJ48"/>
    <mergeCell ref="AI49:AJ49"/>
    <mergeCell ref="AA45:AB45"/>
    <mergeCell ref="AO49:AP49"/>
    <mergeCell ref="W35:X35"/>
    <mergeCell ref="W36:X36"/>
    <mergeCell ref="AK34:AL34"/>
    <mergeCell ref="Y16:Z16"/>
    <mergeCell ref="Y17:Z17"/>
    <mergeCell ref="AA17:AB17"/>
    <mergeCell ref="AC17:AD17"/>
    <mergeCell ref="AC29:AD29"/>
    <mergeCell ref="AC30:AD30"/>
    <mergeCell ref="AC34:AD34"/>
    <mergeCell ref="AA29:AB29"/>
    <mergeCell ref="AA30:AB30"/>
    <mergeCell ref="AA34:AB34"/>
    <mergeCell ref="Y29:Z29"/>
    <mergeCell ref="Y30:Z30"/>
    <mergeCell ref="Y34:Z34"/>
    <mergeCell ref="AA25:AB25"/>
    <mergeCell ref="AA18:AB18"/>
    <mergeCell ref="AC18:AD18"/>
    <mergeCell ref="AA20:AB20"/>
    <mergeCell ref="AC20:AD20"/>
    <mergeCell ref="AA22:AB22"/>
    <mergeCell ref="AC22:AD22"/>
    <mergeCell ref="AC31:AD31"/>
    <mergeCell ref="U13:V13"/>
    <mergeCell ref="U17:V17"/>
    <mergeCell ref="L45:N45"/>
    <mergeCell ref="C39:G39"/>
    <mergeCell ref="C40:G40"/>
    <mergeCell ref="C41:G41"/>
    <mergeCell ref="C42:G42"/>
    <mergeCell ref="C43:G43"/>
    <mergeCell ref="C44:G44"/>
    <mergeCell ref="C38:G38"/>
    <mergeCell ref="O43:P43"/>
    <mergeCell ref="O44:P44"/>
    <mergeCell ref="O40:P40"/>
    <mergeCell ref="O41:P41"/>
    <mergeCell ref="U44:V44"/>
    <mergeCell ref="O42:P42"/>
    <mergeCell ref="S38:T38"/>
    <mergeCell ref="H16:I16"/>
    <mergeCell ref="H13:K13"/>
    <mergeCell ref="L13:N13"/>
    <mergeCell ref="L43:N43"/>
    <mergeCell ref="L44:N44"/>
    <mergeCell ref="S37:T37"/>
    <mergeCell ref="U38:V38"/>
    <mergeCell ref="L35:N35"/>
    <mergeCell ref="C24:G24"/>
    <mergeCell ref="Q13:R13"/>
    <mergeCell ref="Q14:R14"/>
    <mergeCell ref="Q17:R17"/>
    <mergeCell ref="Q29:R29"/>
    <mergeCell ref="Q30:R30"/>
    <mergeCell ref="Q34:R34"/>
    <mergeCell ref="Q35:R35"/>
    <mergeCell ref="O13:P13"/>
    <mergeCell ref="O14:P14"/>
    <mergeCell ref="O17:P17"/>
    <mergeCell ref="Q16:R16"/>
    <mergeCell ref="O29:P29"/>
    <mergeCell ref="O30:P30"/>
    <mergeCell ref="O35:P35"/>
    <mergeCell ref="H24:K24"/>
    <mergeCell ref="L24:N24"/>
    <mergeCell ref="O24:P24"/>
    <mergeCell ref="Q24:R24"/>
    <mergeCell ref="C26:G26"/>
    <mergeCell ref="H26:K26"/>
    <mergeCell ref="L26:N26"/>
    <mergeCell ref="O26:P26"/>
    <mergeCell ref="Q39:R39"/>
    <mergeCell ref="S39:T39"/>
    <mergeCell ref="C13:G13"/>
    <mergeCell ref="C14:G14"/>
    <mergeCell ref="C17:G17"/>
    <mergeCell ref="C29:G29"/>
    <mergeCell ref="C30:G30"/>
    <mergeCell ref="C34:G34"/>
    <mergeCell ref="C35:G35"/>
    <mergeCell ref="C36:G36"/>
    <mergeCell ref="L36:N36"/>
    <mergeCell ref="L14:N14"/>
    <mergeCell ref="L16:N16"/>
    <mergeCell ref="H36:K36"/>
    <mergeCell ref="H14:K14"/>
    <mergeCell ref="H17:K17"/>
    <mergeCell ref="H29:K29"/>
    <mergeCell ref="H30:K30"/>
    <mergeCell ref="H34:K34"/>
    <mergeCell ref="H35:K35"/>
    <mergeCell ref="L17:N17"/>
    <mergeCell ref="L29:N29"/>
    <mergeCell ref="L30:N30"/>
    <mergeCell ref="L34:N34"/>
    <mergeCell ref="AM14:AP14"/>
    <mergeCell ref="AM17:AN17"/>
    <mergeCell ref="AO17:AP17"/>
    <mergeCell ref="AM35:AN35"/>
    <mergeCell ref="S17:T17"/>
    <mergeCell ref="S42:T42"/>
    <mergeCell ref="C45:G45"/>
    <mergeCell ref="O46:P46"/>
    <mergeCell ref="C37:G37"/>
    <mergeCell ref="H37:K37"/>
    <mergeCell ref="H38:K38"/>
    <mergeCell ref="Q45:R45"/>
    <mergeCell ref="O34:P34"/>
    <mergeCell ref="L40:N40"/>
    <mergeCell ref="Q46:R46"/>
    <mergeCell ref="H40:K40"/>
    <mergeCell ref="H41:K41"/>
    <mergeCell ref="H42:K42"/>
    <mergeCell ref="H43:K43"/>
    <mergeCell ref="H44:K44"/>
    <mergeCell ref="H45:K45"/>
    <mergeCell ref="H46:K46"/>
    <mergeCell ref="Q40:R40"/>
    <mergeCell ref="Q41:R41"/>
    <mergeCell ref="AI14:AJ14"/>
    <mergeCell ref="AI17:AJ17"/>
    <mergeCell ref="AI29:AJ29"/>
    <mergeCell ref="AI30:AJ30"/>
    <mergeCell ref="AI34:AJ34"/>
    <mergeCell ref="AI35:AJ35"/>
    <mergeCell ref="AK14:AL14"/>
    <mergeCell ref="AK17:AL17"/>
    <mergeCell ref="AK29:AL29"/>
    <mergeCell ref="AK30:AL30"/>
    <mergeCell ref="AK26:AL26"/>
    <mergeCell ref="U34:V34"/>
    <mergeCell ref="AE35:AF35"/>
    <mergeCell ref="AE36:AF36"/>
    <mergeCell ref="AG17:AH17"/>
    <mergeCell ref="AG29:AH29"/>
    <mergeCell ref="AG30:AH30"/>
    <mergeCell ref="AK36:AL36"/>
    <mergeCell ref="AQ17:AR17"/>
    <mergeCell ref="AQ29:AR29"/>
    <mergeCell ref="AQ30:AR30"/>
    <mergeCell ref="AQ34:AR34"/>
    <mergeCell ref="AQ35:AR35"/>
    <mergeCell ref="AQ36:AR36"/>
    <mergeCell ref="AM36:AN36"/>
    <mergeCell ref="AG36:AH36"/>
    <mergeCell ref="U35:V35"/>
    <mergeCell ref="AO25:AP25"/>
    <mergeCell ref="AQ25:AR25"/>
    <mergeCell ref="AA26:AB26"/>
    <mergeCell ref="AC26:AD26"/>
    <mergeCell ref="AE26:AF26"/>
    <mergeCell ref="AG26:AH26"/>
    <mergeCell ref="AI26:AJ26"/>
    <mergeCell ref="AA31:AB31"/>
    <mergeCell ref="AM45:AN45"/>
    <mergeCell ref="AO41:AP41"/>
    <mergeCell ref="AO42:AP42"/>
    <mergeCell ref="AO43:AP43"/>
    <mergeCell ref="AQ37:AR37"/>
    <mergeCell ref="AQ38:AR38"/>
    <mergeCell ref="W17:X17"/>
    <mergeCell ref="AC35:AD35"/>
    <mergeCell ref="AC36:AD36"/>
    <mergeCell ref="AQ45:AR45"/>
    <mergeCell ref="AQ39:AR39"/>
    <mergeCell ref="AG43:AH43"/>
    <mergeCell ref="AG44:AH44"/>
    <mergeCell ref="AA24:AB24"/>
    <mergeCell ref="AC24:AD24"/>
    <mergeCell ref="AM24:AN24"/>
    <mergeCell ref="AO24:AP24"/>
    <mergeCell ref="AQ24:AR24"/>
    <mergeCell ref="AC25:AD25"/>
    <mergeCell ref="AE25:AF25"/>
    <mergeCell ref="AG25:AH25"/>
    <mergeCell ref="AI25:AJ25"/>
    <mergeCell ref="AK25:AL25"/>
    <mergeCell ref="AM25:AN25"/>
    <mergeCell ref="B3:J10"/>
    <mergeCell ref="AI13:AJ13"/>
    <mergeCell ref="AS7:AZ7"/>
    <mergeCell ref="AS8:AZ8"/>
    <mergeCell ref="AS9:AZ9"/>
    <mergeCell ref="AS10:AZ10"/>
    <mergeCell ref="AU14:AV14"/>
    <mergeCell ref="AW14:AX14"/>
    <mergeCell ref="AM15:AP15"/>
    <mergeCell ref="AY14:AZ14"/>
    <mergeCell ref="AY13:AZ13"/>
    <mergeCell ref="AZ15:AZ16"/>
    <mergeCell ref="O16:P16"/>
    <mergeCell ref="AK13:AL13"/>
    <mergeCell ref="K3:AR6"/>
    <mergeCell ref="Y7:Z7"/>
    <mergeCell ref="Y8:Z8"/>
    <mergeCell ref="Y9:Z9"/>
    <mergeCell ref="Y10:Z10"/>
    <mergeCell ref="AM13:AP13"/>
    <mergeCell ref="AU13:AV13"/>
    <mergeCell ref="AW16:AX16"/>
    <mergeCell ref="AQ13:AT13"/>
    <mergeCell ref="AQ14:AT14"/>
    <mergeCell ref="AY45:AZ45"/>
    <mergeCell ref="AI44:AJ44"/>
    <mergeCell ref="AI45:AJ45"/>
    <mergeCell ref="AI46:AJ46"/>
    <mergeCell ref="AU46:AV46"/>
    <mergeCell ref="AQ46:AR46"/>
    <mergeCell ref="AU45:AV45"/>
    <mergeCell ref="AI43:AJ43"/>
    <mergeCell ref="AK40:AL40"/>
    <mergeCell ref="AY46:AZ46"/>
    <mergeCell ref="AO46:AP46"/>
    <mergeCell ref="AW40:AX40"/>
    <mergeCell ref="AS46:AT46"/>
    <mergeCell ref="AW46:AX46"/>
    <mergeCell ref="AW41:AX41"/>
    <mergeCell ref="AW42:AX42"/>
    <mergeCell ref="AW43:AX43"/>
    <mergeCell ref="AW44:AX44"/>
    <mergeCell ref="AW45:AX45"/>
    <mergeCell ref="AM40:AN40"/>
    <mergeCell ref="AM41:AN41"/>
    <mergeCell ref="AM42:AN42"/>
    <mergeCell ref="AM43:AN43"/>
    <mergeCell ref="AM44:AN44"/>
    <mergeCell ref="AU43:AV43"/>
    <mergeCell ref="AU44:AV44"/>
    <mergeCell ref="AS42:AT42"/>
    <mergeCell ref="AQ42:AR42"/>
    <mergeCell ref="AQ43:AR43"/>
    <mergeCell ref="AU41:AV41"/>
    <mergeCell ref="AU42:AV42"/>
    <mergeCell ref="AY40:AZ40"/>
    <mergeCell ref="AY41:AZ41"/>
    <mergeCell ref="AY42:AZ42"/>
    <mergeCell ref="AY43:AZ43"/>
    <mergeCell ref="AY44:AZ44"/>
    <mergeCell ref="AQ40:AR40"/>
    <mergeCell ref="AQ41:AR41"/>
    <mergeCell ref="AQ44:AR44"/>
    <mergeCell ref="AS45:AT45"/>
    <mergeCell ref="AY17:AZ17"/>
    <mergeCell ref="AY29:AZ29"/>
    <mergeCell ref="AY30:AZ30"/>
    <mergeCell ref="AY34:AZ34"/>
    <mergeCell ref="AY35:AZ35"/>
    <mergeCell ref="AY36:AZ36"/>
    <mergeCell ref="AY37:AZ37"/>
    <mergeCell ref="AY38:AZ38"/>
    <mergeCell ref="AY39:AZ39"/>
    <mergeCell ref="AS17:AT17"/>
    <mergeCell ref="AS29:AT29"/>
    <mergeCell ref="AU29:AV29"/>
    <mergeCell ref="AU30:AV30"/>
    <mergeCell ref="AS44:AT44"/>
    <mergeCell ref="AS43:AT43"/>
    <mergeCell ref="AU40:AV40"/>
    <mergeCell ref="AU35:AV35"/>
    <mergeCell ref="AU36:AV36"/>
    <mergeCell ref="AY24:AZ24"/>
    <mergeCell ref="AS25:AT25"/>
    <mergeCell ref="AU25:AV25"/>
    <mergeCell ref="AW25:AX25"/>
    <mergeCell ref="AY25:AZ25"/>
    <mergeCell ref="AS16:AT16"/>
    <mergeCell ref="AU17:AV17"/>
    <mergeCell ref="AE17:AF17"/>
    <mergeCell ref="AW35:AX35"/>
    <mergeCell ref="AW36:AX36"/>
    <mergeCell ref="AO36:AP36"/>
    <mergeCell ref="AW29:AX29"/>
    <mergeCell ref="AW30:AX30"/>
    <mergeCell ref="AW34:AX34"/>
    <mergeCell ref="AM29:AN29"/>
    <mergeCell ref="AM30:AN30"/>
    <mergeCell ref="AM34:AN34"/>
    <mergeCell ref="AO29:AP29"/>
    <mergeCell ref="AO30:AP30"/>
    <mergeCell ref="AO34:AP34"/>
    <mergeCell ref="AW17:AX17"/>
    <mergeCell ref="AM16:AN16"/>
    <mergeCell ref="AS24:AT24"/>
    <mergeCell ref="AU24:AV24"/>
    <mergeCell ref="AW24:AX24"/>
    <mergeCell ref="AE24:AF24"/>
    <mergeCell ref="AG24:AH24"/>
    <mergeCell ref="AI24:AJ24"/>
    <mergeCell ref="AK24:AL24"/>
    <mergeCell ref="H39:K39"/>
    <mergeCell ref="U40:V40"/>
    <mergeCell ref="U41:V41"/>
    <mergeCell ref="AK38:AL38"/>
    <mergeCell ref="AE37:AF37"/>
    <mergeCell ref="Y36:Z36"/>
    <mergeCell ref="Y37:Z37"/>
    <mergeCell ref="Y38:Z38"/>
    <mergeCell ref="Y39:Z39"/>
    <mergeCell ref="AC37:AD37"/>
    <mergeCell ref="AA36:AB36"/>
    <mergeCell ref="AA37:AB37"/>
    <mergeCell ref="AE40:AF40"/>
    <mergeCell ref="AC38:AD38"/>
    <mergeCell ref="AC39:AD39"/>
    <mergeCell ref="AC40:AD40"/>
    <mergeCell ref="O36:P36"/>
    <mergeCell ref="S41:T41"/>
    <mergeCell ref="L37:N37"/>
    <mergeCell ref="L38:N38"/>
    <mergeCell ref="L39:N39"/>
    <mergeCell ref="L41:N41"/>
    <mergeCell ref="Q36:R36"/>
    <mergeCell ref="S36:T36"/>
    <mergeCell ref="AK41:AL41"/>
    <mergeCell ref="O37:P37"/>
    <mergeCell ref="O38:P38"/>
    <mergeCell ref="AK45:AL45"/>
    <mergeCell ref="AK42:AL42"/>
    <mergeCell ref="AK43:AL43"/>
    <mergeCell ref="AK44:AL44"/>
    <mergeCell ref="S40:T40"/>
    <mergeCell ref="O39:P39"/>
    <mergeCell ref="AC43:AD43"/>
    <mergeCell ref="AA38:AB38"/>
    <mergeCell ref="AA39:AB39"/>
    <mergeCell ref="U37:V37"/>
    <mergeCell ref="U42:V42"/>
    <mergeCell ref="W37:X37"/>
    <mergeCell ref="W38:X38"/>
    <mergeCell ref="W39:X39"/>
    <mergeCell ref="U39:V39"/>
    <mergeCell ref="Q42:R42"/>
    <mergeCell ref="Q43:R43"/>
    <mergeCell ref="Q44:R44"/>
    <mergeCell ref="O45:P45"/>
    <mergeCell ref="S45:T45"/>
    <mergeCell ref="Q38:R38"/>
    <mergeCell ref="B49:C50"/>
    <mergeCell ref="D48:P51"/>
    <mergeCell ref="AC41:AD41"/>
    <mergeCell ref="Q48:R51"/>
    <mergeCell ref="Y41:Z41"/>
    <mergeCell ref="AG42:AH42"/>
    <mergeCell ref="AI41:AJ41"/>
    <mergeCell ref="AI42:AJ42"/>
    <mergeCell ref="S46:T46"/>
    <mergeCell ref="AA46:AB46"/>
    <mergeCell ref="AE48:AF48"/>
    <mergeCell ref="AI51:AJ51"/>
    <mergeCell ref="S43:T43"/>
    <mergeCell ref="S44:T44"/>
    <mergeCell ref="AI50:AJ50"/>
    <mergeCell ref="W45:X45"/>
    <mergeCell ref="W46:X46"/>
    <mergeCell ref="Y45:Z45"/>
    <mergeCell ref="Y46:Z46"/>
    <mergeCell ref="AE44:AF44"/>
    <mergeCell ref="C46:G46"/>
    <mergeCell ref="AG41:AH41"/>
    <mergeCell ref="L46:N46"/>
    <mergeCell ref="L42:N42"/>
    <mergeCell ref="S24:T24"/>
    <mergeCell ref="U24:V24"/>
    <mergeCell ref="W24:X24"/>
    <mergeCell ref="Y24:Z24"/>
    <mergeCell ref="C25:G25"/>
    <mergeCell ref="H25:K25"/>
    <mergeCell ref="L25:N25"/>
    <mergeCell ref="O25:P25"/>
    <mergeCell ref="Q25:R25"/>
    <mergeCell ref="S25:T25"/>
    <mergeCell ref="U25:V25"/>
    <mergeCell ref="W25:X25"/>
    <mergeCell ref="Y25:Z25"/>
    <mergeCell ref="Q26:R26"/>
    <mergeCell ref="S26:T26"/>
    <mergeCell ref="U26:V26"/>
    <mergeCell ref="W26:X26"/>
    <mergeCell ref="Y26:Z26"/>
    <mergeCell ref="AM26:AN26"/>
    <mergeCell ref="AO26:AP26"/>
    <mergeCell ref="AQ26:AR26"/>
    <mergeCell ref="AS26:AT26"/>
    <mergeCell ref="AU26:AV26"/>
    <mergeCell ref="AW26:AX26"/>
    <mergeCell ref="AY26:AZ26"/>
    <mergeCell ref="C27:G27"/>
    <mergeCell ref="H27:K27"/>
    <mergeCell ref="L27:N27"/>
    <mergeCell ref="O27:P27"/>
    <mergeCell ref="Q27:R27"/>
    <mergeCell ref="S27:T27"/>
    <mergeCell ref="U27:V27"/>
    <mergeCell ref="W27:X27"/>
    <mergeCell ref="Y27:Z27"/>
    <mergeCell ref="AA27:AB27"/>
    <mergeCell ref="AC27:AD27"/>
    <mergeCell ref="AE27:AF27"/>
    <mergeCell ref="AG27:AH27"/>
    <mergeCell ref="AI27:AJ27"/>
    <mergeCell ref="AK27:AL27"/>
    <mergeCell ref="AM27:AN27"/>
    <mergeCell ref="AO27:AP27"/>
    <mergeCell ref="AQ27:AR27"/>
    <mergeCell ref="AS27:AT27"/>
    <mergeCell ref="AU27:AV27"/>
    <mergeCell ref="AW27:AX27"/>
    <mergeCell ref="AY27:AZ27"/>
    <mergeCell ref="C28:G28"/>
    <mergeCell ref="H28:K28"/>
    <mergeCell ref="L28:N28"/>
    <mergeCell ref="O28:P28"/>
    <mergeCell ref="Q28:R28"/>
    <mergeCell ref="S28:T28"/>
    <mergeCell ref="U28:V28"/>
    <mergeCell ref="W28:X28"/>
    <mergeCell ref="Y28:Z28"/>
    <mergeCell ref="AS28:AT28"/>
    <mergeCell ref="AU28:AV28"/>
    <mergeCell ref="AW28:AX28"/>
    <mergeCell ref="AY28:AZ28"/>
    <mergeCell ref="AA28:AB28"/>
    <mergeCell ref="AC28:AD28"/>
    <mergeCell ref="AE28:AF28"/>
    <mergeCell ref="AG28:AH28"/>
    <mergeCell ref="AI28:AJ28"/>
    <mergeCell ref="AK28:AL28"/>
    <mergeCell ref="AM28:AN28"/>
    <mergeCell ref="AO28:AP28"/>
    <mergeCell ref="AQ28:AR28"/>
    <mergeCell ref="C31:G31"/>
    <mergeCell ref="H31:K31"/>
    <mergeCell ref="L31:N31"/>
    <mergeCell ref="O31:P31"/>
    <mergeCell ref="Q31:R31"/>
    <mergeCell ref="S31:T31"/>
    <mergeCell ref="U31:V31"/>
    <mergeCell ref="W31:X31"/>
    <mergeCell ref="Y31:Z31"/>
    <mergeCell ref="AE31:AF31"/>
    <mergeCell ref="AG31:AH31"/>
    <mergeCell ref="AI31:AJ31"/>
    <mergeCell ref="AK31:AL31"/>
    <mergeCell ref="AM31:AN31"/>
    <mergeCell ref="AO31:AP31"/>
    <mergeCell ref="AQ31:AR31"/>
    <mergeCell ref="U30:V30"/>
    <mergeCell ref="AS31:AT31"/>
    <mergeCell ref="AU31:AV31"/>
    <mergeCell ref="AW31:AX31"/>
    <mergeCell ref="AY31:AZ31"/>
    <mergeCell ref="C32:G32"/>
    <mergeCell ref="H32:K32"/>
    <mergeCell ref="L32:N32"/>
    <mergeCell ref="O32:P32"/>
    <mergeCell ref="Q32:R32"/>
    <mergeCell ref="S32:T32"/>
    <mergeCell ref="U32:V32"/>
    <mergeCell ref="W32:X32"/>
    <mergeCell ref="Y32:Z32"/>
    <mergeCell ref="AA32:AB32"/>
    <mergeCell ref="AC32:AD32"/>
    <mergeCell ref="AE32:AF32"/>
    <mergeCell ref="AG32:AH32"/>
    <mergeCell ref="AI32:AJ32"/>
    <mergeCell ref="AK32:AL32"/>
    <mergeCell ref="AM32:AN32"/>
    <mergeCell ref="AO32:AP32"/>
    <mergeCell ref="AQ32:AR32"/>
    <mergeCell ref="AS32:AT32"/>
    <mergeCell ref="AU32:AV32"/>
    <mergeCell ref="AW32:AX32"/>
    <mergeCell ref="AY32:AZ32"/>
    <mergeCell ref="C33:G33"/>
    <mergeCell ref="H33:K33"/>
    <mergeCell ref="L33:N33"/>
    <mergeCell ref="O33:P33"/>
    <mergeCell ref="Q33:R33"/>
    <mergeCell ref="S33:T33"/>
    <mergeCell ref="U33:V33"/>
    <mergeCell ref="W33:X33"/>
    <mergeCell ref="Y33:Z33"/>
    <mergeCell ref="AA33:AB33"/>
    <mergeCell ref="AC33:AD33"/>
    <mergeCell ref="AE33:AF33"/>
    <mergeCell ref="AG33:AH33"/>
    <mergeCell ref="AI33:AJ33"/>
    <mergeCell ref="AK33:AL33"/>
    <mergeCell ref="AM33:AN33"/>
    <mergeCell ref="AO33:AP33"/>
    <mergeCell ref="AQ33:AR33"/>
    <mergeCell ref="AS33:AT33"/>
    <mergeCell ref="AU33:AV33"/>
    <mergeCell ref="AW33:AX33"/>
    <mergeCell ref="AY33:AZ33"/>
    <mergeCell ref="C18:G18"/>
    <mergeCell ref="H18:K18"/>
    <mergeCell ref="L18:N18"/>
    <mergeCell ref="O18:P18"/>
    <mergeCell ref="Q18:R18"/>
    <mergeCell ref="S18:T18"/>
    <mergeCell ref="U18:V18"/>
    <mergeCell ref="W18:X18"/>
    <mergeCell ref="Y18:Z18"/>
    <mergeCell ref="AE18:AF18"/>
    <mergeCell ref="AG18:AH18"/>
    <mergeCell ref="AI18:AJ18"/>
    <mergeCell ref="AK18:AL18"/>
    <mergeCell ref="AM18:AN18"/>
    <mergeCell ref="AO18:AP18"/>
    <mergeCell ref="AQ18:AR18"/>
    <mergeCell ref="AS18:AT18"/>
    <mergeCell ref="AU18:AV18"/>
    <mergeCell ref="AW18:AX18"/>
    <mergeCell ref="AY18:AZ18"/>
    <mergeCell ref="C19:G19"/>
    <mergeCell ref="H19:K19"/>
    <mergeCell ref="L19:N19"/>
    <mergeCell ref="O19:P19"/>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Q19:AR19"/>
    <mergeCell ref="AS19:AT19"/>
    <mergeCell ref="AU19:AV19"/>
    <mergeCell ref="AW19:AX19"/>
    <mergeCell ref="AY19:AZ19"/>
    <mergeCell ref="C20:G20"/>
    <mergeCell ref="H20:K20"/>
    <mergeCell ref="L20:N20"/>
    <mergeCell ref="O20:P20"/>
    <mergeCell ref="Q20:R20"/>
    <mergeCell ref="S20:T20"/>
    <mergeCell ref="U20:V20"/>
    <mergeCell ref="W20:X20"/>
    <mergeCell ref="Y20:Z20"/>
    <mergeCell ref="AE20:AF20"/>
    <mergeCell ref="AG20:AH20"/>
    <mergeCell ref="AI20:AJ20"/>
    <mergeCell ref="AK20:AL20"/>
    <mergeCell ref="AM20:AN20"/>
    <mergeCell ref="AO20:AP20"/>
    <mergeCell ref="AQ20:AR20"/>
    <mergeCell ref="AS20:AT20"/>
    <mergeCell ref="AU20:AV20"/>
    <mergeCell ref="AW20:AX20"/>
    <mergeCell ref="AY20:AZ20"/>
    <mergeCell ref="C21:G21"/>
    <mergeCell ref="H21:K21"/>
    <mergeCell ref="L21:N21"/>
    <mergeCell ref="O21:P21"/>
    <mergeCell ref="Q21:R21"/>
    <mergeCell ref="S21:T21"/>
    <mergeCell ref="U21:V21"/>
    <mergeCell ref="W21:X21"/>
    <mergeCell ref="Y21:Z21"/>
    <mergeCell ref="AA21:AB21"/>
    <mergeCell ref="AC21:AD21"/>
    <mergeCell ref="AE21:AF21"/>
    <mergeCell ref="AG21:AH21"/>
    <mergeCell ref="AI21:AJ21"/>
    <mergeCell ref="AK21:AL21"/>
    <mergeCell ref="AM21:AN21"/>
    <mergeCell ref="AO21:AP21"/>
    <mergeCell ref="AQ21:AR21"/>
    <mergeCell ref="AS21:AT21"/>
    <mergeCell ref="AU21:AV21"/>
    <mergeCell ref="AW21:AX21"/>
    <mergeCell ref="AY21:AZ21"/>
    <mergeCell ref="C22:G22"/>
    <mergeCell ref="H22:K22"/>
    <mergeCell ref="L22:N22"/>
    <mergeCell ref="O22:P22"/>
    <mergeCell ref="Q22:R22"/>
    <mergeCell ref="S22:T22"/>
    <mergeCell ref="U22:V22"/>
    <mergeCell ref="W22:X22"/>
    <mergeCell ref="Y22:Z22"/>
    <mergeCell ref="AW23:AX23"/>
    <mergeCell ref="AY23:AZ23"/>
    <mergeCell ref="AE22:AF22"/>
    <mergeCell ref="AG22:AH22"/>
    <mergeCell ref="AI22:AJ22"/>
    <mergeCell ref="AK22:AL22"/>
    <mergeCell ref="AM22:AN22"/>
    <mergeCell ref="AO22:AP22"/>
    <mergeCell ref="AQ22:AR22"/>
    <mergeCell ref="AS22:AT22"/>
    <mergeCell ref="AU22:AV22"/>
    <mergeCell ref="AE23:AF23"/>
    <mergeCell ref="AG23:AH23"/>
    <mergeCell ref="AI23:AJ23"/>
    <mergeCell ref="AK23:AL23"/>
    <mergeCell ref="AM23:AN23"/>
    <mergeCell ref="AO23:AP23"/>
    <mergeCell ref="AQ23:AR23"/>
    <mergeCell ref="AS23:AT23"/>
    <mergeCell ref="AU23:AV23"/>
    <mergeCell ref="C23:G23"/>
    <mergeCell ref="H23:K23"/>
    <mergeCell ref="L23:N23"/>
    <mergeCell ref="O23:P23"/>
    <mergeCell ref="Q23:R23"/>
    <mergeCell ref="S23:T23"/>
    <mergeCell ref="U23:V23"/>
    <mergeCell ref="W23:X23"/>
    <mergeCell ref="Y23:Z23"/>
    <mergeCell ref="AS2:AZ2"/>
    <mergeCell ref="AW38:AX38"/>
    <mergeCell ref="AS38:AT38"/>
    <mergeCell ref="AW37:AX37"/>
    <mergeCell ref="AO37:AP37"/>
    <mergeCell ref="AS40:AT40"/>
    <mergeCell ref="AI40:AJ40"/>
    <mergeCell ref="AG40:AH40"/>
    <mergeCell ref="Y40:Z40"/>
    <mergeCell ref="AW39:AX39"/>
    <mergeCell ref="AS39:AT39"/>
    <mergeCell ref="AS37:AT37"/>
    <mergeCell ref="AU37:AV37"/>
    <mergeCell ref="AU38:AV38"/>
    <mergeCell ref="AU39:AV39"/>
    <mergeCell ref="AM37:AN37"/>
    <mergeCell ref="AM38:AN38"/>
    <mergeCell ref="AM39:AN39"/>
    <mergeCell ref="AG37:AH37"/>
    <mergeCell ref="AG38:AH38"/>
    <mergeCell ref="AW22:AX22"/>
    <mergeCell ref="AY22:AZ22"/>
    <mergeCell ref="AA23:AB23"/>
    <mergeCell ref="AC23:AD23"/>
  </mergeCells>
  <phoneticPr fontId="32" type="noConversion"/>
  <printOptions horizontalCentered="1"/>
  <pageMargins left="0.39370078740157483" right="0.39370078740157483" top="0.39370078740157483" bottom="0.39370078740157483" header="0.11811023622047245" footer="0.11811023622047245"/>
  <pageSetup paperSize="9" scale="52" orientation="landscape" r:id="rId1"/>
  <headerFooter>
    <oddHeader>&amp;RPage &amp;P (&amp;N)</oddHeader>
    <oddFooter>&amp;LFile: &amp;F&amp;RTemplate:  2.1 September 2017</oddFooter>
  </headerFooter>
  <ignoredErrors>
    <ignoredError sqref="AD16:AE16 AJ16:AK16 AP16:AQ16 V16 AB1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Z39"/>
  <sheetViews>
    <sheetView showGridLines="0" zoomScale="90" zoomScaleNormal="90" zoomScaleSheetLayoutView="90" workbookViewId="0">
      <selection activeCell="V18" sqref="V18:W18"/>
    </sheetView>
  </sheetViews>
  <sheetFormatPr defaultRowHeight="13.5" x14ac:dyDescent="0.15"/>
  <cols>
    <col min="1" max="1" width="9.125" style="248"/>
    <col min="2" max="20" width="4.75" customWidth="1"/>
    <col min="21" max="21" width="6.75" customWidth="1"/>
    <col min="22" max="32" width="4.75" customWidth="1"/>
    <col min="33" max="33" width="6.75" customWidth="1"/>
    <col min="34" max="36" width="4.75" customWidth="1"/>
    <col min="37" max="37" width="6.75" customWidth="1"/>
    <col min="38" max="38" width="9.125" hidden="1" customWidth="1"/>
    <col min="39" max="39" width="4.75" customWidth="1"/>
    <col min="52" max="52" width="9.125" customWidth="1"/>
  </cols>
  <sheetData>
    <row r="2" spans="1:38" ht="14.25" thickBot="1" x14ac:dyDescent="0.2">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382" t="s">
        <v>0</v>
      </c>
      <c r="AF2" s="382"/>
      <c r="AG2" s="382"/>
      <c r="AH2" s="382"/>
      <c r="AI2" s="382"/>
      <c r="AJ2" s="382"/>
      <c r="AK2" s="382"/>
      <c r="AL2" s="382"/>
    </row>
    <row r="3" spans="1:38" ht="15" customHeight="1" x14ac:dyDescent="0.15">
      <c r="B3" s="383" t="s">
        <v>1</v>
      </c>
      <c r="C3" s="384"/>
      <c r="D3" s="384"/>
      <c r="E3" s="384"/>
      <c r="F3" s="384"/>
      <c r="G3" s="384"/>
      <c r="H3" s="384"/>
      <c r="I3" s="384"/>
      <c r="J3" s="384"/>
      <c r="K3" s="395" t="str">
        <f>Summary!K3</f>
        <v>Cost Break Down (CBD)</v>
      </c>
      <c r="L3" s="396"/>
      <c r="M3" s="396"/>
      <c r="N3" s="396"/>
      <c r="O3" s="396"/>
      <c r="P3" s="396"/>
      <c r="Q3" s="396"/>
      <c r="R3" s="396"/>
      <c r="S3" s="396"/>
      <c r="T3" s="396"/>
      <c r="U3" s="396"/>
      <c r="V3" s="396"/>
      <c r="W3" s="396"/>
      <c r="X3" s="396"/>
      <c r="Y3" s="396"/>
      <c r="Z3" s="396"/>
      <c r="AA3" s="396"/>
      <c r="AB3" s="396"/>
      <c r="AC3" s="396"/>
      <c r="AD3" s="397"/>
      <c r="AE3" s="757" t="str">
        <f>VLOOKUP("f",Languages!$A$1:$F$286,VLOOKUP(Summary!AM6,Languages!$C$2:$D$6,2,FALSE),FALSE)</f>
        <v>Tools and Devices</v>
      </c>
      <c r="AF3" s="757"/>
      <c r="AG3" s="757"/>
      <c r="AH3" s="757"/>
      <c r="AI3" s="757"/>
      <c r="AJ3" s="757"/>
      <c r="AK3" s="758"/>
      <c r="AL3" s="53"/>
    </row>
    <row r="4" spans="1:38" ht="15" customHeight="1" thickBot="1" x14ac:dyDescent="0.2">
      <c r="B4" s="386"/>
      <c r="C4" s="387"/>
      <c r="D4" s="387"/>
      <c r="E4" s="387"/>
      <c r="F4" s="387"/>
      <c r="G4" s="387"/>
      <c r="H4" s="387"/>
      <c r="I4" s="387"/>
      <c r="J4" s="387"/>
      <c r="K4" s="398"/>
      <c r="L4" s="399"/>
      <c r="M4" s="399"/>
      <c r="N4" s="399"/>
      <c r="O4" s="399"/>
      <c r="P4" s="399"/>
      <c r="Q4" s="399"/>
      <c r="R4" s="399"/>
      <c r="S4" s="399"/>
      <c r="T4" s="399"/>
      <c r="U4" s="399"/>
      <c r="V4" s="399"/>
      <c r="W4" s="399"/>
      <c r="X4" s="399"/>
      <c r="Y4" s="399"/>
      <c r="Z4" s="399"/>
      <c r="AA4" s="399"/>
      <c r="AB4" s="399"/>
      <c r="AC4" s="399"/>
      <c r="AD4" s="400"/>
      <c r="AE4" s="759"/>
      <c r="AF4" s="759"/>
      <c r="AG4" s="759"/>
      <c r="AH4" s="759"/>
      <c r="AI4" s="759"/>
      <c r="AJ4" s="759"/>
      <c r="AK4" s="760"/>
      <c r="AL4" s="53"/>
    </row>
    <row r="5" spans="1:38" s="53" customFormat="1" ht="9.9499999999999993" customHeight="1" thickBot="1" x14ac:dyDescent="0.2">
      <c r="A5" s="248"/>
      <c r="B5" s="386"/>
      <c r="C5" s="387"/>
      <c r="D5" s="387"/>
      <c r="E5" s="387"/>
      <c r="F5" s="387"/>
      <c r="G5" s="387"/>
      <c r="H5" s="387"/>
      <c r="I5" s="387"/>
      <c r="J5" s="387"/>
      <c r="K5" s="398"/>
      <c r="L5" s="399"/>
      <c r="M5" s="399"/>
      <c r="N5" s="399"/>
      <c r="O5" s="399"/>
      <c r="P5" s="399"/>
      <c r="Q5" s="399"/>
      <c r="R5" s="399"/>
      <c r="S5" s="399"/>
      <c r="T5" s="399"/>
      <c r="U5" s="399"/>
      <c r="V5" s="399"/>
      <c r="W5" s="399"/>
      <c r="X5" s="399"/>
      <c r="Y5" s="399"/>
      <c r="Z5" s="399"/>
      <c r="AA5" s="399"/>
      <c r="AB5" s="399"/>
      <c r="AC5" s="399"/>
      <c r="AD5" s="400"/>
      <c r="AE5" s="219"/>
      <c r="AF5" s="236"/>
      <c r="AG5" s="307" t="str">
        <f>Summary!AL5</f>
        <v>Version</v>
      </c>
      <c r="AH5" s="308" t="str">
        <f>Summary!AM5</f>
        <v>2.1</v>
      </c>
      <c r="AJ5" s="236"/>
      <c r="AK5" s="237"/>
    </row>
    <row r="6" spans="1:38" ht="9.9499999999999993" customHeight="1" thickBot="1" x14ac:dyDescent="0.2">
      <c r="B6" s="386"/>
      <c r="C6" s="387"/>
      <c r="D6" s="387"/>
      <c r="E6" s="387"/>
      <c r="F6" s="387"/>
      <c r="G6" s="387"/>
      <c r="H6" s="387"/>
      <c r="I6" s="387"/>
      <c r="J6" s="387"/>
      <c r="K6" s="401"/>
      <c r="L6" s="402"/>
      <c r="M6" s="402"/>
      <c r="N6" s="402"/>
      <c r="O6" s="402"/>
      <c r="P6" s="402"/>
      <c r="Q6" s="402"/>
      <c r="R6" s="402"/>
      <c r="S6" s="402"/>
      <c r="T6" s="402"/>
      <c r="U6" s="402"/>
      <c r="V6" s="402"/>
      <c r="W6" s="402"/>
      <c r="X6" s="402"/>
      <c r="Y6" s="402"/>
      <c r="Z6" s="402"/>
      <c r="AA6" s="402"/>
      <c r="AB6" s="402"/>
      <c r="AC6" s="402"/>
      <c r="AD6" s="403"/>
      <c r="AE6" s="53"/>
      <c r="AF6" s="239"/>
      <c r="AG6" s="247" t="str">
        <f>Summary!AL6</f>
        <v>Language</v>
      </c>
      <c r="AH6" s="240" t="str">
        <f>Summary!AM6</f>
        <v>English</v>
      </c>
      <c r="AI6" s="240"/>
      <c r="AJ6" s="240"/>
      <c r="AK6" s="241"/>
      <c r="AL6" s="53"/>
    </row>
    <row r="7" spans="1:38" x14ac:dyDescent="0.15">
      <c r="B7" s="386"/>
      <c r="C7" s="387"/>
      <c r="D7" s="387"/>
      <c r="E7" s="387"/>
      <c r="F7" s="387"/>
      <c r="G7" s="387"/>
      <c r="H7" s="387"/>
      <c r="I7" s="387"/>
      <c r="J7" s="388"/>
      <c r="K7" s="60"/>
      <c r="L7" s="198" t="str">
        <f>Summary!L7</f>
        <v>Supplier</v>
      </c>
      <c r="M7" s="203"/>
      <c r="N7" s="83"/>
      <c r="O7" s="199"/>
      <c r="P7" s="770" t="str">
        <f>IF(Summary!U7=0,"",Summary!U7)</f>
        <v>BEIJING GOLDRARE AUTOMOBILE PARTS CO.,LTD</v>
      </c>
      <c r="Q7" s="771"/>
      <c r="R7" s="771"/>
      <c r="S7" s="771"/>
      <c r="T7" s="771"/>
      <c r="U7" s="771"/>
      <c r="V7" s="772"/>
      <c r="W7" s="53"/>
      <c r="X7" s="773" t="str">
        <f>VLOOKUP("0.01",Languages!$A$10:$F$111,VLOOKUP(Summary!AM6,Languages!$C$2:$D$6,2,FALSE),FALSE)</f>
        <v>Field</v>
      </c>
      <c r="Y7" s="773"/>
      <c r="Z7" s="53"/>
      <c r="AA7" s="244" t="str">
        <f>Summary!AF7</f>
        <v>Project</v>
      </c>
      <c r="AB7" s="64"/>
      <c r="AC7" s="83"/>
      <c r="AD7" s="8"/>
      <c r="AE7" s="588" t="str">
        <f>IF(Summary!AJ7=0,"",Summary!AJ7)</f>
        <v/>
      </c>
      <c r="AF7" s="589"/>
      <c r="AG7" s="589"/>
      <c r="AH7" s="589"/>
      <c r="AI7" s="589"/>
      <c r="AJ7" s="589"/>
      <c r="AK7" s="590"/>
      <c r="AL7" s="53"/>
    </row>
    <row r="8" spans="1:38" x14ac:dyDescent="0.15">
      <c r="B8" s="386"/>
      <c r="C8" s="387"/>
      <c r="D8" s="387"/>
      <c r="E8" s="387"/>
      <c r="F8" s="387"/>
      <c r="G8" s="387"/>
      <c r="H8" s="387"/>
      <c r="I8" s="387"/>
      <c r="J8" s="388"/>
      <c r="K8" s="60"/>
      <c r="L8" s="49" t="str">
        <f>Summary!L8</f>
        <v>Contact person</v>
      </c>
      <c r="M8" s="204"/>
      <c r="N8" s="6"/>
      <c r="O8" s="6"/>
      <c r="P8" s="582" t="str">
        <f>IF(Summary!U8=0,"",Summary!U8)</f>
        <v>Vicky Wang (王东芳)</v>
      </c>
      <c r="Q8" s="583"/>
      <c r="R8" s="583"/>
      <c r="S8" s="583"/>
      <c r="T8" s="583"/>
      <c r="U8" s="583"/>
      <c r="V8" s="584"/>
      <c r="W8" s="53"/>
      <c r="X8" s="486" t="str">
        <f>VLOOKUP("0.02",Languages!$A$10:$F$111,VLOOKUP(Summary!AM6,Languages!$C$2:$D$6,2,FALSE),FALSE)</f>
        <v>mandatory</v>
      </c>
      <c r="Y8" s="487"/>
      <c r="Z8" s="53"/>
      <c r="AA8" s="49" t="str">
        <f>Summary!AF8</f>
        <v>Part number</v>
      </c>
      <c r="AB8" s="6"/>
      <c r="AC8" s="6"/>
      <c r="AD8" s="1"/>
      <c r="AE8" s="591" t="str">
        <f>IF(Summary!AJ8=0,"",Summary!AJ8)</f>
        <v/>
      </c>
      <c r="AF8" s="592"/>
      <c r="AG8" s="592"/>
      <c r="AH8" s="592"/>
      <c r="AI8" s="592"/>
      <c r="AJ8" s="592"/>
      <c r="AK8" s="593"/>
      <c r="AL8" s="53"/>
    </row>
    <row r="9" spans="1:38" x14ac:dyDescent="0.15">
      <c r="B9" s="386"/>
      <c r="C9" s="387"/>
      <c r="D9" s="387"/>
      <c r="E9" s="387"/>
      <c r="F9" s="387"/>
      <c r="G9" s="387"/>
      <c r="H9" s="387"/>
      <c r="I9" s="387"/>
      <c r="J9" s="388"/>
      <c r="K9" s="60"/>
      <c r="L9" s="49" t="str">
        <f>Summary!L9</f>
        <v>E-Mail</v>
      </c>
      <c r="M9" s="204"/>
      <c r="N9" s="6"/>
      <c r="O9" s="6"/>
      <c r="P9" s="582" t="str">
        <f>IF(Summary!U9=0,"",Summary!U9)</f>
        <v>wangdongfang@bjghrc.com</v>
      </c>
      <c r="Q9" s="583"/>
      <c r="R9" s="583"/>
      <c r="S9" s="583"/>
      <c r="T9" s="583"/>
      <c r="U9" s="583"/>
      <c r="V9" s="584"/>
      <c r="W9" s="53"/>
      <c r="X9" s="774" t="str">
        <f>VLOOKUP("0.03",Languages!$A$10:$F$111,VLOOKUP(Summary!AM6,Languages!$C$2:$D$6,2,FALSE),FALSE)</f>
        <v>optional</v>
      </c>
      <c r="Y9" s="775"/>
      <c r="Z9" s="53"/>
      <c r="AA9" s="49" t="str">
        <f>Summary!AF9</f>
        <v>Part name</v>
      </c>
      <c r="AB9" s="6"/>
      <c r="AC9" s="6"/>
      <c r="AD9" s="1"/>
      <c r="AE9" s="591" t="str">
        <f>IF(Summary!AJ9=0,"",Summary!AJ9)</f>
        <v/>
      </c>
      <c r="AF9" s="592"/>
      <c r="AG9" s="592"/>
      <c r="AH9" s="592"/>
      <c r="AI9" s="592"/>
      <c r="AJ9" s="592"/>
      <c r="AK9" s="593"/>
      <c r="AL9" s="53"/>
    </row>
    <row r="10" spans="1:38" ht="14.25" thickBot="1" x14ac:dyDescent="0.2">
      <c r="B10" s="389"/>
      <c r="C10" s="390"/>
      <c r="D10" s="390"/>
      <c r="E10" s="390"/>
      <c r="F10" s="390"/>
      <c r="G10" s="390"/>
      <c r="H10" s="390"/>
      <c r="I10" s="390"/>
      <c r="J10" s="391"/>
      <c r="K10" s="61"/>
      <c r="L10" s="200" t="str">
        <f>Summary!L10</f>
        <v>Telephone</v>
      </c>
      <c r="M10" s="205"/>
      <c r="N10" s="201"/>
      <c r="O10" s="201"/>
      <c r="P10" s="778">
        <f>IF(Summary!U10=0,"",Summary!U10)</f>
        <v>8618511780380</v>
      </c>
      <c r="Q10" s="779"/>
      <c r="R10" s="779"/>
      <c r="S10" s="779"/>
      <c r="T10" s="779"/>
      <c r="U10" s="779"/>
      <c r="V10" s="780"/>
      <c r="W10" s="62"/>
      <c r="X10" s="776" t="str">
        <f>VLOOKUP("0.04",Languages!$A$10:$F$111,VLOOKUP(Summary!AM6,Languages!$C$2:$D$6,2,FALSE),FALSE)</f>
        <v>calculated</v>
      </c>
      <c r="Y10" s="777"/>
      <c r="Z10" s="62"/>
      <c r="AA10" s="50" t="str">
        <f>Summary!AF10</f>
        <v>Quotation date</v>
      </c>
      <c r="AB10" s="62"/>
      <c r="AC10" s="201"/>
      <c r="AD10" s="10"/>
      <c r="AE10" s="594" t="str">
        <f>IF(Summary!AJ10=0,"",Summary!AJ10)</f>
        <v/>
      </c>
      <c r="AF10" s="595"/>
      <c r="AG10" s="595"/>
      <c r="AH10" s="595"/>
      <c r="AI10" s="595"/>
      <c r="AJ10" s="595"/>
      <c r="AK10" s="596"/>
      <c r="AL10" s="53"/>
    </row>
    <row r="11" spans="1:38" ht="14.25" thickBot="1" x14ac:dyDescent="0.2">
      <c r="B11" s="361"/>
      <c r="C11" s="361"/>
      <c r="D11" s="361"/>
      <c r="E11" s="361"/>
      <c r="F11" s="54"/>
      <c r="G11" s="58"/>
      <c r="H11" s="54"/>
      <c r="I11" s="12"/>
      <c r="J11" s="12"/>
      <c r="K11" s="12"/>
      <c r="L11" s="12"/>
      <c r="M11" s="54"/>
      <c r="N11" s="58"/>
      <c r="O11" s="54"/>
      <c r="P11" s="54"/>
      <c r="Q11" s="12"/>
      <c r="R11" s="12"/>
      <c r="S11" s="12"/>
      <c r="T11" s="12"/>
      <c r="U11" s="53"/>
      <c r="V11" s="53"/>
      <c r="W11" s="53"/>
      <c r="X11" s="53"/>
      <c r="Y11" s="53"/>
      <c r="Z11" s="53"/>
      <c r="AA11" s="53"/>
      <c r="AB11" s="53"/>
      <c r="AC11" s="53"/>
      <c r="AD11" s="53"/>
      <c r="AE11" s="53"/>
      <c r="AF11" s="53"/>
      <c r="AG11" s="53"/>
      <c r="AH11" s="53"/>
      <c r="AI11" s="53"/>
      <c r="AJ11" s="53"/>
      <c r="AK11" s="53"/>
      <c r="AL11" s="53"/>
    </row>
    <row r="12" spans="1:38" x14ac:dyDescent="0.15">
      <c r="B12" s="764" t="str">
        <f>VLOOKUP("I01",Languages!$A$1:$F$286,VLOOKUP(Summary!AM6,Languages!$C$2:$D$6,2,FALSE),FALSE)</f>
        <v>Description</v>
      </c>
      <c r="C12" s="765"/>
      <c r="D12" s="765"/>
      <c r="E12" s="765"/>
      <c r="F12" s="765"/>
      <c r="G12" s="765"/>
      <c r="H12" s="765"/>
      <c r="I12" s="765"/>
      <c r="J12" s="765"/>
      <c r="K12" s="766"/>
      <c r="L12" s="731" t="str">
        <f>VLOOKUP("I02",Languages!$A$1:$F$286,VLOOKUP(Summary!AM6,Languages!$C$2:$D$6,2,FALSE),FALSE)</f>
        <v>Purchasing Currency</v>
      </c>
      <c r="M12" s="732"/>
      <c r="N12" s="732"/>
      <c r="O12" s="732"/>
      <c r="P12" s="732"/>
      <c r="Q12" s="732"/>
      <c r="R12" s="733"/>
      <c r="S12" s="731" t="str">
        <f>VLOOKUP("I03",Languages!$A$1:$F$286,VLOOKUP(Summary!AM6,Languages!$C$2:$D$6,2,FALSE),FALSE)</f>
        <v>Statement in quotation currency</v>
      </c>
      <c r="T12" s="732"/>
      <c r="U12" s="732"/>
      <c r="V12" s="732"/>
      <c r="W12" s="732"/>
      <c r="X12" s="732"/>
      <c r="Y12" s="732"/>
      <c r="Z12" s="732"/>
      <c r="AA12" s="732"/>
      <c r="AB12" s="732"/>
      <c r="AC12" s="732"/>
      <c r="AD12" s="732"/>
      <c r="AE12" s="732"/>
      <c r="AF12" s="732"/>
      <c r="AG12" s="732"/>
      <c r="AH12" s="732"/>
      <c r="AI12" s="732"/>
      <c r="AJ12" s="732"/>
      <c r="AK12" s="733"/>
      <c r="AL12" s="53"/>
    </row>
    <row r="13" spans="1:38" ht="14.25" thickBot="1" x14ac:dyDescent="0.2">
      <c r="B13" s="767" t="str">
        <f>VLOOKUP("I04",Languages!$A$1:$F$286,VLOOKUP(Summary!AM6,Languages!$C$2:$D$6,2,FALSE),FALSE)</f>
        <v>Life time quantity:</v>
      </c>
      <c r="C13" s="768"/>
      <c r="D13" s="768"/>
      <c r="E13" s="768"/>
      <c r="F13" s="769"/>
      <c r="G13" s="761">
        <f>Summary!G14*Summary!G15</f>
        <v>0</v>
      </c>
      <c r="H13" s="762"/>
      <c r="I13" s="762"/>
      <c r="J13" s="762"/>
      <c r="K13" s="763"/>
      <c r="L13" s="734"/>
      <c r="M13" s="735"/>
      <c r="N13" s="735"/>
      <c r="O13" s="735"/>
      <c r="P13" s="735"/>
      <c r="Q13" s="735"/>
      <c r="R13" s="736"/>
      <c r="S13" s="734"/>
      <c r="T13" s="735"/>
      <c r="U13" s="735"/>
      <c r="V13" s="735"/>
      <c r="W13" s="735"/>
      <c r="X13" s="735"/>
      <c r="Y13" s="735"/>
      <c r="Z13" s="735"/>
      <c r="AA13" s="735"/>
      <c r="AB13" s="735"/>
      <c r="AC13" s="735"/>
      <c r="AD13" s="735"/>
      <c r="AE13" s="735"/>
      <c r="AF13" s="735"/>
      <c r="AG13" s="735"/>
      <c r="AH13" s="735"/>
      <c r="AI13" s="735"/>
      <c r="AJ13" s="735"/>
      <c r="AK13" s="736"/>
      <c r="AL13" s="53"/>
    </row>
    <row r="14" spans="1:38" x14ac:dyDescent="0.15">
      <c r="B14" s="37" t="s">
        <v>64</v>
      </c>
      <c r="C14" s="642" t="s">
        <v>65</v>
      </c>
      <c r="D14" s="643"/>
      <c r="E14" s="643"/>
      <c r="F14" s="643"/>
      <c r="G14" s="643"/>
      <c r="H14" s="644"/>
      <c r="I14" s="642" t="s">
        <v>66</v>
      </c>
      <c r="J14" s="643"/>
      <c r="K14" s="643"/>
      <c r="L14" s="706" t="s">
        <v>67</v>
      </c>
      <c r="M14" s="644"/>
      <c r="N14" s="642" t="s">
        <v>68</v>
      </c>
      <c r="O14" s="643"/>
      <c r="P14" s="644"/>
      <c r="Q14" s="642" t="s">
        <v>69</v>
      </c>
      <c r="R14" s="643"/>
      <c r="S14" s="706" t="s">
        <v>70</v>
      </c>
      <c r="T14" s="643"/>
      <c r="U14" s="644"/>
      <c r="V14" s="642" t="s">
        <v>71</v>
      </c>
      <c r="W14" s="644"/>
      <c r="X14" s="642" t="s">
        <v>72</v>
      </c>
      <c r="Y14" s="643"/>
      <c r="Z14" s="643"/>
      <c r="AA14" s="644"/>
      <c r="AB14" s="642" t="s">
        <v>73</v>
      </c>
      <c r="AC14" s="643"/>
      <c r="AD14" s="643"/>
      <c r="AE14" s="644"/>
      <c r="AF14" s="642" t="s">
        <v>74</v>
      </c>
      <c r="AG14" s="643"/>
      <c r="AH14" s="737" t="s">
        <v>75</v>
      </c>
      <c r="AI14" s="737"/>
      <c r="AJ14" s="737" t="s">
        <v>76</v>
      </c>
      <c r="AK14" s="738"/>
      <c r="AL14" s="53"/>
    </row>
    <row r="15" spans="1:38" ht="69.95" customHeight="1" x14ac:dyDescent="0.15">
      <c r="B15" s="753" t="str">
        <f>VLOOKUP("I1",Languages!$A$1:$F$286,VLOOKUP(Summary!AM6,Languages!$C$2:$D$6,2,FALSE),FALSE)</f>
        <v>Manufacturing step no.</v>
      </c>
      <c r="C15" s="612" t="str">
        <f>VLOOKUP("I2",Languages!$A$1:$F$286,VLOOKUP(Summary!AM6,Languages!$C$2:$D$6,2,FALSE),FALSE)</f>
        <v>Designation Tool / Device</v>
      </c>
      <c r="D15" s="613"/>
      <c r="E15" s="613"/>
      <c r="F15" s="613"/>
      <c r="G15" s="613"/>
      <c r="H15" s="614"/>
      <c r="I15" s="612" t="str">
        <f>VLOOKUP("I3",Languages!$A$1:$F$286,VLOOKUP(Summary!AM6,Languages!$C$2:$D$6,2,FALSE),FALSE)</f>
        <v>Service life in cycles</v>
      </c>
      <c r="J15" s="613"/>
      <c r="K15" s="613"/>
      <c r="L15" s="753" t="str">
        <f>VLOOKUP("I4",Languages!$A$1:$F$286,VLOOKUP(Summary!AM6,Languages!$C$2:$D$6,2,FALSE),FALSE)</f>
        <v>Purchasing currency</v>
      </c>
      <c r="M15" s="614"/>
      <c r="N15" s="612" t="str">
        <f>VLOOKUP("I5",Languages!$A$1:$F$286,VLOOKUP(Summary!AM6,Languages!$C$2:$D$6,2,FALSE),FALSE)</f>
        <v>Investment in purchasing currency</v>
      </c>
      <c r="O15" s="613"/>
      <c r="P15" s="614"/>
      <c r="Q15" s="727" t="str">
        <f>VLOOKUP("I6",Languages!$A$1:$F$286,VLOOKUP(Summary!AM6,Languages!$C$2:$D$6,2,FALSE),FALSE)</f>
        <v>Rate of exchange (AW/BW)</v>
      </c>
      <c r="R15" s="666"/>
      <c r="S15" s="665" t="str">
        <f>VLOOKUP("I7",Languages!$A$1:$F$286,VLOOKUP(Summary!AM6,Languages!$C$2:$D$6,2,FALSE),FALSE)</f>
        <v>Investment in quotation currency</v>
      </c>
      <c r="T15" s="666"/>
      <c r="U15" s="728"/>
      <c r="V15" s="612" t="str">
        <f>VLOOKUP("I8",Languages!$A$1:$F$286,VLOOKUP(Summary!AM6,Languages!$C$2:$D$6,2,FALSE),FALSE)</f>
        <v>Number (lifetime)</v>
      </c>
      <c r="W15" s="614"/>
      <c r="X15" s="612" t="str">
        <f>VLOOKUP("I9",Languages!$A$1:$F$286,VLOOKUP(Summary!AM6,Languages!$C$2:$D$6,2,FALSE),FALSE)</f>
        <v>Total lifetime investment</v>
      </c>
      <c r="Y15" s="613"/>
      <c r="Z15" s="613"/>
      <c r="AA15" s="614"/>
      <c r="AB15" s="727" t="str">
        <f>VLOOKUP("I10",Languages!$A$1:$F$286,VLOOKUP(Summary!AM6,Languages!$C$2:$D$6,2,FALSE),FALSE)</f>
        <v>One-time payments</v>
      </c>
      <c r="AC15" s="666"/>
      <c r="AD15" s="666"/>
      <c r="AE15" s="728"/>
      <c r="AF15" s="573" t="str">
        <f>VLOOKUP("I11",Languages!$A$1:$F$286,VLOOKUP(Summary!AM6,Languages!$C$2:$D$6,2,FALSE),FALSE)</f>
        <v>Allocated costs</v>
      </c>
      <c r="AG15" s="574"/>
      <c r="AH15" s="571" t="str">
        <f>VLOOKUP("I12",Languages!$A$1:$F$286,VLOOKUP(Summary!AM6,Languages!$C$2:$D$6,2,FALSE),FALSE)</f>
        <v>Usage from P20 Manufacturing (6,7,8,9)</v>
      </c>
      <c r="AI15" s="553"/>
      <c r="AJ15" s="739" t="str">
        <f>VLOOKUP("I13",Languages!$A$1:$F$286,VLOOKUP(Summary!AM6,Languages!$C$2:$D$6,2,FALSE),FALSE)</f>
        <v>Allocated costs total</v>
      </c>
      <c r="AK15" s="740"/>
      <c r="AL15" s="261"/>
    </row>
    <row r="16" spans="1:38" s="53" customFormat="1" ht="15" customHeight="1" x14ac:dyDescent="0.15">
      <c r="A16" s="248"/>
      <c r="B16" s="753"/>
      <c r="C16" s="367"/>
      <c r="D16" s="368"/>
      <c r="I16" s="367"/>
      <c r="J16" s="368"/>
      <c r="L16" s="366"/>
      <c r="M16" s="54"/>
      <c r="N16" s="367"/>
      <c r="Q16" s="371"/>
      <c r="S16" s="378"/>
      <c r="T16" s="379"/>
      <c r="V16" s="367"/>
      <c r="X16" s="367"/>
      <c r="Y16" s="54"/>
      <c r="AB16" s="371"/>
      <c r="AF16" s="371"/>
      <c r="AG16" s="755" t="str">
        <f>VLOOKUP(13.3,Languages!$A$1:$F$286,VLOOKUP(Summary!AM6,Languages!$C$2:$D$6,2,FALSE),FALSE)</f>
        <v>/unit</v>
      </c>
      <c r="AH16" s="612"/>
      <c r="AI16" s="614"/>
      <c r="AJ16" s="188"/>
      <c r="AK16" s="692" t="str">
        <f>VLOOKUP(13.6,Languages!$A$1:$F$286,VLOOKUP(Summary!AM6,Languages!$C$2:$D$6,2,FALSE),FALSE)</f>
        <v>/quot. Unit</v>
      </c>
    </row>
    <row r="17" spans="2:52" x14ac:dyDescent="0.15">
      <c r="B17" s="9"/>
      <c r="C17" s="202"/>
      <c r="D17" s="192"/>
      <c r="E17" s="53"/>
      <c r="F17" s="53"/>
      <c r="G17" s="53"/>
      <c r="H17" s="53"/>
      <c r="I17" s="202"/>
      <c r="J17" s="192"/>
      <c r="K17" s="53"/>
      <c r="L17" s="369"/>
      <c r="M17" s="54"/>
      <c r="N17" s="373"/>
      <c r="O17" s="53"/>
      <c r="P17" s="53"/>
      <c r="Q17" s="373"/>
      <c r="R17" s="53"/>
      <c r="S17" s="754">
        <f>Summary!G18</f>
        <v>0</v>
      </c>
      <c r="T17" s="705"/>
      <c r="U17" s="187" t="str">
        <f>VLOOKUP(13.3,Languages!$A$1:$F$286,VLOOKUP(Summary!AM6,Languages!$C$2:$D$6,2,FALSE),FALSE)</f>
        <v>/unit</v>
      </c>
      <c r="V17" s="373"/>
      <c r="W17" s="53"/>
      <c r="X17" s="704">
        <f>Summary!G18</f>
        <v>0</v>
      </c>
      <c r="Y17" s="705"/>
      <c r="Z17" s="705"/>
      <c r="AA17" s="710"/>
      <c r="AB17" s="704">
        <f>Summary!G18</f>
        <v>0</v>
      </c>
      <c r="AC17" s="705"/>
      <c r="AD17" s="705"/>
      <c r="AE17" s="710"/>
      <c r="AF17" s="27">
        <f>Summary!G18</f>
        <v>0</v>
      </c>
      <c r="AG17" s="652"/>
      <c r="AH17" s="694" t="str">
        <f>VLOOKUP(13.5,Languages!$A$1:$F$286,VLOOKUP(Summary!AM6,Languages!$C$2:$D$6,2,FALSE),FALSE)</f>
        <v>units</v>
      </c>
      <c r="AI17" s="551"/>
      <c r="AJ17" s="262">
        <f>Summary!G18</f>
        <v>0</v>
      </c>
      <c r="AK17" s="693"/>
      <c r="AL17" s="53"/>
      <c r="AM17" s="53"/>
      <c r="AN17" s="53"/>
      <c r="AO17" s="53"/>
      <c r="AP17" s="53"/>
      <c r="AQ17" s="53"/>
      <c r="AR17" s="53"/>
      <c r="AS17" s="53"/>
      <c r="AT17" s="53"/>
      <c r="AU17" s="53"/>
      <c r="AV17" s="53"/>
      <c r="AW17" s="53"/>
      <c r="AX17" s="53"/>
      <c r="AY17" s="53"/>
      <c r="AZ17" s="53"/>
    </row>
    <row r="18" spans="2:52" x14ac:dyDescent="0.15">
      <c r="B18" s="332"/>
      <c r="C18" s="528" t="s">
        <v>1194</v>
      </c>
      <c r="D18" s="536"/>
      <c r="E18" s="536"/>
      <c r="F18" s="536"/>
      <c r="G18" s="536"/>
      <c r="H18" s="529"/>
      <c r="I18" s="659" t="s">
        <v>1195</v>
      </c>
      <c r="J18" s="751"/>
      <c r="K18" s="751"/>
      <c r="L18" s="664"/>
      <c r="M18" s="529"/>
      <c r="N18" s="531" t="s">
        <v>1197</v>
      </c>
      <c r="O18" s="661"/>
      <c r="P18" s="532"/>
      <c r="Q18" s="528" t="s">
        <v>1198</v>
      </c>
      <c r="R18" s="529"/>
      <c r="S18" s="750" t="e">
        <f t="shared" ref="S18:S30" si="0">N18*Q18</f>
        <v>#VALUE!</v>
      </c>
      <c r="T18" s="729"/>
      <c r="U18" s="530"/>
      <c r="V18" s="528" t="s">
        <v>1201</v>
      </c>
      <c r="W18" s="529"/>
      <c r="X18" s="522" t="e">
        <f t="shared" ref="X18" si="1">S18*V18</f>
        <v>#VALUE!</v>
      </c>
      <c r="Y18" s="729"/>
      <c r="Z18" s="729"/>
      <c r="AA18" s="530"/>
      <c r="AB18" s="531" t="s">
        <v>1199</v>
      </c>
      <c r="AC18" s="661"/>
      <c r="AD18" s="661"/>
      <c r="AE18" s="532"/>
      <c r="AF18" s="531" t="s">
        <v>1200</v>
      </c>
      <c r="AG18" s="661"/>
      <c r="AH18" s="522" t="str">
        <f>IF(ISBLANK(B18),"-",(VLOOKUP(B18,'Manufacturing (6,7,8,9)'!$B$16:$AZ$214,48,FALSE)))</f>
        <v>-</v>
      </c>
      <c r="AI18" s="530"/>
      <c r="AJ18" s="729" t="e">
        <f>IF(ISBLANK(AF18),"-",AF18*AH18)</f>
        <v>#VALUE!</v>
      </c>
      <c r="AK18" s="523"/>
      <c r="AL18" s="53" t="e">
        <f>$I$15&amp;": "&amp;I18&amp;"    "&amp;$L$15&amp;": "&amp;L18&amp;"    "&amp;$N$15&amp;": "&amp;N18&amp;"    "&amp;$Q$15&amp;": "&amp;Q18&amp;"    "&amp;$S$15&amp;": "&amp;S18&amp;"    "&amp;$V$15&amp;": "&amp;V18&amp;"    "&amp;$X$15&amp;": "&amp;X18</f>
        <v>#VALUE!</v>
      </c>
      <c r="AM18" s="53"/>
      <c r="AN18" s="53"/>
      <c r="AO18" s="53"/>
      <c r="AP18" s="53"/>
      <c r="AQ18" s="53"/>
      <c r="AR18" s="53"/>
      <c r="AS18" s="53"/>
      <c r="AT18" s="53"/>
      <c r="AU18" s="53"/>
      <c r="AV18" s="53"/>
      <c r="AW18" s="53"/>
      <c r="AX18" s="53"/>
      <c r="AY18" s="53"/>
      <c r="AZ18" s="53"/>
    </row>
    <row r="19" spans="2:52" x14ac:dyDescent="0.15">
      <c r="B19" s="330"/>
      <c r="C19" s="528"/>
      <c r="D19" s="536"/>
      <c r="E19" s="536"/>
      <c r="F19" s="536"/>
      <c r="G19" s="536"/>
      <c r="H19" s="529"/>
      <c r="I19" s="659"/>
      <c r="J19" s="751"/>
      <c r="K19" s="751"/>
      <c r="L19" s="664"/>
      <c r="M19" s="529"/>
      <c r="N19" s="531"/>
      <c r="O19" s="661"/>
      <c r="P19" s="532"/>
      <c r="Q19" s="528"/>
      <c r="R19" s="529"/>
      <c r="S19" s="750">
        <f t="shared" si="0"/>
        <v>0</v>
      </c>
      <c r="T19" s="729"/>
      <c r="U19" s="530"/>
      <c r="V19" s="528"/>
      <c r="W19" s="529"/>
      <c r="X19" s="522">
        <f t="shared" ref="X19:X34" si="2">S19*V19</f>
        <v>0</v>
      </c>
      <c r="Y19" s="729"/>
      <c r="Z19" s="729"/>
      <c r="AA19" s="530"/>
      <c r="AB19" s="531"/>
      <c r="AC19" s="661"/>
      <c r="AD19" s="661"/>
      <c r="AE19" s="532"/>
      <c r="AF19" s="531"/>
      <c r="AG19" s="661"/>
      <c r="AH19" s="522" t="str">
        <f>IF(ISBLANK(B19),"-",(VLOOKUP(B19,'Manufacturing (6,7,8,9)'!$B$16:$AZ$214,48,FALSE)))</f>
        <v>-</v>
      </c>
      <c r="AI19" s="530"/>
      <c r="AJ19" s="729" t="str">
        <f t="shared" ref="AJ19:AJ34" si="3">IF(ISBLANK(AF19),"-",AF19*AH19)</f>
        <v>-</v>
      </c>
      <c r="AK19" s="523"/>
      <c r="AL19" s="53" t="str">
        <f t="shared" ref="AL19:AL34" si="4">$I$15&amp;": "&amp;I19&amp;"    "&amp;$L$15&amp;": "&amp;L19&amp;"    "&amp;$N$15&amp;": "&amp;N19&amp;"    "&amp;$Q$15&amp;": "&amp;Q19&amp;"    "&amp;$S$15&amp;": "&amp;S19&amp;"    "&amp;$V$15&amp;": "&amp;V19&amp;"    "&amp;$X$15&amp;": "&amp;X19</f>
        <v>Service life in cycles:     Purchasing currency:     Investment in purchasing currency:     Rate of exchange (AW/BW):     Investment in quotation currency: 0    Number (lifetime):     Total lifetime investment: 0</v>
      </c>
      <c r="AM19" s="53"/>
      <c r="AN19" s="53"/>
      <c r="AO19" s="53"/>
      <c r="AP19" s="53"/>
      <c r="AQ19" s="53"/>
      <c r="AR19" s="53"/>
      <c r="AS19" s="53"/>
      <c r="AT19" s="53"/>
      <c r="AU19" s="53"/>
      <c r="AV19" s="53"/>
      <c r="AW19" s="53"/>
      <c r="AX19" s="53"/>
      <c r="AY19" s="53"/>
      <c r="AZ19" s="53"/>
    </row>
    <row r="20" spans="2:52" x14ac:dyDescent="0.15">
      <c r="B20" s="330"/>
      <c r="C20" s="528"/>
      <c r="D20" s="536"/>
      <c r="E20" s="536"/>
      <c r="F20" s="536"/>
      <c r="G20" s="536"/>
      <c r="H20" s="529"/>
      <c r="I20" s="659"/>
      <c r="J20" s="751"/>
      <c r="K20" s="751"/>
      <c r="L20" s="664"/>
      <c r="M20" s="529"/>
      <c r="N20" s="531"/>
      <c r="O20" s="661"/>
      <c r="P20" s="532"/>
      <c r="Q20" s="528"/>
      <c r="R20" s="529"/>
      <c r="S20" s="750">
        <f t="shared" si="0"/>
        <v>0</v>
      </c>
      <c r="T20" s="729"/>
      <c r="U20" s="530"/>
      <c r="V20" s="528"/>
      <c r="W20" s="529"/>
      <c r="X20" s="522">
        <f t="shared" si="2"/>
        <v>0</v>
      </c>
      <c r="Y20" s="729"/>
      <c r="Z20" s="729"/>
      <c r="AA20" s="530"/>
      <c r="AB20" s="531"/>
      <c r="AC20" s="661"/>
      <c r="AD20" s="661"/>
      <c r="AE20" s="532"/>
      <c r="AF20" s="531"/>
      <c r="AG20" s="661"/>
      <c r="AH20" s="522" t="str">
        <f>IF(ISBLANK(B20),"-",(VLOOKUP(B20,'Manufacturing (6,7,8,9)'!$B$16:$AZ$214,48,FALSE)))</f>
        <v>-</v>
      </c>
      <c r="AI20" s="530"/>
      <c r="AJ20" s="729" t="str">
        <f t="shared" si="3"/>
        <v>-</v>
      </c>
      <c r="AK20" s="523"/>
      <c r="AL20" s="53" t="str">
        <f t="shared" si="4"/>
        <v>Service life in cycles:     Purchasing currency:     Investment in purchasing currency:     Rate of exchange (AW/BW):     Investment in quotation currency: 0    Number (lifetime):     Total lifetime investment: 0</v>
      </c>
      <c r="AM20" s="53"/>
      <c r="AN20" s="53"/>
      <c r="AO20" s="53"/>
      <c r="AP20" s="53"/>
      <c r="AQ20" s="53"/>
      <c r="AR20" s="53"/>
      <c r="AS20" s="53"/>
      <c r="AT20" s="53"/>
      <c r="AU20" s="53"/>
      <c r="AV20" s="53"/>
      <c r="AW20" s="53"/>
      <c r="AX20" s="53"/>
      <c r="AY20" s="53"/>
      <c r="AZ20" s="53"/>
    </row>
    <row r="21" spans="2:52" x14ac:dyDescent="0.15">
      <c r="B21" s="330"/>
      <c r="C21" s="528"/>
      <c r="D21" s="536"/>
      <c r="E21" s="536"/>
      <c r="F21" s="536"/>
      <c r="G21" s="536"/>
      <c r="H21" s="529"/>
      <c r="I21" s="659"/>
      <c r="J21" s="751"/>
      <c r="K21" s="751"/>
      <c r="L21" s="664"/>
      <c r="M21" s="529"/>
      <c r="N21" s="531"/>
      <c r="O21" s="661"/>
      <c r="P21" s="532"/>
      <c r="Q21" s="528"/>
      <c r="R21" s="529"/>
      <c r="S21" s="750">
        <f t="shared" si="0"/>
        <v>0</v>
      </c>
      <c r="T21" s="729"/>
      <c r="U21" s="530"/>
      <c r="V21" s="528"/>
      <c r="W21" s="529"/>
      <c r="X21" s="522">
        <f t="shared" si="2"/>
        <v>0</v>
      </c>
      <c r="Y21" s="729"/>
      <c r="Z21" s="729"/>
      <c r="AA21" s="530"/>
      <c r="AB21" s="531"/>
      <c r="AC21" s="661"/>
      <c r="AD21" s="661"/>
      <c r="AE21" s="532"/>
      <c r="AF21" s="531"/>
      <c r="AG21" s="661"/>
      <c r="AH21" s="522" t="str">
        <f>IF(ISBLANK(B21),"-",(VLOOKUP(B21,'Manufacturing (6,7,8,9)'!$B$16:$AZ$214,48,FALSE)))</f>
        <v>-</v>
      </c>
      <c r="AI21" s="530"/>
      <c r="AJ21" s="729" t="str">
        <f t="shared" si="3"/>
        <v>-</v>
      </c>
      <c r="AK21" s="523"/>
      <c r="AL21" s="53" t="str">
        <f t="shared" si="4"/>
        <v>Service life in cycles:     Purchasing currency:     Investment in purchasing currency:     Rate of exchange (AW/BW):     Investment in quotation currency: 0    Number (lifetime):     Total lifetime investment: 0</v>
      </c>
      <c r="AM21" s="53"/>
      <c r="AN21" s="53"/>
      <c r="AO21" s="53"/>
      <c r="AP21" s="53"/>
      <c r="AQ21" s="53"/>
      <c r="AR21" s="53"/>
      <c r="AS21" s="53"/>
      <c r="AT21" s="53"/>
      <c r="AU21" s="53"/>
      <c r="AV21" s="53"/>
      <c r="AW21" s="53"/>
      <c r="AX21" s="53"/>
      <c r="AY21" s="53"/>
      <c r="AZ21" s="53"/>
    </row>
    <row r="22" spans="2:52" x14ac:dyDescent="0.15">
      <c r="B22" s="330"/>
      <c r="C22" s="528"/>
      <c r="D22" s="536"/>
      <c r="E22" s="536"/>
      <c r="F22" s="536"/>
      <c r="G22" s="536"/>
      <c r="H22" s="529"/>
      <c r="I22" s="659"/>
      <c r="J22" s="751"/>
      <c r="K22" s="751"/>
      <c r="L22" s="664"/>
      <c r="M22" s="529"/>
      <c r="N22" s="531"/>
      <c r="O22" s="661"/>
      <c r="P22" s="532"/>
      <c r="Q22" s="528"/>
      <c r="R22" s="529"/>
      <c r="S22" s="750">
        <f t="shared" si="0"/>
        <v>0</v>
      </c>
      <c r="T22" s="729"/>
      <c r="U22" s="530"/>
      <c r="V22" s="528"/>
      <c r="W22" s="529"/>
      <c r="X22" s="522">
        <f t="shared" si="2"/>
        <v>0</v>
      </c>
      <c r="Y22" s="729"/>
      <c r="Z22" s="729"/>
      <c r="AA22" s="530"/>
      <c r="AB22" s="531"/>
      <c r="AC22" s="661"/>
      <c r="AD22" s="661"/>
      <c r="AE22" s="532"/>
      <c r="AF22" s="531"/>
      <c r="AG22" s="661"/>
      <c r="AH22" s="522" t="str">
        <f>IF(ISBLANK(B22),"-",(VLOOKUP(B22,'Manufacturing (6,7,8,9)'!$B$16:$AZ$214,48,FALSE)))</f>
        <v>-</v>
      </c>
      <c r="AI22" s="530"/>
      <c r="AJ22" s="729" t="str">
        <f t="shared" si="3"/>
        <v>-</v>
      </c>
      <c r="AK22" s="523"/>
      <c r="AL22" s="53" t="str">
        <f t="shared" si="4"/>
        <v>Service life in cycles:     Purchasing currency:     Investment in purchasing currency:     Rate of exchange (AW/BW):     Investment in quotation currency: 0    Number (lifetime):     Total lifetime investment: 0</v>
      </c>
      <c r="AM22" s="53"/>
      <c r="AN22" s="53"/>
      <c r="AO22" s="53"/>
      <c r="AP22" s="53"/>
      <c r="AQ22" s="53"/>
      <c r="AR22" s="53"/>
      <c r="AS22" s="53"/>
      <c r="AT22" s="53"/>
      <c r="AU22" s="53"/>
      <c r="AV22" s="53"/>
      <c r="AW22" s="53"/>
      <c r="AX22" s="53"/>
      <c r="AY22" s="53"/>
      <c r="AZ22" s="53"/>
    </row>
    <row r="23" spans="2:52" x14ac:dyDescent="0.15">
      <c r="B23" s="330"/>
      <c r="C23" s="528"/>
      <c r="D23" s="536"/>
      <c r="E23" s="536"/>
      <c r="F23" s="536"/>
      <c r="G23" s="536"/>
      <c r="H23" s="529"/>
      <c r="I23" s="659"/>
      <c r="J23" s="751"/>
      <c r="K23" s="751"/>
      <c r="L23" s="664"/>
      <c r="M23" s="529"/>
      <c r="N23" s="531"/>
      <c r="O23" s="661"/>
      <c r="P23" s="532"/>
      <c r="Q23" s="528"/>
      <c r="R23" s="529"/>
      <c r="S23" s="750">
        <f t="shared" si="0"/>
        <v>0</v>
      </c>
      <c r="T23" s="729"/>
      <c r="U23" s="530"/>
      <c r="V23" s="528"/>
      <c r="W23" s="529"/>
      <c r="X23" s="522">
        <f t="shared" si="2"/>
        <v>0</v>
      </c>
      <c r="Y23" s="729"/>
      <c r="Z23" s="729"/>
      <c r="AA23" s="530"/>
      <c r="AB23" s="531"/>
      <c r="AC23" s="661"/>
      <c r="AD23" s="661"/>
      <c r="AE23" s="532"/>
      <c r="AF23" s="531"/>
      <c r="AG23" s="661"/>
      <c r="AH23" s="522" t="str">
        <f>IF(ISBLANK(B23),"-",(VLOOKUP(B23,'Manufacturing (6,7,8,9)'!$B$16:$AZ$214,48,FALSE)))</f>
        <v>-</v>
      </c>
      <c r="AI23" s="530"/>
      <c r="AJ23" s="729" t="str">
        <f t="shared" si="3"/>
        <v>-</v>
      </c>
      <c r="AK23" s="523"/>
      <c r="AL23" s="53" t="str">
        <f t="shared" si="4"/>
        <v>Service life in cycles:     Purchasing currency:     Investment in purchasing currency:     Rate of exchange (AW/BW):     Investment in quotation currency: 0    Number (lifetime):     Total lifetime investment: 0</v>
      </c>
      <c r="AM23" s="53"/>
      <c r="AN23" s="53"/>
      <c r="AO23" s="53"/>
      <c r="AP23" s="53"/>
      <c r="AQ23" s="53"/>
      <c r="AR23" s="53"/>
      <c r="AS23" s="53"/>
      <c r="AT23" s="53"/>
      <c r="AU23" s="53"/>
      <c r="AV23" s="53"/>
      <c r="AW23" s="53"/>
      <c r="AX23" s="53"/>
      <c r="AY23" s="53"/>
      <c r="AZ23" s="53"/>
    </row>
    <row r="24" spans="2:52" x14ac:dyDescent="0.15">
      <c r="B24" s="330"/>
      <c r="C24" s="528"/>
      <c r="D24" s="536"/>
      <c r="E24" s="536"/>
      <c r="F24" s="536"/>
      <c r="G24" s="536"/>
      <c r="H24" s="529"/>
      <c r="I24" s="659"/>
      <c r="J24" s="751"/>
      <c r="K24" s="751"/>
      <c r="L24" s="664"/>
      <c r="M24" s="529"/>
      <c r="N24" s="531"/>
      <c r="O24" s="661"/>
      <c r="P24" s="532"/>
      <c r="Q24" s="528"/>
      <c r="R24" s="529"/>
      <c r="S24" s="750">
        <f t="shared" si="0"/>
        <v>0</v>
      </c>
      <c r="T24" s="729"/>
      <c r="U24" s="530"/>
      <c r="V24" s="528"/>
      <c r="W24" s="529"/>
      <c r="X24" s="522">
        <f t="shared" si="2"/>
        <v>0</v>
      </c>
      <c r="Y24" s="729"/>
      <c r="Z24" s="729"/>
      <c r="AA24" s="530"/>
      <c r="AB24" s="531"/>
      <c r="AC24" s="661"/>
      <c r="AD24" s="661"/>
      <c r="AE24" s="532"/>
      <c r="AF24" s="531"/>
      <c r="AG24" s="661"/>
      <c r="AH24" s="522" t="str">
        <f>IF(ISBLANK(B24),"-",(VLOOKUP(B24,'Manufacturing (6,7,8,9)'!$B$16:$AZ$214,48,FALSE)))</f>
        <v>-</v>
      </c>
      <c r="AI24" s="530"/>
      <c r="AJ24" s="729" t="str">
        <f t="shared" si="3"/>
        <v>-</v>
      </c>
      <c r="AK24" s="523"/>
      <c r="AL24" s="53" t="str">
        <f t="shared" si="4"/>
        <v>Service life in cycles:     Purchasing currency:     Investment in purchasing currency:     Rate of exchange (AW/BW):     Investment in quotation currency: 0    Number (lifetime):     Total lifetime investment: 0</v>
      </c>
      <c r="AM24" s="53"/>
      <c r="AN24" s="53"/>
      <c r="AO24" s="53"/>
      <c r="AP24" s="53"/>
      <c r="AQ24" s="53"/>
      <c r="AR24" s="53"/>
      <c r="AS24" s="53"/>
      <c r="AT24" s="53"/>
      <c r="AU24" s="53"/>
      <c r="AV24" s="53"/>
      <c r="AW24" s="53"/>
      <c r="AX24" s="53"/>
      <c r="AY24" s="53"/>
      <c r="AZ24" s="53"/>
    </row>
    <row r="25" spans="2:52" x14ac:dyDescent="0.15">
      <c r="B25" s="330"/>
      <c r="C25" s="528"/>
      <c r="D25" s="536"/>
      <c r="E25" s="536"/>
      <c r="F25" s="536"/>
      <c r="G25" s="536"/>
      <c r="H25" s="529"/>
      <c r="I25" s="659"/>
      <c r="J25" s="751"/>
      <c r="K25" s="751"/>
      <c r="L25" s="664"/>
      <c r="M25" s="529"/>
      <c r="N25" s="531"/>
      <c r="O25" s="661"/>
      <c r="P25" s="532"/>
      <c r="Q25" s="528"/>
      <c r="R25" s="529"/>
      <c r="S25" s="750">
        <f t="shared" si="0"/>
        <v>0</v>
      </c>
      <c r="T25" s="729"/>
      <c r="U25" s="530"/>
      <c r="V25" s="528"/>
      <c r="W25" s="529"/>
      <c r="X25" s="522">
        <f t="shared" si="2"/>
        <v>0</v>
      </c>
      <c r="Y25" s="729"/>
      <c r="Z25" s="729"/>
      <c r="AA25" s="530"/>
      <c r="AB25" s="531"/>
      <c r="AC25" s="661"/>
      <c r="AD25" s="661"/>
      <c r="AE25" s="532"/>
      <c r="AF25" s="531"/>
      <c r="AG25" s="661"/>
      <c r="AH25" s="522" t="str">
        <f>IF(ISBLANK(B25),"-",(VLOOKUP(B25,'Manufacturing (6,7,8,9)'!$B$16:$AZ$214,48,FALSE)))</f>
        <v>-</v>
      </c>
      <c r="AI25" s="530"/>
      <c r="AJ25" s="729" t="str">
        <f t="shared" si="3"/>
        <v>-</v>
      </c>
      <c r="AK25" s="523"/>
      <c r="AL25" s="53" t="str">
        <f t="shared" si="4"/>
        <v>Service life in cycles:     Purchasing currency:     Investment in purchasing currency:     Rate of exchange (AW/BW):     Investment in quotation currency: 0    Number (lifetime):     Total lifetime investment: 0</v>
      </c>
      <c r="AM25" s="53"/>
      <c r="AN25" s="53"/>
      <c r="AO25" s="53"/>
      <c r="AP25" s="53"/>
      <c r="AQ25" s="53"/>
      <c r="AR25" s="53"/>
      <c r="AS25" s="53"/>
      <c r="AT25" s="53"/>
      <c r="AU25" s="53"/>
      <c r="AV25" s="53"/>
      <c r="AW25" s="53"/>
      <c r="AX25" s="53"/>
      <c r="AY25" s="53"/>
      <c r="AZ25" s="53"/>
    </row>
    <row r="26" spans="2:52" x14ac:dyDescent="0.15">
      <c r="B26" s="330"/>
      <c r="C26" s="528"/>
      <c r="D26" s="536"/>
      <c r="E26" s="536"/>
      <c r="F26" s="536"/>
      <c r="G26" s="536"/>
      <c r="H26" s="529"/>
      <c r="I26" s="659"/>
      <c r="J26" s="751"/>
      <c r="K26" s="751"/>
      <c r="L26" s="664"/>
      <c r="M26" s="529"/>
      <c r="N26" s="531"/>
      <c r="O26" s="661"/>
      <c r="P26" s="532"/>
      <c r="Q26" s="528"/>
      <c r="R26" s="529"/>
      <c r="S26" s="750">
        <f t="shared" si="0"/>
        <v>0</v>
      </c>
      <c r="T26" s="729"/>
      <c r="U26" s="530"/>
      <c r="V26" s="528"/>
      <c r="W26" s="529"/>
      <c r="X26" s="522">
        <f t="shared" si="2"/>
        <v>0</v>
      </c>
      <c r="Y26" s="729"/>
      <c r="Z26" s="729"/>
      <c r="AA26" s="530"/>
      <c r="AB26" s="531"/>
      <c r="AC26" s="661"/>
      <c r="AD26" s="661"/>
      <c r="AE26" s="532"/>
      <c r="AF26" s="531"/>
      <c r="AG26" s="661"/>
      <c r="AH26" s="522" t="str">
        <f>IF(ISBLANK(B26),"-",(VLOOKUP(B26,'Manufacturing (6,7,8,9)'!$B$16:$AZ$214,48,FALSE)))</f>
        <v>-</v>
      </c>
      <c r="AI26" s="530"/>
      <c r="AJ26" s="729" t="str">
        <f t="shared" si="3"/>
        <v>-</v>
      </c>
      <c r="AK26" s="523"/>
      <c r="AL26" s="53" t="str">
        <f t="shared" si="4"/>
        <v>Service life in cycles:     Purchasing currency:     Investment in purchasing currency:     Rate of exchange (AW/BW):     Investment in quotation currency: 0    Number (lifetime):     Total lifetime investment: 0</v>
      </c>
      <c r="AM26" s="53"/>
      <c r="AN26" s="53"/>
      <c r="AO26" s="53"/>
      <c r="AP26" s="53"/>
      <c r="AQ26" s="53"/>
      <c r="AR26" s="53"/>
      <c r="AS26" s="53"/>
      <c r="AT26" s="53"/>
      <c r="AU26" s="53"/>
      <c r="AV26" s="53"/>
      <c r="AW26" s="53"/>
      <c r="AX26" s="53"/>
      <c r="AY26" s="53"/>
      <c r="AZ26" s="53"/>
    </row>
    <row r="27" spans="2:52" x14ac:dyDescent="0.15">
      <c r="B27" s="330"/>
      <c r="C27" s="528"/>
      <c r="D27" s="536"/>
      <c r="E27" s="536"/>
      <c r="F27" s="536"/>
      <c r="G27" s="536"/>
      <c r="H27" s="529"/>
      <c r="I27" s="659"/>
      <c r="J27" s="751"/>
      <c r="K27" s="751"/>
      <c r="L27" s="664"/>
      <c r="M27" s="529"/>
      <c r="N27" s="531"/>
      <c r="O27" s="661"/>
      <c r="P27" s="532"/>
      <c r="Q27" s="528"/>
      <c r="R27" s="529"/>
      <c r="S27" s="750">
        <f t="shared" si="0"/>
        <v>0</v>
      </c>
      <c r="T27" s="729"/>
      <c r="U27" s="530"/>
      <c r="V27" s="528"/>
      <c r="W27" s="529"/>
      <c r="X27" s="522">
        <f t="shared" si="2"/>
        <v>0</v>
      </c>
      <c r="Y27" s="729"/>
      <c r="Z27" s="729"/>
      <c r="AA27" s="530"/>
      <c r="AB27" s="531"/>
      <c r="AC27" s="661"/>
      <c r="AD27" s="661"/>
      <c r="AE27" s="532"/>
      <c r="AF27" s="531"/>
      <c r="AG27" s="661"/>
      <c r="AH27" s="522" t="str">
        <f>IF(ISBLANK(B27),"-",(VLOOKUP(B27,'Manufacturing (6,7,8,9)'!$B$16:$AZ$214,48,FALSE)))</f>
        <v>-</v>
      </c>
      <c r="AI27" s="530"/>
      <c r="AJ27" s="729" t="str">
        <f t="shared" si="3"/>
        <v>-</v>
      </c>
      <c r="AK27" s="523"/>
      <c r="AL27" s="53" t="str">
        <f t="shared" si="4"/>
        <v>Service life in cycles:     Purchasing currency:     Investment in purchasing currency:     Rate of exchange (AW/BW):     Investment in quotation currency: 0    Number (lifetime):     Total lifetime investment: 0</v>
      </c>
      <c r="AM27" s="53"/>
      <c r="AN27" s="53"/>
      <c r="AO27" s="53"/>
      <c r="AP27" s="53"/>
      <c r="AQ27" s="53"/>
      <c r="AR27" s="53"/>
      <c r="AS27" s="53"/>
      <c r="AT27" s="53"/>
      <c r="AU27" s="53"/>
      <c r="AV27" s="53"/>
      <c r="AW27" s="53"/>
      <c r="AX27" s="53"/>
      <c r="AY27" s="53"/>
      <c r="AZ27" s="53"/>
    </row>
    <row r="28" spans="2:52" x14ac:dyDescent="0.15">
      <c r="B28" s="330"/>
      <c r="C28" s="528"/>
      <c r="D28" s="536"/>
      <c r="E28" s="536"/>
      <c r="F28" s="536"/>
      <c r="G28" s="536"/>
      <c r="H28" s="529"/>
      <c r="I28" s="659"/>
      <c r="J28" s="751"/>
      <c r="K28" s="751"/>
      <c r="L28" s="664"/>
      <c r="M28" s="529"/>
      <c r="N28" s="531"/>
      <c r="O28" s="661"/>
      <c r="P28" s="532"/>
      <c r="Q28" s="528"/>
      <c r="R28" s="529"/>
      <c r="S28" s="750">
        <f t="shared" si="0"/>
        <v>0</v>
      </c>
      <c r="T28" s="729"/>
      <c r="U28" s="530"/>
      <c r="V28" s="528"/>
      <c r="W28" s="529"/>
      <c r="X28" s="522">
        <f t="shared" si="2"/>
        <v>0</v>
      </c>
      <c r="Y28" s="729"/>
      <c r="Z28" s="729"/>
      <c r="AA28" s="530"/>
      <c r="AB28" s="531"/>
      <c r="AC28" s="661"/>
      <c r="AD28" s="661"/>
      <c r="AE28" s="532"/>
      <c r="AF28" s="531"/>
      <c r="AG28" s="661"/>
      <c r="AH28" s="522" t="str">
        <f>IF(ISBLANK(B28),"-",(VLOOKUP(B28,'Manufacturing (6,7,8,9)'!$B$16:$AZ$214,48,FALSE)))</f>
        <v>-</v>
      </c>
      <c r="AI28" s="530"/>
      <c r="AJ28" s="729" t="str">
        <f t="shared" si="3"/>
        <v>-</v>
      </c>
      <c r="AK28" s="523"/>
      <c r="AL28" s="53" t="str">
        <f t="shared" si="4"/>
        <v>Service life in cycles:     Purchasing currency:     Investment in purchasing currency:     Rate of exchange (AW/BW):     Investment in quotation currency: 0    Number (lifetime):     Total lifetime investment: 0</v>
      </c>
      <c r="AM28" s="53"/>
      <c r="AN28" s="53"/>
      <c r="AO28" s="53"/>
      <c r="AP28" s="53"/>
      <c r="AQ28" s="53"/>
      <c r="AR28" s="53"/>
      <c r="AS28" s="53"/>
      <c r="AT28" s="53"/>
      <c r="AU28" s="53"/>
      <c r="AV28" s="53"/>
      <c r="AW28" s="53"/>
      <c r="AX28" s="53"/>
      <c r="AY28" s="53"/>
      <c r="AZ28" s="53"/>
    </row>
    <row r="29" spans="2:52" x14ac:dyDescent="0.15">
      <c r="B29" s="330"/>
      <c r="C29" s="528"/>
      <c r="D29" s="536"/>
      <c r="E29" s="536"/>
      <c r="F29" s="536"/>
      <c r="G29" s="536"/>
      <c r="H29" s="529"/>
      <c r="I29" s="659"/>
      <c r="J29" s="751"/>
      <c r="K29" s="751"/>
      <c r="L29" s="664"/>
      <c r="M29" s="529"/>
      <c r="N29" s="531"/>
      <c r="O29" s="661"/>
      <c r="P29" s="532"/>
      <c r="Q29" s="528"/>
      <c r="R29" s="529"/>
      <c r="S29" s="750">
        <f t="shared" si="0"/>
        <v>0</v>
      </c>
      <c r="T29" s="729"/>
      <c r="U29" s="530"/>
      <c r="V29" s="528"/>
      <c r="W29" s="529"/>
      <c r="X29" s="522">
        <f t="shared" si="2"/>
        <v>0</v>
      </c>
      <c r="Y29" s="729"/>
      <c r="Z29" s="729"/>
      <c r="AA29" s="530"/>
      <c r="AB29" s="531"/>
      <c r="AC29" s="661"/>
      <c r="AD29" s="661"/>
      <c r="AE29" s="532"/>
      <c r="AF29" s="531"/>
      <c r="AG29" s="661"/>
      <c r="AH29" s="522" t="str">
        <f>IF(ISBLANK(B29),"-",(VLOOKUP(B29,'Manufacturing (6,7,8,9)'!$B$16:$AZ$214,48,FALSE)))</f>
        <v>-</v>
      </c>
      <c r="AI29" s="530"/>
      <c r="AJ29" s="729" t="str">
        <f t="shared" si="3"/>
        <v>-</v>
      </c>
      <c r="AK29" s="523"/>
      <c r="AL29" s="53" t="str">
        <f t="shared" si="4"/>
        <v>Service life in cycles:     Purchasing currency:     Investment in purchasing currency:     Rate of exchange (AW/BW):     Investment in quotation currency: 0    Number (lifetime):     Total lifetime investment: 0</v>
      </c>
      <c r="AM29" s="53"/>
      <c r="AN29" s="53"/>
      <c r="AO29" s="53"/>
      <c r="AP29" s="53"/>
      <c r="AQ29" s="53"/>
      <c r="AR29" s="53"/>
      <c r="AS29" s="53"/>
      <c r="AT29" s="53"/>
      <c r="AU29" s="53"/>
      <c r="AV29" s="53"/>
      <c r="AW29" s="53"/>
      <c r="AX29" s="53"/>
      <c r="AY29" s="53"/>
      <c r="AZ29" s="53"/>
    </row>
    <row r="30" spans="2:52" x14ac:dyDescent="0.15">
      <c r="B30" s="330"/>
      <c r="C30" s="528"/>
      <c r="D30" s="536"/>
      <c r="E30" s="536"/>
      <c r="F30" s="536"/>
      <c r="G30" s="536"/>
      <c r="H30" s="529"/>
      <c r="I30" s="659"/>
      <c r="J30" s="751"/>
      <c r="K30" s="751"/>
      <c r="L30" s="664"/>
      <c r="M30" s="529"/>
      <c r="N30" s="531"/>
      <c r="O30" s="661"/>
      <c r="P30" s="532"/>
      <c r="Q30" s="528"/>
      <c r="R30" s="529"/>
      <c r="S30" s="750">
        <f t="shared" si="0"/>
        <v>0</v>
      </c>
      <c r="T30" s="729"/>
      <c r="U30" s="530"/>
      <c r="V30" s="528"/>
      <c r="W30" s="529"/>
      <c r="X30" s="522">
        <f t="shared" si="2"/>
        <v>0</v>
      </c>
      <c r="Y30" s="729"/>
      <c r="Z30" s="729"/>
      <c r="AA30" s="530"/>
      <c r="AB30" s="531"/>
      <c r="AC30" s="661"/>
      <c r="AD30" s="661"/>
      <c r="AE30" s="532"/>
      <c r="AF30" s="531"/>
      <c r="AG30" s="661"/>
      <c r="AH30" s="522" t="str">
        <f>IF(ISBLANK(B30),"-",(VLOOKUP(B30,'Manufacturing (6,7,8,9)'!$B$16:$AZ$214,48,FALSE)))</f>
        <v>-</v>
      </c>
      <c r="AI30" s="530"/>
      <c r="AJ30" s="729" t="str">
        <f t="shared" si="3"/>
        <v>-</v>
      </c>
      <c r="AK30" s="523"/>
      <c r="AL30" s="53" t="str">
        <f t="shared" si="4"/>
        <v>Service life in cycles:     Purchasing currency:     Investment in purchasing currency:     Rate of exchange (AW/BW):     Investment in quotation currency: 0    Number (lifetime):     Total lifetime investment: 0</v>
      </c>
      <c r="AM30" s="53"/>
      <c r="AN30" s="53"/>
      <c r="AO30" s="53"/>
      <c r="AP30" s="53"/>
      <c r="AQ30" s="53"/>
      <c r="AR30" s="53"/>
      <c r="AS30" s="53"/>
      <c r="AT30" s="53"/>
      <c r="AU30" s="53"/>
      <c r="AV30" s="53"/>
      <c r="AW30" s="53"/>
      <c r="AX30" s="53"/>
      <c r="AY30" s="53"/>
      <c r="AZ30" s="53"/>
    </row>
    <row r="31" spans="2:52" x14ac:dyDescent="0.15">
      <c r="B31" s="330"/>
      <c r="C31" s="528"/>
      <c r="D31" s="536"/>
      <c r="E31" s="536"/>
      <c r="F31" s="536"/>
      <c r="G31" s="536"/>
      <c r="H31" s="529"/>
      <c r="I31" s="659"/>
      <c r="J31" s="751"/>
      <c r="K31" s="751"/>
      <c r="L31" s="664"/>
      <c r="M31" s="529"/>
      <c r="N31" s="531"/>
      <c r="O31" s="661"/>
      <c r="P31" s="532"/>
      <c r="Q31" s="528"/>
      <c r="R31" s="529"/>
      <c r="S31" s="750">
        <f t="shared" ref="S31" si="5">N31*Q31</f>
        <v>0</v>
      </c>
      <c r="T31" s="729"/>
      <c r="U31" s="530"/>
      <c r="V31" s="528"/>
      <c r="W31" s="529"/>
      <c r="X31" s="522">
        <f t="shared" si="2"/>
        <v>0</v>
      </c>
      <c r="Y31" s="729"/>
      <c r="Z31" s="729"/>
      <c r="AA31" s="530"/>
      <c r="AB31" s="531"/>
      <c r="AC31" s="661"/>
      <c r="AD31" s="661"/>
      <c r="AE31" s="532"/>
      <c r="AF31" s="531"/>
      <c r="AG31" s="661"/>
      <c r="AH31" s="522" t="str">
        <f>IF(ISBLANK(B31),"-",(VLOOKUP(B31,'Manufacturing (6,7,8,9)'!$B$16:$AZ$214,48,FALSE)))</f>
        <v>-</v>
      </c>
      <c r="AI31" s="530"/>
      <c r="AJ31" s="729" t="str">
        <f t="shared" si="3"/>
        <v>-</v>
      </c>
      <c r="AK31" s="523"/>
      <c r="AL31" s="53" t="str">
        <f t="shared" si="4"/>
        <v>Service life in cycles:     Purchasing currency:     Investment in purchasing currency:     Rate of exchange (AW/BW):     Investment in quotation currency: 0    Number (lifetime):     Total lifetime investment: 0</v>
      </c>
      <c r="AM31" s="53"/>
      <c r="AN31" s="53"/>
      <c r="AO31" s="53"/>
      <c r="AP31" s="53"/>
      <c r="AQ31" s="53"/>
      <c r="AR31" s="53"/>
      <c r="AS31" s="53"/>
      <c r="AT31" s="53"/>
      <c r="AU31" s="53"/>
      <c r="AV31" s="53"/>
      <c r="AW31" s="53"/>
      <c r="AX31" s="53"/>
      <c r="AY31" s="53"/>
      <c r="AZ31" s="53"/>
    </row>
    <row r="32" spans="2:52" x14ac:dyDescent="0.15">
      <c r="B32" s="330"/>
      <c r="C32" s="528"/>
      <c r="D32" s="536"/>
      <c r="E32" s="536"/>
      <c r="F32" s="536"/>
      <c r="G32" s="536"/>
      <c r="H32" s="529"/>
      <c r="I32" s="659"/>
      <c r="J32" s="751"/>
      <c r="K32" s="751"/>
      <c r="L32" s="664"/>
      <c r="M32" s="529"/>
      <c r="N32" s="531"/>
      <c r="O32" s="661"/>
      <c r="P32" s="532"/>
      <c r="Q32" s="528"/>
      <c r="R32" s="529"/>
      <c r="S32" s="750">
        <f>N32*Q32</f>
        <v>0</v>
      </c>
      <c r="T32" s="729"/>
      <c r="U32" s="530"/>
      <c r="V32" s="528"/>
      <c r="W32" s="529"/>
      <c r="X32" s="522">
        <f t="shared" si="2"/>
        <v>0</v>
      </c>
      <c r="Y32" s="729"/>
      <c r="Z32" s="729"/>
      <c r="AA32" s="530"/>
      <c r="AB32" s="531"/>
      <c r="AC32" s="661"/>
      <c r="AD32" s="661"/>
      <c r="AE32" s="532"/>
      <c r="AF32" s="531"/>
      <c r="AG32" s="661"/>
      <c r="AH32" s="522" t="str">
        <f>IF(ISBLANK(B32),"-",(VLOOKUP(B32,'Manufacturing (6,7,8,9)'!$B$16:$AZ$214,48,FALSE)))</f>
        <v>-</v>
      </c>
      <c r="AI32" s="530"/>
      <c r="AJ32" s="729" t="str">
        <f t="shared" si="3"/>
        <v>-</v>
      </c>
      <c r="AK32" s="523"/>
      <c r="AL32" s="53" t="str">
        <f t="shared" si="4"/>
        <v>Service life in cycles:     Purchasing currency:     Investment in purchasing currency:     Rate of exchange (AW/BW):     Investment in quotation currency: 0    Number (lifetime):     Total lifetime investment: 0</v>
      </c>
      <c r="AM32" s="53"/>
      <c r="AN32" s="53"/>
      <c r="AO32" s="53"/>
      <c r="AP32" s="53"/>
      <c r="AQ32" s="53"/>
      <c r="AR32" s="53"/>
      <c r="AS32" s="53"/>
      <c r="AT32" s="53"/>
      <c r="AU32" s="53"/>
      <c r="AV32" s="53"/>
      <c r="AW32" s="53"/>
      <c r="AX32" s="53"/>
      <c r="AY32" s="53"/>
      <c r="AZ32" s="53"/>
    </row>
    <row r="33" spans="1:52" x14ac:dyDescent="0.15">
      <c r="B33" s="330"/>
      <c r="C33" s="528"/>
      <c r="D33" s="536"/>
      <c r="E33" s="536"/>
      <c r="F33" s="536"/>
      <c r="G33" s="536"/>
      <c r="H33" s="529"/>
      <c r="I33" s="659"/>
      <c r="J33" s="751"/>
      <c r="K33" s="751"/>
      <c r="L33" s="664"/>
      <c r="M33" s="529"/>
      <c r="N33" s="531"/>
      <c r="O33" s="661"/>
      <c r="P33" s="532"/>
      <c r="Q33" s="528"/>
      <c r="R33" s="529"/>
      <c r="S33" s="750">
        <f>N33*Q33</f>
        <v>0</v>
      </c>
      <c r="T33" s="729"/>
      <c r="U33" s="530"/>
      <c r="V33" s="528"/>
      <c r="W33" s="529"/>
      <c r="X33" s="522">
        <f t="shared" si="2"/>
        <v>0</v>
      </c>
      <c r="Y33" s="729"/>
      <c r="Z33" s="729"/>
      <c r="AA33" s="530"/>
      <c r="AB33" s="531"/>
      <c r="AC33" s="661"/>
      <c r="AD33" s="661"/>
      <c r="AE33" s="532"/>
      <c r="AF33" s="531"/>
      <c r="AG33" s="661"/>
      <c r="AH33" s="522" t="str">
        <f>IF(ISBLANK(B33),"-",(VLOOKUP(B33,'Manufacturing (6,7,8,9)'!$B$16:$AZ$214,48,FALSE)))</f>
        <v>-</v>
      </c>
      <c r="AI33" s="530"/>
      <c r="AJ33" s="729" t="str">
        <f t="shared" si="3"/>
        <v>-</v>
      </c>
      <c r="AK33" s="523"/>
      <c r="AL33" s="53" t="str">
        <f t="shared" si="4"/>
        <v>Service life in cycles:     Purchasing currency:     Investment in purchasing currency:     Rate of exchange (AW/BW):     Investment in quotation currency: 0    Number (lifetime):     Total lifetime investment: 0</v>
      </c>
      <c r="AM33" s="53"/>
      <c r="AN33" s="53"/>
      <c r="AO33" s="53"/>
      <c r="AP33" s="53"/>
      <c r="AQ33" s="53"/>
      <c r="AR33" s="53"/>
      <c r="AS33" s="53"/>
      <c r="AT33" s="53"/>
      <c r="AU33" s="53"/>
      <c r="AV33" s="53"/>
      <c r="AW33" s="53"/>
      <c r="AX33" s="53"/>
      <c r="AY33" s="53"/>
      <c r="AZ33" s="53"/>
    </row>
    <row r="34" spans="1:52" ht="14.25" thickBot="1" x14ac:dyDescent="0.2">
      <c r="B34" s="331"/>
      <c r="C34" s="559"/>
      <c r="D34" s="560"/>
      <c r="E34" s="560"/>
      <c r="F34" s="560"/>
      <c r="G34" s="560"/>
      <c r="H34" s="561"/>
      <c r="I34" s="716"/>
      <c r="J34" s="752"/>
      <c r="K34" s="752"/>
      <c r="L34" s="703"/>
      <c r="M34" s="561"/>
      <c r="N34" s="606"/>
      <c r="O34" s="678"/>
      <c r="P34" s="607"/>
      <c r="Q34" s="559"/>
      <c r="R34" s="561"/>
      <c r="S34" s="756">
        <f>N34*Q34</f>
        <v>0</v>
      </c>
      <c r="T34" s="730"/>
      <c r="U34" s="605"/>
      <c r="V34" s="559"/>
      <c r="W34" s="561"/>
      <c r="X34" s="604">
        <f t="shared" si="2"/>
        <v>0</v>
      </c>
      <c r="Y34" s="730"/>
      <c r="Z34" s="730"/>
      <c r="AA34" s="605"/>
      <c r="AB34" s="606"/>
      <c r="AC34" s="678"/>
      <c r="AD34" s="678"/>
      <c r="AE34" s="607"/>
      <c r="AF34" s="606"/>
      <c r="AG34" s="678"/>
      <c r="AH34" s="604" t="str">
        <f>IF(ISBLANK(B34),"-",(VLOOKUP(B34,'Manufacturing (6,7,8,9)'!$B$16:$AZ$214,48,FALSE)))</f>
        <v>-</v>
      </c>
      <c r="AI34" s="605"/>
      <c r="AJ34" s="730" t="str">
        <f t="shared" si="3"/>
        <v>-</v>
      </c>
      <c r="AK34" s="610"/>
      <c r="AL34" s="53" t="str">
        <f t="shared" si="4"/>
        <v>Service life in cycles:     Purchasing currency:     Investment in purchasing currency:     Rate of exchange (AW/BW):     Investment in quotation currency: 0    Number (lifetime):     Total lifetime investment: 0</v>
      </c>
      <c r="AM34" s="53"/>
      <c r="AN34" s="53"/>
      <c r="AO34" s="53"/>
      <c r="AP34" s="53"/>
      <c r="AQ34" s="53"/>
      <c r="AR34" s="53"/>
      <c r="AS34" s="53"/>
      <c r="AT34" s="53"/>
      <c r="AU34" s="53"/>
      <c r="AV34" s="53"/>
      <c r="AW34" s="53"/>
      <c r="AX34" s="53"/>
      <c r="AY34" s="53"/>
      <c r="AZ34" s="53"/>
    </row>
    <row r="35" spans="1:52" ht="14.25" thickBot="1" x14ac:dyDescent="0.2">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64"/>
      <c r="AG35" s="64"/>
      <c r="AH35" s="53"/>
      <c r="AI35" s="53"/>
      <c r="AJ35" s="53"/>
      <c r="AK35" s="53"/>
      <c r="AL35" s="53"/>
      <c r="AM35" s="53"/>
      <c r="AN35" s="53"/>
      <c r="AO35" s="53"/>
      <c r="AP35" s="53"/>
      <c r="AQ35" s="53"/>
      <c r="AR35" s="53"/>
      <c r="AS35" s="53"/>
      <c r="AT35" s="53"/>
      <c r="AU35" s="53"/>
      <c r="AV35" s="53"/>
      <c r="AW35" s="53"/>
      <c r="AX35" s="53"/>
      <c r="AY35" s="53"/>
      <c r="AZ35" s="53"/>
    </row>
    <row r="36" spans="1:52" x14ac:dyDescent="0.15">
      <c r="A36" s="248" t="s">
        <v>77</v>
      </c>
      <c r="B36" s="492" t="s">
        <v>78</v>
      </c>
      <c r="C36" s="494"/>
      <c r="D36" s="741" t="s">
        <v>79</v>
      </c>
      <c r="E36" s="742"/>
      <c r="F36" s="742"/>
      <c r="G36" s="742"/>
      <c r="H36" s="742"/>
      <c r="I36" s="742"/>
      <c r="J36" s="742"/>
      <c r="K36" s="742"/>
      <c r="L36" s="742"/>
      <c r="M36" s="742"/>
      <c r="N36" s="742"/>
      <c r="O36" s="742"/>
      <c r="P36" s="743"/>
      <c r="Q36" s="626" t="str">
        <f>VLOOKUP("I15",Languages!$A$1:$F$286,VLOOKUP(Summary!AM6,Languages!$C$2:$D$6,2,FALSE),FALSE)</f>
        <v>Sums</v>
      </c>
      <c r="R36" s="627"/>
      <c r="S36" s="63"/>
      <c r="T36" s="244"/>
      <c r="U36" s="244"/>
      <c r="V36" s="64"/>
      <c r="W36" s="64"/>
      <c r="X36" s="737" t="str">
        <f>VLOOKUP("I16",Languages!$A$1:$F$286,VLOOKUP(Summary!AM6,Languages!$C$2:$D$6,2,FALSE),FALSE)</f>
        <v>Total inv.</v>
      </c>
      <c r="Y36" s="737"/>
      <c r="Z36" s="737"/>
      <c r="AA36" s="737"/>
      <c r="AB36" s="737" t="str">
        <f>VLOOKUP("I17",Languages!$A$1:$F$286,VLOOKUP(Summary!AM6,Languages!$C$2:$D$6,2,FALSE),FALSE)</f>
        <v>One-Time</v>
      </c>
      <c r="AC36" s="737"/>
      <c r="AD36" s="737"/>
      <c r="AE36" s="737"/>
      <c r="AF36" s="637" t="str">
        <f>VLOOKUP("I18",Languages!$A$1:$F$286,VLOOKUP(Summary!AM6,Languages!$C$2:$D$6,2,FALSE),FALSE)</f>
        <v>Allocated</v>
      </c>
      <c r="AG36" s="637"/>
      <c r="AH36" s="64"/>
      <c r="AI36" s="64"/>
      <c r="AJ36" s="227"/>
      <c r="AK36" s="263" t="str">
        <f>VLOOKUP("I19",Languages!$A$1:$F$286,VLOOKUP(Summary!AM6,Languages!$C$2:$D$6,2,FALSE),FALSE)</f>
        <v>Allocated total</v>
      </c>
      <c r="AL36" s="53"/>
      <c r="AM36" s="53"/>
      <c r="AN36" s="53"/>
      <c r="AO36" s="53"/>
      <c r="AP36" s="53"/>
      <c r="AQ36" s="53"/>
      <c r="AR36" s="53"/>
      <c r="AS36" s="53"/>
      <c r="AT36" s="53"/>
      <c r="AU36" s="53"/>
      <c r="AV36" s="53"/>
      <c r="AW36" s="53"/>
      <c r="AX36" s="53"/>
      <c r="AY36" s="53"/>
      <c r="AZ36" s="53"/>
    </row>
    <row r="37" spans="1:52" x14ac:dyDescent="0.15">
      <c r="B37" s="628" t="str">
        <f>VLOOKUP("I14",Languages!$A$1:$F$286,VLOOKUP(Summary!AM6,Languages!$C$2:$D$6,2,FALSE),FALSE)</f>
        <v>Country of origin</v>
      </c>
      <c r="C37" s="629"/>
      <c r="D37" s="744"/>
      <c r="E37" s="745"/>
      <c r="F37" s="745"/>
      <c r="G37" s="745"/>
      <c r="H37" s="745"/>
      <c r="I37" s="745"/>
      <c r="J37" s="745"/>
      <c r="K37" s="745"/>
      <c r="L37" s="745"/>
      <c r="M37" s="745"/>
      <c r="N37" s="745"/>
      <c r="O37" s="745"/>
      <c r="P37" s="746"/>
      <c r="Q37" s="628"/>
      <c r="R37" s="629"/>
      <c r="S37" s="243"/>
      <c r="T37" s="48"/>
      <c r="U37" s="48"/>
      <c r="V37" s="54"/>
      <c r="W37" s="54"/>
      <c r="X37" s="624" t="e">
        <f>SUM(X17:AA34)</f>
        <v>#VALUE!</v>
      </c>
      <c r="Y37" s="781"/>
      <c r="Z37" s="781"/>
      <c r="AA37" s="625"/>
      <c r="AB37" s="624">
        <f>SUM(AB17:AE34)</f>
        <v>0</v>
      </c>
      <c r="AC37" s="781"/>
      <c r="AD37" s="781"/>
      <c r="AE37" s="625"/>
      <c r="AF37" s="624">
        <f>SUM(AF17:AG34)</f>
        <v>0</v>
      </c>
      <c r="AG37" s="625"/>
      <c r="AH37" s="54"/>
      <c r="AI37" s="54"/>
      <c r="AJ37" s="624" t="e">
        <f>SUM(AJ17:AK34)</f>
        <v>#VALUE!</v>
      </c>
      <c r="AK37" s="635"/>
      <c r="AL37" s="53"/>
      <c r="AM37" s="53"/>
      <c r="AN37" s="53"/>
      <c r="AO37" s="53"/>
      <c r="AP37" s="53"/>
      <c r="AQ37" s="53"/>
      <c r="AR37" s="53"/>
      <c r="AS37" s="53"/>
      <c r="AT37" s="53"/>
      <c r="AU37" s="53"/>
      <c r="AV37" s="53"/>
      <c r="AW37" s="53"/>
      <c r="AX37" s="53"/>
      <c r="AY37" s="53"/>
      <c r="AZ37" s="53"/>
    </row>
    <row r="38" spans="1:52" x14ac:dyDescent="0.15">
      <c r="B38" s="628"/>
      <c r="C38" s="629"/>
      <c r="D38" s="744"/>
      <c r="E38" s="745"/>
      <c r="F38" s="745"/>
      <c r="G38" s="745"/>
      <c r="H38" s="745"/>
      <c r="I38" s="745"/>
      <c r="J38" s="745"/>
      <c r="K38" s="745"/>
      <c r="L38" s="745"/>
      <c r="M38" s="745"/>
      <c r="N38" s="745"/>
      <c r="O38" s="745"/>
      <c r="P38" s="746"/>
      <c r="Q38" s="628"/>
      <c r="R38" s="629"/>
      <c r="S38" s="243"/>
      <c r="T38" s="48"/>
      <c r="U38" s="48"/>
      <c r="V38" s="54"/>
      <c r="W38" s="54"/>
      <c r="X38" s="54"/>
      <c r="Y38" s="54"/>
      <c r="Z38" s="54"/>
      <c r="AA38" s="20"/>
      <c r="AB38" s="20"/>
      <c r="AC38" s="20"/>
      <c r="AD38" s="20"/>
      <c r="AE38" s="20"/>
      <c r="AF38" s="20"/>
      <c r="AG38" s="20"/>
      <c r="AH38" s="54"/>
      <c r="AI38" s="54"/>
      <c r="AJ38" s="54"/>
      <c r="AK38" s="65"/>
      <c r="AL38" s="53"/>
      <c r="AM38" s="53"/>
      <c r="AN38" s="53"/>
      <c r="AO38" s="53"/>
      <c r="AP38" s="53"/>
      <c r="AQ38" s="53"/>
      <c r="AR38" s="53"/>
      <c r="AS38" s="53"/>
      <c r="AT38" s="53"/>
      <c r="AU38" s="53"/>
      <c r="AV38" s="53"/>
      <c r="AW38" s="53"/>
      <c r="AX38" s="53"/>
      <c r="AY38" s="53"/>
      <c r="AZ38" s="53"/>
    </row>
    <row r="39" spans="1:52" ht="14.25" thickBot="1" x14ac:dyDescent="0.2">
      <c r="B39" s="225"/>
      <c r="C39" s="226"/>
      <c r="D39" s="747"/>
      <c r="E39" s="748"/>
      <c r="F39" s="748"/>
      <c r="G39" s="748"/>
      <c r="H39" s="748"/>
      <c r="I39" s="748"/>
      <c r="J39" s="748"/>
      <c r="K39" s="748"/>
      <c r="L39" s="748"/>
      <c r="M39" s="748"/>
      <c r="N39" s="748"/>
      <c r="O39" s="748"/>
      <c r="P39" s="749"/>
      <c r="Q39" s="630"/>
      <c r="R39" s="631"/>
      <c r="S39" s="225"/>
      <c r="T39" s="50"/>
      <c r="U39" s="50"/>
      <c r="V39" s="62"/>
      <c r="W39" s="62"/>
      <c r="X39" s="62"/>
      <c r="Y39" s="62"/>
      <c r="Z39" s="62"/>
      <c r="AA39" s="62"/>
      <c r="AB39" s="62"/>
      <c r="AC39" s="62"/>
      <c r="AD39" s="62"/>
      <c r="AE39" s="62"/>
      <c r="AF39" s="62"/>
      <c r="AG39" s="62"/>
      <c r="AH39" s="62"/>
      <c r="AI39" s="62"/>
      <c r="AJ39" s="62"/>
      <c r="AK39" s="66"/>
      <c r="AL39" s="53"/>
      <c r="AM39" s="53"/>
      <c r="AN39" s="53"/>
      <c r="AO39" s="53"/>
      <c r="AP39" s="53"/>
      <c r="AQ39" s="53"/>
      <c r="AR39" s="53"/>
      <c r="AS39" s="53"/>
      <c r="AT39" s="53"/>
      <c r="AU39" s="53"/>
      <c r="AV39" s="53"/>
      <c r="AW39" s="53"/>
      <c r="AX39" s="53"/>
      <c r="AY39" s="53"/>
      <c r="AZ39" s="53"/>
    </row>
  </sheetData>
  <dataConsolidate/>
  <mergeCells count="267">
    <mergeCell ref="X7:Y7"/>
    <mergeCell ref="X8:Y8"/>
    <mergeCell ref="X9:Y9"/>
    <mergeCell ref="X10:Y10"/>
    <mergeCell ref="P8:V8"/>
    <mergeCell ref="P9:V9"/>
    <mergeCell ref="P10:V10"/>
    <mergeCell ref="AB37:AE37"/>
    <mergeCell ref="X36:AA36"/>
    <mergeCell ref="X37:AA37"/>
    <mergeCell ref="X25:AA25"/>
    <mergeCell ref="X26:AA26"/>
    <mergeCell ref="X27:AA27"/>
    <mergeCell ref="X28:AA28"/>
    <mergeCell ref="X29:AA29"/>
    <mergeCell ref="X30:AA30"/>
    <mergeCell ref="X31:AA31"/>
    <mergeCell ref="X32:AA32"/>
    <mergeCell ref="X33:AA33"/>
    <mergeCell ref="AB25:AE25"/>
    <mergeCell ref="AB26:AE26"/>
    <mergeCell ref="AB27:AE27"/>
    <mergeCell ref="AB28:AE28"/>
    <mergeCell ref="AB29:AE29"/>
    <mergeCell ref="AB30:AE30"/>
    <mergeCell ref="AB31:AE31"/>
    <mergeCell ref="AB32:AE32"/>
    <mergeCell ref="AB33:AE33"/>
    <mergeCell ref="AB34:AE34"/>
    <mergeCell ref="X34:AA34"/>
    <mergeCell ref="X15:AA15"/>
    <mergeCell ref="X17:AA17"/>
    <mergeCell ref="X18:AA18"/>
    <mergeCell ref="X19:AA19"/>
    <mergeCell ref="X20:AA20"/>
    <mergeCell ref="X21:AA21"/>
    <mergeCell ref="X22:AA22"/>
    <mergeCell ref="X23:AA23"/>
    <mergeCell ref="X24:AA24"/>
    <mergeCell ref="B3:J10"/>
    <mergeCell ref="AE3:AK4"/>
    <mergeCell ref="B15:B16"/>
    <mergeCell ref="I19:K19"/>
    <mergeCell ref="I20:K20"/>
    <mergeCell ref="I21:K21"/>
    <mergeCell ref="I22:K22"/>
    <mergeCell ref="G13:K13"/>
    <mergeCell ref="B12:K12"/>
    <mergeCell ref="C14:H14"/>
    <mergeCell ref="C15:H15"/>
    <mergeCell ref="C18:H18"/>
    <mergeCell ref="I14:K14"/>
    <mergeCell ref="I15:K15"/>
    <mergeCell ref="I18:K18"/>
    <mergeCell ref="B13:F13"/>
    <mergeCell ref="L12:R13"/>
    <mergeCell ref="N14:P14"/>
    <mergeCell ref="N15:P15"/>
    <mergeCell ref="N18:P18"/>
    <mergeCell ref="Q14:R14"/>
    <mergeCell ref="AB19:AE19"/>
    <mergeCell ref="AB20:AE20"/>
    <mergeCell ref="P7:V7"/>
    <mergeCell ref="AF36:AG36"/>
    <mergeCell ref="Q34:R34"/>
    <mergeCell ref="N26:P26"/>
    <mergeCell ref="N27:P27"/>
    <mergeCell ref="Q27:R27"/>
    <mergeCell ref="Q28:R28"/>
    <mergeCell ref="Q29:R29"/>
    <mergeCell ref="N28:P28"/>
    <mergeCell ref="Q30:R30"/>
    <mergeCell ref="N29:P29"/>
    <mergeCell ref="N30:P30"/>
    <mergeCell ref="N31:P31"/>
    <mergeCell ref="N32:P32"/>
    <mergeCell ref="N33:P33"/>
    <mergeCell ref="N34:P34"/>
    <mergeCell ref="Q31:R31"/>
    <mergeCell ref="V34:W34"/>
    <mergeCell ref="S30:U30"/>
    <mergeCell ref="S31:U31"/>
    <mergeCell ref="S32:U32"/>
    <mergeCell ref="S33:U33"/>
    <mergeCell ref="S34:U34"/>
    <mergeCell ref="AB36:AE36"/>
    <mergeCell ref="V32:W32"/>
    <mergeCell ref="L24:M24"/>
    <mergeCell ref="N24:P24"/>
    <mergeCell ref="I23:K23"/>
    <mergeCell ref="I24:K24"/>
    <mergeCell ref="I25:K25"/>
    <mergeCell ref="I26:K26"/>
    <mergeCell ref="I27:K27"/>
    <mergeCell ref="Q32:R32"/>
    <mergeCell ref="Q33:R33"/>
    <mergeCell ref="L25:M25"/>
    <mergeCell ref="L26:M26"/>
    <mergeCell ref="L29:M29"/>
    <mergeCell ref="L30:M30"/>
    <mergeCell ref="L31:M31"/>
    <mergeCell ref="L27:M27"/>
    <mergeCell ref="N25:P25"/>
    <mergeCell ref="AF15:AG15"/>
    <mergeCell ref="AF14:AG14"/>
    <mergeCell ref="AG16:AG17"/>
    <mergeCell ref="AF18:AG18"/>
    <mergeCell ref="AF37:AG37"/>
    <mergeCell ref="C19:H19"/>
    <mergeCell ref="C20:H20"/>
    <mergeCell ref="C21:H21"/>
    <mergeCell ref="C22:H22"/>
    <mergeCell ref="C23:H23"/>
    <mergeCell ref="C24:H24"/>
    <mergeCell ref="C25:H25"/>
    <mergeCell ref="Q19:R19"/>
    <mergeCell ref="Q20:R20"/>
    <mergeCell ref="Q21:R21"/>
    <mergeCell ref="Q22:R22"/>
    <mergeCell ref="Q23:R23"/>
    <mergeCell ref="Q24:R24"/>
    <mergeCell ref="C26:H26"/>
    <mergeCell ref="C27:H27"/>
    <mergeCell ref="C28:H28"/>
    <mergeCell ref="C29:H29"/>
    <mergeCell ref="C30:H30"/>
    <mergeCell ref="C31:H31"/>
    <mergeCell ref="L14:M14"/>
    <mergeCell ref="L15:M15"/>
    <mergeCell ref="L18:M18"/>
    <mergeCell ref="AB14:AE14"/>
    <mergeCell ref="L19:M19"/>
    <mergeCell ref="L20:M20"/>
    <mergeCell ref="L21:M21"/>
    <mergeCell ref="L22:M22"/>
    <mergeCell ref="L23:M23"/>
    <mergeCell ref="N19:P19"/>
    <mergeCell ref="N20:P20"/>
    <mergeCell ref="N21:P21"/>
    <mergeCell ref="N22:P22"/>
    <mergeCell ref="N23:P23"/>
    <mergeCell ref="X14:AA14"/>
    <mergeCell ref="Q15:R15"/>
    <mergeCell ref="Q18:R18"/>
    <mergeCell ref="S18:U18"/>
    <mergeCell ref="S14:U14"/>
    <mergeCell ref="S15:U15"/>
    <mergeCell ref="S17:T17"/>
    <mergeCell ref="AB15:AE15"/>
    <mergeCell ref="AB17:AE17"/>
    <mergeCell ref="AB18:AE18"/>
    <mergeCell ref="C34:H34"/>
    <mergeCell ref="I28:K28"/>
    <mergeCell ref="I29:K29"/>
    <mergeCell ref="I30:K30"/>
    <mergeCell ref="I31:K31"/>
    <mergeCell ref="I32:K32"/>
    <mergeCell ref="I33:K33"/>
    <mergeCell ref="I34:K34"/>
    <mergeCell ref="L33:M33"/>
    <mergeCell ref="L34:M34"/>
    <mergeCell ref="L32:M32"/>
    <mergeCell ref="C32:H32"/>
    <mergeCell ref="C33:H33"/>
    <mergeCell ref="L28:M28"/>
    <mergeCell ref="V33:W33"/>
    <mergeCell ref="V14:W14"/>
    <mergeCell ref="V15:W15"/>
    <mergeCell ref="V18:W18"/>
    <mergeCell ref="V19:W19"/>
    <mergeCell ref="V20:W20"/>
    <mergeCell ref="V21:W21"/>
    <mergeCell ref="V22:W22"/>
    <mergeCell ref="V23:W23"/>
    <mergeCell ref="V24:W24"/>
    <mergeCell ref="S19:U19"/>
    <mergeCell ref="V25:W25"/>
    <mergeCell ref="V26:W26"/>
    <mergeCell ref="V27:W27"/>
    <mergeCell ref="V28:W28"/>
    <mergeCell ref="V29:W29"/>
    <mergeCell ref="V30:W30"/>
    <mergeCell ref="V31:W31"/>
    <mergeCell ref="Q25:R25"/>
    <mergeCell ref="Q26:R26"/>
    <mergeCell ref="AF24:AG24"/>
    <mergeCell ref="AF25:AG25"/>
    <mergeCell ref="AF26:AG26"/>
    <mergeCell ref="AF27:AG27"/>
    <mergeCell ref="S28:U28"/>
    <mergeCell ref="S29:U29"/>
    <mergeCell ref="S20:U20"/>
    <mergeCell ref="S21:U21"/>
    <mergeCell ref="S22:U22"/>
    <mergeCell ref="S23:U23"/>
    <mergeCell ref="S24:U24"/>
    <mergeCell ref="S25:U25"/>
    <mergeCell ref="S26:U26"/>
    <mergeCell ref="S27:U27"/>
    <mergeCell ref="AB21:AE21"/>
    <mergeCell ref="AB22:AE22"/>
    <mergeCell ref="AB23:AE23"/>
    <mergeCell ref="AB24:AE24"/>
    <mergeCell ref="B37:C38"/>
    <mergeCell ref="B36:C36"/>
    <mergeCell ref="AE7:AK7"/>
    <mergeCell ref="AE8:AK8"/>
    <mergeCell ref="AE9:AK9"/>
    <mergeCell ref="AE10:AK10"/>
    <mergeCell ref="AF33:AG33"/>
    <mergeCell ref="AF28:AG28"/>
    <mergeCell ref="AF29:AG29"/>
    <mergeCell ref="AF30:AG30"/>
    <mergeCell ref="AF31:AG31"/>
    <mergeCell ref="AF32:AG32"/>
    <mergeCell ref="Q36:R39"/>
    <mergeCell ref="D36:P39"/>
    <mergeCell ref="AF34:AG34"/>
    <mergeCell ref="AF19:AG19"/>
    <mergeCell ref="AF20:AG20"/>
    <mergeCell ref="AF21:AG21"/>
    <mergeCell ref="AF22:AG22"/>
    <mergeCell ref="AF23:AG23"/>
    <mergeCell ref="AJ22:AK22"/>
    <mergeCell ref="AH23:AI23"/>
    <mergeCell ref="AJ23:AK23"/>
    <mergeCell ref="AH24:AI24"/>
    <mergeCell ref="AH22:AI22"/>
    <mergeCell ref="AJ24:AK24"/>
    <mergeCell ref="AH25:AI25"/>
    <mergeCell ref="AJ25:AK25"/>
    <mergeCell ref="AH14:AI14"/>
    <mergeCell ref="AJ14:AK14"/>
    <mergeCell ref="AJ15:AK15"/>
    <mergeCell ref="AH18:AI18"/>
    <mergeCell ref="AJ18:AK18"/>
    <mergeCell ref="AH19:AI19"/>
    <mergeCell ref="AJ19:AK19"/>
    <mergeCell ref="AH20:AI20"/>
    <mergeCell ref="AJ20:AK20"/>
    <mergeCell ref="AH17:AI17"/>
    <mergeCell ref="AH15:AI16"/>
    <mergeCell ref="AK16:AK17"/>
    <mergeCell ref="AE2:AL2"/>
    <mergeCell ref="K3:AD6"/>
    <mergeCell ref="AJ37:AK37"/>
    <mergeCell ref="AH31:AI31"/>
    <mergeCell ref="AJ31:AK31"/>
    <mergeCell ref="AH32:AI32"/>
    <mergeCell ref="AJ32:AK32"/>
    <mergeCell ref="AH33:AI33"/>
    <mergeCell ref="AJ33:AK33"/>
    <mergeCell ref="AH34:AI34"/>
    <mergeCell ref="AJ34:AK34"/>
    <mergeCell ref="S12:AK13"/>
    <mergeCell ref="AH26:AI26"/>
    <mergeCell ref="AJ26:AK26"/>
    <mergeCell ref="AH27:AI27"/>
    <mergeCell ref="AJ27:AK27"/>
    <mergeCell ref="AH28:AI28"/>
    <mergeCell ref="AJ28:AK28"/>
    <mergeCell ref="AH29:AI29"/>
    <mergeCell ref="AJ29:AK29"/>
    <mergeCell ref="AH30:AI30"/>
    <mergeCell ref="AJ30:AK30"/>
    <mergeCell ref="AH21:AI21"/>
    <mergeCell ref="AJ21:AK21"/>
  </mergeCells>
  <phoneticPr fontId="32" type="noConversion"/>
  <dataValidations count="1">
    <dataValidation type="list" allowBlank="1" showInputMessage="1" showErrorMessage="1" sqref="L18:M34">
      <formula1>PurchasingCurrency</formula1>
    </dataValidation>
  </dataValidations>
  <printOptions horizontalCentered="1"/>
  <pageMargins left="0.39370078740157483" right="0.39370078740157483" top="0.39370078740157483" bottom="0.39370078740157483" header="0.11811023622047245" footer="0.11811023622047245"/>
  <pageSetup paperSize="9" scale="73" orientation="landscape" r:id="rId1"/>
  <headerFooter>
    <oddHeader>&amp;RPage &amp;P (&amp;N)</oddHeader>
    <oddFooter>&amp;LFile: &amp;F&amp;RTemplate:  2.1 September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Z77"/>
  <sheetViews>
    <sheetView showGridLines="0" tabSelected="1" topLeftCell="D25" zoomScaleNormal="100" zoomScaleSheetLayoutView="80" workbookViewId="0">
      <selection activeCell="P36" sqref="P36"/>
    </sheetView>
  </sheetViews>
  <sheetFormatPr defaultColWidth="9.125" defaultRowHeight="13.5" x14ac:dyDescent="0.15"/>
  <cols>
    <col min="1" max="1" width="9.125" style="53"/>
    <col min="2" max="2" width="2.75" style="53" customWidth="1"/>
    <col min="3" max="3" width="7.125" style="53" customWidth="1"/>
    <col min="4" max="5" width="9.125" style="53"/>
    <col min="6" max="6" width="7.125" style="53" customWidth="1"/>
    <col min="7" max="7" width="2.75" style="53" customWidth="1"/>
    <col min="8" max="8" width="1.75" style="53" customWidth="1"/>
    <col min="9" max="9" width="10.75" style="53" customWidth="1"/>
    <col min="10" max="11" width="9.125" style="53"/>
    <col min="12" max="12" width="17.75" style="53" customWidth="1"/>
    <col min="13" max="13" width="4.75" style="53" customWidth="1"/>
    <col min="14" max="14" width="12.75" style="53" customWidth="1"/>
    <col min="15" max="15" width="15.75" style="53" customWidth="1"/>
    <col min="16" max="16" width="9.875" style="53" bestFit="1" customWidth="1"/>
    <col min="17" max="17" width="4.75" style="53" customWidth="1"/>
    <col min="18" max="18" width="5.125" style="53" customWidth="1"/>
    <col min="19" max="19" width="2.75" style="53" customWidth="1"/>
    <col min="20" max="20" width="11" style="53" bestFit="1" customWidth="1"/>
    <col min="21" max="21" width="5.125" style="53" customWidth="1"/>
    <col min="22" max="22" width="4.75" style="53" customWidth="1"/>
    <col min="23" max="23" width="6.75" style="53" customWidth="1"/>
    <col min="24" max="24" width="2.75" style="53" customWidth="1"/>
    <col min="25" max="16384" width="9.125" style="53"/>
  </cols>
  <sheetData>
    <row r="2" spans="2:25" ht="14.25" thickBot="1" x14ac:dyDescent="0.2">
      <c r="L2" s="53" t="s">
        <v>1224</v>
      </c>
      <c r="Q2" s="382" t="s">
        <v>0</v>
      </c>
      <c r="R2" s="382"/>
      <c r="S2" s="382"/>
      <c r="T2" s="382"/>
      <c r="U2" s="382"/>
      <c r="V2" s="382"/>
      <c r="W2" s="382"/>
      <c r="X2" s="382"/>
    </row>
    <row r="3" spans="2:25" ht="15" customHeight="1" x14ac:dyDescent="0.15">
      <c r="B3" s="383" t="s">
        <v>1</v>
      </c>
      <c r="C3" s="384"/>
      <c r="D3" s="384"/>
      <c r="E3" s="384"/>
      <c r="F3" s="384"/>
      <c r="G3" s="385"/>
      <c r="H3" s="395" t="str">
        <f>VLOOKUP("H0",Languages!$A$1:$F$386,VLOOKUP(Summary!AM6,Languages!$C$2:$D$6,2,FALSE),FALSE)</f>
        <v>Machine-hour rate calculation template</v>
      </c>
      <c r="I3" s="396"/>
      <c r="J3" s="396"/>
      <c r="K3" s="396"/>
      <c r="L3" s="396"/>
      <c r="M3" s="396"/>
      <c r="N3" s="396"/>
      <c r="O3" s="396"/>
      <c r="P3" s="396"/>
      <c r="Q3" s="396"/>
      <c r="R3" s="396"/>
      <c r="S3" s="397"/>
      <c r="T3" s="395" t="str">
        <f>VLOOKUP("e",Languages!$A$1:$F$386,VLOOKUP(Summary!AM6,Languages!$C$2:$D$6,2,FALSE),FALSE)</f>
        <v>Machine-hour rate</v>
      </c>
      <c r="U3" s="396"/>
      <c r="V3" s="396"/>
      <c r="W3" s="396"/>
      <c r="X3" s="397"/>
    </row>
    <row r="4" spans="2:25" ht="15" customHeight="1" thickBot="1" x14ac:dyDescent="0.2">
      <c r="B4" s="386"/>
      <c r="C4" s="387"/>
      <c r="D4" s="387"/>
      <c r="E4" s="387"/>
      <c r="F4" s="387"/>
      <c r="G4" s="388"/>
      <c r="H4" s="398"/>
      <c r="I4" s="399"/>
      <c r="J4" s="399"/>
      <c r="K4" s="399"/>
      <c r="L4" s="399"/>
      <c r="M4" s="399"/>
      <c r="N4" s="399"/>
      <c r="O4" s="399"/>
      <c r="P4" s="399"/>
      <c r="Q4" s="399"/>
      <c r="R4" s="399"/>
      <c r="S4" s="400"/>
      <c r="T4" s="398"/>
      <c r="U4" s="399"/>
      <c r="V4" s="399"/>
      <c r="W4" s="399"/>
      <c r="X4" s="400"/>
    </row>
    <row r="5" spans="2:25" ht="9.9499999999999993" customHeight="1" thickBot="1" x14ac:dyDescent="0.2">
      <c r="B5" s="386"/>
      <c r="C5" s="387"/>
      <c r="D5" s="387"/>
      <c r="E5" s="387"/>
      <c r="F5" s="387"/>
      <c r="G5" s="388"/>
      <c r="H5" s="398"/>
      <c r="I5" s="399"/>
      <c r="J5" s="399"/>
      <c r="K5" s="399"/>
      <c r="L5" s="399"/>
      <c r="M5" s="399"/>
      <c r="N5" s="399"/>
      <c r="O5" s="399"/>
      <c r="P5" s="399"/>
      <c r="Q5" s="399"/>
      <c r="R5" s="399"/>
      <c r="S5" s="400"/>
      <c r="T5" s="293"/>
      <c r="U5" s="292" t="str">
        <f>Summary!AL5</f>
        <v>Version</v>
      </c>
      <c r="V5" s="309" t="str">
        <f>Summary!AM5</f>
        <v>2.1</v>
      </c>
      <c r="W5" s="242"/>
      <c r="X5" s="306"/>
      <c r="Y5" s="84"/>
    </row>
    <row r="6" spans="2:25" ht="9.9499999999999993" customHeight="1" thickBot="1" x14ac:dyDescent="0.2">
      <c r="B6" s="386"/>
      <c r="C6" s="387"/>
      <c r="D6" s="387"/>
      <c r="E6" s="387"/>
      <c r="F6" s="387"/>
      <c r="G6" s="388"/>
      <c r="H6" s="398"/>
      <c r="I6" s="399"/>
      <c r="J6" s="399"/>
      <c r="K6" s="399"/>
      <c r="L6" s="399"/>
      <c r="M6" s="399"/>
      <c r="N6" s="399"/>
      <c r="O6" s="399"/>
      <c r="P6" s="399"/>
      <c r="Q6" s="399"/>
      <c r="R6" s="399"/>
      <c r="S6" s="400"/>
      <c r="T6" s="303"/>
      <c r="U6" s="305" t="str">
        <f>Summary!AL6</f>
        <v>Language</v>
      </c>
      <c r="V6" s="310" t="str">
        <f>Summary!AM6</f>
        <v>English</v>
      </c>
      <c r="Y6" s="84"/>
    </row>
    <row r="7" spans="2:25" ht="15" customHeight="1" x14ac:dyDescent="0.15">
      <c r="B7" s="386"/>
      <c r="C7" s="387"/>
      <c r="D7" s="387"/>
      <c r="E7" s="387"/>
      <c r="F7" s="387"/>
      <c r="G7" s="387"/>
      <c r="H7" s="784" t="str">
        <f>VLOOKUP("H1",Languages!$A$1:$F$386,VLOOKUP(Summary!AM6,Languages!$C$2:$D$6,2,FALSE),FALSE)</f>
        <v>Machine-hour rate calculation
Only for information
Not linked with any worksheet and not considered via import and export!</v>
      </c>
      <c r="I7" s="785"/>
      <c r="J7" s="785"/>
      <c r="K7" s="785"/>
      <c r="L7" s="785"/>
      <c r="M7" s="785"/>
      <c r="N7" s="785"/>
      <c r="O7" s="785"/>
      <c r="P7" s="785"/>
      <c r="Q7" s="785"/>
      <c r="R7" s="785"/>
      <c r="S7" s="786"/>
      <c r="T7" s="302"/>
      <c r="U7" s="773" t="str">
        <f>VLOOKUP("0.01",Languages!$A$10:$F$111,VLOOKUP(Summary!AM6,Languages!$C$2:$D$6,2,FALSE),FALSE)</f>
        <v>Field</v>
      </c>
      <c r="V7" s="773"/>
      <c r="W7" s="294"/>
      <c r="X7" s="295"/>
      <c r="Y7" s="84"/>
    </row>
    <row r="8" spans="2:25" ht="15" customHeight="1" x14ac:dyDescent="0.15">
      <c r="B8" s="386"/>
      <c r="C8" s="387"/>
      <c r="D8" s="387"/>
      <c r="E8" s="387"/>
      <c r="F8" s="387"/>
      <c r="G8" s="387"/>
      <c r="H8" s="787"/>
      <c r="I8" s="788"/>
      <c r="J8" s="788"/>
      <c r="K8" s="788"/>
      <c r="L8" s="788"/>
      <c r="M8" s="788"/>
      <c r="N8" s="788"/>
      <c r="O8" s="788"/>
      <c r="P8" s="788"/>
      <c r="Q8" s="788"/>
      <c r="R8" s="788"/>
      <c r="S8" s="789"/>
      <c r="T8" s="296"/>
      <c r="U8" s="486" t="str">
        <f>VLOOKUP("0.02",Languages!$A$10:$F$111,VLOOKUP(Summary!AM6,Languages!$C$2:$D$6,2,FALSE),FALSE)</f>
        <v>mandatory</v>
      </c>
      <c r="V8" s="487"/>
      <c r="W8" s="297"/>
      <c r="X8" s="298"/>
    </row>
    <row r="9" spans="2:25" ht="15" customHeight="1" x14ac:dyDescent="0.15">
      <c r="B9" s="386"/>
      <c r="C9" s="387"/>
      <c r="D9" s="387"/>
      <c r="E9" s="387"/>
      <c r="F9" s="387"/>
      <c r="G9" s="387"/>
      <c r="H9" s="787"/>
      <c r="I9" s="788"/>
      <c r="J9" s="788"/>
      <c r="K9" s="788"/>
      <c r="L9" s="788"/>
      <c r="M9" s="788"/>
      <c r="N9" s="788"/>
      <c r="O9" s="788"/>
      <c r="P9" s="788"/>
      <c r="Q9" s="788"/>
      <c r="R9" s="788"/>
      <c r="S9" s="789"/>
      <c r="T9" s="296"/>
      <c r="U9" s="774" t="str">
        <f>VLOOKUP("0.03",Languages!$A$10:$F$111,VLOOKUP(Summary!AM6,Languages!$C$2:$D$6,2,FALSE),FALSE)</f>
        <v>optional</v>
      </c>
      <c r="V9" s="775"/>
      <c r="W9" s="297"/>
      <c r="X9" s="298"/>
    </row>
    <row r="10" spans="2:25" ht="15.75" customHeight="1" thickBot="1" x14ac:dyDescent="0.2">
      <c r="B10" s="389"/>
      <c r="C10" s="390"/>
      <c r="D10" s="390"/>
      <c r="E10" s="390"/>
      <c r="F10" s="390"/>
      <c r="G10" s="390"/>
      <c r="H10" s="790"/>
      <c r="I10" s="791"/>
      <c r="J10" s="791"/>
      <c r="K10" s="791"/>
      <c r="L10" s="791"/>
      <c r="M10" s="791"/>
      <c r="N10" s="791"/>
      <c r="O10" s="791"/>
      <c r="P10" s="791"/>
      <c r="Q10" s="791"/>
      <c r="R10" s="791"/>
      <c r="S10" s="792"/>
      <c r="T10" s="299"/>
      <c r="U10" s="782" t="str">
        <f>VLOOKUP("0.04",Languages!$A$10:$F$111,VLOOKUP(Summary!AM6,Languages!$C$2:$D$6,2,FALSE),FALSE)</f>
        <v>calculated</v>
      </c>
      <c r="V10" s="783"/>
      <c r="W10" s="300"/>
      <c r="X10" s="301"/>
    </row>
    <row r="11" spans="2:25" x14ac:dyDescent="0.15">
      <c r="B11" s="361"/>
      <c r="C11" s="361"/>
      <c r="D11" s="361"/>
      <c r="E11" s="361"/>
      <c r="F11" s="361"/>
      <c r="G11" s="361"/>
      <c r="H11" s="159"/>
      <c r="I11" s="159"/>
      <c r="J11" s="159"/>
      <c r="K11" s="159"/>
      <c r="L11" s="159"/>
      <c r="M11" s="159"/>
      <c r="N11" s="159"/>
      <c r="O11" s="159"/>
      <c r="P11" s="159"/>
      <c r="Q11" s="159"/>
      <c r="R11" s="159"/>
      <c r="S11" s="159"/>
      <c r="T11" s="159"/>
      <c r="U11" s="159"/>
      <c r="V11" s="159"/>
      <c r="W11" s="159"/>
      <c r="X11" s="159"/>
    </row>
    <row r="12" spans="2:25" x14ac:dyDescent="0.15">
      <c r="C12" s="163" t="str">
        <f>VLOOKUP("H2",Languages!$A$1:$F$386,VLOOKUP(Summary!AM6,Languages!$C$2:$D$6,2,FALSE),FALSE)</f>
        <v>Machine Basic data</v>
      </c>
      <c r="D12" s="361"/>
      <c r="E12" s="361"/>
      <c r="F12" s="361"/>
      <c r="G12" s="361"/>
      <c r="H12" s="159"/>
      <c r="I12" s="159"/>
      <c r="J12" s="159"/>
      <c r="K12" s="159"/>
      <c r="L12" s="159"/>
      <c r="M12" s="159"/>
      <c r="N12" s="159"/>
      <c r="O12" s="159"/>
      <c r="P12" s="159"/>
      <c r="Q12" s="159"/>
      <c r="R12" s="159"/>
      <c r="S12" s="159"/>
      <c r="T12" s="159"/>
      <c r="U12" s="159"/>
      <c r="V12" s="159"/>
      <c r="W12" s="159"/>
      <c r="X12" s="159"/>
    </row>
    <row r="13" spans="2:25" ht="8.1" customHeight="1" x14ac:dyDescent="0.15">
      <c r="B13" s="361"/>
      <c r="C13" s="361"/>
      <c r="D13" s="361"/>
      <c r="E13" s="361"/>
      <c r="F13" s="361"/>
      <c r="G13" s="361"/>
      <c r="H13" s="159"/>
      <c r="I13" s="159"/>
      <c r="J13" s="159"/>
      <c r="K13" s="159"/>
      <c r="L13" s="159"/>
      <c r="M13" s="159"/>
      <c r="N13" s="159"/>
      <c r="O13" s="159"/>
      <c r="P13" s="159"/>
      <c r="Q13" s="159"/>
      <c r="R13" s="159"/>
      <c r="S13" s="159"/>
      <c r="T13" s="159"/>
      <c r="U13" s="159"/>
      <c r="V13" s="159"/>
      <c r="W13" s="159"/>
      <c r="X13" s="159"/>
    </row>
    <row r="14" spans="2:25" x14ac:dyDescent="0.15">
      <c r="D14" s="361"/>
      <c r="E14" s="166" t="str">
        <f>VLOOKUP("H3",Languages!$A$1:$F$386,VLOOKUP(Summary!AM6,Languages!$C$2:$D$6,2,FALSE),FALSE)</f>
        <v>Manufacturer</v>
      </c>
      <c r="J14" s="793" t="s">
        <v>80</v>
      </c>
      <c r="K14" s="794"/>
      <c r="L14" s="795"/>
      <c r="M14" s="159"/>
      <c r="N14" s="159"/>
      <c r="O14" s="166" t="str">
        <f>VLOOKUP("H6",Languages!$A$1:$F$386,VLOOKUP(Summary!AM6,Languages!$C$2:$D$6,2,FALSE),FALSE)</f>
        <v>Machine class</v>
      </c>
      <c r="P14" s="159" t="s">
        <v>1225</v>
      </c>
      <c r="Q14" s="167"/>
      <c r="R14" s="794" t="s">
        <v>80</v>
      </c>
      <c r="S14" s="794"/>
      <c r="T14" s="794"/>
      <c r="U14" s="794"/>
      <c r="V14" s="794"/>
      <c r="W14" s="795"/>
      <c r="X14" s="159"/>
    </row>
    <row r="15" spans="2:25" ht="8.1" customHeight="1" x14ac:dyDescent="0.15">
      <c r="B15" s="361"/>
      <c r="C15" s="361"/>
      <c r="D15" s="361"/>
      <c r="E15" s="361"/>
      <c r="F15" s="361"/>
      <c r="J15" s="159"/>
      <c r="K15" s="159"/>
      <c r="L15" s="159"/>
      <c r="M15" s="159"/>
      <c r="N15" s="159"/>
      <c r="O15" s="159"/>
      <c r="P15" s="159"/>
      <c r="Q15" s="159"/>
      <c r="R15" s="159"/>
      <c r="S15" s="159"/>
      <c r="T15" s="159"/>
      <c r="U15" s="159"/>
      <c r="V15" s="159"/>
      <c r="W15" s="159"/>
      <c r="X15" s="159"/>
    </row>
    <row r="16" spans="2:25" x14ac:dyDescent="0.15">
      <c r="D16" s="361"/>
      <c r="E16" s="165" t="str">
        <f>VLOOKUP("H4",Languages!$A$1:$F$386,VLOOKUP(Summary!AM6,Languages!$C$2:$D$6,2,FALSE),FALSE)</f>
        <v>Type designation</v>
      </c>
      <c r="J16" s="793" t="s">
        <v>80</v>
      </c>
      <c r="K16" s="794"/>
      <c r="L16" s="795"/>
      <c r="M16" s="159"/>
      <c r="N16" s="159"/>
      <c r="O16" s="53" t="str">
        <f>VLOOKUP("H7",Languages!$A$1:$F$386,VLOOKUP(Summary!AM6,Languages!$C$2:$D$6,2,FALSE),FALSE)</f>
        <v>Miscellaneous</v>
      </c>
      <c r="P16" s="159" t="s">
        <v>1226</v>
      </c>
      <c r="Q16" s="167"/>
      <c r="R16" s="794"/>
      <c r="S16" s="794"/>
      <c r="T16" s="794"/>
      <c r="U16" s="794"/>
      <c r="V16" s="794"/>
      <c r="W16" s="795"/>
      <c r="X16" s="159"/>
    </row>
    <row r="17" spans="2:25" ht="8.1" customHeight="1" x14ac:dyDescent="0.15">
      <c r="D17" s="361"/>
      <c r="E17" s="361"/>
      <c r="G17" s="164"/>
      <c r="J17" s="166"/>
      <c r="K17" s="166"/>
      <c r="L17" s="166"/>
      <c r="M17" s="159"/>
      <c r="N17" s="159"/>
      <c r="O17" s="166"/>
      <c r="P17" s="159"/>
      <c r="Q17" s="173"/>
      <c r="R17" s="166"/>
      <c r="S17" s="166"/>
      <c r="T17" s="166"/>
      <c r="U17" s="166"/>
      <c r="V17" s="166"/>
      <c r="W17" s="166"/>
      <c r="X17" s="159"/>
    </row>
    <row r="18" spans="2:25" x14ac:dyDescent="0.15">
      <c r="B18" s="361"/>
      <c r="C18" s="361"/>
      <c r="D18" s="361"/>
      <c r="E18" s="166" t="str">
        <f>VLOOKUP("H5",Languages!$A$1:$F$386,VLOOKUP(Summary!AM6,Languages!$C$2:$D$6,2,FALSE),FALSE)</f>
        <v>Category</v>
      </c>
      <c r="F18" s="361"/>
      <c r="H18" s="159"/>
      <c r="I18" s="159"/>
      <c r="J18" s="793" t="s">
        <v>80</v>
      </c>
      <c r="K18" s="794"/>
      <c r="L18" s="795"/>
      <c r="M18" s="159"/>
      <c r="N18" s="159"/>
      <c r="O18" s="166" t="str">
        <f>VLOOKUP("H8",Languages!$A$1:$F$386,VLOOKUP(Summary!AM6,Languages!$C$2:$D$6,2,FALSE),FALSE)</f>
        <v>Miscellaneous</v>
      </c>
      <c r="P18" s="159"/>
      <c r="Q18" s="159"/>
      <c r="R18" s="793"/>
      <c r="S18" s="794"/>
      <c r="T18" s="794"/>
      <c r="U18" s="794"/>
      <c r="V18" s="794"/>
      <c r="W18" s="795"/>
      <c r="X18" s="159"/>
    </row>
    <row r="19" spans="2:25" ht="14.25" thickBot="1" x14ac:dyDescent="0.2">
      <c r="B19" s="55"/>
      <c r="C19" s="55"/>
      <c r="D19" s="55"/>
      <c r="E19" s="55"/>
      <c r="F19" s="55"/>
      <c r="G19" s="55"/>
      <c r="K19" s="56"/>
      <c r="L19" s="56"/>
      <c r="M19" s="56"/>
      <c r="T19" s="423"/>
      <c r="U19" s="423"/>
      <c r="V19" s="423"/>
      <c r="W19" s="423"/>
      <c r="X19" s="423"/>
    </row>
    <row r="20" spans="2:25" x14ac:dyDescent="0.15">
      <c r="B20" s="63"/>
      <c r="C20" s="64"/>
      <c r="D20" s="64"/>
      <c r="E20" s="64"/>
      <c r="F20" s="64"/>
      <c r="G20" s="64"/>
      <c r="H20" s="64"/>
      <c r="I20" s="64"/>
      <c r="J20" s="64"/>
      <c r="K20" s="64"/>
      <c r="L20" s="64"/>
      <c r="M20" s="64"/>
      <c r="N20" s="64"/>
      <c r="O20" s="64"/>
      <c r="P20" s="64"/>
      <c r="Q20" s="64"/>
      <c r="R20" s="64"/>
      <c r="S20" s="64"/>
      <c r="T20" s="64"/>
      <c r="U20" s="64"/>
      <c r="V20" s="64"/>
      <c r="W20" s="64"/>
      <c r="X20" s="3"/>
    </row>
    <row r="21" spans="2:25" x14ac:dyDescent="0.15">
      <c r="B21" s="60"/>
      <c r="C21" s="125" t="str">
        <f>VLOOKUP("H9",Languages!$A$1:$F$386,VLOOKUP(Summary!AM6,Languages!$C$2:$D$6,2,FALSE),FALSE)</f>
        <v>Investment</v>
      </c>
      <c r="D21" s="57"/>
      <c r="E21" s="57" t="s">
        <v>1196</v>
      </c>
      <c r="F21" s="57"/>
      <c r="G21" s="57"/>
      <c r="H21" s="57"/>
      <c r="I21" s="57"/>
      <c r="J21" s="57"/>
      <c r="K21" s="57"/>
      <c r="L21" s="57"/>
      <c r="M21" s="57"/>
      <c r="N21" s="57"/>
      <c r="O21" s="162" t="str">
        <f>VLOOKUP("H17",Languages!$A$1:$F$386,VLOOKUP(Summary!AM6,Languages!$C$2:$D$6,2,FALSE),FALSE)</f>
        <v>Capacity factor per year</v>
      </c>
      <c r="P21" s="57"/>
      <c r="Q21" s="57"/>
      <c r="R21" s="57" t="s">
        <v>1227</v>
      </c>
      <c r="S21" s="57"/>
      <c r="T21" s="57"/>
      <c r="U21" s="57"/>
      <c r="V21" s="57"/>
      <c r="W21" s="126"/>
      <c r="X21" s="65"/>
    </row>
    <row r="22" spans="2:25" ht="8.1" customHeight="1" x14ac:dyDescent="0.15">
      <c r="B22" s="60"/>
      <c r="C22" s="132"/>
      <c r="D22" s="54"/>
      <c r="E22" s="54"/>
      <c r="F22" s="54"/>
      <c r="G22" s="54"/>
      <c r="H22" s="54"/>
      <c r="I22" s="54"/>
      <c r="J22" s="54"/>
      <c r="K22" s="54"/>
      <c r="L22" s="17"/>
      <c r="M22" s="54"/>
      <c r="N22" s="54"/>
      <c r="O22" s="54"/>
      <c r="P22" s="54"/>
      <c r="Q22" s="54"/>
      <c r="R22" s="54"/>
      <c r="S22" s="54"/>
      <c r="T22" s="54"/>
      <c r="U22" s="54"/>
      <c r="V22" s="54"/>
      <c r="W22" s="128"/>
      <c r="X22" s="65"/>
    </row>
    <row r="23" spans="2:25" x14ac:dyDescent="0.15">
      <c r="B23" s="60"/>
      <c r="C23" s="127" t="str">
        <f>VLOOKUP("H10",Languages!$A$1:$F$386,VLOOKUP(Summary!AM6,Languages!$C$2:$D$6,2,FALSE),FALSE)</f>
        <v>Aquistion value</v>
      </c>
      <c r="D23" s="54"/>
      <c r="E23" s="54" t="s">
        <v>1202</v>
      </c>
      <c r="F23" s="54"/>
      <c r="G23" s="54"/>
      <c r="H23" s="54"/>
      <c r="I23" s="54"/>
      <c r="J23" s="54"/>
      <c r="K23" s="54"/>
      <c r="L23" s="339">
        <v>0</v>
      </c>
      <c r="M23" s="54">
        <f>Summary!G18</f>
        <v>0</v>
      </c>
      <c r="N23" s="54"/>
      <c r="O23" s="54" t="str">
        <f>VLOOKUP("H18",Languages!$A$1:$F$386,VLOOKUP(Summary!AM6,Languages!$C$2:$D$6,2,FALSE),FALSE)</f>
        <v>Production days per year</v>
      </c>
      <c r="P23" s="54"/>
      <c r="Q23" s="54" t="s">
        <v>1229</v>
      </c>
      <c r="R23" s="54"/>
      <c r="S23" s="54"/>
      <c r="T23" s="340">
        <v>0</v>
      </c>
      <c r="U23" s="127"/>
      <c r="V23" s="54"/>
      <c r="W23" s="128"/>
      <c r="X23" s="65"/>
    </row>
    <row r="24" spans="2:25" ht="8.1" customHeight="1" x14ac:dyDescent="0.15">
      <c r="B24" s="60"/>
      <c r="C24" s="127"/>
      <c r="D24" s="54"/>
      <c r="E24" s="54"/>
      <c r="F24" s="54"/>
      <c r="G24" s="54"/>
      <c r="H24" s="54"/>
      <c r="I24" s="54"/>
      <c r="J24" s="54"/>
      <c r="K24" s="54"/>
      <c r="L24" s="135"/>
      <c r="M24" s="54"/>
      <c r="N24" s="54"/>
      <c r="O24" s="54"/>
      <c r="P24" s="54"/>
      <c r="Q24" s="54"/>
      <c r="R24" s="54"/>
      <c r="S24" s="54"/>
      <c r="T24" s="141"/>
      <c r="U24" s="54"/>
      <c r="V24" s="54"/>
      <c r="W24" s="128"/>
      <c r="X24" s="65"/>
    </row>
    <row r="25" spans="2:25" x14ac:dyDescent="0.15">
      <c r="B25" s="60"/>
      <c r="C25" s="127" t="str">
        <f>VLOOKUP("H11",Languages!$A$1:$F$386,VLOOKUP(Summary!AM6,Languages!$C$2:$D$6,2,FALSE),FALSE)</f>
        <v>Installation expenditures</v>
      </c>
      <c r="D25" s="54"/>
      <c r="E25" s="54"/>
      <c r="F25" s="54" t="s">
        <v>1203</v>
      </c>
      <c r="G25" s="54"/>
      <c r="H25" s="54"/>
      <c r="I25" s="54"/>
      <c r="J25" s="336">
        <v>0</v>
      </c>
      <c r="K25" s="54" t="s">
        <v>7</v>
      </c>
      <c r="L25" s="143">
        <f>L23*(J25/100)</f>
        <v>0</v>
      </c>
      <c r="M25" s="54">
        <f>Summary!G18</f>
        <v>0</v>
      </c>
      <c r="N25" s="54"/>
      <c r="O25" s="54" t="str">
        <f>VLOOKUP("H19",Languages!$A$1:$F$386,VLOOKUP(Summary!AM6,Languages!$C$2:$D$6,2,FALSE),FALSE)</f>
        <v>Shift per production day</v>
      </c>
      <c r="P25" s="54"/>
      <c r="Q25" s="54" t="s">
        <v>1230</v>
      </c>
      <c r="R25" s="54"/>
      <c r="S25" s="54"/>
      <c r="T25" s="340">
        <v>0</v>
      </c>
      <c r="U25" s="54"/>
      <c r="V25" s="54"/>
      <c r="W25" s="128"/>
      <c r="X25" s="65"/>
    </row>
    <row r="26" spans="2:25" ht="8.1" customHeight="1" x14ac:dyDescent="0.15">
      <c r="B26" s="60"/>
      <c r="C26" s="127"/>
      <c r="D26" s="54"/>
      <c r="E26" s="54"/>
      <c r="F26" s="54"/>
      <c r="G26" s="54"/>
      <c r="H26" s="54"/>
      <c r="I26" s="54"/>
      <c r="J26" s="140"/>
      <c r="K26" s="54"/>
      <c r="L26" s="135"/>
      <c r="M26" s="54"/>
      <c r="N26" s="54"/>
      <c r="O26" s="54"/>
      <c r="P26" s="54"/>
      <c r="Q26" s="54"/>
      <c r="R26" s="54"/>
      <c r="S26" s="54"/>
      <c r="T26" s="141"/>
      <c r="U26" s="54"/>
      <c r="V26" s="54"/>
      <c r="W26" s="128"/>
      <c r="X26" s="65"/>
    </row>
    <row r="27" spans="2:25" x14ac:dyDescent="0.15">
      <c r="B27" s="60"/>
      <c r="C27" s="129" t="str">
        <f>VLOOKUP("H12",Languages!$A$1:$F$386,VLOOKUP(Summary!AM6,Languages!$C$2:$D$6,2,FALSE),FALSE)</f>
        <v>Foundation</v>
      </c>
      <c r="D27" s="54"/>
      <c r="E27" s="54" t="s">
        <v>1204</v>
      </c>
      <c r="F27" s="54"/>
      <c r="G27" s="54"/>
      <c r="H27" s="54"/>
      <c r="I27" s="54"/>
      <c r="J27" s="336">
        <v>0</v>
      </c>
      <c r="K27" s="54" t="s">
        <v>7</v>
      </c>
      <c r="L27" s="143">
        <f>L23*(J27/100)</f>
        <v>0</v>
      </c>
      <c r="M27" s="54">
        <f>Summary!G18</f>
        <v>0</v>
      </c>
      <c r="N27" s="54"/>
      <c r="O27" s="54" t="str">
        <f>VLOOKUP("H20",Languages!$A$1:$F$386,VLOOKUP(Summary!AM6,Languages!$C$2:$D$6,2,FALSE),FALSE)</f>
        <v>Production hours per shift</v>
      </c>
      <c r="P27" s="54"/>
      <c r="Q27" s="54" t="s">
        <v>1231</v>
      </c>
      <c r="R27" s="54"/>
      <c r="S27" s="54"/>
      <c r="T27" s="340">
        <v>0</v>
      </c>
      <c r="U27" s="54"/>
      <c r="V27" s="54"/>
      <c r="W27" s="128"/>
      <c r="X27" s="65"/>
    </row>
    <row r="28" spans="2:25" ht="8.1" customHeight="1" x14ac:dyDescent="0.15">
      <c r="B28" s="60"/>
      <c r="C28" s="127"/>
      <c r="D28" s="54"/>
      <c r="E28" s="54"/>
      <c r="F28" s="54"/>
      <c r="G28" s="54"/>
      <c r="H28" s="54"/>
      <c r="I28" s="54"/>
      <c r="J28" s="140"/>
      <c r="K28" s="54"/>
      <c r="L28" s="135"/>
      <c r="M28" s="54"/>
      <c r="N28" s="54"/>
      <c r="O28" s="54"/>
      <c r="P28" s="54"/>
      <c r="Q28" s="54"/>
      <c r="R28" s="54"/>
      <c r="S28" s="54"/>
      <c r="T28" s="141"/>
      <c r="U28" s="54"/>
      <c r="V28" s="54"/>
      <c r="W28" s="128"/>
      <c r="X28" s="65"/>
    </row>
    <row r="29" spans="2:25" x14ac:dyDescent="0.15">
      <c r="B29" s="60"/>
      <c r="C29" s="127" t="str">
        <f>VLOOKUP("H13",Languages!$A$1:$F$386,VLOOKUP(Summary!AM6,Languages!$C$2:$D$6,2,FALSE),FALSE)</f>
        <v>Other expenditures</v>
      </c>
      <c r="D29" s="54"/>
      <c r="E29" s="54"/>
      <c r="F29" s="54" t="s">
        <v>1205</v>
      </c>
      <c r="G29" s="54"/>
      <c r="H29" s="54"/>
      <c r="I29" s="54"/>
      <c r="J29" s="336">
        <v>0</v>
      </c>
      <c r="K29" s="54" t="s">
        <v>7</v>
      </c>
      <c r="L29" s="143">
        <f>L23*(J29/100)</f>
        <v>0</v>
      </c>
      <c r="M29" s="54">
        <f>Summary!G18</f>
        <v>0</v>
      </c>
      <c r="N29" s="54"/>
      <c r="O29" s="54" t="str">
        <f>VLOOKUP("H21",Languages!$A$1:$F$386,VLOOKUP(Summary!AM6,Languages!$C$2:$D$6,2,FALSE),FALSE)</f>
        <v>Production hours per year</v>
      </c>
      <c r="P29" s="54"/>
      <c r="Q29" s="54" t="s">
        <v>1232</v>
      </c>
      <c r="R29" s="54"/>
      <c r="S29" s="54"/>
      <c r="T29" s="341">
        <f>T23*T25*T27</f>
        <v>0</v>
      </c>
      <c r="U29" s="54"/>
      <c r="V29" s="54"/>
      <c r="W29" s="128"/>
      <c r="X29" s="65"/>
      <c r="Y29" s="82"/>
    </row>
    <row r="30" spans="2:25" ht="8.1" customHeight="1" x14ac:dyDescent="0.15">
      <c r="B30" s="60"/>
      <c r="C30" s="127"/>
      <c r="D30" s="54"/>
      <c r="E30" s="54"/>
      <c r="F30" s="54"/>
      <c r="G30" s="54"/>
      <c r="H30" s="54"/>
      <c r="I30" s="54"/>
      <c r="J30" s="140"/>
      <c r="K30" s="54"/>
      <c r="L30" s="135"/>
      <c r="M30" s="54"/>
      <c r="N30" s="54"/>
      <c r="O30" s="54"/>
      <c r="P30" s="54"/>
      <c r="Q30" s="54"/>
      <c r="R30" s="54"/>
      <c r="S30" s="54"/>
      <c r="T30" s="141"/>
      <c r="U30" s="54"/>
      <c r="V30" s="54"/>
      <c r="W30" s="128"/>
      <c r="X30" s="65"/>
    </row>
    <row r="31" spans="2:25" x14ac:dyDescent="0.15">
      <c r="B31" s="60"/>
      <c r="C31" s="127" t="str">
        <f>VLOOKUP("H14",Languages!$A$1:$F$386,VLOOKUP(Summary!AM6,Languages!$C$2:$D$6,2,FALSE),FALSE)</f>
        <v>Total Investment</v>
      </c>
      <c r="D31" s="54"/>
      <c r="E31" s="54"/>
      <c r="F31" s="54" t="s">
        <v>1206</v>
      </c>
      <c r="G31" s="54"/>
      <c r="H31" s="54"/>
      <c r="I31" s="54"/>
      <c r="J31" s="140"/>
      <c r="K31" s="54"/>
      <c r="L31" s="143">
        <f>L23+L25+L27+L29</f>
        <v>0</v>
      </c>
      <c r="M31" s="54">
        <f>Summary!G18</f>
        <v>0</v>
      </c>
      <c r="N31" s="54"/>
      <c r="O31" s="54" t="str">
        <f>VLOOKUP("H22",Languages!$A$1:$F$386,VLOOKUP(Summary!AM6,Languages!$C$2:$D$6,2,FALSE),FALSE)</f>
        <v>Utilization ratio</v>
      </c>
      <c r="P31" s="54"/>
      <c r="Q31" s="54" t="s">
        <v>1228</v>
      </c>
      <c r="R31" s="54"/>
      <c r="S31" s="54"/>
      <c r="T31" s="342">
        <v>0</v>
      </c>
      <c r="U31" s="54" t="s">
        <v>7</v>
      </c>
      <c r="V31" s="54"/>
      <c r="W31" s="128"/>
      <c r="X31" s="65"/>
    </row>
    <row r="32" spans="2:25" ht="8.1" customHeight="1" x14ac:dyDescent="0.15">
      <c r="B32" s="60"/>
      <c r="C32" s="127"/>
      <c r="D32" s="54"/>
      <c r="E32" s="54"/>
      <c r="F32" s="54"/>
      <c r="G32" s="54"/>
      <c r="H32" s="54"/>
      <c r="I32" s="54"/>
      <c r="J32" s="140"/>
      <c r="K32" s="54"/>
      <c r="L32" s="135"/>
      <c r="M32" s="54"/>
      <c r="N32" s="54"/>
      <c r="O32" s="54"/>
      <c r="P32" s="54"/>
      <c r="Q32" s="54"/>
      <c r="R32" s="54"/>
      <c r="S32" s="54"/>
      <c r="T32" s="141"/>
      <c r="U32" s="54"/>
      <c r="V32" s="54"/>
      <c r="W32" s="128"/>
      <c r="X32" s="65"/>
    </row>
    <row r="33" spans="2:26" x14ac:dyDescent="0.15">
      <c r="B33" s="60"/>
      <c r="C33" s="127" t="str">
        <f>VLOOKUP("H15",Languages!$A$1:$F$386,VLOOKUP(Summary!AM6,Languages!$C$2:$D$6,2,FALSE),FALSE)</f>
        <v>Residual Value</v>
      </c>
      <c r="D33" s="54"/>
      <c r="E33" s="54" t="s">
        <v>1207</v>
      </c>
      <c r="F33" s="54"/>
      <c r="G33" s="54"/>
      <c r="H33" s="54"/>
      <c r="I33" s="54"/>
      <c r="J33" s="336">
        <v>20</v>
      </c>
      <c r="K33" s="54" t="s">
        <v>7</v>
      </c>
      <c r="L33" s="143">
        <f>L31*(J33/100)</f>
        <v>0</v>
      </c>
      <c r="M33" s="54">
        <f>Summary!G18</f>
        <v>0</v>
      </c>
      <c r="N33" s="54"/>
      <c r="O33" s="54" t="str">
        <f>VLOOKUP("H23",Languages!$A$1:$F$386,VLOOKUP(Summary!AM6,Languages!$C$2:$D$6,2,FALSE),FALSE)</f>
        <v>Capacity factor per year</v>
      </c>
      <c r="P33" s="54"/>
      <c r="Q33" s="54" t="s">
        <v>1227</v>
      </c>
      <c r="R33" s="54"/>
      <c r="S33" s="54"/>
      <c r="T33" s="311">
        <f>T29*(T31/100)</f>
        <v>0</v>
      </c>
      <c r="U33" s="54" t="s">
        <v>81</v>
      </c>
      <c r="V33" s="54"/>
      <c r="W33" s="128"/>
      <c r="X33" s="65"/>
    </row>
    <row r="34" spans="2:26" ht="8.1" customHeight="1" x14ac:dyDescent="0.15">
      <c r="B34" s="60"/>
      <c r="C34" s="127"/>
      <c r="D34" s="54"/>
      <c r="E34" s="54"/>
      <c r="F34" s="54"/>
      <c r="G34" s="54"/>
      <c r="H34" s="54"/>
      <c r="I34" s="54"/>
      <c r="J34" s="134"/>
      <c r="K34" s="54"/>
      <c r="L34" s="136"/>
      <c r="M34" s="54"/>
      <c r="N34" s="54"/>
      <c r="O34" s="54"/>
      <c r="P34" s="54"/>
      <c r="Q34" s="54"/>
      <c r="R34" s="54"/>
      <c r="S34" s="54"/>
      <c r="T34" s="54"/>
      <c r="U34" s="54"/>
      <c r="V34" s="54"/>
      <c r="W34" s="128"/>
      <c r="X34" s="65"/>
    </row>
    <row r="35" spans="2:26" ht="15" customHeight="1" x14ac:dyDescent="0.15">
      <c r="B35" s="60"/>
      <c r="C35" s="127" t="str">
        <f>VLOOKUP("H16",Languages!$A$1:$F$386,VLOOKUP(Summary!AM6,Languages!$C$2:$D$6,2,FALSE),FALSE)</f>
        <v>Depreciation sum</v>
      </c>
      <c r="D35" s="54"/>
      <c r="E35" s="54" t="s">
        <v>1208</v>
      </c>
      <c r="F35" s="54"/>
      <c r="G35" s="54"/>
      <c r="H35" s="54"/>
      <c r="I35" s="54"/>
      <c r="J35" s="54"/>
      <c r="K35" s="54"/>
      <c r="L35" s="143">
        <f>L31-L33</f>
        <v>0</v>
      </c>
      <c r="M35" s="54">
        <f>Summary!G18</f>
        <v>0</v>
      </c>
      <c r="N35" s="54"/>
      <c r="O35" s="54"/>
      <c r="P35" s="54"/>
      <c r="Q35" s="54"/>
      <c r="R35" s="54"/>
      <c r="S35" s="54"/>
      <c r="T35" s="54"/>
      <c r="U35" s="54"/>
      <c r="V35" s="54"/>
      <c r="W35" s="128"/>
      <c r="X35" s="65"/>
    </row>
    <row r="36" spans="2:26" ht="8.1" customHeight="1" x14ac:dyDescent="0.15">
      <c r="B36" s="60"/>
      <c r="C36" s="130"/>
      <c r="D36" s="17"/>
      <c r="E36" s="17"/>
      <c r="F36" s="17"/>
      <c r="G36" s="17"/>
      <c r="H36" s="17"/>
      <c r="I36" s="17"/>
      <c r="J36" s="17"/>
      <c r="K36" s="17"/>
      <c r="L36" s="137"/>
      <c r="M36" s="17"/>
      <c r="N36" s="17"/>
      <c r="O36" s="17"/>
      <c r="P36" s="17"/>
      <c r="Q36" s="17"/>
      <c r="R36" s="17"/>
      <c r="S36" s="17"/>
      <c r="T36" s="17"/>
      <c r="U36" s="17"/>
      <c r="V36" s="17"/>
      <c r="W36" s="131"/>
      <c r="X36" s="65"/>
      <c r="Y36" s="79"/>
      <c r="Z36" s="82"/>
    </row>
    <row r="37" spans="2:26" ht="8.1" customHeight="1" x14ac:dyDescent="0.15">
      <c r="B37" s="60"/>
      <c r="C37" s="54"/>
      <c r="D37" s="54"/>
      <c r="E37" s="54"/>
      <c r="F37" s="54"/>
      <c r="G37" s="54"/>
      <c r="H37" s="54"/>
      <c r="I37" s="54"/>
      <c r="J37" s="54"/>
      <c r="K37" s="54"/>
      <c r="L37" s="138"/>
      <c r="M37" s="54"/>
      <c r="N37" s="54"/>
      <c r="O37" s="54"/>
      <c r="P37" s="54"/>
      <c r="Q37" s="54"/>
      <c r="R37" s="54"/>
      <c r="S37" s="54"/>
      <c r="T37" s="54"/>
      <c r="U37" s="54"/>
      <c r="V37" s="54"/>
      <c r="W37" s="54"/>
      <c r="X37" s="65"/>
    </row>
    <row r="38" spans="2:26" x14ac:dyDescent="0.15">
      <c r="B38" s="60"/>
      <c r="C38" s="125" t="str">
        <f>VLOOKUP("H24",Languages!$A$1:$F$386,VLOOKUP(Summary!AM6,Languages!$C$2:$D$6,2,FALSE),FALSE)</f>
        <v>Fixed Costs</v>
      </c>
      <c r="D38" s="57"/>
      <c r="E38" s="57" t="s">
        <v>1209</v>
      </c>
      <c r="F38" s="57"/>
      <c r="G38" s="57"/>
      <c r="H38" s="57"/>
      <c r="I38" s="57"/>
      <c r="J38" s="57"/>
      <c r="K38" s="57"/>
      <c r="L38" s="139"/>
      <c r="M38" s="57"/>
      <c r="N38" s="57"/>
      <c r="O38" s="57"/>
      <c r="P38" s="57"/>
      <c r="Q38" s="57"/>
      <c r="R38" s="57"/>
      <c r="S38" s="57"/>
      <c r="T38" s="57"/>
      <c r="U38" s="57"/>
      <c r="V38" s="57"/>
      <c r="W38" s="126"/>
      <c r="X38" s="65"/>
    </row>
    <row r="39" spans="2:26" ht="8.1" customHeight="1" x14ac:dyDescent="0.15">
      <c r="B39" s="60"/>
      <c r="C39" s="132"/>
      <c r="D39" s="54"/>
      <c r="E39" s="54"/>
      <c r="F39" s="54"/>
      <c r="G39" s="54"/>
      <c r="H39" s="54"/>
      <c r="I39" s="54"/>
      <c r="J39" s="54"/>
      <c r="K39" s="54"/>
      <c r="L39" s="138"/>
      <c r="M39" s="54"/>
      <c r="N39" s="54"/>
      <c r="O39" s="54"/>
      <c r="P39" s="54"/>
      <c r="Q39" s="54"/>
      <c r="R39" s="54"/>
      <c r="S39" s="54"/>
      <c r="T39" s="54"/>
      <c r="U39" s="54"/>
      <c r="V39" s="54"/>
      <c r="W39" s="128"/>
      <c r="X39" s="65"/>
    </row>
    <row r="40" spans="2:26" x14ac:dyDescent="0.15">
      <c r="B40" s="60"/>
      <c r="C40" s="127" t="str">
        <f>VLOOKUP("H25",Languages!$A$1:$F$386,VLOOKUP(Summary!AM6,Languages!$C$2:$D$6,2,FALSE),FALSE)</f>
        <v>Age of Machine</v>
      </c>
      <c r="D40" s="54"/>
      <c r="E40" s="54" t="s">
        <v>1210</v>
      </c>
      <c r="F40" s="54"/>
      <c r="G40" s="54"/>
      <c r="H40" s="54"/>
      <c r="I40" s="54"/>
      <c r="J40" s="54"/>
      <c r="K40" s="54"/>
      <c r="L40" s="337">
        <v>0</v>
      </c>
      <c r="M40" s="54" t="s">
        <v>82</v>
      </c>
      <c r="N40" s="54"/>
      <c r="V40" s="54"/>
      <c r="W40" s="128"/>
      <c r="X40" s="65"/>
    </row>
    <row r="41" spans="2:26" ht="8.1" customHeight="1" x14ac:dyDescent="0.15">
      <c r="B41" s="60"/>
      <c r="C41" s="127"/>
      <c r="D41" s="54"/>
      <c r="E41" s="54"/>
      <c r="F41" s="54"/>
      <c r="G41" s="54"/>
      <c r="H41" s="54"/>
      <c r="I41" s="54"/>
      <c r="J41" s="54"/>
      <c r="K41" s="54"/>
      <c r="L41" s="138"/>
      <c r="M41" s="54"/>
      <c r="N41" s="54"/>
      <c r="O41" s="54"/>
      <c r="P41" s="54"/>
      <c r="Q41" s="54"/>
      <c r="R41" s="54"/>
      <c r="S41" s="54"/>
      <c r="T41" s="54"/>
      <c r="U41" s="54"/>
      <c r="V41" s="54"/>
      <c r="W41" s="128"/>
      <c r="X41" s="65"/>
    </row>
    <row r="42" spans="2:26" x14ac:dyDescent="0.15">
      <c r="B42" s="60"/>
      <c r="C42" s="127" t="str">
        <f>VLOOKUP("H26",Languages!$A$1:$F$386,VLOOKUP(Summary!AM6,Languages!$C$2:$D$6,2,FALSE),FALSE)</f>
        <v>Imputed depreciation</v>
      </c>
      <c r="D42" s="54"/>
      <c r="E42" s="54"/>
      <c r="F42" s="54" t="s">
        <v>1211</v>
      </c>
      <c r="G42" s="54"/>
      <c r="H42" s="54"/>
      <c r="I42" s="54"/>
      <c r="J42" s="54"/>
      <c r="K42" s="54"/>
      <c r="L42" s="338">
        <v>0</v>
      </c>
      <c r="M42" s="54" t="s">
        <v>82</v>
      </c>
      <c r="N42" s="54"/>
      <c r="O42" s="312">
        <f>IF(L42=0,0,L35/L42)</f>
        <v>0</v>
      </c>
      <c r="P42" s="259" t="str">
        <f>Summary!G18 &amp; "/Years(s)"</f>
        <v>/Years(s)</v>
      </c>
      <c r="Q42" s="259"/>
      <c r="R42" s="259"/>
      <c r="S42" s="259"/>
      <c r="T42" s="313">
        <f>IF(T33=0,0,O42/T33)</f>
        <v>0</v>
      </c>
      <c r="U42" s="54" t="str">
        <f>Summary!G18 &amp; "/h"</f>
        <v>/h</v>
      </c>
      <c r="V42" s="54"/>
      <c r="W42" s="128"/>
      <c r="X42" s="65"/>
    </row>
    <row r="43" spans="2:26" ht="8.1" customHeight="1" x14ac:dyDescent="0.15">
      <c r="B43" s="60"/>
      <c r="C43" s="127"/>
      <c r="D43" s="54"/>
      <c r="E43" s="54"/>
      <c r="F43" s="54"/>
      <c r="G43" s="54"/>
      <c r="H43" s="54"/>
      <c r="I43" s="54"/>
      <c r="J43" s="54"/>
      <c r="K43" s="54"/>
      <c r="L43" s="138"/>
      <c r="M43" s="54"/>
      <c r="N43" s="54"/>
      <c r="O43" s="314"/>
      <c r="P43" s="259"/>
      <c r="Q43" s="259"/>
      <c r="R43" s="259"/>
      <c r="S43" s="259"/>
      <c r="T43" s="315"/>
      <c r="U43" s="54"/>
      <c r="V43" s="54"/>
      <c r="W43" s="128"/>
      <c r="X43" s="65"/>
    </row>
    <row r="44" spans="2:26" x14ac:dyDescent="0.15">
      <c r="B44" s="60"/>
      <c r="C44" s="129" t="str">
        <f>VLOOKUP("H27",Languages!$A$1:$F$386,VLOOKUP(Summary!AM6,Languages!$C$2:$D$6,2,FALSE),FALSE)</f>
        <v>Imputed interest rate</v>
      </c>
      <c r="D44" s="54"/>
      <c r="E44" s="54"/>
      <c r="F44" s="54" t="s">
        <v>1212</v>
      </c>
      <c r="G44" s="54"/>
      <c r="H44" s="54"/>
      <c r="I44" s="54"/>
      <c r="J44" s="54"/>
      <c r="K44" s="54"/>
      <c r="L44" s="338">
        <v>0</v>
      </c>
      <c r="M44" s="259" t="s">
        <v>7</v>
      </c>
      <c r="N44" s="54"/>
      <c r="O44" s="312">
        <f>((L31+L33)/2)*(L44/100)</f>
        <v>0</v>
      </c>
      <c r="P44" s="259" t="str">
        <f>Summary!G18 &amp; "/Years(s)"</f>
        <v>/Years(s)</v>
      </c>
      <c r="Q44" s="259"/>
      <c r="R44" s="259"/>
      <c r="S44" s="259"/>
      <c r="T44" s="313">
        <f>IF(T33=0,0,O44/T33)</f>
        <v>0</v>
      </c>
      <c r="U44" s="54" t="str">
        <f>Summary!G18 &amp; "/h"</f>
        <v>/h</v>
      </c>
      <c r="V44" s="54"/>
      <c r="W44" s="128"/>
      <c r="X44" s="65"/>
    </row>
    <row r="45" spans="2:26" ht="8.1" customHeight="1" x14ac:dyDescent="0.15">
      <c r="B45" s="60"/>
      <c r="C45" s="127"/>
      <c r="D45" s="54"/>
      <c r="E45" s="54"/>
      <c r="F45" s="54"/>
      <c r="G45" s="54"/>
      <c r="H45" s="54"/>
      <c r="I45" s="54"/>
      <c r="J45" s="54"/>
      <c r="K45" s="54"/>
      <c r="L45" s="138"/>
      <c r="M45" s="54"/>
      <c r="N45" s="54"/>
      <c r="O45" s="314"/>
      <c r="P45" s="259"/>
      <c r="Q45" s="259"/>
      <c r="R45" s="259"/>
      <c r="S45" s="259"/>
      <c r="T45" s="315"/>
      <c r="U45" s="54"/>
      <c r="V45" s="54"/>
      <c r="W45" s="128"/>
      <c r="X45" s="65"/>
    </row>
    <row r="46" spans="2:26" x14ac:dyDescent="0.15">
      <c r="B46" s="60"/>
      <c r="C46" s="127" t="str">
        <f>VLOOKUP("H28",Languages!$A$1:$F$386,VLOOKUP(Summary!AM6,Languages!$C$2:$D$6,2,FALSE),FALSE)</f>
        <v>Required gross area including auxiliary areas</v>
      </c>
      <c r="D46" s="54"/>
      <c r="E46" s="54"/>
      <c r="F46" s="54"/>
      <c r="G46" s="54"/>
      <c r="H46" s="54"/>
      <c r="I46" s="54"/>
      <c r="J46" s="54" t="s">
        <v>1213</v>
      </c>
      <c r="K46" s="54"/>
      <c r="L46" s="338">
        <v>0</v>
      </c>
      <c r="M46" s="54" t="s">
        <v>83</v>
      </c>
      <c r="N46" s="54"/>
      <c r="O46" s="316"/>
      <c r="P46" s="41"/>
      <c r="Q46" s="41"/>
      <c r="R46" s="41"/>
      <c r="S46" s="41"/>
      <c r="T46" s="41"/>
      <c r="V46" s="54"/>
      <c r="W46" s="128"/>
      <c r="X46" s="65"/>
    </row>
    <row r="47" spans="2:26" ht="8.1" customHeight="1" x14ac:dyDescent="0.15">
      <c r="B47" s="60"/>
      <c r="C47" s="127"/>
      <c r="D47" s="54"/>
      <c r="E47" s="54"/>
      <c r="F47" s="54"/>
      <c r="G47" s="54"/>
      <c r="H47" s="54"/>
      <c r="I47" s="54"/>
      <c r="J47" s="54"/>
      <c r="K47" s="54"/>
      <c r="L47" s="138"/>
      <c r="M47" s="54"/>
      <c r="N47" s="54"/>
      <c r="O47" s="314"/>
      <c r="P47" s="259"/>
      <c r="Q47" s="259"/>
      <c r="R47" s="259"/>
      <c r="S47" s="259"/>
      <c r="T47" s="315"/>
      <c r="U47" s="54"/>
      <c r="V47" s="54"/>
      <c r="W47" s="128"/>
      <c r="X47" s="65"/>
    </row>
    <row r="48" spans="2:26" x14ac:dyDescent="0.15">
      <c r="B48" s="60"/>
      <c r="C48" s="127" t="str">
        <f>VLOOKUP("H29",Languages!$A$1:$F$386,VLOOKUP(Summary!AM6,Languages!$C$2:$D$6,2,FALSE),FALSE)</f>
        <v>Leasing fee production area</v>
      </c>
      <c r="D48" s="54"/>
      <c r="E48" s="54"/>
      <c r="F48" s="54"/>
      <c r="G48" s="54" t="s">
        <v>1214</v>
      </c>
      <c r="H48" s="54"/>
      <c r="I48" s="54"/>
      <c r="J48" s="54"/>
      <c r="K48" s="54"/>
      <c r="L48" s="338">
        <v>0</v>
      </c>
      <c r="M48" s="54" t="str">
        <f>Summary!G18 &amp; "/(m²month)"</f>
        <v>/(m²month)</v>
      </c>
      <c r="N48" s="54"/>
      <c r="O48" s="312">
        <f>L46*L48*12</f>
        <v>0</v>
      </c>
      <c r="P48" s="259" t="str">
        <f>Summary!G18 &amp; "/Years(s)"</f>
        <v>/Years(s)</v>
      </c>
      <c r="Q48" s="259"/>
      <c r="R48" s="259"/>
      <c r="S48" s="259"/>
      <c r="T48" s="313">
        <f>IF(T33=0,0,O48/T33)</f>
        <v>0</v>
      </c>
      <c r="U48" s="54" t="str">
        <f>Summary!G18 &amp; "/h"</f>
        <v>/h</v>
      </c>
      <c r="V48" s="54"/>
      <c r="W48" s="128"/>
      <c r="X48" s="65"/>
    </row>
    <row r="49" spans="2:24" ht="8.1" customHeight="1" x14ac:dyDescent="0.15">
      <c r="B49" s="60"/>
      <c r="C49" s="127"/>
      <c r="D49" s="54"/>
      <c r="E49" s="54"/>
      <c r="F49" s="54"/>
      <c r="G49" s="54"/>
      <c r="H49" s="54"/>
      <c r="I49" s="54"/>
      <c r="J49" s="54"/>
      <c r="K49" s="54"/>
      <c r="L49" s="138"/>
      <c r="M49" s="54"/>
      <c r="N49" s="54"/>
      <c r="O49" s="314"/>
      <c r="P49" s="259"/>
      <c r="Q49" s="259"/>
      <c r="R49" s="259"/>
      <c r="S49" s="259"/>
      <c r="T49" s="315"/>
      <c r="U49" s="54"/>
      <c r="V49" s="54"/>
      <c r="W49" s="128"/>
      <c r="X49" s="65"/>
    </row>
    <row r="50" spans="2:24" x14ac:dyDescent="0.15">
      <c r="B50" s="60"/>
      <c r="C50" s="127" t="str">
        <f>VLOOKUP("H30",Languages!$A$1:$F$386,VLOOKUP(Summary!AM6,Languages!$C$2:$D$6,2,FALSE),FALSE)</f>
        <v>Total fixed costs</v>
      </c>
      <c r="D50" s="54"/>
      <c r="E50" s="54"/>
      <c r="F50" s="54" t="s">
        <v>1215</v>
      </c>
      <c r="G50" s="54"/>
      <c r="H50" s="54"/>
      <c r="I50" s="54"/>
      <c r="J50" s="54"/>
      <c r="K50" s="54"/>
      <c r="L50" s="138"/>
      <c r="M50" s="54"/>
      <c r="N50" s="54"/>
      <c r="O50" s="312">
        <f>O42+O44+O48</f>
        <v>0</v>
      </c>
      <c r="P50" s="259" t="str">
        <f>Summary!G18 &amp; "/Years(s)"</f>
        <v>/Years(s)</v>
      </c>
      <c r="Q50" s="259"/>
      <c r="R50" s="259"/>
      <c r="S50" s="259"/>
      <c r="T50" s="313">
        <f>T42+T44+T48</f>
        <v>0</v>
      </c>
      <c r="U50" s="54" t="str">
        <f>Summary!G18 &amp; "/h"</f>
        <v>/h</v>
      </c>
      <c r="V50" s="54"/>
      <c r="W50" s="128"/>
      <c r="X50" s="65"/>
    </row>
    <row r="51" spans="2:24" x14ac:dyDescent="0.15">
      <c r="B51" s="60"/>
      <c r="C51" s="130"/>
      <c r="D51" s="17"/>
      <c r="E51" s="17"/>
      <c r="F51" s="17"/>
      <c r="G51" s="17"/>
      <c r="H51" s="17"/>
      <c r="I51" s="17"/>
      <c r="J51" s="17"/>
      <c r="K51" s="17"/>
      <c r="L51" s="137"/>
      <c r="M51" s="17"/>
      <c r="N51" s="17"/>
      <c r="O51" s="317"/>
      <c r="P51" s="318"/>
      <c r="Q51" s="318"/>
      <c r="R51" s="318"/>
      <c r="S51" s="318"/>
      <c r="T51" s="319"/>
      <c r="U51" s="17"/>
      <c r="V51" s="17"/>
      <c r="W51" s="131"/>
      <c r="X51" s="65"/>
    </row>
    <row r="52" spans="2:24" ht="8.1" customHeight="1" x14ac:dyDescent="0.15">
      <c r="B52" s="60"/>
      <c r="C52" s="54"/>
      <c r="D52" s="54"/>
      <c r="E52" s="54"/>
      <c r="F52" s="54"/>
      <c r="G52" s="54"/>
      <c r="H52" s="54"/>
      <c r="I52" s="54"/>
      <c r="J52" s="54"/>
      <c r="K52" s="54"/>
      <c r="L52" s="138"/>
      <c r="M52" s="54"/>
      <c r="N52" s="54"/>
      <c r="O52" s="314"/>
      <c r="P52" s="259"/>
      <c r="Q52" s="259"/>
      <c r="R52" s="259"/>
      <c r="S52" s="259"/>
      <c r="T52" s="315"/>
      <c r="U52" s="54"/>
      <c r="V52" s="54"/>
      <c r="W52" s="54"/>
      <c r="X52" s="65"/>
    </row>
    <row r="53" spans="2:24" x14ac:dyDescent="0.15">
      <c r="B53" s="60"/>
      <c r="C53" s="125" t="str">
        <f>VLOOKUP("H31",Languages!$A$1:$F$386,VLOOKUP(Summary!AM6,Languages!$C$2:$D$6,2,FALSE),FALSE)</f>
        <v>Variable costs</v>
      </c>
      <c r="D53" s="57"/>
      <c r="E53" s="57" t="s">
        <v>1216</v>
      </c>
      <c r="F53" s="57"/>
      <c r="G53" s="57"/>
      <c r="H53" s="57"/>
      <c r="I53" s="57"/>
      <c r="J53" s="57"/>
      <c r="K53" s="57"/>
      <c r="L53" s="139"/>
      <c r="M53" s="57"/>
      <c r="N53" s="57"/>
      <c r="O53" s="320"/>
      <c r="P53" s="321"/>
      <c r="Q53" s="321"/>
      <c r="R53" s="321"/>
      <c r="S53" s="321"/>
      <c r="T53" s="322"/>
      <c r="U53" s="57"/>
      <c r="V53" s="57"/>
      <c r="W53" s="126"/>
      <c r="X53" s="65"/>
    </row>
    <row r="54" spans="2:24" ht="8.1" customHeight="1" x14ac:dyDescent="0.15">
      <c r="B54" s="60"/>
      <c r="C54" s="132"/>
      <c r="D54" s="54"/>
      <c r="E54" s="54"/>
      <c r="F54" s="54"/>
      <c r="G54" s="54"/>
      <c r="H54" s="54"/>
      <c r="I54" s="54"/>
      <c r="J54" s="54"/>
      <c r="K54" s="54"/>
      <c r="L54" s="138"/>
      <c r="M54" s="54"/>
      <c r="N54" s="54"/>
      <c r="O54" s="314"/>
      <c r="P54" s="259"/>
      <c r="Q54" s="259"/>
      <c r="R54" s="259"/>
      <c r="S54" s="259"/>
      <c r="T54" s="315"/>
      <c r="U54" s="54"/>
      <c r="V54" s="54"/>
      <c r="W54" s="128"/>
      <c r="X54" s="65"/>
    </row>
    <row r="55" spans="2:24" x14ac:dyDescent="0.15">
      <c r="B55" s="60"/>
      <c r="C55" s="127" t="str">
        <f>VLOOKUP("H32",Languages!$A$1:$F$386,VLOOKUP(Summary!AM6,Languages!$C$2:$D$6,2,FALSE),FALSE)</f>
        <v>Rated power</v>
      </c>
      <c r="D55" s="54"/>
      <c r="E55" s="54" t="s">
        <v>1217</v>
      </c>
      <c r="F55" s="54"/>
      <c r="G55" s="54"/>
      <c r="H55" s="54"/>
      <c r="I55" s="54"/>
      <c r="J55" s="54"/>
      <c r="K55" s="54"/>
      <c r="L55" s="338">
        <v>0</v>
      </c>
      <c r="M55" s="54" t="s">
        <v>84</v>
      </c>
      <c r="N55" s="54"/>
      <c r="O55" s="314"/>
      <c r="P55" s="259"/>
      <c r="Q55" s="259"/>
      <c r="R55" s="259"/>
      <c r="S55" s="259"/>
      <c r="T55" s="315"/>
      <c r="U55" s="54"/>
      <c r="V55" s="54"/>
      <c r="W55" s="128"/>
      <c r="X55" s="65"/>
    </row>
    <row r="56" spans="2:24" ht="8.1" customHeight="1" x14ac:dyDescent="0.15">
      <c r="B56" s="60"/>
      <c r="C56" s="127"/>
      <c r="D56" s="54"/>
      <c r="E56" s="54"/>
      <c r="F56" s="54"/>
      <c r="G56" s="54"/>
      <c r="H56" s="54"/>
      <c r="I56" s="54"/>
      <c r="J56" s="54"/>
      <c r="K56" s="54"/>
      <c r="L56" s="138"/>
      <c r="M56" s="54"/>
      <c r="N56" s="54"/>
      <c r="O56" s="314"/>
      <c r="P56" s="259"/>
      <c r="Q56" s="259"/>
      <c r="R56" s="259"/>
      <c r="S56" s="259"/>
      <c r="T56" s="315"/>
      <c r="U56" s="54"/>
      <c r="V56" s="54"/>
      <c r="W56" s="128"/>
      <c r="X56" s="65"/>
    </row>
    <row r="57" spans="2:24" x14ac:dyDescent="0.15">
      <c r="B57" s="60"/>
      <c r="C57" s="127" t="str">
        <f>VLOOKUP("H33",Languages!$A$1:$F$386,VLOOKUP(Summary!AM6,Languages!$C$2:$D$6,2,FALSE),FALSE)</f>
        <v>Performance capacity utilization</v>
      </c>
      <c r="D57" s="54"/>
      <c r="E57" s="54"/>
      <c r="F57" s="54"/>
      <c r="G57" s="54"/>
      <c r="H57" s="54" t="s">
        <v>1218</v>
      </c>
      <c r="I57" s="54"/>
      <c r="J57" s="54"/>
      <c r="K57" s="54"/>
      <c r="L57" s="338">
        <v>0</v>
      </c>
      <c r="M57" s="54" t="s">
        <v>7</v>
      </c>
      <c r="N57" s="54"/>
      <c r="O57" s="314"/>
      <c r="P57" s="259"/>
      <c r="Q57" s="259"/>
      <c r="R57" s="259"/>
      <c r="S57" s="259"/>
      <c r="T57" s="315"/>
      <c r="U57" s="54"/>
      <c r="V57" s="54"/>
      <c r="W57" s="128"/>
      <c r="X57" s="142"/>
    </row>
    <row r="58" spans="2:24" ht="8.1" customHeight="1" x14ac:dyDescent="0.15">
      <c r="B58" s="60"/>
      <c r="C58" s="127"/>
      <c r="D58" s="54"/>
      <c r="E58" s="54"/>
      <c r="F58" s="54"/>
      <c r="G58" s="54"/>
      <c r="H58" s="54"/>
      <c r="I58" s="54"/>
      <c r="J58" s="54"/>
      <c r="K58" s="54"/>
      <c r="L58" s="138"/>
      <c r="M58" s="54"/>
      <c r="N58" s="54"/>
      <c r="O58" s="314"/>
      <c r="P58" s="259"/>
      <c r="Q58" s="259"/>
      <c r="R58" s="259"/>
      <c r="S58" s="259"/>
      <c r="T58" s="315"/>
      <c r="U58" s="54"/>
      <c r="V58" s="54"/>
      <c r="W58" s="128"/>
      <c r="X58" s="65"/>
    </row>
    <row r="59" spans="2:24" x14ac:dyDescent="0.15">
      <c r="B59" s="60"/>
      <c r="C59" s="129" t="str">
        <f>VLOOKUP("H34",Languages!$A$1:$F$386,VLOOKUP(Summary!AM6,Languages!$C$2:$D$6,2,FALSE),FALSE)</f>
        <v>Energy costs</v>
      </c>
      <c r="D59" s="54"/>
      <c r="E59" s="54" t="s">
        <v>1219</v>
      </c>
      <c r="F59" s="54"/>
      <c r="G59" s="54"/>
      <c r="H59" s="54"/>
      <c r="I59" s="54"/>
      <c r="J59" s="54"/>
      <c r="K59" s="54"/>
      <c r="L59" s="338">
        <v>0</v>
      </c>
      <c r="M59" s="54" t="str">
        <f>Summary!G18 &amp; "/kWh"</f>
        <v>/kWh</v>
      </c>
      <c r="N59" s="54"/>
      <c r="O59" s="312">
        <f>L55*(L57/100)*L59*T33</f>
        <v>0</v>
      </c>
      <c r="P59" s="259" t="str">
        <f>Summary!G18 &amp; "/Years(s)"</f>
        <v>/Years(s)</v>
      </c>
      <c r="Q59" s="259"/>
      <c r="R59" s="259"/>
      <c r="S59" s="259"/>
      <c r="T59" s="313">
        <f>IF(T33=0,0,O59/T33)</f>
        <v>0</v>
      </c>
      <c r="U59" s="54" t="str">
        <f>Summary!G18 &amp; "/h"</f>
        <v>/h</v>
      </c>
      <c r="V59" s="54"/>
      <c r="W59" s="128"/>
      <c r="X59" s="65"/>
    </row>
    <row r="60" spans="2:24" ht="8.1" customHeight="1" x14ac:dyDescent="0.15">
      <c r="B60" s="60"/>
      <c r="C60" s="127"/>
      <c r="D60" s="54"/>
      <c r="E60" s="54"/>
      <c r="F60" s="54"/>
      <c r="G60" s="54"/>
      <c r="H60" s="54"/>
      <c r="I60" s="54"/>
      <c r="J60" s="54"/>
      <c r="K60" s="54"/>
      <c r="L60" s="138"/>
      <c r="M60" s="54"/>
      <c r="N60" s="54"/>
      <c r="O60" s="314"/>
      <c r="P60" s="259"/>
      <c r="Q60" s="259"/>
      <c r="R60" s="259"/>
      <c r="S60" s="259"/>
      <c r="T60" s="315"/>
      <c r="U60" s="54"/>
      <c r="V60" s="54"/>
      <c r="W60" s="128"/>
      <c r="X60" s="65"/>
    </row>
    <row r="61" spans="2:24" x14ac:dyDescent="0.15">
      <c r="B61" s="60"/>
      <c r="C61" s="127" t="str">
        <f>VLOOKUP("H35",Languages!$A$1:$F$386,VLOOKUP(Summary!AM6,Languages!$C$2:$D$6,2,FALSE),FALSE)</f>
        <v>Maintenance cost</v>
      </c>
      <c r="D61" s="54"/>
      <c r="E61" s="54" t="s">
        <v>1220</v>
      </c>
      <c r="F61" s="54"/>
      <c r="G61" s="54"/>
      <c r="H61" s="54"/>
      <c r="I61" s="54"/>
      <c r="J61" s="54"/>
      <c r="K61" s="54"/>
      <c r="L61" s="338">
        <v>0</v>
      </c>
      <c r="M61" s="54" t="s">
        <v>7</v>
      </c>
      <c r="N61" s="54"/>
      <c r="O61" s="312">
        <f>L31*(L61/100)</f>
        <v>0</v>
      </c>
      <c r="P61" s="259" t="str">
        <f>Summary!G18 &amp; "/Years(s)"</f>
        <v>/Years(s)</v>
      </c>
      <c r="Q61" s="259"/>
      <c r="R61" s="259"/>
      <c r="S61" s="259"/>
      <c r="T61" s="313">
        <f>IF(T33=0,0,O61/T33)</f>
        <v>0</v>
      </c>
      <c r="U61" s="54" t="str">
        <f>Summary!G18 &amp; "/h"</f>
        <v>/h</v>
      </c>
      <c r="V61" s="54"/>
      <c r="W61" s="128"/>
      <c r="X61" s="65"/>
    </row>
    <row r="62" spans="2:24" ht="8.1" customHeight="1" x14ac:dyDescent="0.15">
      <c r="B62" s="60"/>
      <c r="C62" s="127"/>
      <c r="D62" s="54"/>
      <c r="E62" s="54"/>
      <c r="F62" s="54"/>
      <c r="G62" s="54"/>
      <c r="H62" s="54"/>
      <c r="I62" s="54"/>
      <c r="J62" s="54"/>
      <c r="K62" s="54"/>
      <c r="L62" s="138"/>
      <c r="M62" s="54"/>
      <c r="N62" s="54"/>
      <c r="O62" s="41"/>
      <c r="P62" s="41"/>
      <c r="Q62" s="41"/>
      <c r="R62" s="41"/>
      <c r="S62" s="41"/>
      <c r="T62" s="41"/>
      <c r="V62" s="54"/>
      <c r="W62" s="128"/>
      <c r="X62" s="65"/>
    </row>
    <row r="63" spans="2:24" x14ac:dyDescent="0.15">
      <c r="B63" s="60"/>
      <c r="C63" s="127" t="str">
        <f>VLOOKUP("H36",Languages!$A$1:$F$386,VLOOKUP(Summary!AM6,Languages!$C$2:$D$6,2,FALSE),FALSE)</f>
        <v>Operation supplies costs</v>
      </c>
      <c r="D63" s="54"/>
      <c r="E63" s="54"/>
      <c r="F63" s="54" t="s">
        <v>1221</v>
      </c>
      <c r="G63" s="54"/>
      <c r="H63" s="54"/>
      <c r="I63" s="54"/>
      <c r="J63" s="54"/>
      <c r="K63" s="54"/>
      <c r="L63" s="338">
        <v>0</v>
      </c>
      <c r="M63" s="54" t="s">
        <v>7</v>
      </c>
      <c r="N63" s="54"/>
      <c r="O63" s="312">
        <f>L31*(L63/100)</f>
        <v>0</v>
      </c>
      <c r="P63" s="259" t="str">
        <f>Summary!G18 &amp; "/Years(s)"</f>
        <v>/Years(s)</v>
      </c>
      <c r="Q63" s="41"/>
      <c r="R63" s="41"/>
      <c r="S63" s="41"/>
      <c r="T63" s="313">
        <f>IF(T33=0,0,O63/T33)</f>
        <v>0</v>
      </c>
      <c r="U63" s="54" t="str">
        <f>Summary!G18 &amp; "/h"</f>
        <v>/h</v>
      </c>
      <c r="V63" s="54"/>
      <c r="W63" s="128"/>
      <c r="X63" s="65"/>
    </row>
    <row r="64" spans="2:24" ht="8.1" customHeight="1" x14ac:dyDescent="0.15">
      <c r="B64" s="60"/>
      <c r="C64" s="127"/>
      <c r="D64" s="54"/>
      <c r="E64" s="54"/>
      <c r="F64" s="54"/>
      <c r="G64" s="54"/>
      <c r="H64" s="54"/>
      <c r="I64" s="54"/>
      <c r="J64" s="54"/>
      <c r="K64" s="54"/>
      <c r="L64" s="54"/>
      <c r="M64" s="54"/>
      <c r="N64" s="54"/>
      <c r="O64" s="314"/>
      <c r="P64" s="259"/>
      <c r="Q64" s="259"/>
      <c r="R64" s="259"/>
      <c r="S64" s="259"/>
      <c r="T64" s="315"/>
      <c r="U64" s="54"/>
      <c r="V64" s="54"/>
      <c r="W64" s="128"/>
      <c r="X64" s="65"/>
    </row>
    <row r="65" spans="2:24" x14ac:dyDescent="0.15">
      <c r="B65" s="60"/>
      <c r="C65" s="127" t="str">
        <f>VLOOKUP("H37",Languages!$A$1:$F$386,VLOOKUP(Summary!AM6,Languages!$C$2:$D$6,2,FALSE),FALSE)</f>
        <v>Total variable costs</v>
      </c>
      <c r="D65" s="54"/>
      <c r="E65" s="54"/>
      <c r="F65" s="54" t="s">
        <v>1222</v>
      </c>
      <c r="G65" s="54"/>
      <c r="H65" s="54"/>
      <c r="I65" s="54"/>
      <c r="J65" s="54"/>
      <c r="K65" s="54"/>
      <c r="L65" s="54"/>
      <c r="M65" s="54"/>
      <c r="N65" s="54"/>
      <c r="O65" s="312">
        <f>O59+O61+O63</f>
        <v>0</v>
      </c>
      <c r="P65" s="259" t="str">
        <f>Summary!G18 &amp; "/Years(s)"</f>
        <v>/Years(s)</v>
      </c>
      <c r="Q65" s="259"/>
      <c r="R65" s="259"/>
      <c r="S65" s="259"/>
      <c r="T65" s="313">
        <f>T59+T61+T63</f>
        <v>0</v>
      </c>
      <c r="U65" s="54" t="str">
        <f>Summary!G18 &amp; "/h"</f>
        <v>/h</v>
      </c>
      <c r="V65" s="54"/>
      <c r="W65" s="128"/>
      <c r="X65" s="65"/>
    </row>
    <row r="66" spans="2:24" x14ac:dyDescent="0.15">
      <c r="B66" s="60"/>
      <c r="C66" s="130"/>
      <c r="D66" s="17"/>
      <c r="E66" s="17"/>
      <c r="F66" s="17"/>
      <c r="G66" s="17"/>
      <c r="H66" s="17"/>
      <c r="I66" s="17"/>
      <c r="J66" s="17"/>
      <c r="K66" s="17"/>
      <c r="L66" s="17"/>
      <c r="M66" s="17"/>
      <c r="N66" s="17"/>
      <c r="O66" s="317"/>
      <c r="P66" s="318"/>
      <c r="Q66" s="318"/>
      <c r="R66" s="318"/>
      <c r="S66" s="318"/>
      <c r="T66" s="318"/>
      <c r="U66" s="17"/>
      <c r="V66" s="17"/>
      <c r="W66" s="131"/>
      <c r="X66" s="65"/>
    </row>
    <row r="67" spans="2:24" ht="8.1" customHeight="1" x14ac:dyDescent="0.15">
      <c r="B67" s="60"/>
      <c r="C67" s="54"/>
      <c r="D67" s="54"/>
      <c r="E67" s="54"/>
      <c r="F67" s="54"/>
      <c r="G67" s="54"/>
      <c r="H67" s="54"/>
      <c r="I67" s="54"/>
      <c r="J67" s="54"/>
      <c r="K67" s="54"/>
      <c r="L67" s="54"/>
      <c r="M67" s="54"/>
      <c r="N67" s="54"/>
      <c r="O67" s="314"/>
      <c r="P67" s="259"/>
      <c r="Q67" s="259"/>
      <c r="R67" s="259"/>
      <c r="S67" s="259"/>
      <c r="T67" s="259"/>
      <c r="U67" s="54"/>
      <c r="V67" s="54"/>
      <c r="W67" s="54"/>
      <c r="X67" s="65"/>
    </row>
    <row r="68" spans="2:24" x14ac:dyDescent="0.15">
      <c r="B68" s="60"/>
      <c r="C68" s="125" t="str">
        <f>VLOOKUP("H38",Languages!$A$1:$F$386,VLOOKUP(Summary!AM6,Languages!$C$2:$D$6,2,FALSE),FALSE)</f>
        <v>Machine-hour rate</v>
      </c>
      <c r="D68" s="57"/>
      <c r="E68" s="57"/>
      <c r="F68" s="57" t="s">
        <v>1223</v>
      </c>
      <c r="G68" s="57"/>
      <c r="H68" s="57"/>
      <c r="I68" s="57"/>
      <c r="J68" s="57"/>
      <c r="K68" s="57"/>
      <c r="L68" s="57"/>
      <c r="M68" s="57"/>
      <c r="N68" s="57"/>
      <c r="O68" s="320"/>
      <c r="P68" s="321"/>
      <c r="Q68" s="321"/>
      <c r="R68" s="321"/>
      <c r="S68" s="321"/>
      <c r="T68" s="321"/>
      <c r="U68" s="57"/>
      <c r="V68" s="57"/>
      <c r="W68" s="126"/>
      <c r="X68" s="65"/>
    </row>
    <row r="69" spans="2:24" x14ac:dyDescent="0.15">
      <c r="B69" s="60"/>
      <c r="C69" s="127"/>
      <c r="D69" s="54"/>
      <c r="E69" s="54"/>
      <c r="F69" s="54"/>
      <c r="G69" s="54"/>
      <c r="H69" s="54"/>
      <c r="I69" s="54"/>
      <c r="J69" s="54"/>
      <c r="K69" s="54"/>
      <c r="L69" s="54"/>
      <c r="M69" s="54"/>
      <c r="N69" s="54"/>
      <c r="O69" s="314"/>
      <c r="P69" s="259"/>
      <c r="Q69" s="259"/>
      <c r="R69" s="259"/>
      <c r="S69" s="259"/>
      <c r="T69" s="259"/>
      <c r="U69" s="54"/>
      <c r="V69" s="54"/>
      <c r="W69" s="128"/>
      <c r="X69" s="65"/>
    </row>
    <row r="70" spans="2:24" x14ac:dyDescent="0.15">
      <c r="B70" s="60"/>
      <c r="C70" s="133" t="str">
        <f>VLOOKUP("H39",Languages!$A$1:$F$386,VLOOKUP(Summary!AM6,Languages!$C$2:$D$6,2,FALSE),FALSE)</f>
        <v>Machine costs per unit of time</v>
      </c>
      <c r="D70" s="54"/>
      <c r="E70" s="54"/>
      <c r="F70" s="54"/>
      <c r="G70" s="54"/>
      <c r="H70" s="54"/>
      <c r="I70" s="54"/>
      <c r="J70" s="54"/>
      <c r="K70" s="54"/>
      <c r="L70" s="54"/>
      <c r="M70" s="54"/>
      <c r="N70" s="54"/>
      <c r="O70" s="312">
        <f>O50+O65</f>
        <v>0</v>
      </c>
      <c r="P70" s="259" t="str">
        <f>Summary!G18 &amp; "/Years(s)"</f>
        <v>/Years(s)</v>
      </c>
      <c r="Q70" s="259"/>
      <c r="R70" s="259"/>
      <c r="S70" s="259"/>
      <c r="T70" s="323">
        <f>IF(T33=0,0,O70/T33)</f>
        <v>0</v>
      </c>
      <c r="U70" s="54" t="str">
        <f>Summary!G18 &amp; "/h"</f>
        <v>/h</v>
      </c>
      <c r="V70" s="54"/>
      <c r="W70" s="128"/>
      <c r="X70" s="65"/>
    </row>
    <row r="71" spans="2:24" x14ac:dyDescent="0.15">
      <c r="B71" s="60"/>
      <c r="C71" s="130"/>
      <c r="D71" s="17"/>
      <c r="E71" s="17"/>
      <c r="F71" s="17"/>
      <c r="G71" s="17"/>
      <c r="H71" s="17"/>
      <c r="I71" s="17"/>
      <c r="J71" s="17"/>
      <c r="K71" s="17"/>
      <c r="L71" s="17"/>
      <c r="M71" s="17"/>
      <c r="N71" s="17"/>
      <c r="O71" s="17"/>
      <c r="P71" s="17"/>
      <c r="Q71" s="17"/>
      <c r="R71" s="17"/>
      <c r="S71" s="17"/>
      <c r="T71" s="17"/>
      <c r="U71" s="17"/>
      <c r="V71" s="17"/>
      <c r="W71" s="131"/>
      <c r="X71" s="65"/>
    </row>
    <row r="72" spans="2:24" ht="14.25" thickBot="1" x14ac:dyDescent="0.2">
      <c r="B72" s="61"/>
      <c r="C72" s="62"/>
      <c r="D72" s="62"/>
      <c r="E72" s="62"/>
      <c r="F72" s="62"/>
      <c r="G72" s="62"/>
      <c r="H72" s="62"/>
      <c r="I72" s="62"/>
      <c r="J72" s="62"/>
      <c r="K72" s="62"/>
      <c r="L72" s="62"/>
      <c r="M72" s="62"/>
      <c r="N72" s="62"/>
      <c r="O72" s="62"/>
      <c r="P72" s="62"/>
      <c r="Q72" s="62"/>
      <c r="R72" s="62"/>
      <c r="S72" s="62"/>
      <c r="T72" s="62"/>
      <c r="U72" s="62"/>
      <c r="V72" s="62"/>
      <c r="W72" s="62"/>
      <c r="X72" s="66"/>
    </row>
    <row r="73" spans="2:24" ht="14.25" thickBot="1" x14ac:dyDescent="0.2"/>
    <row r="74" spans="2:24" x14ac:dyDescent="0.15">
      <c r="B74" s="492" t="str">
        <f>VLOOKUP("0.24",Languages!$A$10:$F$111,VLOOKUP(Summary!AM6,Languages!$C$2:$D$6,2,FALSE),FALSE)</f>
        <v>Comments:</v>
      </c>
      <c r="C74" s="493"/>
      <c r="D74" s="494"/>
      <c r="E74" s="501"/>
      <c r="F74" s="502"/>
      <c r="G74" s="502"/>
      <c r="H74" s="502"/>
      <c r="I74" s="502"/>
      <c r="J74" s="502"/>
      <c r="K74" s="502"/>
      <c r="L74" s="502"/>
      <c r="M74" s="502"/>
      <c r="N74" s="502"/>
      <c r="O74" s="502"/>
      <c r="P74" s="502"/>
      <c r="Q74" s="502"/>
      <c r="R74" s="502"/>
      <c r="S74" s="502"/>
      <c r="T74" s="502"/>
      <c r="U74" s="502"/>
      <c r="V74" s="502"/>
      <c r="W74" s="502"/>
      <c r="X74" s="503"/>
    </row>
    <row r="75" spans="2:24" x14ac:dyDescent="0.15">
      <c r="B75" s="495"/>
      <c r="C75" s="496"/>
      <c r="D75" s="497"/>
      <c r="E75" s="504"/>
      <c r="F75" s="505"/>
      <c r="G75" s="505"/>
      <c r="H75" s="505"/>
      <c r="I75" s="505"/>
      <c r="J75" s="505"/>
      <c r="K75" s="505"/>
      <c r="L75" s="505"/>
      <c r="M75" s="505"/>
      <c r="N75" s="505"/>
      <c r="O75" s="505"/>
      <c r="P75" s="505"/>
      <c r="Q75" s="505"/>
      <c r="R75" s="505"/>
      <c r="S75" s="505"/>
      <c r="T75" s="505"/>
      <c r="U75" s="505"/>
      <c r="V75" s="505"/>
      <c r="W75" s="505"/>
      <c r="X75" s="506"/>
    </row>
    <row r="76" spans="2:24" x14ac:dyDescent="0.15">
      <c r="B76" s="495"/>
      <c r="C76" s="496"/>
      <c r="D76" s="497"/>
      <c r="E76" s="504"/>
      <c r="F76" s="505"/>
      <c r="G76" s="505"/>
      <c r="H76" s="505"/>
      <c r="I76" s="505"/>
      <c r="J76" s="505"/>
      <c r="K76" s="505"/>
      <c r="L76" s="505"/>
      <c r="M76" s="505"/>
      <c r="N76" s="505"/>
      <c r="O76" s="505"/>
      <c r="P76" s="505"/>
      <c r="Q76" s="505"/>
      <c r="R76" s="505"/>
      <c r="S76" s="505"/>
      <c r="T76" s="505"/>
      <c r="U76" s="505"/>
      <c r="V76" s="505"/>
      <c r="W76" s="505"/>
      <c r="X76" s="506"/>
    </row>
    <row r="77" spans="2:24" ht="14.25" thickBot="1" x14ac:dyDescent="0.2">
      <c r="B77" s="498"/>
      <c r="C77" s="499"/>
      <c r="D77" s="500"/>
      <c r="E77" s="507"/>
      <c r="F77" s="508"/>
      <c r="G77" s="508"/>
      <c r="H77" s="508"/>
      <c r="I77" s="508"/>
      <c r="J77" s="508"/>
      <c r="K77" s="508"/>
      <c r="L77" s="508"/>
      <c r="M77" s="508"/>
      <c r="N77" s="508"/>
      <c r="O77" s="508"/>
      <c r="P77" s="508"/>
      <c r="Q77" s="508"/>
      <c r="R77" s="508"/>
      <c r="S77" s="508"/>
      <c r="T77" s="508"/>
      <c r="U77" s="508"/>
      <c r="V77" s="508"/>
      <c r="W77" s="508"/>
      <c r="X77" s="509"/>
    </row>
  </sheetData>
  <mergeCells count="18">
    <mergeCell ref="U7:V7"/>
    <mergeCell ref="U8:V8"/>
    <mergeCell ref="U9:V9"/>
    <mergeCell ref="U10:V10"/>
    <mergeCell ref="Q2:X2"/>
    <mergeCell ref="H7:S10"/>
    <mergeCell ref="B74:D77"/>
    <mergeCell ref="E74:X77"/>
    <mergeCell ref="T19:X19"/>
    <mergeCell ref="B3:G10"/>
    <mergeCell ref="H3:S6"/>
    <mergeCell ref="T3:X4"/>
    <mergeCell ref="J14:L14"/>
    <mergeCell ref="J16:L16"/>
    <mergeCell ref="R14:W14"/>
    <mergeCell ref="R16:W16"/>
    <mergeCell ref="J18:L18"/>
    <mergeCell ref="R18:W18"/>
  </mergeCells>
  <phoneticPr fontId="32" type="noConversion"/>
  <printOptions horizontalCentered="1"/>
  <pageMargins left="0.39370078740157483" right="0.39370078740157483" top="0.39370078740157483" bottom="0.39370078740157483" header="0.11811023622047245" footer="0.11811023622047245"/>
  <pageSetup paperSize="9" scale="59" orientation="landscape" r:id="rId1"/>
  <headerFooter>
    <oddHeader>&amp;RPage &amp;P (&amp;N)</oddHeader>
    <oddFooter>&amp;LFile: &amp;F&amp;RTemplate:  2.1 September 2017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
  <sheetViews>
    <sheetView workbookViewId="0">
      <selection activeCell="U7" sqref="U7:AA7"/>
    </sheetView>
  </sheetViews>
  <sheetFormatPr defaultColWidth="9.125" defaultRowHeight="13.5" x14ac:dyDescent="0.15"/>
  <cols>
    <col min="1" max="16384" width="9.125" style="356"/>
  </cols>
  <sheetData/>
  <phoneticPr fontId="32" type="noConversion"/>
  <printOptions horizontalCentered="1"/>
  <pageMargins left="0.39370078740157483" right="0.39370078740157483" top="0.39370078740157483" bottom="0.39370078740157483" header="0.11811023622047245" footer="0.11811023622047245"/>
  <pageSetup paperSize="9" orientation="landscape" r:id="rId1"/>
  <headerFooter>
    <oddHeader>&amp;RPage &amp;P (&amp;N)</oddHeader>
    <oddFooter>&amp;LFile: &amp;F&amp;RTemplate:  2.1 September 2017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291"/>
  <sheetViews>
    <sheetView showGridLines="0" zoomScale="80" zoomScaleNormal="80" workbookViewId="0">
      <selection activeCell="C10" sqref="C10"/>
    </sheetView>
  </sheetViews>
  <sheetFormatPr defaultRowHeight="13.5" x14ac:dyDescent="0.15"/>
  <cols>
    <col min="1" max="1" width="9.125" style="99"/>
    <col min="2" max="6" width="50.75" customWidth="1"/>
  </cols>
  <sheetData>
    <row r="1" spans="1:6" x14ac:dyDescent="0.15">
      <c r="A1" s="365"/>
      <c r="B1" s="53"/>
      <c r="C1" s="117" t="s">
        <v>85</v>
      </c>
      <c r="D1" s="84" t="s">
        <v>86</v>
      </c>
      <c r="E1" s="53"/>
      <c r="F1" s="53"/>
    </row>
    <row r="2" spans="1:6" x14ac:dyDescent="0.15">
      <c r="A2" s="365"/>
      <c r="B2" s="53"/>
      <c r="C2" s="110" t="s">
        <v>5</v>
      </c>
      <c r="D2" s="106">
        <v>2</v>
      </c>
      <c r="E2" s="53"/>
      <c r="F2" s="355" t="s">
        <v>87</v>
      </c>
    </row>
    <row r="3" spans="1:6" x14ac:dyDescent="0.15">
      <c r="A3" s="365"/>
      <c r="B3" s="120" t="s">
        <v>88</v>
      </c>
      <c r="C3" s="113" t="s">
        <v>89</v>
      </c>
      <c r="D3" s="107">
        <v>3</v>
      </c>
      <c r="E3" s="53"/>
      <c r="F3" s="355" t="s">
        <v>90</v>
      </c>
    </row>
    <row r="4" spans="1:6" x14ac:dyDescent="0.15">
      <c r="A4" s="365"/>
      <c r="B4" s="120" t="s">
        <v>91</v>
      </c>
      <c r="C4" s="287" t="s">
        <v>92</v>
      </c>
      <c r="D4" s="107">
        <v>4</v>
      </c>
      <c r="E4" s="53"/>
      <c r="F4" s="355" t="s">
        <v>93</v>
      </c>
    </row>
    <row r="5" spans="1:6" x14ac:dyDescent="0.15">
      <c r="A5" s="365"/>
      <c r="B5" s="120" t="s">
        <v>91</v>
      </c>
      <c r="C5" s="287" t="s">
        <v>94</v>
      </c>
      <c r="D5" s="107">
        <v>5</v>
      </c>
      <c r="E5" s="53"/>
      <c r="F5" s="53"/>
    </row>
    <row r="6" spans="1:6" x14ac:dyDescent="0.15">
      <c r="A6" s="365"/>
      <c r="B6" s="120" t="s">
        <v>91</v>
      </c>
      <c r="C6" s="288" t="s">
        <v>95</v>
      </c>
      <c r="D6" s="109">
        <v>6</v>
      </c>
      <c r="E6" s="53"/>
      <c r="F6" s="53"/>
    </row>
    <row r="8" spans="1:6" ht="14.25" thickBot="1" x14ac:dyDescent="0.2">
      <c r="A8" s="365"/>
      <c r="B8" s="53"/>
      <c r="C8" s="145" t="s">
        <v>96</v>
      </c>
      <c r="D8" s="796" t="s">
        <v>97</v>
      </c>
      <c r="E8" s="797"/>
      <c r="F8" s="798"/>
    </row>
    <row r="9" spans="1:6" s="43" customFormat="1" x14ac:dyDescent="0.15">
      <c r="A9" s="375"/>
      <c r="B9" s="147" t="str">
        <f>C2</f>
        <v>English</v>
      </c>
      <c r="C9" s="146" t="s">
        <v>89</v>
      </c>
      <c r="D9" s="119" t="str">
        <f>C4</f>
        <v>Svenska</v>
      </c>
      <c r="E9" s="119" t="str">
        <f>C5</f>
        <v>Français</v>
      </c>
      <c r="F9" s="119" t="str">
        <f>C6</f>
        <v>Español</v>
      </c>
    </row>
    <row r="10" spans="1:6" s="43" customFormat="1" x14ac:dyDescent="0.15">
      <c r="A10" s="374" t="s">
        <v>98</v>
      </c>
      <c r="B10" s="148" t="s">
        <v>99</v>
      </c>
      <c r="C10" s="111" t="s">
        <v>100</v>
      </c>
      <c r="D10" s="111" t="s">
        <v>101</v>
      </c>
      <c r="E10" s="111" t="s">
        <v>102</v>
      </c>
      <c r="F10" s="112" t="s">
        <v>103</v>
      </c>
    </row>
    <row r="11" spans="1:6" s="43" customFormat="1" x14ac:dyDescent="0.15">
      <c r="A11" s="374" t="s">
        <v>104</v>
      </c>
      <c r="B11" s="149" t="s">
        <v>105</v>
      </c>
      <c r="C11" s="103" t="s">
        <v>106</v>
      </c>
      <c r="D11" s="103" t="s">
        <v>107</v>
      </c>
      <c r="E11" s="103" t="s">
        <v>108</v>
      </c>
      <c r="F11" s="114" t="s">
        <v>109</v>
      </c>
    </row>
    <row r="12" spans="1:6" s="43" customFormat="1" x14ac:dyDescent="0.15">
      <c r="A12" s="374" t="s">
        <v>110</v>
      </c>
      <c r="B12" s="149" t="s">
        <v>34</v>
      </c>
      <c r="C12" s="103" t="s">
        <v>34</v>
      </c>
      <c r="D12" s="103" t="s">
        <v>34</v>
      </c>
      <c r="E12" s="103" t="s">
        <v>111</v>
      </c>
      <c r="F12" s="114" t="s">
        <v>34</v>
      </c>
    </row>
    <row r="13" spans="1:6" s="43" customFormat="1" x14ac:dyDescent="0.15">
      <c r="A13" s="374" t="s">
        <v>112</v>
      </c>
      <c r="B13" s="149" t="s">
        <v>113</v>
      </c>
      <c r="C13" s="103" t="s">
        <v>114</v>
      </c>
      <c r="D13" s="103" t="s">
        <v>115</v>
      </c>
      <c r="E13" s="103" t="s">
        <v>116</v>
      </c>
      <c r="F13" s="114" t="s">
        <v>117</v>
      </c>
    </row>
    <row r="14" spans="1:6" s="43" customFormat="1" x14ac:dyDescent="0.15">
      <c r="A14" s="374" t="s">
        <v>118</v>
      </c>
      <c r="B14" s="168" t="s">
        <v>119</v>
      </c>
      <c r="C14" s="104" t="s">
        <v>120</v>
      </c>
      <c r="D14" s="104" t="s">
        <v>121</v>
      </c>
      <c r="E14" s="104" t="s">
        <v>122</v>
      </c>
      <c r="F14" s="107" t="s">
        <v>123</v>
      </c>
    </row>
    <row r="15" spans="1:6" s="43" customFormat="1" x14ac:dyDescent="0.15">
      <c r="A15" s="365" t="s">
        <v>124</v>
      </c>
      <c r="B15" s="169" t="s">
        <v>125</v>
      </c>
      <c r="C15" s="122" t="s">
        <v>126</v>
      </c>
      <c r="D15" s="122" t="s">
        <v>127</v>
      </c>
      <c r="E15" s="122" t="s">
        <v>128</v>
      </c>
      <c r="F15" s="107" t="s">
        <v>129</v>
      </c>
    </row>
    <row r="16" spans="1:6" s="43" customFormat="1" ht="14.25" thickBot="1" x14ac:dyDescent="0.2">
      <c r="A16" s="365" t="s">
        <v>130</v>
      </c>
      <c r="B16" s="170" t="s">
        <v>131</v>
      </c>
      <c r="C16" s="115" t="s">
        <v>132</v>
      </c>
      <c r="D16" s="115" t="s">
        <v>133</v>
      </c>
      <c r="E16" s="115" t="s">
        <v>134</v>
      </c>
      <c r="F16" s="116" t="s">
        <v>135</v>
      </c>
    </row>
    <row r="17" spans="1:7" s="43" customFormat="1" ht="14.25" thickBot="1" x14ac:dyDescent="0.2">
      <c r="A17" s="365"/>
      <c r="B17" s="53"/>
      <c r="C17" s="53"/>
      <c r="D17" s="53"/>
      <c r="E17" s="53"/>
      <c r="F17" s="53"/>
      <c r="G17" s="53"/>
    </row>
    <row r="18" spans="1:7" ht="30" customHeight="1" thickBot="1" x14ac:dyDescent="0.2">
      <c r="A18" s="365"/>
      <c r="B18" s="289" t="s">
        <v>105</v>
      </c>
      <c r="C18" s="42" t="s">
        <v>136</v>
      </c>
      <c r="D18" s="102" t="s">
        <v>137</v>
      </c>
      <c r="E18" s="102" t="s">
        <v>138</v>
      </c>
      <c r="F18" s="102" t="s">
        <v>139</v>
      </c>
      <c r="G18" s="102" t="s">
        <v>140</v>
      </c>
    </row>
    <row r="19" spans="1:7" x14ac:dyDescent="0.15">
      <c r="A19" s="365"/>
      <c r="B19" s="147" t="str">
        <f>C2</f>
        <v>English</v>
      </c>
      <c r="C19" s="153" t="str">
        <f>C3</f>
        <v>German</v>
      </c>
      <c r="D19" s="118" t="str">
        <f>C4</f>
        <v>Svenska</v>
      </c>
      <c r="E19" s="118" t="str">
        <f>C5</f>
        <v>Français</v>
      </c>
      <c r="F19" s="118" t="str">
        <f>C6</f>
        <v>Español</v>
      </c>
      <c r="G19" s="53"/>
    </row>
    <row r="20" spans="1:7" x14ac:dyDescent="0.15">
      <c r="A20" s="365" t="s">
        <v>141</v>
      </c>
      <c r="B20" s="154" t="s">
        <v>142</v>
      </c>
      <c r="C20" s="105" t="s">
        <v>143</v>
      </c>
      <c r="D20" s="105" t="s">
        <v>144</v>
      </c>
      <c r="E20" s="105" t="s">
        <v>145</v>
      </c>
      <c r="F20" s="106" t="s">
        <v>146</v>
      </c>
      <c r="G20" s="53"/>
    </row>
    <row r="21" spans="1:7" s="53" customFormat="1" x14ac:dyDescent="0.15">
      <c r="A21" s="365" t="s">
        <v>147</v>
      </c>
      <c r="B21" s="277" t="s">
        <v>148</v>
      </c>
      <c r="C21" s="278" t="s">
        <v>149</v>
      </c>
      <c r="D21" s="278" t="s">
        <v>150</v>
      </c>
      <c r="E21" s="278" t="s">
        <v>151</v>
      </c>
      <c r="F21" s="279" t="s">
        <v>152</v>
      </c>
    </row>
    <row r="22" spans="1:7" s="53" customFormat="1" x14ac:dyDescent="0.15">
      <c r="A22" s="365" t="s">
        <v>153</v>
      </c>
      <c r="B22" s="277" t="s">
        <v>154</v>
      </c>
      <c r="C22" s="278" t="s">
        <v>155</v>
      </c>
      <c r="D22" s="278" t="s">
        <v>156</v>
      </c>
      <c r="E22" s="278" t="s">
        <v>157</v>
      </c>
      <c r="F22" s="279" t="s">
        <v>158</v>
      </c>
    </row>
    <row r="23" spans="1:7" s="53" customFormat="1" x14ac:dyDescent="0.15">
      <c r="A23" s="365" t="s">
        <v>159</v>
      </c>
      <c r="B23" s="277" t="s">
        <v>160</v>
      </c>
      <c r="C23" s="278" t="s">
        <v>161</v>
      </c>
      <c r="D23" s="278" t="s">
        <v>162</v>
      </c>
      <c r="E23" s="278" t="s">
        <v>163</v>
      </c>
      <c r="F23" s="279" t="s">
        <v>164</v>
      </c>
    </row>
    <row r="24" spans="1:7" s="53" customFormat="1" x14ac:dyDescent="0.15">
      <c r="A24" s="365" t="s">
        <v>165</v>
      </c>
      <c r="B24" s="277" t="s">
        <v>166</v>
      </c>
      <c r="C24" s="278" t="s">
        <v>167</v>
      </c>
      <c r="D24" s="278" t="s">
        <v>168</v>
      </c>
      <c r="E24" s="278" t="s">
        <v>169</v>
      </c>
      <c r="F24" s="279" t="s">
        <v>170</v>
      </c>
    </row>
    <row r="25" spans="1:7" x14ac:dyDescent="0.15">
      <c r="A25" s="365" t="s">
        <v>171</v>
      </c>
      <c r="B25" s="151" t="s">
        <v>172</v>
      </c>
      <c r="C25" s="104" t="s">
        <v>173</v>
      </c>
      <c r="D25" s="104" t="s">
        <v>174</v>
      </c>
      <c r="E25" s="104" t="s">
        <v>175</v>
      </c>
      <c r="F25" s="107" t="s">
        <v>176</v>
      </c>
      <c r="G25" s="53"/>
    </row>
    <row r="26" spans="1:7" x14ac:dyDescent="0.15">
      <c r="A26" s="365" t="s">
        <v>177</v>
      </c>
      <c r="B26" s="151" t="s">
        <v>178</v>
      </c>
      <c r="C26" s="104" t="s">
        <v>178</v>
      </c>
      <c r="D26" s="104" t="s">
        <v>178</v>
      </c>
      <c r="E26" s="104" t="s">
        <v>179</v>
      </c>
      <c r="F26" s="107" t="s">
        <v>178</v>
      </c>
      <c r="G26" s="53"/>
    </row>
    <row r="27" spans="1:7" x14ac:dyDescent="0.15">
      <c r="A27" s="365" t="s">
        <v>180</v>
      </c>
      <c r="B27" s="151" t="s">
        <v>181</v>
      </c>
      <c r="C27" s="104" t="s">
        <v>182</v>
      </c>
      <c r="D27" s="104" t="s">
        <v>182</v>
      </c>
      <c r="E27" s="104" t="s">
        <v>183</v>
      </c>
      <c r="F27" s="107" t="s">
        <v>184</v>
      </c>
      <c r="G27" s="53"/>
    </row>
    <row r="28" spans="1:7" x14ac:dyDescent="0.15">
      <c r="A28" s="365" t="s">
        <v>185</v>
      </c>
      <c r="B28" s="151" t="s">
        <v>186</v>
      </c>
      <c r="C28" s="104" t="s">
        <v>187</v>
      </c>
      <c r="D28" s="104" t="s">
        <v>187</v>
      </c>
      <c r="E28" s="104" t="s">
        <v>188</v>
      </c>
      <c r="F28" s="107" t="s">
        <v>189</v>
      </c>
      <c r="G28" s="53"/>
    </row>
    <row r="29" spans="1:7" x14ac:dyDescent="0.15">
      <c r="A29" s="365" t="s">
        <v>190</v>
      </c>
      <c r="B29" s="151" t="s">
        <v>191</v>
      </c>
      <c r="C29" s="104" t="s">
        <v>192</v>
      </c>
      <c r="D29" s="104" t="s">
        <v>193</v>
      </c>
      <c r="E29" s="104" t="s">
        <v>194</v>
      </c>
      <c r="F29" s="107" t="s">
        <v>195</v>
      </c>
      <c r="G29" s="53"/>
    </row>
    <row r="30" spans="1:7" x14ac:dyDescent="0.15">
      <c r="A30" s="365" t="s">
        <v>196</v>
      </c>
      <c r="B30" s="151" t="s">
        <v>197</v>
      </c>
      <c r="C30" s="104" t="s">
        <v>198</v>
      </c>
      <c r="D30" s="104" t="s">
        <v>199</v>
      </c>
      <c r="E30" s="104" t="s">
        <v>200</v>
      </c>
      <c r="F30" s="107" t="s">
        <v>201</v>
      </c>
      <c r="G30" s="53"/>
    </row>
    <row r="31" spans="1:7" x14ac:dyDescent="0.15">
      <c r="A31" s="365" t="s">
        <v>202</v>
      </c>
      <c r="B31" s="151" t="s">
        <v>203</v>
      </c>
      <c r="C31" s="104" t="s">
        <v>204</v>
      </c>
      <c r="D31" s="104" t="s">
        <v>205</v>
      </c>
      <c r="E31" s="104" t="s">
        <v>206</v>
      </c>
      <c r="F31" s="107" t="s">
        <v>207</v>
      </c>
      <c r="G31" s="53"/>
    </row>
    <row r="32" spans="1:7" x14ac:dyDescent="0.15">
      <c r="A32" s="365" t="s">
        <v>208</v>
      </c>
      <c r="B32" s="151" t="s">
        <v>209</v>
      </c>
      <c r="C32" s="104" t="s">
        <v>210</v>
      </c>
      <c r="D32" s="104" t="s">
        <v>211</v>
      </c>
      <c r="E32" s="104" t="s">
        <v>212</v>
      </c>
      <c r="F32" s="107" t="s">
        <v>213</v>
      </c>
      <c r="G32" s="53"/>
    </row>
    <row r="33" spans="1:6" x14ac:dyDescent="0.15">
      <c r="A33" s="365" t="s">
        <v>214</v>
      </c>
      <c r="B33" s="151" t="s">
        <v>215</v>
      </c>
      <c r="C33" s="104" t="s">
        <v>216</v>
      </c>
      <c r="D33" s="104" t="s">
        <v>217</v>
      </c>
      <c r="E33" s="104" t="s">
        <v>218</v>
      </c>
      <c r="F33" s="107" t="s">
        <v>219</v>
      </c>
    </row>
    <row r="34" spans="1:6" x14ac:dyDescent="0.15">
      <c r="A34" s="365" t="s">
        <v>220</v>
      </c>
      <c r="B34" s="151" t="s">
        <v>221</v>
      </c>
      <c r="C34" s="104" t="s">
        <v>222</v>
      </c>
      <c r="D34" s="104" t="s">
        <v>223</v>
      </c>
      <c r="E34" s="104" t="s">
        <v>224</v>
      </c>
      <c r="F34" s="107" t="s">
        <v>225</v>
      </c>
    </row>
    <row r="35" spans="1:6" x14ac:dyDescent="0.15">
      <c r="A35" s="365" t="s">
        <v>226</v>
      </c>
      <c r="B35" s="151" t="s">
        <v>227</v>
      </c>
      <c r="C35" s="104" t="s">
        <v>228</v>
      </c>
      <c r="D35" s="104" t="s">
        <v>229</v>
      </c>
      <c r="E35" s="104" t="s">
        <v>230</v>
      </c>
      <c r="F35" s="107" t="s">
        <v>231</v>
      </c>
    </row>
    <row r="36" spans="1:6" x14ac:dyDescent="0.15">
      <c r="A36" s="365" t="s">
        <v>232</v>
      </c>
      <c r="B36" s="151" t="s">
        <v>233</v>
      </c>
      <c r="C36" s="104" t="s">
        <v>234</v>
      </c>
      <c r="D36" s="104" t="s">
        <v>235</v>
      </c>
      <c r="E36" s="104" t="s">
        <v>236</v>
      </c>
      <c r="F36" s="107" t="s">
        <v>237</v>
      </c>
    </row>
    <row r="37" spans="1:6" x14ac:dyDescent="0.15">
      <c r="A37" s="365" t="s">
        <v>238</v>
      </c>
      <c r="B37" s="151" t="s">
        <v>239</v>
      </c>
      <c r="C37" s="104" t="s">
        <v>240</v>
      </c>
      <c r="D37" s="104" t="s">
        <v>241</v>
      </c>
      <c r="E37" s="104" t="s">
        <v>242</v>
      </c>
      <c r="F37" s="107" t="s">
        <v>243</v>
      </c>
    </row>
    <row r="38" spans="1:6" x14ac:dyDescent="0.15">
      <c r="A38" s="365" t="s">
        <v>244</v>
      </c>
      <c r="B38" s="151" t="s">
        <v>245</v>
      </c>
      <c r="C38" s="104" t="s">
        <v>246</v>
      </c>
      <c r="D38" s="104" t="s">
        <v>247</v>
      </c>
      <c r="E38" s="104" t="s">
        <v>248</v>
      </c>
      <c r="F38" s="107" t="s">
        <v>249</v>
      </c>
    </row>
    <row r="39" spans="1:6" x14ac:dyDescent="0.15">
      <c r="A39" s="365" t="s">
        <v>250</v>
      </c>
      <c r="B39" s="149" t="s">
        <v>251</v>
      </c>
      <c r="C39" s="104" t="s">
        <v>252</v>
      </c>
      <c r="D39" s="104" t="s">
        <v>253</v>
      </c>
      <c r="E39" s="104" t="s">
        <v>254</v>
      </c>
      <c r="F39" s="107" t="s">
        <v>255</v>
      </c>
    </row>
    <row r="40" spans="1:6" x14ac:dyDescent="0.15">
      <c r="A40" s="365" t="s">
        <v>256</v>
      </c>
      <c r="B40" s="345" t="s">
        <v>257</v>
      </c>
      <c r="C40" s="346" t="s">
        <v>258</v>
      </c>
      <c r="D40" s="346" t="s">
        <v>259</v>
      </c>
      <c r="E40" s="347" t="s">
        <v>260</v>
      </c>
      <c r="F40" s="348" t="s">
        <v>261</v>
      </c>
    </row>
    <row r="41" spans="1:6" x14ac:dyDescent="0.15">
      <c r="A41" s="365" t="s">
        <v>262</v>
      </c>
      <c r="B41" s="345" t="s">
        <v>263</v>
      </c>
      <c r="C41" s="347" t="s">
        <v>264</v>
      </c>
      <c r="D41" s="347" t="s">
        <v>265</v>
      </c>
      <c r="E41" s="347" t="s">
        <v>266</v>
      </c>
      <c r="F41" s="348" t="s">
        <v>267</v>
      </c>
    </row>
    <row r="42" spans="1:6" x14ac:dyDescent="0.15">
      <c r="A42" s="365" t="s">
        <v>268</v>
      </c>
      <c r="B42" s="151"/>
      <c r="C42" s="124"/>
      <c r="D42" s="104"/>
      <c r="E42" s="104"/>
      <c r="F42" s="107"/>
    </row>
    <row r="43" spans="1:6" x14ac:dyDescent="0.15">
      <c r="A43" s="365" t="s">
        <v>269</v>
      </c>
      <c r="B43" s="151"/>
      <c r="C43" s="124"/>
      <c r="D43" s="104"/>
      <c r="E43" s="104"/>
      <c r="F43" s="107"/>
    </row>
    <row r="44" spans="1:6" x14ac:dyDescent="0.15">
      <c r="A44" s="365" t="s">
        <v>270</v>
      </c>
      <c r="B44" s="151"/>
      <c r="C44" s="124"/>
      <c r="D44" s="104"/>
      <c r="E44" s="104"/>
      <c r="F44" s="107"/>
    </row>
    <row r="45" spans="1:6" x14ac:dyDescent="0.15">
      <c r="A45" s="365" t="s">
        <v>271</v>
      </c>
      <c r="B45" s="151"/>
      <c r="C45" s="124"/>
      <c r="D45" s="122"/>
      <c r="E45" s="104"/>
      <c r="F45" s="107"/>
    </row>
    <row r="46" spans="1:6" x14ac:dyDescent="0.15">
      <c r="A46" s="365" t="s">
        <v>272</v>
      </c>
      <c r="B46" s="151" t="s">
        <v>273</v>
      </c>
      <c r="C46" s="124" t="s">
        <v>274</v>
      </c>
      <c r="D46" s="104" t="s">
        <v>275</v>
      </c>
      <c r="E46" s="104" t="s">
        <v>276</v>
      </c>
      <c r="F46" s="107" t="s">
        <v>277</v>
      </c>
    </row>
    <row r="47" spans="1:6" x14ac:dyDescent="0.15">
      <c r="A47" s="365" t="s">
        <v>278</v>
      </c>
      <c r="B47" s="151" t="s">
        <v>279</v>
      </c>
      <c r="C47" s="124" t="s">
        <v>280</v>
      </c>
      <c r="D47" s="278" t="s">
        <v>281</v>
      </c>
      <c r="E47" s="104" t="s">
        <v>282</v>
      </c>
      <c r="F47" s="107" t="s">
        <v>283</v>
      </c>
    </row>
    <row r="48" spans="1:6" s="43" customFormat="1" x14ac:dyDescent="0.15">
      <c r="A48" s="365" t="s">
        <v>284</v>
      </c>
      <c r="B48" s="151" t="s">
        <v>285</v>
      </c>
      <c r="C48" s="124" t="s">
        <v>286</v>
      </c>
      <c r="D48" s="278" t="s">
        <v>287</v>
      </c>
      <c r="E48" s="104" t="s">
        <v>285</v>
      </c>
      <c r="F48" s="107" t="s">
        <v>288</v>
      </c>
    </row>
    <row r="49" spans="1:6" x14ac:dyDescent="0.15">
      <c r="A49" s="365">
        <v>1</v>
      </c>
      <c r="B49" s="151" t="s">
        <v>289</v>
      </c>
      <c r="C49" s="124" t="s">
        <v>290</v>
      </c>
      <c r="D49" s="278" t="s">
        <v>291</v>
      </c>
      <c r="E49" s="104" t="s">
        <v>292</v>
      </c>
      <c r="F49" s="107" t="s">
        <v>293</v>
      </c>
    </row>
    <row r="50" spans="1:6" s="43" customFormat="1" x14ac:dyDescent="0.15">
      <c r="A50" s="46">
        <v>1.1000000000000001</v>
      </c>
      <c r="B50" s="151" t="s">
        <v>294</v>
      </c>
      <c r="C50" s="124" t="s">
        <v>295</v>
      </c>
      <c r="D50" s="278" t="s">
        <v>296</v>
      </c>
      <c r="E50" s="104" t="s">
        <v>297</v>
      </c>
      <c r="F50" s="107" t="s">
        <v>298</v>
      </c>
    </row>
    <row r="51" spans="1:6" s="43" customFormat="1" x14ac:dyDescent="0.15">
      <c r="A51" s="46">
        <v>1.2</v>
      </c>
      <c r="B51" s="151" t="s">
        <v>299</v>
      </c>
      <c r="C51" s="124" t="s">
        <v>300</v>
      </c>
      <c r="D51" s="104" t="s">
        <v>301</v>
      </c>
      <c r="E51" s="104" t="s">
        <v>302</v>
      </c>
      <c r="F51" s="107" t="s">
        <v>303</v>
      </c>
    </row>
    <row r="52" spans="1:6" s="53" customFormat="1" x14ac:dyDescent="0.15">
      <c r="A52" s="46">
        <v>1.3</v>
      </c>
      <c r="B52" s="151" t="s">
        <v>304</v>
      </c>
      <c r="C52" s="124" t="s">
        <v>305</v>
      </c>
      <c r="D52" s="104" t="s">
        <v>306</v>
      </c>
      <c r="E52" s="104" t="s">
        <v>307</v>
      </c>
      <c r="F52" s="107" t="s">
        <v>308</v>
      </c>
    </row>
    <row r="53" spans="1:6" x14ac:dyDescent="0.15">
      <c r="A53" s="365">
        <v>2</v>
      </c>
      <c r="B53" s="151" t="s">
        <v>309</v>
      </c>
      <c r="C53" s="124" t="s">
        <v>310</v>
      </c>
      <c r="D53" s="104" t="s">
        <v>311</v>
      </c>
      <c r="E53" s="104" t="s">
        <v>312</v>
      </c>
      <c r="F53" s="107" t="s">
        <v>313</v>
      </c>
    </row>
    <row r="54" spans="1:6" x14ac:dyDescent="0.15">
      <c r="A54" s="365">
        <v>3</v>
      </c>
      <c r="B54" s="151" t="s">
        <v>314</v>
      </c>
      <c r="C54" s="124" t="s">
        <v>315</v>
      </c>
      <c r="D54" s="104" t="s">
        <v>316</v>
      </c>
      <c r="E54" s="104" t="s">
        <v>317</v>
      </c>
      <c r="F54" s="107" t="s">
        <v>318</v>
      </c>
    </row>
    <row r="55" spans="1:6" s="53" customFormat="1" x14ac:dyDescent="0.15">
      <c r="A55" s="365">
        <v>4</v>
      </c>
      <c r="B55" s="151" t="s">
        <v>319</v>
      </c>
      <c r="C55" s="124" t="s">
        <v>320</v>
      </c>
      <c r="D55" s="104" t="s">
        <v>321</v>
      </c>
      <c r="E55" s="104" t="s">
        <v>322</v>
      </c>
      <c r="F55" s="107" t="s">
        <v>323</v>
      </c>
    </row>
    <row r="56" spans="1:6" x14ac:dyDescent="0.15">
      <c r="A56" s="365">
        <v>5</v>
      </c>
      <c r="B56" s="151" t="s">
        <v>324</v>
      </c>
      <c r="C56" s="124" t="s">
        <v>325</v>
      </c>
      <c r="D56" s="104" t="s">
        <v>326</v>
      </c>
      <c r="E56" s="104" t="s">
        <v>327</v>
      </c>
      <c r="F56" s="107" t="s">
        <v>328</v>
      </c>
    </row>
    <row r="57" spans="1:6" x14ac:dyDescent="0.15">
      <c r="A57" s="365">
        <v>6</v>
      </c>
      <c r="B57" s="151" t="s">
        <v>329</v>
      </c>
      <c r="C57" s="124" t="s">
        <v>330</v>
      </c>
      <c r="D57" s="326" t="s">
        <v>331</v>
      </c>
      <c r="E57" s="104" t="s">
        <v>332</v>
      </c>
      <c r="F57" s="107" t="s">
        <v>333</v>
      </c>
    </row>
    <row r="58" spans="1:6" x14ac:dyDescent="0.15">
      <c r="A58" s="365">
        <v>7</v>
      </c>
      <c r="B58" s="151" t="s">
        <v>334</v>
      </c>
      <c r="C58" s="124" t="s">
        <v>335</v>
      </c>
      <c r="D58" s="104" t="s">
        <v>336</v>
      </c>
      <c r="E58" s="104" t="s">
        <v>337</v>
      </c>
      <c r="F58" s="107" t="s">
        <v>338</v>
      </c>
    </row>
    <row r="59" spans="1:6" x14ac:dyDescent="0.15">
      <c r="A59" s="365">
        <v>8</v>
      </c>
      <c r="B59" s="151" t="s">
        <v>339</v>
      </c>
      <c r="C59" s="124" t="s">
        <v>340</v>
      </c>
      <c r="D59" s="104" t="s">
        <v>341</v>
      </c>
      <c r="E59" s="104" t="s">
        <v>342</v>
      </c>
      <c r="F59" s="107" t="s">
        <v>343</v>
      </c>
    </row>
    <row r="60" spans="1:6" x14ac:dyDescent="0.15">
      <c r="A60" s="365">
        <v>9</v>
      </c>
      <c r="B60" s="151" t="s">
        <v>344</v>
      </c>
      <c r="C60" s="124" t="s">
        <v>345</v>
      </c>
      <c r="D60" s="104" t="s">
        <v>346</v>
      </c>
      <c r="E60" s="104" t="s">
        <v>347</v>
      </c>
      <c r="F60" s="107" t="s">
        <v>348</v>
      </c>
    </row>
    <row r="61" spans="1:6" s="53" customFormat="1" x14ac:dyDescent="0.15">
      <c r="A61" s="365">
        <v>10</v>
      </c>
      <c r="B61" s="151" t="s">
        <v>349</v>
      </c>
      <c r="C61" s="124" t="s">
        <v>350</v>
      </c>
      <c r="D61" s="104" t="s">
        <v>351</v>
      </c>
      <c r="E61" s="104" t="s">
        <v>352</v>
      </c>
      <c r="F61" s="107" t="s">
        <v>353</v>
      </c>
    </row>
    <row r="62" spans="1:6" x14ac:dyDescent="0.15">
      <c r="A62" s="365">
        <v>11</v>
      </c>
      <c r="B62" s="151" t="s">
        <v>354</v>
      </c>
      <c r="C62" s="124" t="s">
        <v>355</v>
      </c>
      <c r="D62" s="104" t="s">
        <v>356</v>
      </c>
      <c r="E62" s="104" t="s">
        <v>357</v>
      </c>
      <c r="F62" s="107" t="s">
        <v>358</v>
      </c>
    </row>
    <row r="63" spans="1:6" x14ac:dyDescent="0.15">
      <c r="A63" s="365">
        <v>12</v>
      </c>
      <c r="B63" s="151" t="s">
        <v>359</v>
      </c>
      <c r="C63" s="124" t="s">
        <v>360</v>
      </c>
      <c r="D63" s="104" t="s">
        <v>361</v>
      </c>
      <c r="E63" s="104" t="s">
        <v>362</v>
      </c>
      <c r="F63" s="107" t="s">
        <v>363</v>
      </c>
    </row>
    <row r="64" spans="1:6" x14ac:dyDescent="0.15">
      <c r="A64" s="365">
        <v>13</v>
      </c>
      <c r="B64" s="151" t="s">
        <v>11</v>
      </c>
      <c r="C64" s="124" t="s">
        <v>364</v>
      </c>
      <c r="D64" s="104" t="s">
        <v>365</v>
      </c>
      <c r="E64" s="104" t="s">
        <v>366</v>
      </c>
      <c r="F64" s="107" t="s">
        <v>367</v>
      </c>
    </row>
    <row r="65" spans="1:6" s="43" customFormat="1" x14ac:dyDescent="0.15">
      <c r="A65" s="46">
        <v>13.1</v>
      </c>
      <c r="B65" s="151" t="s">
        <v>368</v>
      </c>
      <c r="C65" s="124" t="s">
        <v>369</v>
      </c>
      <c r="D65" s="104" t="s">
        <v>370</v>
      </c>
      <c r="E65" s="104" t="s">
        <v>371</v>
      </c>
      <c r="F65" s="107" t="s">
        <v>372</v>
      </c>
    </row>
    <row r="66" spans="1:6" s="53" customFormat="1" x14ac:dyDescent="0.15">
      <c r="A66" s="46">
        <v>13.2</v>
      </c>
      <c r="B66" s="151" t="s">
        <v>373</v>
      </c>
      <c r="C66" s="124" t="s">
        <v>374</v>
      </c>
      <c r="D66" s="104" t="s">
        <v>375</v>
      </c>
      <c r="E66" s="104" t="s">
        <v>376</v>
      </c>
      <c r="F66" s="107" t="s">
        <v>377</v>
      </c>
    </row>
    <row r="67" spans="1:6" s="53" customFormat="1" x14ac:dyDescent="0.15">
      <c r="A67" s="46">
        <v>13.3</v>
      </c>
      <c r="B67" s="151" t="s">
        <v>378</v>
      </c>
      <c r="C67" s="124" t="s">
        <v>378</v>
      </c>
      <c r="D67" s="104" t="s">
        <v>379</v>
      </c>
      <c r="E67" s="104" t="s">
        <v>380</v>
      </c>
      <c r="F67" s="107" t="s">
        <v>381</v>
      </c>
    </row>
    <row r="68" spans="1:6" s="53" customFormat="1" x14ac:dyDescent="0.15">
      <c r="A68" s="46">
        <v>13.4</v>
      </c>
      <c r="B68" s="151" t="s">
        <v>382</v>
      </c>
      <c r="C68" s="6" t="s">
        <v>382</v>
      </c>
      <c r="D68" s="6" t="s">
        <v>383</v>
      </c>
      <c r="E68" s="104" t="s">
        <v>384</v>
      </c>
      <c r="F68" s="107" t="s">
        <v>385</v>
      </c>
    </row>
    <row r="69" spans="1:6" s="53" customFormat="1" x14ac:dyDescent="0.15">
      <c r="A69" s="46">
        <v>13.5</v>
      </c>
      <c r="B69" s="151" t="s">
        <v>386</v>
      </c>
      <c r="C69" s="6" t="s">
        <v>386</v>
      </c>
      <c r="D69" s="6" t="s">
        <v>387</v>
      </c>
      <c r="E69" s="104" t="s">
        <v>388</v>
      </c>
      <c r="F69" s="107" t="s">
        <v>389</v>
      </c>
    </row>
    <row r="70" spans="1:6" s="53" customFormat="1" x14ac:dyDescent="0.15">
      <c r="A70" s="46">
        <v>13.6</v>
      </c>
      <c r="B70" s="151" t="s">
        <v>390</v>
      </c>
      <c r="C70" s="6" t="s">
        <v>390</v>
      </c>
      <c r="D70" s="6" t="s">
        <v>379</v>
      </c>
      <c r="E70" s="104" t="s">
        <v>391</v>
      </c>
      <c r="F70" s="107" t="s">
        <v>392</v>
      </c>
    </row>
    <row r="71" spans="1:6" x14ac:dyDescent="0.15">
      <c r="A71" s="365">
        <v>14</v>
      </c>
      <c r="B71" s="151" t="s">
        <v>393</v>
      </c>
      <c r="C71" s="124" t="s">
        <v>394</v>
      </c>
      <c r="D71" s="104" t="s">
        <v>395</v>
      </c>
      <c r="E71" s="104" t="s">
        <v>396</v>
      </c>
      <c r="F71" s="107" t="s">
        <v>397</v>
      </c>
    </row>
    <row r="72" spans="1:6" x14ac:dyDescent="0.15">
      <c r="A72" s="365">
        <v>15</v>
      </c>
      <c r="B72" s="151" t="s">
        <v>398</v>
      </c>
      <c r="C72" s="124" t="s">
        <v>399</v>
      </c>
      <c r="D72" s="104" t="s">
        <v>400</v>
      </c>
      <c r="E72" s="104" t="s">
        <v>401</v>
      </c>
      <c r="F72" s="107" t="s">
        <v>402</v>
      </c>
    </row>
    <row r="73" spans="1:6" s="43" customFormat="1" x14ac:dyDescent="0.15">
      <c r="A73" s="46">
        <v>15.1</v>
      </c>
      <c r="B73" s="151" t="s">
        <v>403</v>
      </c>
      <c r="C73" s="124" t="s">
        <v>404</v>
      </c>
      <c r="D73" s="104" t="s">
        <v>405</v>
      </c>
      <c r="E73" s="104" t="s">
        <v>406</v>
      </c>
      <c r="F73" s="107" t="s">
        <v>407</v>
      </c>
    </row>
    <row r="74" spans="1:6" x14ac:dyDescent="0.15">
      <c r="A74" s="365">
        <v>16</v>
      </c>
      <c r="B74" s="151" t="s">
        <v>408</v>
      </c>
      <c r="C74" s="124" t="s">
        <v>409</v>
      </c>
      <c r="D74" s="104" t="s">
        <v>410</v>
      </c>
      <c r="E74" s="104" t="s">
        <v>411</v>
      </c>
      <c r="F74" s="107" t="s">
        <v>412</v>
      </c>
    </row>
    <row r="75" spans="1:6" x14ac:dyDescent="0.15">
      <c r="A75" s="365">
        <v>17</v>
      </c>
      <c r="B75" s="151" t="s">
        <v>413</v>
      </c>
      <c r="C75" s="124" t="s">
        <v>414</v>
      </c>
      <c r="D75" s="104" t="s">
        <v>415</v>
      </c>
      <c r="E75" s="104" t="s">
        <v>416</v>
      </c>
      <c r="F75" s="107" t="s">
        <v>417</v>
      </c>
    </row>
    <row r="76" spans="1:6" x14ac:dyDescent="0.15">
      <c r="A76" s="365">
        <v>18</v>
      </c>
      <c r="B76" s="151" t="s">
        <v>418</v>
      </c>
      <c r="C76" s="124" t="s">
        <v>419</v>
      </c>
      <c r="D76" s="104" t="s">
        <v>420</v>
      </c>
      <c r="E76" s="104" t="s">
        <v>421</v>
      </c>
      <c r="F76" s="107" t="s">
        <v>422</v>
      </c>
    </row>
    <row r="77" spans="1:6" s="53" customFormat="1" x14ac:dyDescent="0.15">
      <c r="A77" s="365">
        <v>18.100000000000001</v>
      </c>
      <c r="B77" s="151" t="s">
        <v>423</v>
      </c>
      <c r="C77" s="276" t="s">
        <v>424</v>
      </c>
      <c r="D77" s="104" t="s">
        <v>296</v>
      </c>
      <c r="E77" s="104" t="s">
        <v>297</v>
      </c>
      <c r="F77" s="107" t="s">
        <v>298</v>
      </c>
    </row>
    <row r="78" spans="1:6" s="53" customFormat="1" x14ac:dyDescent="0.15">
      <c r="A78" s="365">
        <v>18.2</v>
      </c>
      <c r="B78" s="151" t="s">
        <v>425</v>
      </c>
      <c r="C78" s="276" t="s">
        <v>300</v>
      </c>
      <c r="D78" s="104" t="s">
        <v>301</v>
      </c>
      <c r="E78" s="104" t="s">
        <v>426</v>
      </c>
      <c r="F78" s="107" t="s">
        <v>427</v>
      </c>
    </row>
    <row r="79" spans="1:6" s="53" customFormat="1" x14ac:dyDescent="0.15">
      <c r="A79" s="365">
        <v>18.3</v>
      </c>
      <c r="B79" s="151" t="s">
        <v>63</v>
      </c>
      <c r="C79" s="276" t="s">
        <v>114</v>
      </c>
      <c r="D79" s="104" t="s">
        <v>115</v>
      </c>
      <c r="E79" s="104" t="s">
        <v>116</v>
      </c>
      <c r="F79" s="107" t="s">
        <v>428</v>
      </c>
    </row>
    <row r="80" spans="1:6" s="53" customFormat="1" x14ac:dyDescent="0.15">
      <c r="A80" s="365">
        <v>19</v>
      </c>
      <c r="B80" s="151" t="s">
        <v>429</v>
      </c>
      <c r="C80" s="276" t="s">
        <v>430</v>
      </c>
      <c r="D80" s="124" t="s">
        <v>431</v>
      </c>
      <c r="E80" s="104" t="s">
        <v>432</v>
      </c>
      <c r="F80" s="107" t="s">
        <v>433</v>
      </c>
    </row>
    <row r="81" spans="1:7" x14ac:dyDescent="0.15">
      <c r="A81" s="365">
        <v>20</v>
      </c>
      <c r="B81" s="151" t="s">
        <v>434</v>
      </c>
      <c r="C81" s="124" t="s">
        <v>435</v>
      </c>
      <c r="D81" s="104" t="s">
        <v>436</v>
      </c>
      <c r="E81" s="104" t="s">
        <v>437</v>
      </c>
      <c r="F81" s="107" t="s">
        <v>438</v>
      </c>
      <c r="G81" s="53"/>
    </row>
    <row r="82" spans="1:7" x14ac:dyDescent="0.15">
      <c r="A82" s="365">
        <v>21</v>
      </c>
      <c r="B82" s="151" t="s">
        <v>439</v>
      </c>
      <c r="C82" s="124" t="s">
        <v>440</v>
      </c>
      <c r="D82" s="104" t="s">
        <v>441</v>
      </c>
      <c r="E82" s="104" t="s">
        <v>442</v>
      </c>
      <c r="F82" s="107" t="s">
        <v>443</v>
      </c>
      <c r="G82" s="53"/>
    </row>
    <row r="83" spans="1:7" x14ac:dyDescent="0.15">
      <c r="A83" s="365">
        <v>22</v>
      </c>
      <c r="B83" s="151" t="s">
        <v>444</v>
      </c>
      <c r="C83" s="124" t="s">
        <v>445</v>
      </c>
      <c r="D83" s="104" t="s">
        <v>446</v>
      </c>
      <c r="E83" s="104" t="s">
        <v>447</v>
      </c>
      <c r="F83" s="107" t="s">
        <v>448</v>
      </c>
      <c r="G83" s="53"/>
    </row>
    <row r="84" spans="1:7" x14ac:dyDescent="0.15">
      <c r="A84" s="365">
        <v>23</v>
      </c>
      <c r="B84" s="151" t="s">
        <v>449</v>
      </c>
      <c r="C84" s="124" t="s">
        <v>450</v>
      </c>
      <c r="D84" s="104" t="s">
        <v>451</v>
      </c>
      <c r="E84" s="104" t="s">
        <v>452</v>
      </c>
      <c r="F84" s="107" t="s">
        <v>453</v>
      </c>
      <c r="G84" s="53"/>
    </row>
    <row r="85" spans="1:7" s="43" customFormat="1" x14ac:dyDescent="0.15">
      <c r="A85" s="46">
        <v>23.1</v>
      </c>
      <c r="B85" s="151" t="s">
        <v>454</v>
      </c>
      <c r="C85" s="124" t="s">
        <v>455</v>
      </c>
      <c r="D85" s="183" t="s">
        <v>456</v>
      </c>
      <c r="E85" s="104" t="s">
        <v>457</v>
      </c>
      <c r="F85" s="107" t="s">
        <v>458</v>
      </c>
      <c r="G85" s="53"/>
    </row>
    <row r="86" spans="1:7" x14ac:dyDescent="0.15">
      <c r="A86" s="365">
        <v>24</v>
      </c>
      <c r="B86" s="184" t="s">
        <v>459</v>
      </c>
      <c r="C86" s="185" t="s">
        <v>460</v>
      </c>
      <c r="D86" s="183" t="s">
        <v>461</v>
      </c>
      <c r="E86" s="104" t="s">
        <v>128</v>
      </c>
      <c r="F86" s="107" t="s">
        <v>462</v>
      </c>
      <c r="G86" s="53"/>
    </row>
    <row r="87" spans="1:7" s="43" customFormat="1" x14ac:dyDescent="0.15">
      <c r="A87" s="46">
        <v>24.2</v>
      </c>
      <c r="B87" s="184" t="s">
        <v>463</v>
      </c>
      <c r="C87" s="185" t="s">
        <v>464</v>
      </c>
      <c r="D87" s="183" t="s">
        <v>465</v>
      </c>
      <c r="E87" s="104" t="s">
        <v>466</v>
      </c>
      <c r="F87" s="107" t="s">
        <v>467</v>
      </c>
      <c r="G87" s="53"/>
    </row>
    <row r="88" spans="1:7" s="53" customFormat="1" x14ac:dyDescent="0.15">
      <c r="A88" s="46">
        <v>25</v>
      </c>
      <c r="B88" s="184" t="s">
        <v>468</v>
      </c>
      <c r="C88" s="185" t="s">
        <v>469</v>
      </c>
      <c r="D88" s="183" t="s">
        <v>470</v>
      </c>
      <c r="E88" s="104" t="s">
        <v>471</v>
      </c>
      <c r="F88" s="107" t="s">
        <v>448</v>
      </c>
    </row>
    <row r="89" spans="1:7" s="53" customFormat="1" x14ac:dyDescent="0.15">
      <c r="A89" s="46">
        <v>25.1</v>
      </c>
      <c r="B89" s="151" t="s">
        <v>472</v>
      </c>
      <c r="C89" s="124" t="s">
        <v>473</v>
      </c>
      <c r="D89" s="104" t="s">
        <v>474</v>
      </c>
      <c r="E89" s="104" t="s">
        <v>472</v>
      </c>
      <c r="F89" s="107" t="s">
        <v>472</v>
      </c>
    </row>
    <row r="90" spans="1:7" s="53" customFormat="1" ht="14.25" thickBot="1" x14ac:dyDescent="0.2">
      <c r="A90" s="46">
        <v>25.2</v>
      </c>
      <c r="B90" s="152" t="s">
        <v>475</v>
      </c>
      <c r="C90" s="124" t="s">
        <v>476</v>
      </c>
      <c r="D90" s="104" t="s">
        <v>477</v>
      </c>
      <c r="E90" s="104" t="s">
        <v>478</v>
      </c>
      <c r="F90" s="107" t="s">
        <v>479</v>
      </c>
    </row>
    <row r="91" spans="1:7" x14ac:dyDescent="0.15">
      <c r="A91" s="365"/>
      <c r="B91" s="41"/>
      <c r="C91" s="41"/>
      <c r="D91" s="41"/>
      <c r="E91" s="41"/>
      <c r="F91" s="53"/>
      <c r="G91" s="53"/>
    </row>
    <row r="93" spans="1:7" ht="14.25" thickBot="1" x14ac:dyDescent="0.2">
      <c r="A93" s="365"/>
      <c r="B93" s="53"/>
      <c r="C93" s="53"/>
      <c r="D93" s="53"/>
      <c r="E93" s="53"/>
      <c r="F93" s="53"/>
      <c r="G93" s="53"/>
    </row>
    <row r="94" spans="1:7" ht="30" customHeight="1" thickBot="1" x14ac:dyDescent="0.2">
      <c r="A94" s="365"/>
      <c r="B94" s="155" t="s">
        <v>105</v>
      </c>
      <c r="C94" s="289" t="s">
        <v>136</v>
      </c>
      <c r="D94" s="102" t="s">
        <v>137</v>
      </c>
      <c r="E94" s="102" t="s">
        <v>138</v>
      </c>
      <c r="F94" s="102" t="s">
        <v>139</v>
      </c>
      <c r="G94" s="102" t="s">
        <v>140</v>
      </c>
    </row>
    <row r="95" spans="1:7" s="47" customFormat="1" x14ac:dyDescent="0.15">
      <c r="A95" s="365"/>
      <c r="B95" s="147" t="s">
        <v>480</v>
      </c>
      <c r="C95" s="153" t="str">
        <f>C3</f>
        <v>German</v>
      </c>
      <c r="D95" s="118" t="str">
        <f>C4</f>
        <v>Svenska</v>
      </c>
      <c r="E95" s="118" t="str">
        <f>C5</f>
        <v>Français</v>
      </c>
      <c r="F95" s="118" t="str">
        <f>C6</f>
        <v>Español</v>
      </c>
      <c r="G95" s="53"/>
    </row>
    <row r="96" spans="1:7" x14ac:dyDescent="0.15">
      <c r="A96" s="365" t="s">
        <v>481</v>
      </c>
      <c r="B96" s="154" t="s">
        <v>482</v>
      </c>
      <c r="C96" s="105" t="s">
        <v>483</v>
      </c>
      <c r="D96" s="105" t="s">
        <v>484</v>
      </c>
      <c r="E96" s="105" t="s">
        <v>482</v>
      </c>
      <c r="F96" s="106" t="s">
        <v>485</v>
      </c>
      <c r="G96" s="53"/>
    </row>
    <row r="97" spans="1:6" x14ac:dyDescent="0.15">
      <c r="A97" s="365" t="s">
        <v>486</v>
      </c>
      <c r="B97" s="151" t="s">
        <v>487</v>
      </c>
      <c r="C97" s="104" t="s">
        <v>488</v>
      </c>
      <c r="D97" s="104" t="s">
        <v>489</v>
      </c>
      <c r="E97" s="104" t="s">
        <v>490</v>
      </c>
      <c r="F97" s="107" t="s">
        <v>491</v>
      </c>
    </row>
    <row r="98" spans="1:6" x14ac:dyDescent="0.15">
      <c r="A98" s="365" t="s">
        <v>492</v>
      </c>
      <c r="B98" s="151" t="s">
        <v>493</v>
      </c>
      <c r="C98" s="104" t="s">
        <v>494</v>
      </c>
      <c r="D98" s="104" t="s">
        <v>495</v>
      </c>
      <c r="E98" s="104" t="s">
        <v>496</v>
      </c>
      <c r="F98" s="107" t="s">
        <v>497</v>
      </c>
    </row>
    <row r="99" spans="1:6" x14ac:dyDescent="0.15">
      <c r="A99" s="365" t="s">
        <v>15</v>
      </c>
      <c r="B99" s="151" t="s">
        <v>498</v>
      </c>
      <c r="C99" s="104" t="s">
        <v>499</v>
      </c>
      <c r="D99" s="104" t="s">
        <v>500</v>
      </c>
      <c r="E99" s="104" t="s">
        <v>498</v>
      </c>
      <c r="F99" s="107" t="s">
        <v>501</v>
      </c>
    </row>
    <row r="100" spans="1:6" s="53" customFormat="1" x14ac:dyDescent="0.15">
      <c r="A100" s="365" t="s">
        <v>16</v>
      </c>
      <c r="B100" s="151" t="s">
        <v>502</v>
      </c>
      <c r="C100" s="104" t="s">
        <v>192</v>
      </c>
      <c r="D100" s="104" t="s">
        <v>503</v>
      </c>
      <c r="E100" s="104" t="s">
        <v>194</v>
      </c>
      <c r="F100" s="107" t="s">
        <v>195</v>
      </c>
    </row>
    <row r="101" spans="1:6" x14ac:dyDescent="0.15">
      <c r="A101" s="365" t="s">
        <v>17</v>
      </c>
      <c r="B101" s="151" t="s">
        <v>504</v>
      </c>
      <c r="C101" s="104" t="s">
        <v>505</v>
      </c>
      <c r="D101" s="104" t="s">
        <v>506</v>
      </c>
      <c r="E101" s="104" t="s">
        <v>507</v>
      </c>
      <c r="F101" s="107" t="s">
        <v>508</v>
      </c>
    </row>
    <row r="102" spans="1:6" s="53" customFormat="1" x14ac:dyDescent="0.15">
      <c r="A102" s="365" t="s">
        <v>18</v>
      </c>
      <c r="B102" s="151" t="s">
        <v>509</v>
      </c>
      <c r="C102" s="104" t="s">
        <v>510</v>
      </c>
      <c r="D102" s="104" t="s">
        <v>511</v>
      </c>
      <c r="E102" s="104" t="s">
        <v>512</v>
      </c>
      <c r="F102" s="107" t="s">
        <v>513</v>
      </c>
    </row>
    <row r="103" spans="1:6" s="53" customFormat="1" x14ac:dyDescent="0.15">
      <c r="A103" s="365" t="s">
        <v>19</v>
      </c>
      <c r="B103" s="151" t="s">
        <v>514</v>
      </c>
      <c r="C103" s="104" t="s">
        <v>515</v>
      </c>
      <c r="D103" s="104" t="s">
        <v>516</v>
      </c>
      <c r="E103" s="104" t="s">
        <v>517</v>
      </c>
      <c r="F103" s="107" t="s">
        <v>518</v>
      </c>
    </row>
    <row r="104" spans="1:6" x14ac:dyDescent="0.15">
      <c r="A104" s="365" t="s">
        <v>20</v>
      </c>
      <c r="B104" s="151" t="s">
        <v>166</v>
      </c>
      <c r="C104" s="104" t="s">
        <v>167</v>
      </c>
      <c r="D104" s="104" t="s">
        <v>168</v>
      </c>
      <c r="E104" s="104" t="s">
        <v>169</v>
      </c>
      <c r="F104" s="107" t="s">
        <v>519</v>
      </c>
    </row>
    <row r="105" spans="1:6" x14ac:dyDescent="0.15">
      <c r="A105" s="365" t="s">
        <v>21</v>
      </c>
      <c r="B105" s="151" t="s">
        <v>520</v>
      </c>
      <c r="C105" s="104" t="s">
        <v>521</v>
      </c>
      <c r="D105" s="104" t="s">
        <v>522</v>
      </c>
      <c r="E105" s="104" t="s">
        <v>384</v>
      </c>
      <c r="F105" s="107" t="s">
        <v>523</v>
      </c>
    </row>
    <row r="106" spans="1:6" x14ac:dyDescent="0.15">
      <c r="A106" s="365" t="s">
        <v>22</v>
      </c>
      <c r="B106" s="151" t="s">
        <v>524</v>
      </c>
      <c r="C106" s="104" t="s">
        <v>525</v>
      </c>
      <c r="D106" s="104" t="s">
        <v>526</v>
      </c>
      <c r="E106" s="104" t="s">
        <v>490</v>
      </c>
      <c r="F106" s="107" t="s">
        <v>491</v>
      </c>
    </row>
    <row r="107" spans="1:6" x14ac:dyDescent="0.15">
      <c r="A107" s="365" t="s">
        <v>23</v>
      </c>
      <c r="B107" s="151" t="s">
        <v>527</v>
      </c>
      <c r="C107" s="104" t="s">
        <v>528</v>
      </c>
      <c r="D107" s="104" t="s">
        <v>529</v>
      </c>
      <c r="E107" s="104" t="s">
        <v>530</v>
      </c>
      <c r="F107" s="107" t="s">
        <v>531</v>
      </c>
    </row>
    <row r="108" spans="1:6" x14ac:dyDescent="0.15">
      <c r="A108" s="365" t="s">
        <v>24</v>
      </c>
      <c r="B108" s="151" t="s">
        <v>532</v>
      </c>
      <c r="C108" s="104" t="s">
        <v>533</v>
      </c>
      <c r="D108" s="104" t="s">
        <v>534</v>
      </c>
      <c r="E108" s="104" t="s">
        <v>535</v>
      </c>
      <c r="F108" s="107" t="s">
        <v>536</v>
      </c>
    </row>
    <row r="109" spans="1:6" x14ac:dyDescent="0.15">
      <c r="A109" s="365" t="s">
        <v>25</v>
      </c>
      <c r="B109" s="151" t="s">
        <v>537</v>
      </c>
      <c r="C109" s="104" t="s">
        <v>538</v>
      </c>
      <c r="D109" s="104" t="s">
        <v>539</v>
      </c>
      <c r="E109" s="104" t="s">
        <v>540</v>
      </c>
      <c r="F109" s="107" t="s">
        <v>541</v>
      </c>
    </row>
    <row r="110" spans="1:6" x14ac:dyDescent="0.15">
      <c r="A110" s="365" t="s">
        <v>26</v>
      </c>
      <c r="B110" s="151" t="s">
        <v>542</v>
      </c>
      <c r="C110" s="104" t="s">
        <v>543</v>
      </c>
      <c r="D110" s="104" t="s">
        <v>544</v>
      </c>
      <c r="E110" s="104" t="s">
        <v>545</v>
      </c>
      <c r="F110" s="107" t="s">
        <v>546</v>
      </c>
    </row>
    <row r="111" spans="1:6" x14ac:dyDescent="0.15">
      <c r="A111" s="365" t="s">
        <v>27</v>
      </c>
      <c r="B111" s="151" t="s">
        <v>547</v>
      </c>
      <c r="C111" s="183" t="s">
        <v>548</v>
      </c>
      <c r="D111" s="183" t="s">
        <v>549</v>
      </c>
      <c r="E111" s="104" t="s">
        <v>550</v>
      </c>
      <c r="F111" s="107" t="s">
        <v>551</v>
      </c>
    </row>
    <row r="112" spans="1:6" x14ac:dyDescent="0.15">
      <c r="A112" s="365" t="s">
        <v>28</v>
      </c>
      <c r="B112" s="151" t="s">
        <v>324</v>
      </c>
      <c r="C112" s="104" t="s">
        <v>325</v>
      </c>
      <c r="D112" s="104" t="s">
        <v>552</v>
      </c>
      <c r="E112" s="104" t="s">
        <v>327</v>
      </c>
      <c r="F112" s="107" t="s">
        <v>553</v>
      </c>
    </row>
    <row r="113" spans="1:6" x14ac:dyDescent="0.15">
      <c r="A113" s="365" t="s">
        <v>29</v>
      </c>
      <c r="B113" s="151" t="s">
        <v>554</v>
      </c>
      <c r="C113" s="104" t="s">
        <v>555</v>
      </c>
      <c r="D113" s="104" t="s">
        <v>556</v>
      </c>
      <c r="E113" s="104" t="s">
        <v>557</v>
      </c>
      <c r="F113" s="107" t="s">
        <v>558</v>
      </c>
    </row>
    <row r="114" spans="1:6" x14ac:dyDescent="0.15">
      <c r="A114" s="365" t="s">
        <v>30</v>
      </c>
      <c r="B114" s="151" t="s">
        <v>559</v>
      </c>
      <c r="C114" s="104" t="s">
        <v>290</v>
      </c>
      <c r="D114" s="104" t="s">
        <v>560</v>
      </c>
      <c r="E114" s="104" t="s">
        <v>561</v>
      </c>
      <c r="F114" s="107" t="s">
        <v>562</v>
      </c>
    </row>
    <row r="115" spans="1:6" x14ac:dyDescent="0.15">
      <c r="A115" s="365" t="s">
        <v>31</v>
      </c>
      <c r="B115" s="151" t="s">
        <v>563</v>
      </c>
      <c r="C115" s="104" t="s">
        <v>310</v>
      </c>
      <c r="D115" s="104" t="s">
        <v>564</v>
      </c>
      <c r="E115" s="104" t="s">
        <v>565</v>
      </c>
      <c r="F115" s="107" t="s">
        <v>313</v>
      </c>
    </row>
    <row r="116" spans="1:6" s="53" customFormat="1" x14ac:dyDescent="0.15">
      <c r="A116" s="365" t="s">
        <v>566</v>
      </c>
      <c r="B116" s="151" t="s">
        <v>567</v>
      </c>
      <c r="C116" s="104" t="s">
        <v>568</v>
      </c>
      <c r="D116" s="104" t="s">
        <v>569</v>
      </c>
      <c r="E116" s="104" t="s">
        <v>570</v>
      </c>
      <c r="F116" s="107" t="s">
        <v>571</v>
      </c>
    </row>
    <row r="117" spans="1:6" x14ac:dyDescent="0.15">
      <c r="A117" s="365" t="s">
        <v>32</v>
      </c>
      <c r="B117" s="151" t="s">
        <v>572</v>
      </c>
      <c r="C117" s="104" t="s">
        <v>573</v>
      </c>
      <c r="D117" s="104" t="s">
        <v>574</v>
      </c>
      <c r="E117" s="104" t="s">
        <v>575</v>
      </c>
      <c r="F117" s="107" t="s">
        <v>576</v>
      </c>
    </row>
    <row r="118" spans="1:6" x14ac:dyDescent="0.15">
      <c r="A118" s="365" t="s">
        <v>33</v>
      </c>
      <c r="B118" s="151" t="s">
        <v>577</v>
      </c>
      <c r="C118" s="104" t="s">
        <v>578</v>
      </c>
      <c r="D118" s="104" t="s">
        <v>579</v>
      </c>
      <c r="E118" s="104" t="s">
        <v>580</v>
      </c>
      <c r="F118" s="107" t="s">
        <v>581</v>
      </c>
    </row>
    <row r="119" spans="1:6" x14ac:dyDescent="0.15">
      <c r="A119" s="365" t="s">
        <v>582</v>
      </c>
      <c r="B119" s="151" t="s">
        <v>583</v>
      </c>
      <c r="C119" s="104" t="s">
        <v>584</v>
      </c>
      <c r="D119" s="104" t="s">
        <v>281</v>
      </c>
      <c r="E119" s="104" t="s">
        <v>282</v>
      </c>
      <c r="F119" s="107" t="s">
        <v>283</v>
      </c>
    </row>
    <row r="120" spans="1:6" x14ac:dyDescent="0.15">
      <c r="A120" s="365" t="s">
        <v>585</v>
      </c>
      <c r="B120" s="151" t="s">
        <v>586</v>
      </c>
      <c r="C120" s="104" t="s">
        <v>587</v>
      </c>
      <c r="D120" s="104" t="s">
        <v>107</v>
      </c>
      <c r="E120" s="104" t="s">
        <v>588</v>
      </c>
      <c r="F120" s="107" t="s">
        <v>589</v>
      </c>
    </row>
    <row r="121" spans="1:6" x14ac:dyDescent="0.15">
      <c r="A121" s="365" t="s">
        <v>590</v>
      </c>
      <c r="B121" s="151" t="s">
        <v>591</v>
      </c>
      <c r="C121" s="104" t="s">
        <v>592</v>
      </c>
      <c r="D121" s="104" t="s">
        <v>593</v>
      </c>
      <c r="E121" s="104" t="s">
        <v>594</v>
      </c>
      <c r="F121" s="107" t="s">
        <v>595</v>
      </c>
    </row>
    <row r="122" spans="1:6" x14ac:dyDescent="0.15">
      <c r="A122" s="365" t="s">
        <v>596</v>
      </c>
      <c r="B122" s="151" t="s">
        <v>597</v>
      </c>
      <c r="C122" s="104" t="s">
        <v>598</v>
      </c>
      <c r="D122" s="104" t="s">
        <v>599</v>
      </c>
      <c r="E122" s="104" t="s">
        <v>600</v>
      </c>
      <c r="F122" s="107" t="s">
        <v>597</v>
      </c>
    </row>
    <row r="123" spans="1:6" x14ac:dyDescent="0.15">
      <c r="A123" s="365" t="s">
        <v>601</v>
      </c>
      <c r="B123" s="151" t="s">
        <v>602</v>
      </c>
      <c r="C123" s="104" t="s">
        <v>295</v>
      </c>
      <c r="D123" s="104" t="s">
        <v>296</v>
      </c>
      <c r="E123" s="104" t="s">
        <v>297</v>
      </c>
      <c r="F123" s="107" t="s">
        <v>603</v>
      </c>
    </row>
    <row r="124" spans="1:6" x14ac:dyDescent="0.15">
      <c r="A124" s="365" t="s">
        <v>604</v>
      </c>
      <c r="B124" s="151" t="s">
        <v>605</v>
      </c>
      <c r="C124" s="104" t="s">
        <v>606</v>
      </c>
      <c r="D124" s="104" t="s">
        <v>301</v>
      </c>
      <c r="E124" s="104" t="s">
        <v>302</v>
      </c>
      <c r="F124" s="107" t="s">
        <v>303</v>
      </c>
    </row>
    <row r="125" spans="1:6" x14ac:dyDescent="0.15">
      <c r="A125" s="365" t="s">
        <v>607</v>
      </c>
      <c r="B125" s="151" t="s">
        <v>608</v>
      </c>
      <c r="C125" s="104" t="s">
        <v>609</v>
      </c>
      <c r="D125" s="104" t="s">
        <v>311</v>
      </c>
      <c r="E125" s="104" t="s">
        <v>565</v>
      </c>
      <c r="F125" s="107" t="s">
        <v>313</v>
      </c>
    </row>
    <row r="126" spans="1:6" x14ac:dyDescent="0.15">
      <c r="A126" s="365" t="s">
        <v>610</v>
      </c>
      <c r="B126" s="151" t="s">
        <v>611</v>
      </c>
      <c r="C126" s="104" t="s">
        <v>612</v>
      </c>
      <c r="D126" s="104" t="s">
        <v>613</v>
      </c>
      <c r="E126" s="104" t="s">
        <v>594</v>
      </c>
      <c r="F126" s="107" t="s">
        <v>614</v>
      </c>
    </row>
    <row r="127" spans="1:6" ht="14.25" thickBot="1" x14ac:dyDescent="0.2">
      <c r="A127" s="365" t="s">
        <v>615</v>
      </c>
      <c r="B127" s="152" t="s">
        <v>616</v>
      </c>
      <c r="C127" s="108" t="s">
        <v>617</v>
      </c>
      <c r="D127" s="108" t="s">
        <v>579</v>
      </c>
      <c r="E127" s="108" t="s">
        <v>618</v>
      </c>
      <c r="F127" s="109" t="s">
        <v>619</v>
      </c>
    </row>
    <row r="130" spans="1:7" ht="14.25" thickBot="1" x14ac:dyDescent="0.2">
      <c r="A130" s="365"/>
      <c r="B130" s="53"/>
      <c r="C130" s="53"/>
      <c r="D130" s="53"/>
      <c r="E130" s="53"/>
      <c r="F130" s="53"/>
      <c r="G130" s="53"/>
    </row>
    <row r="131" spans="1:7" ht="30" customHeight="1" thickBot="1" x14ac:dyDescent="0.2">
      <c r="A131" s="365"/>
      <c r="B131" s="155" t="s">
        <v>105</v>
      </c>
      <c r="C131" s="102" t="s">
        <v>136</v>
      </c>
      <c r="D131" s="289" t="s">
        <v>137</v>
      </c>
      <c r="E131" s="102" t="s">
        <v>138</v>
      </c>
      <c r="F131" s="102" t="s">
        <v>139</v>
      </c>
      <c r="G131" s="102" t="s">
        <v>140</v>
      </c>
    </row>
    <row r="132" spans="1:7" x14ac:dyDescent="0.15">
      <c r="A132" s="365"/>
      <c r="B132" s="147" t="s">
        <v>480</v>
      </c>
      <c r="C132" s="153" t="str">
        <f>C3</f>
        <v>German</v>
      </c>
      <c r="D132" s="118" t="str">
        <f>C4</f>
        <v>Svenska</v>
      </c>
      <c r="E132" s="118" t="str">
        <f>C5</f>
        <v>Français</v>
      </c>
      <c r="F132" s="118" t="str">
        <f>C6</f>
        <v>Español</v>
      </c>
      <c r="G132" s="53"/>
    </row>
    <row r="133" spans="1:7" x14ac:dyDescent="0.15">
      <c r="A133" s="365" t="s">
        <v>620</v>
      </c>
      <c r="B133" s="154" t="s">
        <v>482</v>
      </c>
      <c r="C133" s="105" t="s">
        <v>483</v>
      </c>
      <c r="D133" s="105" t="s">
        <v>484</v>
      </c>
      <c r="E133" s="105" t="s">
        <v>482</v>
      </c>
      <c r="F133" s="106" t="s">
        <v>485</v>
      </c>
      <c r="G133" s="53"/>
    </row>
    <row r="134" spans="1:7" x14ac:dyDescent="0.15">
      <c r="A134" s="365" t="s">
        <v>621</v>
      </c>
      <c r="B134" s="151" t="s">
        <v>622</v>
      </c>
      <c r="C134" s="104" t="s">
        <v>494</v>
      </c>
      <c r="D134" s="104" t="s">
        <v>623</v>
      </c>
      <c r="E134" s="104" t="s">
        <v>496</v>
      </c>
      <c r="F134" s="107" t="s">
        <v>624</v>
      </c>
      <c r="G134" s="53"/>
    </row>
    <row r="135" spans="1:7" x14ac:dyDescent="0.15">
      <c r="A135" s="365" t="s">
        <v>36</v>
      </c>
      <c r="B135" s="151" t="s">
        <v>625</v>
      </c>
      <c r="C135" s="104" t="s">
        <v>626</v>
      </c>
      <c r="D135" s="104" t="s">
        <v>627</v>
      </c>
      <c r="E135" s="104" t="s">
        <v>628</v>
      </c>
      <c r="F135" s="107" t="s">
        <v>629</v>
      </c>
      <c r="G135" s="53"/>
    </row>
    <row r="136" spans="1:7" x14ac:dyDescent="0.15">
      <c r="A136" s="365" t="s">
        <v>37</v>
      </c>
      <c r="B136" s="151" t="s">
        <v>630</v>
      </c>
      <c r="C136" s="104" t="s">
        <v>631</v>
      </c>
      <c r="D136" s="104" t="s">
        <v>632</v>
      </c>
      <c r="E136" s="104" t="s">
        <v>633</v>
      </c>
      <c r="F136" s="107" t="s">
        <v>634</v>
      </c>
      <c r="G136" s="53"/>
    </row>
    <row r="137" spans="1:7" x14ac:dyDescent="0.15">
      <c r="A137" s="365" t="s">
        <v>38</v>
      </c>
      <c r="B137" s="151" t="s">
        <v>635</v>
      </c>
      <c r="C137" s="104" t="s">
        <v>636</v>
      </c>
      <c r="D137" s="104" t="s">
        <v>637</v>
      </c>
      <c r="E137" s="104" t="s">
        <v>638</v>
      </c>
      <c r="F137" s="107" t="s">
        <v>639</v>
      </c>
      <c r="G137" s="53"/>
    </row>
    <row r="138" spans="1:7" ht="15" customHeight="1" x14ac:dyDescent="0.15">
      <c r="A138" s="365" t="s">
        <v>39</v>
      </c>
      <c r="B138" s="156" t="s">
        <v>640</v>
      </c>
      <c r="C138" s="104" t="s">
        <v>641</v>
      </c>
      <c r="D138" s="104" t="s">
        <v>642</v>
      </c>
      <c r="E138" s="104" t="s">
        <v>643</v>
      </c>
      <c r="F138" s="107" t="s">
        <v>644</v>
      </c>
      <c r="G138" s="53"/>
    </row>
    <row r="139" spans="1:7" s="53" customFormat="1" ht="15" customHeight="1" x14ac:dyDescent="0.15">
      <c r="A139" s="365" t="s">
        <v>40</v>
      </c>
      <c r="B139" s="156" t="s">
        <v>645</v>
      </c>
      <c r="C139" s="104" t="s">
        <v>646</v>
      </c>
      <c r="D139" s="104" t="s">
        <v>647</v>
      </c>
      <c r="E139" s="104" t="s">
        <v>648</v>
      </c>
      <c r="F139" s="107" t="s">
        <v>649</v>
      </c>
    </row>
    <row r="140" spans="1:7" x14ac:dyDescent="0.15">
      <c r="A140" s="365" t="s">
        <v>41</v>
      </c>
      <c r="B140" s="151" t="s">
        <v>650</v>
      </c>
      <c r="C140" s="104" t="s">
        <v>651</v>
      </c>
      <c r="D140" s="104" t="s">
        <v>652</v>
      </c>
      <c r="E140" s="104" t="s">
        <v>653</v>
      </c>
      <c r="F140" s="107" t="s">
        <v>654</v>
      </c>
      <c r="G140" s="53"/>
    </row>
    <row r="141" spans="1:7" s="53" customFormat="1" x14ac:dyDescent="0.15">
      <c r="A141" s="365" t="s">
        <v>655</v>
      </c>
      <c r="B141" s="151" t="s">
        <v>656</v>
      </c>
      <c r="C141" s="104" t="s">
        <v>656</v>
      </c>
      <c r="D141" s="104" t="s">
        <v>657</v>
      </c>
      <c r="E141" s="104" t="s">
        <v>656</v>
      </c>
      <c r="F141" s="107" t="s">
        <v>656</v>
      </c>
    </row>
    <row r="142" spans="1:7" x14ac:dyDescent="0.15">
      <c r="A142" s="365" t="s">
        <v>42</v>
      </c>
      <c r="B142" s="151" t="s">
        <v>658</v>
      </c>
      <c r="C142" s="104" t="s">
        <v>659</v>
      </c>
      <c r="D142" s="104" t="s">
        <v>660</v>
      </c>
      <c r="E142" s="104" t="s">
        <v>661</v>
      </c>
      <c r="F142" s="107" t="s">
        <v>662</v>
      </c>
      <c r="G142" s="53"/>
    </row>
    <row r="143" spans="1:7" x14ac:dyDescent="0.15">
      <c r="A143" s="365" t="s">
        <v>43</v>
      </c>
      <c r="B143" s="151" t="s">
        <v>663</v>
      </c>
      <c r="C143" s="104" t="s">
        <v>120</v>
      </c>
      <c r="D143" s="104" t="s">
        <v>664</v>
      </c>
      <c r="E143" s="104" t="s">
        <v>665</v>
      </c>
      <c r="F143" s="107" t="s">
        <v>666</v>
      </c>
      <c r="G143" s="53"/>
    </row>
    <row r="144" spans="1:7" s="53" customFormat="1" x14ac:dyDescent="0.15">
      <c r="A144" s="365" t="s">
        <v>667</v>
      </c>
      <c r="B144" s="151" t="s">
        <v>668</v>
      </c>
      <c r="C144" s="104" t="s">
        <v>669</v>
      </c>
      <c r="D144" s="104" t="s">
        <v>670</v>
      </c>
      <c r="E144" s="104" t="s">
        <v>671</v>
      </c>
      <c r="F144" s="107" t="s">
        <v>672</v>
      </c>
    </row>
    <row r="145" spans="1:6" x14ac:dyDescent="0.15">
      <c r="A145" s="365" t="s">
        <v>44</v>
      </c>
      <c r="B145" s="151" t="s">
        <v>57</v>
      </c>
      <c r="C145" s="104" t="s">
        <v>673</v>
      </c>
      <c r="D145" s="104" t="s">
        <v>674</v>
      </c>
      <c r="E145" s="104" t="s">
        <v>675</v>
      </c>
      <c r="F145" s="107" t="s">
        <v>676</v>
      </c>
    </row>
    <row r="146" spans="1:6" x14ac:dyDescent="0.15">
      <c r="A146" s="365" t="s">
        <v>45</v>
      </c>
      <c r="B146" s="151" t="s">
        <v>677</v>
      </c>
      <c r="C146" s="104" t="s">
        <v>678</v>
      </c>
      <c r="D146" s="104" t="s">
        <v>679</v>
      </c>
      <c r="E146" s="104" t="s">
        <v>680</v>
      </c>
      <c r="F146" s="107" t="s">
        <v>681</v>
      </c>
    </row>
    <row r="147" spans="1:6" x14ac:dyDescent="0.15">
      <c r="A147" s="365" t="s">
        <v>46</v>
      </c>
      <c r="B147" s="151" t="s">
        <v>682</v>
      </c>
      <c r="C147" s="104" t="s">
        <v>683</v>
      </c>
      <c r="D147" s="104" t="s">
        <v>684</v>
      </c>
      <c r="E147" s="104" t="s">
        <v>685</v>
      </c>
      <c r="F147" s="107" t="s">
        <v>686</v>
      </c>
    </row>
    <row r="148" spans="1:6" x14ac:dyDescent="0.15">
      <c r="A148" s="365" t="s">
        <v>47</v>
      </c>
      <c r="B148" s="151" t="s">
        <v>58</v>
      </c>
      <c r="C148" s="104" t="s">
        <v>687</v>
      </c>
      <c r="D148" s="104" t="s">
        <v>688</v>
      </c>
      <c r="E148" s="104" t="s">
        <v>689</v>
      </c>
      <c r="F148" s="107" t="s">
        <v>690</v>
      </c>
    </row>
    <row r="149" spans="1:6" x14ac:dyDescent="0.15">
      <c r="A149" s="365" t="s">
        <v>48</v>
      </c>
      <c r="B149" s="151" t="s">
        <v>691</v>
      </c>
      <c r="C149" s="104" t="s">
        <v>692</v>
      </c>
      <c r="D149" s="104" t="s">
        <v>693</v>
      </c>
      <c r="E149" s="104" t="s">
        <v>694</v>
      </c>
      <c r="F149" s="107" t="s">
        <v>695</v>
      </c>
    </row>
    <row r="150" spans="1:6" s="53" customFormat="1" x14ac:dyDescent="0.15">
      <c r="A150" s="365" t="s">
        <v>49</v>
      </c>
      <c r="B150" s="151" t="s">
        <v>696</v>
      </c>
      <c r="C150" s="104" t="s">
        <v>697</v>
      </c>
      <c r="D150" s="104" t="s">
        <v>698</v>
      </c>
      <c r="E150" s="104" t="s">
        <v>699</v>
      </c>
      <c r="F150" s="107" t="s">
        <v>700</v>
      </c>
    </row>
    <row r="151" spans="1:6" s="53" customFormat="1" x14ac:dyDescent="0.15">
      <c r="A151" s="365" t="s">
        <v>50</v>
      </c>
      <c r="B151" s="151" t="s">
        <v>60</v>
      </c>
      <c r="C151" s="104" t="s">
        <v>701</v>
      </c>
      <c r="D151" s="104" t="s">
        <v>702</v>
      </c>
      <c r="E151" s="104" t="s">
        <v>703</v>
      </c>
      <c r="F151" s="107" t="s">
        <v>704</v>
      </c>
    </row>
    <row r="152" spans="1:6" x14ac:dyDescent="0.15">
      <c r="A152" s="365" t="s">
        <v>51</v>
      </c>
      <c r="B152" s="151" t="s">
        <v>705</v>
      </c>
      <c r="C152" s="104" t="s">
        <v>706</v>
      </c>
      <c r="D152" s="104" t="s">
        <v>707</v>
      </c>
      <c r="E152" s="104" t="s">
        <v>708</v>
      </c>
      <c r="F152" s="107" t="s">
        <v>709</v>
      </c>
    </row>
    <row r="153" spans="1:6" s="53" customFormat="1" x14ac:dyDescent="0.15">
      <c r="A153" s="365" t="s">
        <v>52</v>
      </c>
      <c r="B153" s="151" t="s">
        <v>710</v>
      </c>
      <c r="C153" s="104" t="s">
        <v>340</v>
      </c>
      <c r="D153" s="104" t="s">
        <v>341</v>
      </c>
      <c r="E153" s="122" t="s">
        <v>711</v>
      </c>
      <c r="F153" s="123" t="s">
        <v>343</v>
      </c>
    </row>
    <row r="154" spans="1:6" s="53" customFormat="1" x14ac:dyDescent="0.15">
      <c r="A154" s="365" t="s">
        <v>712</v>
      </c>
      <c r="B154" s="151" t="s">
        <v>713</v>
      </c>
      <c r="C154" s="104" t="s">
        <v>714</v>
      </c>
      <c r="D154" s="104" t="s">
        <v>715</v>
      </c>
      <c r="E154" s="104" t="s">
        <v>716</v>
      </c>
      <c r="F154" s="107" t="s">
        <v>717</v>
      </c>
    </row>
    <row r="155" spans="1:6" s="53" customFormat="1" x14ac:dyDescent="0.15">
      <c r="A155" s="365" t="s">
        <v>53</v>
      </c>
      <c r="B155" s="151" t="s">
        <v>718</v>
      </c>
      <c r="C155" s="104" t="s">
        <v>719</v>
      </c>
      <c r="D155" s="104" t="s">
        <v>720</v>
      </c>
      <c r="E155" s="122" t="s">
        <v>721</v>
      </c>
      <c r="F155" s="123" t="s">
        <v>722</v>
      </c>
    </row>
    <row r="156" spans="1:6" s="53" customFormat="1" x14ac:dyDescent="0.15">
      <c r="A156" s="365" t="s">
        <v>54</v>
      </c>
      <c r="B156" s="151" t="s">
        <v>354</v>
      </c>
      <c r="C156" s="122" t="s">
        <v>355</v>
      </c>
      <c r="D156" s="122" t="s">
        <v>356</v>
      </c>
      <c r="E156" s="122" t="s">
        <v>357</v>
      </c>
      <c r="F156" s="123" t="s">
        <v>723</v>
      </c>
    </row>
    <row r="157" spans="1:6" x14ac:dyDescent="0.15">
      <c r="A157" s="365" t="s">
        <v>55</v>
      </c>
      <c r="B157" s="151" t="s">
        <v>724</v>
      </c>
      <c r="C157" s="104" t="s">
        <v>725</v>
      </c>
      <c r="D157" s="104" t="s">
        <v>726</v>
      </c>
      <c r="E157" s="104" t="s">
        <v>727</v>
      </c>
      <c r="F157" s="107" t="s">
        <v>728</v>
      </c>
    </row>
    <row r="158" spans="1:6" x14ac:dyDescent="0.15">
      <c r="A158" s="365" t="s">
        <v>56</v>
      </c>
      <c r="B158" s="151" t="s">
        <v>729</v>
      </c>
      <c r="C158" s="104" t="s">
        <v>730</v>
      </c>
      <c r="D158" s="104" t="s">
        <v>731</v>
      </c>
      <c r="E158" s="104" t="s">
        <v>732</v>
      </c>
      <c r="F158" s="107" t="s">
        <v>733</v>
      </c>
    </row>
    <row r="159" spans="1:6" x14ac:dyDescent="0.15">
      <c r="A159" s="365" t="s">
        <v>734</v>
      </c>
      <c r="B159" s="151" t="s">
        <v>729</v>
      </c>
      <c r="C159" s="104" t="s">
        <v>730</v>
      </c>
      <c r="D159" s="104" t="s">
        <v>731</v>
      </c>
      <c r="E159" s="104" t="s">
        <v>732</v>
      </c>
      <c r="F159" s="107" t="s">
        <v>733</v>
      </c>
    </row>
    <row r="160" spans="1:6" x14ac:dyDescent="0.15">
      <c r="A160" s="365" t="s">
        <v>735</v>
      </c>
      <c r="B160" s="157" t="s">
        <v>583</v>
      </c>
      <c r="C160" s="104" t="s">
        <v>584</v>
      </c>
      <c r="D160" s="104" t="s">
        <v>281</v>
      </c>
      <c r="E160" s="104" t="s">
        <v>282</v>
      </c>
      <c r="F160" s="107" t="s">
        <v>736</v>
      </c>
    </row>
    <row r="161" spans="1:7" x14ac:dyDescent="0.15">
      <c r="A161" s="365" t="s">
        <v>737</v>
      </c>
      <c r="B161" s="151" t="s">
        <v>586</v>
      </c>
      <c r="C161" s="104" t="s">
        <v>587</v>
      </c>
      <c r="D161" s="104" t="s">
        <v>107</v>
      </c>
      <c r="E161" s="104" t="s">
        <v>588</v>
      </c>
      <c r="F161" s="107" t="s">
        <v>738</v>
      </c>
      <c r="G161" s="53"/>
    </row>
    <row r="162" spans="1:7" x14ac:dyDescent="0.15">
      <c r="A162" s="365" t="s">
        <v>739</v>
      </c>
      <c r="B162" s="151" t="s">
        <v>740</v>
      </c>
      <c r="C162" s="104" t="s">
        <v>741</v>
      </c>
      <c r="D162" s="104" t="s">
        <v>742</v>
      </c>
      <c r="E162" s="104" t="s">
        <v>743</v>
      </c>
      <c r="F162" s="107" t="s">
        <v>333</v>
      </c>
      <c r="G162" s="53"/>
    </row>
    <row r="163" spans="1:7" x14ac:dyDescent="0.15">
      <c r="A163" s="365" t="s">
        <v>744</v>
      </c>
      <c r="B163" s="151" t="s">
        <v>745</v>
      </c>
      <c r="C163" s="104" t="s">
        <v>746</v>
      </c>
      <c r="D163" s="104" t="s">
        <v>747</v>
      </c>
      <c r="E163" s="104" t="s">
        <v>748</v>
      </c>
      <c r="F163" s="107" t="s">
        <v>749</v>
      </c>
      <c r="G163" s="53"/>
    </row>
    <row r="164" spans="1:7" x14ac:dyDescent="0.15">
      <c r="A164" s="365" t="s">
        <v>750</v>
      </c>
      <c r="B164" s="151" t="s">
        <v>751</v>
      </c>
      <c r="C164" s="104" t="s">
        <v>752</v>
      </c>
      <c r="D164" s="104" t="s">
        <v>753</v>
      </c>
      <c r="E164" s="104" t="s">
        <v>754</v>
      </c>
      <c r="F164" s="107" t="s">
        <v>704</v>
      </c>
      <c r="G164" s="53"/>
    </row>
    <row r="165" spans="1:7" x14ac:dyDescent="0.15">
      <c r="A165" s="365" t="s">
        <v>755</v>
      </c>
      <c r="B165" s="157" t="s">
        <v>756</v>
      </c>
      <c r="C165" s="181" t="s">
        <v>757</v>
      </c>
      <c r="D165" s="181" t="s">
        <v>758</v>
      </c>
      <c r="E165" s="104" t="s">
        <v>759</v>
      </c>
      <c r="F165" s="107" t="s">
        <v>760</v>
      </c>
      <c r="G165" s="53"/>
    </row>
    <row r="166" spans="1:7" x14ac:dyDescent="0.15">
      <c r="A166" s="365" t="s">
        <v>761</v>
      </c>
      <c r="B166" s="157" t="s">
        <v>762</v>
      </c>
      <c r="C166" s="104" t="s">
        <v>335</v>
      </c>
      <c r="D166" s="104" t="s">
        <v>674</v>
      </c>
      <c r="E166" s="104" t="s">
        <v>763</v>
      </c>
      <c r="F166" s="107" t="s">
        <v>764</v>
      </c>
      <c r="G166" s="53"/>
    </row>
    <row r="167" spans="1:7" s="53" customFormat="1" x14ac:dyDescent="0.15">
      <c r="A167" s="365" t="s">
        <v>765</v>
      </c>
      <c r="B167" s="151" t="s">
        <v>766</v>
      </c>
      <c r="C167" s="104" t="s">
        <v>767</v>
      </c>
      <c r="D167" s="104" t="s">
        <v>768</v>
      </c>
      <c r="E167" s="104" t="s">
        <v>769</v>
      </c>
      <c r="F167" s="107" t="s">
        <v>343</v>
      </c>
    </row>
    <row r="168" spans="1:7" x14ac:dyDescent="0.15">
      <c r="A168" s="365" t="s">
        <v>770</v>
      </c>
      <c r="B168" s="151" t="s">
        <v>611</v>
      </c>
      <c r="C168" s="104" t="s">
        <v>612</v>
      </c>
      <c r="D168" s="104" t="s">
        <v>613</v>
      </c>
      <c r="E168" s="104" t="s">
        <v>594</v>
      </c>
      <c r="F168" s="107" t="s">
        <v>771</v>
      </c>
      <c r="G168" s="53"/>
    </row>
    <row r="169" spans="1:7" ht="14.25" thickBot="1" x14ac:dyDescent="0.2">
      <c r="A169" s="365" t="s">
        <v>772</v>
      </c>
      <c r="B169" s="152" t="s">
        <v>354</v>
      </c>
      <c r="C169" s="104" t="s">
        <v>355</v>
      </c>
      <c r="D169" s="104" t="s">
        <v>356</v>
      </c>
      <c r="E169" s="104" t="s">
        <v>357</v>
      </c>
      <c r="F169" s="107" t="s">
        <v>723</v>
      </c>
      <c r="G169" s="53"/>
    </row>
    <row r="170" spans="1:7" s="53" customFormat="1" x14ac:dyDescent="0.15">
      <c r="A170" s="365"/>
      <c r="B170" s="186"/>
    </row>
    <row r="171" spans="1:7" s="53" customFormat="1" x14ac:dyDescent="0.15">
      <c r="A171" s="365"/>
    </row>
    <row r="172" spans="1:7" s="53" customFormat="1" ht="14.25" thickBot="1" x14ac:dyDescent="0.2">
      <c r="A172" s="365"/>
      <c r="B172" s="54"/>
    </row>
    <row r="173" spans="1:7" s="53" customFormat="1" ht="30" customHeight="1" thickBot="1" x14ac:dyDescent="0.2">
      <c r="A173" s="365"/>
      <c r="B173" s="155" t="s">
        <v>105</v>
      </c>
      <c r="C173" s="102" t="s">
        <v>136</v>
      </c>
      <c r="D173" s="144" t="s">
        <v>137</v>
      </c>
      <c r="E173" s="290" t="s">
        <v>138</v>
      </c>
      <c r="F173" s="102" t="s">
        <v>139</v>
      </c>
      <c r="G173" s="40" t="s">
        <v>140</v>
      </c>
    </row>
    <row r="174" spans="1:7" s="53" customFormat="1" x14ac:dyDescent="0.15">
      <c r="A174" s="365"/>
      <c r="B174" s="147" t="s">
        <v>480</v>
      </c>
      <c r="C174" s="153" t="str">
        <f>C3</f>
        <v>German</v>
      </c>
      <c r="D174" s="118" t="str">
        <f>C4</f>
        <v>Svenska</v>
      </c>
      <c r="E174" s="118" t="str">
        <f>C5</f>
        <v>Français</v>
      </c>
      <c r="F174" s="118" t="str">
        <f>C6</f>
        <v>Español</v>
      </c>
    </row>
    <row r="175" spans="1:7" s="53" customFormat="1" x14ac:dyDescent="0.15">
      <c r="A175" s="365" t="s">
        <v>773</v>
      </c>
      <c r="B175" s="154" t="s">
        <v>482</v>
      </c>
      <c r="C175" s="150" t="s">
        <v>482</v>
      </c>
      <c r="D175" s="105" t="s">
        <v>484</v>
      </c>
      <c r="E175" s="105" t="s">
        <v>482</v>
      </c>
      <c r="F175" s="106" t="s">
        <v>485</v>
      </c>
    </row>
    <row r="176" spans="1:7" s="53" customFormat="1" x14ac:dyDescent="0.15">
      <c r="A176" s="365" t="s">
        <v>774</v>
      </c>
      <c r="B176" s="151" t="s">
        <v>487</v>
      </c>
      <c r="C176" s="124" t="s">
        <v>487</v>
      </c>
      <c r="D176" s="104" t="s">
        <v>775</v>
      </c>
      <c r="E176" s="104" t="s">
        <v>490</v>
      </c>
      <c r="F176" s="107" t="s">
        <v>776</v>
      </c>
    </row>
    <row r="177" spans="1:6" s="53" customFormat="1" x14ac:dyDescent="0.15">
      <c r="A177" s="365" t="s">
        <v>777</v>
      </c>
      <c r="B177" s="151" t="s">
        <v>622</v>
      </c>
      <c r="C177" s="124" t="s">
        <v>622</v>
      </c>
      <c r="D177" s="104" t="s">
        <v>623</v>
      </c>
      <c r="E177" s="104" t="s">
        <v>496</v>
      </c>
      <c r="F177" s="107" t="s">
        <v>624</v>
      </c>
    </row>
    <row r="178" spans="1:6" s="53" customFormat="1" x14ac:dyDescent="0.15">
      <c r="A178" s="365" t="s">
        <v>778</v>
      </c>
      <c r="B178" s="151" t="s">
        <v>779</v>
      </c>
      <c r="C178" s="124" t="s">
        <v>779</v>
      </c>
      <c r="D178" s="104" t="s">
        <v>780</v>
      </c>
      <c r="E178" s="104" t="s">
        <v>781</v>
      </c>
      <c r="F178" s="107" t="s">
        <v>782</v>
      </c>
    </row>
    <row r="179" spans="1:6" s="53" customFormat="1" x14ac:dyDescent="0.15">
      <c r="A179" s="365" t="s">
        <v>64</v>
      </c>
      <c r="B179" s="151" t="s">
        <v>625</v>
      </c>
      <c r="C179" s="124" t="s">
        <v>625</v>
      </c>
      <c r="D179" s="104" t="s">
        <v>500</v>
      </c>
      <c r="E179" s="104" t="s">
        <v>783</v>
      </c>
      <c r="F179" s="107" t="s">
        <v>629</v>
      </c>
    </row>
    <row r="180" spans="1:6" s="53" customFormat="1" x14ac:dyDescent="0.15">
      <c r="A180" s="365" t="s">
        <v>65</v>
      </c>
      <c r="B180" s="151" t="s">
        <v>784</v>
      </c>
      <c r="C180" s="124" t="s">
        <v>784</v>
      </c>
      <c r="D180" s="104" t="s">
        <v>785</v>
      </c>
      <c r="E180" s="104" t="s">
        <v>786</v>
      </c>
      <c r="F180" s="107" t="s">
        <v>787</v>
      </c>
    </row>
    <row r="181" spans="1:6" s="53" customFormat="1" x14ac:dyDescent="0.15">
      <c r="A181" s="365" t="s">
        <v>66</v>
      </c>
      <c r="B181" s="151" t="s">
        <v>788</v>
      </c>
      <c r="C181" s="124" t="s">
        <v>788</v>
      </c>
      <c r="D181" s="183" t="s">
        <v>789</v>
      </c>
      <c r="E181" s="104" t="s">
        <v>790</v>
      </c>
      <c r="F181" s="107" t="s">
        <v>791</v>
      </c>
    </row>
    <row r="182" spans="1:6" s="53" customFormat="1" x14ac:dyDescent="0.15">
      <c r="A182" s="365" t="s">
        <v>67</v>
      </c>
      <c r="B182" s="151" t="s">
        <v>524</v>
      </c>
      <c r="C182" s="124" t="s">
        <v>524</v>
      </c>
      <c r="D182" s="104" t="s">
        <v>526</v>
      </c>
      <c r="E182" s="104" t="s">
        <v>490</v>
      </c>
      <c r="F182" s="107" t="s">
        <v>776</v>
      </c>
    </row>
    <row r="183" spans="1:6" s="53" customFormat="1" x14ac:dyDescent="0.15">
      <c r="A183" s="365" t="s">
        <v>68</v>
      </c>
      <c r="B183" s="151" t="s">
        <v>792</v>
      </c>
      <c r="C183" s="124" t="s">
        <v>792</v>
      </c>
      <c r="D183" s="104" t="s">
        <v>793</v>
      </c>
      <c r="E183" s="104" t="s">
        <v>794</v>
      </c>
      <c r="F183" s="107" t="s">
        <v>795</v>
      </c>
    </row>
    <row r="184" spans="1:6" s="53" customFormat="1" x14ac:dyDescent="0.15">
      <c r="A184" s="365" t="s">
        <v>69</v>
      </c>
      <c r="B184" s="151" t="s">
        <v>532</v>
      </c>
      <c r="C184" s="124" t="s">
        <v>532</v>
      </c>
      <c r="D184" s="104" t="s">
        <v>534</v>
      </c>
      <c r="E184" s="104" t="s">
        <v>535</v>
      </c>
      <c r="F184" s="107" t="s">
        <v>536</v>
      </c>
    </row>
    <row r="185" spans="1:6" s="53" customFormat="1" x14ac:dyDescent="0.15">
      <c r="A185" s="365" t="s">
        <v>70</v>
      </c>
      <c r="B185" s="151" t="s">
        <v>796</v>
      </c>
      <c r="C185" s="124" t="s">
        <v>796</v>
      </c>
      <c r="D185" s="104" t="s">
        <v>793</v>
      </c>
      <c r="E185" s="104" t="s">
        <v>797</v>
      </c>
      <c r="F185" s="107" t="s">
        <v>798</v>
      </c>
    </row>
    <row r="186" spans="1:6" s="53" customFormat="1" x14ac:dyDescent="0.15">
      <c r="A186" s="365" t="s">
        <v>71</v>
      </c>
      <c r="B186" s="151" t="s">
        <v>799</v>
      </c>
      <c r="C186" s="124" t="s">
        <v>799</v>
      </c>
      <c r="D186" s="104" t="s">
        <v>800</v>
      </c>
      <c r="E186" s="104" t="s">
        <v>801</v>
      </c>
      <c r="F186" s="107" t="s">
        <v>802</v>
      </c>
    </row>
    <row r="187" spans="1:6" s="53" customFormat="1" x14ac:dyDescent="0.15">
      <c r="A187" s="365" t="s">
        <v>72</v>
      </c>
      <c r="B187" s="151" t="s">
        <v>803</v>
      </c>
      <c r="C187" s="124" t="s">
        <v>803</v>
      </c>
      <c r="D187" s="104" t="s">
        <v>804</v>
      </c>
      <c r="E187" s="104" t="s">
        <v>805</v>
      </c>
      <c r="F187" s="107" t="s">
        <v>806</v>
      </c>
    </row>
    <row r="188" spans="1:6" s="53" customFormat="1" x14ac:dyDescent="0.15">
      <c r="A188" s="365" t="s">
        <v>73</v>
      </c>
      <c r="B188" s="151" t="s">
        <v>807</v>
      </c>
      <c r="C188" s="124" t="s">
        <v>807</v>
      </c>
      <c r="D188" s="104" t="s">
        <v>808</v>
      </c>
      <c r="E188" s="104" t="s">
        <v>809</v>
      </c>
      <c r="F188" s="107" t="s">
        <v>810</v>
      </c>
    </row>
    <row r="189" spans="1:6" s="53" customFormat="1" x14ac:dyDescent="0.15">
      <c r="A189" s="365" t="s">
        <v>74</v>
      </c>
      <c r="B189" s="151" t="s">
        <v>811</v>
      </c>
      <c r="C189" s="124" t="s">
        <v>811</v>
      </c>
      <c r="D189" s="104" t="s">
        <v>812</v>
      </c>
      <c r="E189" s="104" t="s">
        <v>813</v>
      </c>
      <c r="F189" s="107" t="s">
        <v>814</v>
      </c>
    </row>
    <row r="190" spans="1:6" s="53" customFormat="1" x14ac:dyDescent="0.15">
      <c r="A190" s="365" t="s">
        <v>75</v>
      </c>
      <c r="B190" s="151" t="s">
        <v>815</v>
      </c>
      <c r="C190" s="124" t="s">
        <v>815</v>
      </c>
      <c r="D190" s="104" t="s">
        <v>816</v>
      </c>
      <c r="E190" s="104" t="s">
        <v>817</v>
      </c>
      <c r="F190" s="107" t="s">
        <v>818</v>
      </c>
    </row>
    <row r="191" spans="1:6" s="53" customFormat="1" x14ac:dyDescent="0.15">
      <c r="A191" s="365" t="s">
        <v>76</v>
      </c>
      <c r="B191" s="151" t="s">
        <v>819</v>
      </c>
      <c r="C191" s="124" t="s">
        <v>819</v>
      </c>
      <c r="D191" s="104" t="s">
        <v>820</v>
      </c>
      <c r="E191" s="104" t="s">
        <v>821</v>
      </c>
      <c r="F191" s="107" t="s">
        <v>822</v>
      </c>
    </row>
    <row r="192" spans="1:6" s="53" customFormat="1" ht="27" x14ac:dyDescent="0.15">
      <c r="A192" s="365" t="s">
        <v>823</v>
      </c>
      <c r="B192" s="345" t="s">
        <v>824</v>
      </c>
      <c r="C192" s="346" t="s">
        <v>282</v>
      </c>
      <c r="D192" s="346" t="s">
        <v>825</v>
      </c>
      <c r="E192" s="347" t="s">
        <v>824</v>
      </c>
      <c r="F192" s="348" t="s">
        <v>826</v>
      </c>
    </row>
    <row r="193" spans="1:7" s="53" customFormat="1" x14ac:dyDescent="0.15">
      <c r="A193" s="365" t="s">
        <v>827</v>
      </c>
      <c r="B193" s="151" t="s">
        <v>586</v>
      </c>
      <c r="C193" s="124" t="s">
        <v>586</v>
      </c>
      <c r="D193" s="104" t="s">
        <v>107</v>
      </c>
      <c r="E193" s="104" t="s">
        <v>588</v>
      </c>
      <c r="F193" s="107" t="s">
        <v>472</v>
      </c>
    </row>
    <row r="194" spans="1:7" s="53" customFormat="1" x14ac:dyDescent="0.15">
      <c r="A194" s="365" t="s">
        <v>828</v>
      </c>
      <c r="B194" s="151" t="s">
        <v>829</v>
      </c>
      <c r="C194" s="124" t="s">
        <v>829</v>
      </c>
      <c r="D194" s="104" t="s">
        <v>830</v>
      </c>
      <c r="E194" s="104" t="s">
        <v>831</v>
      </c>
      <c r="F194" s="107" t="s">
        <v>832</v>
      </c>
    </row>
    <row r="195" spans="1:7" s="53" customFormat="1" x14ac:dyDescent="0.15">
      <c r="A195" s="365" t="s">
        <v>833</v>
      </c>
      <c r="B195" s="151" t="s">
        <v>834</v>
      </c>
      <c r="C195" s="124" t="s">
        <v>834</v>
      </c>
      <c r="D195" s="104" t="s">
        <v>835</v>
      </c>
      <c r="E195" s="104" t="s">
        <v>836</v>
      </c>
      <c r="F195" s="107" t="s">
        <v>810</v>
      </c>
    </row>
    <row r="196" spans="1:7" s="53" customFormat="1" x14ac:dyDescent="0.15">
      <c r="A196" s="365" t="s">
        <v>837</v>
      </c>
      <c r="B196" s="327" t="s">
        <v>838</v>
      </c>
      <c r="C196" s="328" t="s">
        <v>838</v>
      </c>
      <c r="D196" s="122" t="s">
        <v>839</v>
      </c>
      <c r="E196" s="104" t="s">
        <v>840</v>
      </c>
      <c r="F196" s="107" t="s">
        <v>841</v>
      </c>
    </row>
    <row r="197" spans="1:7" s="53" customFormat="1" ht="14.25" thickBot="1" x14ac:dyDescent="0.2">
      <c r="A197" s="365" t="s">
        <v>842</v>
      </c>
      <c r="B197" s="152" t="s">
        <v>843</v>
      </c>
      <c r="C197" s="258" t="s">
        <v>843</v>
      </c>
      <c r="D197" s="108" t="s">
        <v>844</v>
      </c>
      <c r="E197" s="108" t="s">
        <v>845</v>
      </c>
      <c r="F197" s="109" t="s">
        <v>846</v>
      </c>
    </row>
    <row r="198" spans="1:7" s="53" customFormat="1" x14ac:dyDescent="0.15">
      <c r="A198" s="365"/>
    </row>
    <row r="199" spans="1:7" s="53" customFormat="1" x14ac:dyDescent="0.15">
      <c r="A199" s="365"/>
      <c r="B199" s="54"/>
    </row>
    <row r="200" spans="1:7" x14ac:dyDescent="0.15">
      <c r="A200" s="365"/>
      <c r="B200" s="259"/>
      <c r="C200" s="53"/>
      <c r="D200" s="53"/>
      <c r="E200" s="53"/>
      <c r="F200" s="53"/>
      <c r="G200" s="53"/>
    </row>
    <row r="201" spans="1:7" s="53" customFormat="1" x14ac:dyDescent="0.15">
      <c r="A201" s="365"/>
    </row>
    <row r="202" spans="1:7" s="53" customFormat="1" ht="14.25" thickBot="1" x14ac:dyDescent="0.2">
      <c r="A202" s="365"/>
    </row>
    <row r="203" spans="1:7" s="53" customFormat="1" ht="30" customHeight="1" thickBot="1" x14ac:dyDescent="0.2">
      <c r="A203" s="365"/>
      <c r="B203" s="155" t="s">
        <v>105</v>
      </c>
      <c r="C203" s="102" t="s">
        <v>136</v>
      </c>
      <c r="D203" s="102" t="s">
        <v>137</v>
      </c>
      <c r="E203" s="102" t="s">
        <v>138</v>
      </c>
      <c r="F203" s="290" t="s">
        <v>139</v>
      </c>
      <c r="G203" s="102" t="s">
        <v>140</v>
      </c>
    </row>
    <row r="204" spans="1:7" s="53" customFormat="1" x14ac:dyDescent="0.15">
      <c r="B204" s="147" t="s">
        <v>480</v>
      </c>
      <c r="C204" s="153" t="str">
        <f>C3</f>
        <v>German</v>
      </c>
      <c r="D204" s="118" t="str">
        <f>C4</f>
        <v>Svenska</v>
      </c>
      <c r="E204" s="118" t="str">
        <f>C5</f>
        <v>Français</v>
      </c>
      <c r="F204" s="118" t="str">
        <f>C6</f>
        <v>Español</v>
      </c>
    </row>
    <row r="205" spans="1:7" s="53" customFormat="1" x14ac:dyDescent="0.15">
      <c r="A205" s="354" t="s">
        <v>847</v>
      </c>
      <c r="B205" s="350" t="s">
        <v>848</v>
      </c>
      <c r="C205" s="351" t="s">
        <v>849</v>
      </c>
      <c r="D205" s="351" t="s">
        <v>850</v>
      </c>
      <c r="E205" s="352" t="s">
        <v>851</v>
      </c>
      <c r="F205" s="353" t="s">
        <v>852</v>
      </c>
    </row>
    <row r="206" spans="1:7" s="53" customFormat="1" ht="54" x14ac:dyDescent="0.15">
      <c r="A206" s="172" t="s">
        <v>853</v>
      </c>
      <c r="B206" s="156" t="s">
        <v>854</v>
      </c>
      <c r="C206" s="171" t="s">
        <v>854</v>
      </c>
      <c r="D206" s="182" t="s">
        <v>855</v>
      </c>
      <c r="E206" s="182" t="s">
        <v>856</v>
      </c>
      <c r="F206" s="286" t="s">
        <v>857</v>
      </c>
    </row>
    <row r="207" spans="1:7" s="53" customFormat="1" x14ac:dyDescent="0.15">
      <c r="A207" s="172" t="s">
        <v>858</v>
      </c>
      <c r="B207" s="151" t="s">
        <v>859</v>
      </c>
      <c r="C207" s="124" t="s">
        <v>859</v>
      </c>
      <c r="D207" s="104" t="s">
        <v>860</v>
      </c>
      <c r="E207" s="104" t="s">
        <v>861</v>
      </c>
      <c r="F207" s="107" t="s">
        <v>862</v>
      </c>
    </row>
    <row r="208" spans="1:7" s="53" customFormat="1" x14ac:dyDescent="0.15">
      <c r="A208" s="172" t="s">
        <v>863</v>
      </c>
      <c r="B208" s="151" t="s">
        <v>864</v>
      </c>
      <c r="C208" s="124" t="s">
        <v>864</v>
      </c>
      <c r="D208" s="104" t="s">
        <v>865</v>
      </c>
      <c r="E208" s="104" t="s">
        <v>866</v>
      </c>
      <c r="F208" s="107" t="s">
        <v>867</v>
      </c>
    </row>
    <row r="209" spans="1:6" s="53" customFormat="1" x14ac:dyDescent="0.15">
      <c r="A209" s="172" t="s">
        <v>868</v>
      </c>
      <c r="B209" s="151" t="s">
        <v>869</v>
      </c>
      <c r="C209" s="124" t="s">
        <v>869</v>
      </c>
      <c r="D209" s="104" t="s">
        <v>870</v>
      </c>
      <c r="E209" s="104" t="s">
        <v>871</v>
      </c>
      <c r="F209" s="107" t="s">
        <v>872</v>
      </c>
    </row>
    <row r="210" spans="1:6" s="53" customFormat="1" x14ac:dyDescent="0.15">
      <c r="A210" s="172" t="s">
        <v>873</v>
      </c>
      <c r="B210" s="151" t="s">
        <v>874</v>
      </c>
      <c r="C210" s="124" t="s">
        <v>874</v>
      </c>
      <c r="D210" s="104" t="s">
        <v>875</v>
      </c>
      <c r="E210" s="104" t="s">
        <v>876</v>
      </c>
      <c r="F210" s="107" t="s">
        <v>877</v>
      </c>
    </row>
    <row r="211" spans="1:6" s="53" customFormat="1" x14ac:dyDescent="0.15">
      <c r="A211" s="172" t="s">
        <v>878</v>
      </c>
      <c r="B211" s="151" t="s">
        <v>879</v>
      </c>
      <c r="C211" s="124" t="s">
        <v>879</v>
      </c>
      <c r="D211" s="104" t="s">
        <v>880</v>
      </c>
      <c r="E211" s="104" t="s">
        <v>881</v>
      </c>
      <c r="F211" s="107" t="s">
        <v>882</v>
      </c>
    </row>
    <row r="212" spans="1:6" s="53" customFormat="1" x14ac:dyDescent="0.15">
      <c r="A212" s="172" t="s">
        <v>883</v>
      </c>
      <c r="B212" s="151" t="s">
        <v>884</v>
      </c>
      <c r="C212" s="124" t="s">
        <v>884</v>
      </c>
      <c r="D212" s="104" t="s">
        <v>885</v>
      </c>
      <c r="E212" s="104" t="s">
        <v>886</v>
      </c>
      <c r="F212" s="107" t="s">
        <v>887</v>
      </c>
    </row>
    <row r="213" spans="1:6" s="53" customFormat="1" x14ac:dyDescent="0.15">
      <c r="A213" s="172" t="s">
        <v>888</v>
      </c>
      <c r="B213" s="151" t="s">
        <v>884</v>
      </c>
      <c r="C213" s="124" t="s">
        <v>884</v>
      </c>
      <c r="D213" s="104" t="s">
        <v>885</v>
      </c>
      <c r="E213" s="104" t="s">
        <v>886</v>
      </c>
      <c r="F213" s="107" t="s">
        <v>887</v>
      </c>
    </row>
    <row r="214" spans="1:6" s="53" customFormat="1" x14ac:dyDescent="0.15">
      <c r="A214" s="172" t="s">
        <v>889</v>
      </c>
      <c r="B214" s="151" t="s">
        <v>890</v>
      </c>
      <c r="C214" s="124" t="s">
        <v>890</v>
      </c>
      <c r="D214" s="104" t="s">
        <v>891</v>
      </c>
      <c r="E214" s="104" t="s">
        <v>892</v>
      </c>
      <c r="F214" s="107" t="s">
        <v>893</v>
      </c>
    </row>
    <row r="215" spans="1:6" s="53" customFormat="1" x14ac:dyDescent="0.15">
      <c r="A215" s="172" t="s">
        <v>894</v>
      </c>
      <c r="B215" s="151" t="s">
        <v>895</v>
      </c>
      <c r="C215" s="124" t="s">
        <v>895</v>
      </c>
      <c r="D215" s="104" t="s">
        <v>896</v>
      </c>
      <c r="E215" s="104" t="s">
        <v>897</v>
      </c>
      <c r="F215" s="107" t="s">
        <v>898</v>
      </c>
    </row>
    <row r="216" spans="1:6" s="53" customFormat="1" x14ac:dyDescent="0.15">
      <c r="A216" s="172" t="s">
        <v>899</v>
      </c>
      <c r="B216" s="151" t="s">
        <v>900</v>
      </c>
      <c r="C216" s="124" t="s">
        <v>900</v>
      </c>
      <c r="D216" s="104" t="s">
        <v>901</v>
      </c>
      <c r="E216" s="104" t="s">
        <v>902</v>
      </c>
      <c r="F216" s="107" t="s">
        <v>903</v>
      </c>
    </row>
    <row r="217" spans="1:6" s="53" customFormat="1" x14ac:dyDescent="0.15">
      <c r="A217" s="172" t="s">
        <v>904</v>
      </c>
      <c r="B217" s="151" t="s">
        <v>905</v>
      </c>
      <c r="C217" s="124" t="s">
        <v>905</v>
      </c>
      <c r="D217" s="104" t="s">
        <v>906</v>
      </c>
      <c r="E217" s="104" t="s">
        <v>907</v>
      </c>
      <c r="F217" s="107" t="s">
        <v>908</v>
      </c>
    </row>
    <row r="218" spans="1:6" s="53" customFormat="1" x14ac:dyDescent="0.15">
      <c r="A218" s="172" t="s">
        <v>909</v>
      </c>
      <c r="B218" s="151" t="s">
        <v>910</v>
      </c>
      <c r="C218" s="124" t="s">
        <v>910</v>
      </c>
      <c r="D218" s="104" t="s">
        <v>400</v>
      </c>
      <c r="E218" s="104" t="s">
        <v>911</v>
      </c>
      <c r="F218" s="107" t="s">
        <v>912</v>
      </c>
    </row>
    <row r="219" spans="1:6" s="53" customFormat="1" x14ac:dyDescent="0.15">
      <c r="A219" s="172" t="s">
        <v>913</v>
      </c>
      <c r="B219" s="151" t="s">
        <v>914</v>
      </c>
      <c r="C219" s="124" t="s">
        <v>914</v>
      </c>
      <c r="D219" s="104" t="s">
        <v>830</v>
      </c>
      <c r="E219" s="104" t="s">
        <v>915</v>
      </c>
      <c r="F219" s="107" t="s">
        <v>832</v>
      </c>
    </row>
    <row r="220" spans="1:6" s="53" customFormat="1" ht="15" customHeight="1" x14ac:dyDescent="0.15">
      <c r="A220" s="172" t="s">
        <v>916</v>
      </c>
      <c r="B220" s="156" t="s">
        <v>917</v>
      </c>
      <c r="C220" s="124" t="s">
        <v>917</v>
      </c>
      <c r="D220" s="104" t="s">
        <v>918</v>
      </c>
      <c r="E220" s="104" t="s">
        <v>919</v>
      </c>
      <c r="F220" s="107" t="s">
        <v>920</v>
      </c>
    </row>
    <row r="221" spans="1:6" s="53" customFormat="1" x14ac:dyDescent="0.15">
      <c r="A221" s="172" t="s">
        <v>921</v>
      </c>
      <c r="B221" s="151" t="s">
        <v>922</v>
      </c>
      <c r="C221" s="124" t="s">
        <v>922</v>
      </c>
      <c r="D221" s="104" t="s">
        <v>923</v>
      </c>
      <c r="E221" s="104" t="s">
        <v>924</v>
      </c>
      <c r="F221" s="107" t="s">
        <v>925</v>
      </c>
    </row>
    <row r="222" spans="1:6" s="53" customFormat="1" x14ac:dyDescent="0.15">
      <c r="A222" s="172" t="s">
        <v>926</v>
      </c>
      <c r="B222" s="151" t="s">
        <v>927</v>
      </c>
      <c r="C222" s="124" t="s">
        <v>927</v>
      </c>
      <c r="D222" s="104" t="s">
        <v>928</v>
      </c>
      <c r="E222" s="104" t="s">
        <v>929</v>
      </c>
      <c r="F222" s="107" t="s">
        <v>930</v>
      </c>
    </row>
    <row r="223" spans="1:6" s="53" customFormat="1" x14ac:dyDescent="0.15">
      <c r="A223" s="172" t="s">
        <v>931</v>
      </c>
      <c r="B223" s="151" t="s">
        <v>932</v>
      </c>
      <c r="C223" s="124" t="s">
        <v>932</v>
      </c>
      <c r="D223" s="104" t="s">
        <v>933</v>
      </c>
      <c r="E223" s="104" t="s">
        <v>934</v>
      </c>
      <c r="F223" s="107" t="s">
        <v>935</v>
      </c>
    </row>
    <row r="224" spans="1:6" s="53" customFormat="1" x14ac:dyDescent="0.15">
      <c r="A224" s="172" t="s">
        <v>936</v>
      </c>
      <c r="B224" s="151" t="s">
        <v>937</v>
      </c>
      <c r="C224" s="124" t="s">
        <v>937</v>
      </c>
      <c r="D224" s="104" t="s">
        <v>938</v>
      </c>
      <c r="E224" s="104" t="s">
        <v>939</v>
      </c>
      <c r="F224" s="107" t="s">
        <v>940</v>
      </c>
    </row>
    <row r="225" spans="1:6" s="53" customFormat="1" x14ac:dyDescent="0.15">
      <c r="A225" s="172" t="s">
        <v>941</v>
      </c>
      <c r="B225" s="151" t="s">
        <v>942</v>
      </c>
      <c r="C225" s="124" t="s">
        <v>942</v>
      </c>
      <c r="D225" s="104" t="s">
        <v>943</v>
      </c>
      <c r="E225" s="104" t="s">
        <v>944</v>
      </c>
      <c r="F225" s="107" t="s">
        <v>945</v>
      </c>
    </row>
    <row r="226" spans="1:6" s="53" customFormat="1" x14ac:dyDescent="0.15">
      <c r="A226" s="172" t="s">
        <v>946</v>
      </c>
      <c r="B226" s="151" t="s">
        <v>947</v>
      </c>
      <c r="C226" s="124" t="s">
        <v>947</v>
      </c>
      <c r="D226" s="104" t="s">
        <v>948</v>
      </c>
      <c r="E226" s="104" t="s">
        <v>949</v>
      </c>
      <c r="F226" s="107" t="s">
        <v>950</v>
      </c>
    </row>
    <row r="227" spans="1:6" s="53" customFormat="1" x14ac:dyDescent="0.15">
      <c r="A227" s="172" t="s">
        <v>951</v>
      </c>
      <c r="B227" s="151" t="s">
        <v>952</v>
      </c>
      <c r="C227" s="124" t="s">
        <v>952</v>
      </c>
      <c r="D227" s="104" t="s">
        <v>953</v>
      </c>
      <c r="E227" s="104" t="s">
        <v>954</v>
      </c>
      <c r="F227" s="107" t="s">
        <v>955</v>
      </c>
    </row>
    <row r="228" spans="1:6" s="53" customFormat="1" x14ac:dyDescent="0.15">
      <c r="A228" s="172" t="s">
        <v>956</v>
      </c>
      <c r="B228" s="151" t="s">
        <v>927</v>
      </c>
      <c r="C228" s="124" t="s">
        <v>927</v>
      </c>
      <c r="D228" s="104" t="s">
        <v>957</v>
      </c>
      <c r="E228" s="104" t="s">
        <v>929</v>
      </c>
      <c r="F228" s="107" t="s">
        <v>958</v>
      </c>
    </row>
    <row r="229" spans="1:6" s="53" customFormat="1" x14ac:dyDescent="0.15">
      <c r="A229" s="172" t="s">
        <v>959</v>
      </c>
      <c r="B229" s="151" t="s">
        <v>960</v>
      </c>
      <c r="C229" s="124" t="s">
        <v>960</v>
      </c>
      <c r="D229" s="104" t="s">
        <v>961</v>
      </c>
      <c r="E229" s="104" t="s">
        <v>962</v>
      </c>
      <c r="F229" s="107" t="s">
        <v>963</v>
      </c>
    </row>
    <row r="230" spans="1:6" s="53" customFormat="1" x14ac:dyDescent="0.15">
      <c r="A230" s="172" t="s">
        <v>964</v>
      </c>
      <c r="B230" s="151" t="s">
        <v>965</v>
      </c>
      <c r="C230" s="124" t="s">
        <v>965</v>
      </c>
      <c r="D230" s="104" t="s">
        <v>966</v>
      </c>
      <c r="E230" s="104" t="s">
        <v>967</v>
      </c>
      <c r="F230" s="107" t="s">
        <v>968</v>
      </c>
    </row>
    <row r="231" spans="1:6" s="53" customFormat="1" x14ac:dyDescent="0.15">
      <c r="A231" s="172" t="s">
        <v>969</v>
      </c>
      <c r="B231" s="151" t="s">
        <v>970</v>
      </c>
      <c r="C231" s="124" t="s">
        <v>970</v>
      </c>
      <c r="D231" s="104" t="s">
        <v>971</v>
      </c>
      <c r="E231" s="104" t="s">
        <v>972</v>
      </c>
      <c r="F231" s="107" t="s">
        <v>973</v>
      </c>
    </row>
    <row r="232" spans="1:6" s="53" customFormat="1" x14ac:dyDescent="0.15">
      <c r="A232" s="172" t="s">
        <v>974</v>
      </c>
      <c r="B232" s="151" t="s">
        <v>975</v>
      </c>
      <c r="C232" s="124" t="s">
        <v>975</v>
      </c>
      <c r="D232" s="104" t="s">
        <v>976</v>
      </c>
      <c r="E232" s="104" t="s">
        <v>977</v>
      </c>
      <c r="F232" s="107" t="s">
        <v>978</v>
      </c>
    </row>
    <row r="233" spans="1:6" s="53" customFormat="1" x14ac:dyDescent="0.15">
      <c r="A233" s="172" t="s">
        <v>979</v>
      </c>
      <c r="B233" s="151" t="s">
        <v>980</v>
      </c>
      <c r="C233" s="124" t="s">
        <v>980</v>
      </c>
      <c r="D233" s="122" t="s">
        <v>981</v>
      </c>
      <c r="E233" s="122" t="s">
        <v>982</v>
      </c>
      <c r="F233" s="123" t="s">
        <v>983</v>
      </c>
    </row>
    <row r="234" spans="1:6" s="53" customFormat="1" x14ac:dyDescent="0.15">
      <c r="A234" s="172" t="s">
        <v>984</v>
      </c>
      <c r="B234" s="151" t="s">
        <v>985</v>
      </c>
      <c r="C234" s="124" t="s">
        <v>985</v>
      </c>
      <c r="D234" s="122" t="s">
        <v>986</v>
      </c>
      <c r="E234" s="122" t="s">
        <v>987</v>
      </c>
      <c r="F234" s="123" t="s">
        <v>988</v>
      </c>
    </row>
    <row r="235" spans="1:6" s="53" customFormat="1" x14ac:dyDescent="0.15">
      <c r="A235" s="172" t="s">
        <v>989</v>
      </c>
      <c r="B235" s="151" t="s">
        <v>990</v>
      </c>
      <c r="C235" s="124" t="s">
        <v>990</v>
      </c>
      <c r="D235" s="122" t="s">
        <v>991</v>
      </c>
      <c r="E235" s="122" t="s">
        <v>992</v>
      </c>
      <c r="F235" s="123" t="s">
        <v>993</v>
      </c>
    </row>
    <row r="236" spans="1:6" s="53" customFormat="1" x14ac:dyDescent="0.15">
      <c r="A236" s="172" t="s">
        <v>994</v>
      </c>
      <c r="B236" s="151" t="s">
        <v>995</v>
      </c>
      <c r="C236" s="124" t="s">
        <v>995</v>
      </c>
      <c r="D236" s="122" t="s">
        <v>996</v>
      </c>
      <c r="E236" s="122" t="s">
        <v>997</v>
      </c>
      <c r="F236" s="123" t="s">
        <v>998</v>
      </c>
    </row>
    <row r="237" spans="1:6" s="53" customFormat="1" x14ac:dyDescent="0.15">
      <c r="A237" s="172" t="s">
        <v>999</v>
      </c>
      <c r="B237" s="151" t="s">
        <v>1000</v>
      </c>
      <c r="C237" s="124" t="s">
        <v>1000</v>
      </c>
      <c r="D237" s="122" t="s">
        <v>1001</v>
      </c>
      <c r="E237" s="122" t="s">
        <v>1002</v>
      </c>
      <c r="F237" s="123" t="s">
        <v>1003</v>
      </c>
    </row>
    <row r="238" spans="1:6" s="53" customFormat="1" x14ac:dyDescent="0.15">
      <c r="A238" s="172" t="s">
        <v>1004</v>
      </c>
      <c r="B238" s="151" t="s">
        <v>1005</v>
      </c>
      <c r="C238" s="124" t="s">
        <v>1005</v>
      </c>
      <c r="D238" s="122" t="s">
        <v>1006</v>
      </c>
      <c r="E238" s="122" t="s">
        <v>1007</v>
      </c>
      <c r="F238" s="123" t="s">
        <v>1008</v>
      </c>
    </row>
    <row r="239" spans="1:6" s="53" customFormat="1" x14ac:dyDescent="0.15">
      <c r="A239" s="172" t="s">
        <v>1009</v>
      </c>
      <c r="B239" s="151" t="s">
        <v>1010</v>
      </c>
      <c r="C239" s="124" t="s">
        <v>1010</v>
      </c>
      <c r="D239" s="122" t="s">
        <v>1011</v>
      </c>
      <c r="E239" s="122" t="s">
        <v>1012</v>
      </c>
      <c r="F239" s="123" t="s">
        <v>1013</v>
      </c>
    </row>
    <row r="240" spans="1:6" s="53" customFormat="1" x14ac:dyDescent="0.15">
      <c r="A240" s="172" t="s">
        <v>1014</v>
      </c>
      <c r="B240" s="151" t="s">
        <v>1015</v>
      </c>
      <c r="C240" s="124" t="s">
        <v>1015</v>
      </c>
      <c r="D240" s="122" t="s">
        <v>1016</v>
      </c>
      <c r="E240" s="122" t="s">
        <v>1017</v>
      </c>
      <c r="F240" s="123" t="s">
        <v>1018</v>
      </c>
    </row>
    <row r="241" spans="1:6" s="53" customFormat="1" x14ac:dyDescent="0.15">
      <c r="A241" s="172" t="s">
        <v>1019</v>
      </c>
      <c r="B241" s="151" t="s">
        <v>1020</v>
      </c>
      <c r="C241" s="124" t="s">
        <v>1020</v>
      </c>
      <c r="D241" s="122" t="s">
        <v>1021</v>
      </c>
      <c r="E241" s="122" t="s">
        <v>1022</v>
      </c>
      <c r="F241" s="123" t="s">
        <v>1023</v>
      </c>
    </row>
    <row r="242" spans="1:6" s="53" customFormat="1" x14ac:dyDescent="0.15">
      <c r="A242" s="172" t="s">
        <v>1024</v>
      </c>
      <c r="B242" s="151" t="s">
        <v>1025</v>
      </c>
      <c r="C242" s="124" t="s">
        <v>1025</v>
      </c>
      <c r="D242" s="122" t="s">
        <v>1026</v>
      </c>
      <c r="E242" s="122" t="s">
        <v>1027</v>
      </c>
      <c r="F242" s="123" t="s">
        <v>1028</v>
      </c>
    </row>
    <row r="243" spans="1:6" s="53" customFormat="1" x14ac:dyDescent="0.15">
      <c r="A243" s="172" t="s">
        <v>1029</v>
      </c>
      <c r="B243" s="151" t="s">
        <v>119</v>
      </c>
      <c r="C243" s="124" t="s">
        <v>119</v>
      </c>
      <c r="D243" s="122" t="s">
        <v>121</v>
      </c>
      <c r="E243" s="122" t="s">
        <v>122</v>
      </c>
      <c r="F243" s="123" t="s">
        <v>1030</v>
      </c>
    </row>
    <row r="244" spans="1:6" s="53" customFormat="1" ht="14.25" thickBot="1" x14ac:dyDescent="0.2">
      <c r="A244" s="172" t="s">
        <v>1031</v>
      </c>
      <c r="B244" s="152" t="s">
        <v>1032</v>
      </c>
      <c r="C244" s="35" t="s">
        <v>1032</v>
      </c>
      <c r="D244" s="108" t="s">
        <v>1033</v>
      </c>
      <c r="E244" s="108" t="s">
        <v>1034</v>
      </c>
      <c r="F244" s="109" t="s">
        <v>1035</v>
      </c>
    </row>
    <row r="245" spans="1:6" s="53" customFormat="1" x14ac:dyDescent="0.15">
      <c r="A245" s="365"/>
    </row>
    <row r="246" spans="1:6" s="53" customFormat="1" x14ac:dyDescent="0.15">
      <c r="A246" s="365"/>
    </row>
    <row r="247" spans="1:6" s="53" customFormat="1" x14ac:dyDescent="0.15">
      <c r="A247" s="365"/>
    </row>
    <row r="248" spans="1:6" ht="30" customHeight="1" x14ac:dyDescent="0.15">
      <c r="A248" s="53"/>
      <c r="B248" s="53"/>
      <c r="C248" s="53"/>
      <c r="D248" s="53"/>
      <c r="E248" s="53"/>
      <c r="F248" s="53"/>
    </row>
    <row r="249" spans="1:6" x14ac:dyDescent="0.15">
      <c r="A249" s="53"/>
      <c r="B249" s="53"/>
      <c r="C249" s="53"/>
      <c r="D249" s="53"/>
      <c r="E249" s="53"/>
      <c r="F249" s="53"/>
    </row>
    <row r="250" spans="1:6" x14ac:dyDescent="0.15">
      <c r="A250" s="53"/>
      <c r="B250" s="53"/>
      <c r="C250" s="53"/>
      <c r="D250" s="53"/>
      <c r="E250" s="53"/>
      <c r="F250" s="53"/>
    </row>
    <row r="251" spans="1:6" x14ac:dyDescent="0.15">
      <c r="A251" s="53"/>
      <c r="B251" s="53"/>
      <c r="C251" s="53"/>
      <c r="D251" s="53"/>
      <c r="E251" s="53"/>
      <c r="F251" s="53"/>
    </row>
    <row r="252" spans="1:6" x14ac:dyDescent="0.15">
      <c r="A252" s="53"/>
      <c r="B252" s="53"/>
      <c r="C252" s="53"/>
      <c r="D252" s="53"/>
      <c r="E252" s="53"/>
      <c r="F252" s="53"/>
    </row>
    <row r="253" spans="1:6" x14ac:dyDescent="0.15">
      <c r="A253" s="53"/>
      <c r="B253" s="53"/>
      <c r="C253" s="53"/>
      <c r="D253" s="53"/>
      <c r="E253" s="53"/>
      <c r="F253" s="53"/>
    </row>
    <row r="254" spans="1:6" x14ac:dyDescent="0.15">
      <c r="A254" s="53"/>
      <c r="B254" s="53"/>
      <c r="C254" s="53"/>
      <c r="D254" s="53"/>
      <c r="E254" s="53"/>
      <c r="F254" s="53"/>
    </row>
    <row r="255" spans="1:6" x14ac:dyDescent="0.15">
      <c r="A255" s="53"/>
      <c r="B255" s="53"/>
      <c r="C255" s="53"/>
      <c r="D255" s="53"/>
      <c r="E255" s="53"/>
      <c r="F255" s="53"/>
    </row>
    <row r="256" spans="1:6" x14ac:dyDescent="0.15">
      <c r="A256" s="53"/>
      <c r="B256" s="53"/>
      <c r="C256" s="53"/>
      <c r="D256" s="53"/>
      <c r="E256" s="53"/>
      <c r="F256" s="53"/>
    </row>
    <row r="257" spans="1:6" x14ac:dyDescent="0.15">
      <c r="A257" s="53"/>
      <c r="B257" s="53"/>
      <c r="C257" s="53"/>
      <c r="D257" s="53"/>
      <c r="E257" s="53"/>
      <c r="F257" s="53"/>
    </row>
    <row r="258" spans="1:6" x14ac:dyDescent="0.15">
      <c r="A258" s="53"/>
      <c r="B258" s="53"/>
      <c r="C258" s="53"/>
      <c r="D258" s="53"/>
      <c r="E258" s="53"/>
      <c r="F258" s="53"/>
    </row>
    <row r="259" spans="1:6" x14ac:dyDescent="0.15">
      <c r="A259" s="53"/>
      <c r="B259" s="53"/>
      <c r="C259" s="53"/>
      <c r="D259" s="53"/>
      <c r="E259" s="53"/>
      <c r="F259" s="53"/>
    </row>
    <row r="260" spans="1:6" x14ac:dyDescent="0.15">
      <c r="A260" s="53"/>
      <c r="B260" s="53"/>
      <c r="C260" s="53"/>
      <c r="D260" s="53"/>
      <c r="E260" s="53"/>
      <c r="F260" s="53"/>
    </row>
    <row r="261" spans="1:6" x14ac:dyDescent="0.15">
      <c r="A261" s="53"/>
      <c r="B261" s="53"/>
      <c r="C261" s="53"/>
      <c r="D261" s="53"/>
      <c r="E261" s="53"/>
      <c r="F261" s="53"/>
    </row>
    <row r="262" spans="1:6" x14ac:dyDescent="0.15">
      <c r="A262" s="53"/>
      <c r="B262" s="53"/>
      <c r="C262" s="53"/>
      <c r="D262" s="53"/>
      <c r="E262" s="53"/>
      <c r="F262" s="53"/>
    </row>
    <row r="263" spans="1:6" x14ac:dyDescent="0.15">
      <c r="A263" s="53"/>
      <c r="B263" s="53"/>
      <c r="C263" s="53"/>
      <c r="D263" s="53"/>
      <c r="E263" s="53"/>
      <c r="F263" s="53"/>
    </row>
    <row r="264" spans="1:6" x14ac:dyDescent="0.15">
      <c r="A264" s="53"/>
      <c r="B264" s="53"/>
      <c r="C264" s="53"/>
      <c r="D264" s="53"/>
      <c r="E264" s="53"/>
      <c r="F264" s="53"/>
    </row>
    <row r="265" spans="1:6" x14ac:dyDescent="0.15">
      <c r="A265" s="53"/>
      <c r="B265" s="53"/>
      <c r="C265" s="53"/>
      <c r="D265" s="53"/>
      <c r="E265" s="53"/>
      <c r="F265" s="53"/>
    </row>
    <row r="266" spans="1:6" x14ac:dyDescent="0.15">
      <c r="A266" s="53"/>
      <c r="B266" s="53"/>
      <c r="C266" s="53"/>
      <c r="D266" s="53"/>
      <c r="E266" s="53"/>
      <c r="F266" s="53"/>
    </row>
    <row r="267" spans="1:6" ht="15" customHeight="1" x14ac:dyDescent="0.15">
      <c r="A267" s="53"/>
      <c r="B267" s="53"/>
      <c r="C267" s="53"/>
      <c r="D267" s="53"/>
      <c r="E267" s="53"/>
      <c r="F267" s="53"/>
    </row>
    <row r="268" spans="1:6" x14ac:dyDescent="0.15">
      <c r="A268" s="53"/>
      <c r="B268" s="53"/>
      <c r="C268" s="53"/>
      <c r="D268" s="53"/>
      <c r="E268" s="53"/>
      <c r="F268" s="53"/>
    </row>
    <row r="269" spans="1:6" x14ac:dyDescent="0.15">
      <c r="A269" s="53"/>
      <c r="B269" s="53"/>
      <c r="C269" s="53"/>
      <c r="D269" s="53"/>
      <c r="E269" s="53"/>
      <c r="F269" s="53"/>
    </row>
    <row r="270" spans="1:6" x14ac:dyDescent="0.15">
      <c r="A270" s="53"/>
      <c r="B270" s="53"/>
      <c r="C270" s="53"/>
      <c r="D270" s="53"/>
      <c r="E270" s="53"/>
      <c r="F270" s="53"/>
    </row>
    <row r="271" spans="1:6" x14ac:dyDescent="0.15">
      <c r="A271" s="365"/>
      <c r="B271" s="54"/>
      <c r="C271" s="54"/>
      <c r="D271" s="54"/>
      <c r="E271" s="54"/>
      <c r="F271" s="54"/>
    </row>
    <row r="272" spans="1:6" x14ac:dyDescent="0.15">
      <c r="A272" s="365"/>
      <c r="B272" s="365"/>
      <c r="C272" s="53"/>
      <c r="D272" s="53"/>
      <c r="E272" s="53"/>
      <c r="F272" s="53"/>
    </row>
    <row r="274" spans="1:1" x14ac:dyDescent="0.15">
      <c r="A274" s="53"/>
    </row>
    <row r="275" spans="1:1" x14ac:dyDescent="0.15">
      <c r="A275" s="53"/>
    </row>
    <row r="276" spans="1:1" x14ac:dyDescent="0.15">
      <c r="A276" s="53"/>
    </row>
    <row r="277" spans="1:1" x14ac:dyDescent="0.15">
      <c r="A277" s="53"/>
    </row>
    <row r="278" spans="1:1" x14ac:dyDescent="0.15">
      <c r="A278" s="53"/>
    </row>
    <row r="279" spans="1:1" x14ac:dyDescent="0.15">
      <c r="A279" s="53"/>
    </row>
    <row r="280" spans="1:1" x14ac:dyDescent="0.15">
      <c r="A280" s="53"/>
    </row>
    <row r="281" spans="1:1" x14ac:dyDescent="0.15">
      <c r="A281" s="53"/>
    </row>
    <row r="282" spans="1:1" x14ac:dyDescent="0.15">
      <c r="A282" s="53"/>
    </row>
    <row r="283" spans="1:1" x14ac:dyDescent="0.15">
      <c r="A283" s="53"/>
    </row>
    <row r="284" spans="1:1" x14ac:dyDescent="0.15">
      <c r="A284" s="53"/>
    </row>
    <row r="285" spans="1:1" x14ac:dyDescent="0.15">
      <c r="A285" s="53"/>
    </row>
    <row r="286" spans="1:1" x14ac:dyDescent="0.15">
      <c r="A286" s="53"/>
    </row>
    <row r="287" spans="1:1" x14ac:dyDescent="0.15">
      <c r="A287" s="53"/>
    </row>
    <row r="288" spans="1:1" x14ac:dyDescent="0.15">
      <c r="A288" s="53"/>
    </row>
    <row r="289" spans="1:1" x14ac:dyDescent="0.15">
      <c r="A289" s="53"/>
    </row>
    <row r="290" spans="1:1" x14ac:dyDescent="0.15">
      <c r="A290" s="53"/>
    </row>
    <row r="291" spans="1:1" x14ac:dyDescent="0.15">
      <c r="A291" s="53"/>
    </row>
  </sheetData>
  <mergeCells count="1">
    <mergeCell ref="D8:F8"/>
  </mergeCells>
  <phoneticPr fontId="32" type="noConversion"/>
  <pageMargins left="0.7" right="0.7" top="0.75" bottom="0.75" header="0.3" footer="0.3"/>
  <pageSetup orientation="portrait" r:id="rId1"/>
  <headerFooter>
    <oddFooter>&amp;LUnrestricted</oddFooter>
  </headerFooter>
  <ignoredErrors>
    <ignoredError sqref="A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2:N75"/>
  <sheetViews>
    <sheetView showGridLines="0" zoomScaleNormal="100" workbookViewId="0">
      <selection activeCell="G38" sqref="G38"/>
    </sheetView>
  </sheetViews>
  <sheetFormatPr defaultRowHeight="13.5" x14ac:dyDescent="0.15"/>
  <cols>
    <col min="3" max="3" width="30" customWidth="1"/>
    <col min="4" max="4" width="9.125" style="53" customWidth="1"/>
    <col min="5" max="5" width="30" style="53" customWidth="1"/>
    <col min="6" max="6" width="31" bestFit="1" customWidth="1"/>
    <col min="7" max="7" width="31" style="53" customWidth="1"/>
    <col min="8" max="8" width="27.625" bestFit="1" customWidth="1"/>
    <col min="12" max="13" width="11" customWidth="1"/>
  </cols>
  <sheetData>
    <row r="2" spans="2:14" ht="14.25" thickBot="1" x14ac:dyDescent="0.2">
      <c r="B2" s="53"/>
      <c r="C2" s="53"/>
      <c r="F2" s="53"/>
      <c r="H2" s="53"/>
      <c r="I2" s="53"/>
      <c r="J2" s="53"/>
      <c r="K2" s="53"/>
      <c r="L2" s="53"/>
      <c r="M2" s="53"/>
      <c r="N2" s="53"/>
    </row>
    <row r="3" spans="2:14" ht="30" customHeight="1" thickBot="1" x14ac:dyDescent="0.2">
      <c r="B3" s="799" t="s">
        <v>1036</v>
      </c>
      <c r="C3" s="800"/>
      <c r="D3" s="282"/>
      <c r="E3" s="284"/>
      <c r="F3" s="283"/>
      <c r="H3" s="53"/>
      <c r="I3" s="53"/>
      <c r="J3" s="53"/>
      <c r="K3" s="53"/>
      <c r="L3" s="53"/>
      <c r="M3" s="53"/>
      <c r="N3" s="53"/>
    </row>
    <row r="4" spans="2:14" ht="30" customHeight="1" x14ac:dyDescent="0.15">
      <c r="B4" s="801" t="s">
        <v>1037</v>
      </c>
      <c r="C4" s="802"/>
      <c r="D4" s="803" t="s">
        <v>1038</v>
      </c>
      <c r="E4" s="804"/>
      <c r="F4" s="175" t="s">
        <v>1039</v>
      </c>
      <c r="G4" s="175" t="s">
        <v>1040</v>
      </c>
      <c r="H4" s="174" t="s">
        <v>1041</v>
      </c>
      <c r="I4" s="53"/>
      <c r="J4" s="53"/>
      <c r="K4" s="53"/>
      <c r="L4" s="53"/>
      <c r="M4" s="53"/>
      <c r="N4" s="53"/>
    </row>
    <row r="5" spans="2:14" x14ac:dyDescent="0.15">
      <c r="B5" s="176" t="s">
        <v>1042</v>
      </c>
      <c r="C5" s="126" t="s">
        <v>1043</v>
      </c>
      <c r="D5" s="176" t="s">
        <v>1042</v>
      </c>
      <c r="E5" s="126" t="s">
        <v>1043</v>
      </c>
      <c r="F5" s="177" t="s">
        <v>1044</v>
      </c>
      <c r="G5" s="177" t="s">
        <v>1044</v>
      </c>
      <c r="H5" s="177" t="s">
        <v>423</v>
      </c>
      <c r="I5" s="53"/>
      <c r="J5" s="53"/>
      <c r="K5" s="53"/>
      <c r="L5" s="53"/>
      <c r="M5" s="53"/>
      <c r="N5" s="53"/>
    </row>
    <row r="6" spans="2:14" x14ac:dyDescent="0.15">
      <c r="B6" s="127" t="s">
        <v>1045</v>
      </c>
      <c r="C6" s="128" t="s">
        <v>1046</v>
      </c>
      <c r="D6" s="127" t="s">
        <v>1045</v>
      </c>
      <c r="E6" s="128" t="s">
        <v>1046</v>
      </c>
      <c r="F6" s="178" t="s">
        <v>1047</v>
      </c>
      <c r="G6" s="178" t="s">
        <v>1047</v>
      </c>
      <c r="H6" s="178" t="s">
        <v>1048</v>
      </c>
      <c r="I6" s="53"/>
      <c r="J6" s="53"/>
      <c r="K6" s="53"/>
      <c r="L6" s="53"/>
      <c r="M6" s="53"/>
      <c r="N6" s="53"/>
    </row>
    <row r="7" spans="2:14" s="53" customFormat="1" x14ac:dyDescent="0.15">
      <c r="B7" s="127" t="s">
        <v>1049</v>
      </c>
      <c r="C7" s="128" t="s">
        <v>1050</v>
      </c>
      <c r="D7" s="127" t="s">
        <v>1049</v>
      </c>
      <c r="E7" s="128" t="s">
        <v>1050</v>
      </c>
      <c r="F7" s="179" t="s">
        <v>1051</v>
      </c>
      <c r="G7" s="179" t="s">
        <v>1051</v>
      </c>
      <c r="H7" s="176"/>
    </row>
    <row r="8" spans="2:14" s="53" customFormat="1" x14ac:dyDescent="0.15">
      <c r="B8" s="127" t="s">
        <v>1052</v>
      </c>
      <c r="C8" s="128" t="s">
        <v>1053</v>
      </c>
      <c r="D8" s="127" t="s">
        <v>1052</v>
      </c>
      <c r="E8" s="128" t="s">
        <v>1053</v>
      </c>
      <c r="F8" s="179" t="s">
        <v>1054</v>
      </c>
      <c r="G8" s="179" t="s">
        <v>1054</v>
      </c>
    </row>
    <row r="9" spans="2:14" s="53" customFormat="1" x14ac:dyDescent="0.15">
      <c r="B9" s="127" t="s">
        <v>1055</v>
      </c>
      <c r="C9" s="128" t="s">
        <v>1056</v>
      </c>
      <c r="D9" s="127" t="s">
        <v>1055</v>
      </c>
      <c r="E9" s="128" t="s">
        <v>1056</v>
      </c>
      <c r="F9" s="179" t="s">
        <v>1057</v>
      </c>
      <c r="G9" s="179" t="s">
        <v>1057</v>
      </c>
    </row>
    <row r="10" spans="2:14" x14ac:dyDescent="0.15">
      <c r="B10" s="127" t="s">
        <v>1058</v>
      </c>
      <c r="C10" s="128" t="s">
        <v>1059</v>
      </c>
      <c r="D10" s="127" t="s">
        <v>1058</v>
      </c>
      <c r="E10" s="128" t="s">
        <v>1059</v>
      </c>
      <c r="F10" s="179" t="s">
        <v>130</v>
      </c>
      <c r="G10" s="179" t="s">
        <v>130</v>
      </c>
      <c r="H10" s="53"/>
      <c r="I10" s="53"/>
      <c r="J10" s="53"/>
      <c r="K10" s="53"/>
      <c r="L10" s="53"/>
      <c r="M10" s="53"/>
      <c r="N10" s="53"/>
    </row>
    <row r="11" spans="2:14" s="53" customFormat="1" x14ac:dyDescent="0.15">
      <c r="B11" s="127" t="s">
        <v>1060</v>
      </c>
      <c r="C11" s="128" t="s">
        <v>1061</v>
      </c>
      <c r="D11" s="127" t="s">
        <v>1060</v>
      </c>
      <c r="E11" s="128" t="s">
        <v>1061</v>
      </c>
      <c r="F11" s="178" t="s">
        <v>1062</v>
      </c>
      <c r="G11" s="178" t="s">
        <v>1062</v>
      </c>
    </row>
    <row r="12" spans="2:14" s="53" customFormat="1" x14ac:dyDescent="0.15">
      <c r="B12" s="127" t="s">
        <v>1063</v>
      </c>
      <c r="C12" s="128" t="s">
        <v>1064</v>
      </c>
      <c r="D12" s="127" t="s">
        <v>1063</v>
      </c>
      <c r="E12" s="128" t="s">
        <v>1064</v>
      </c>
      <c r="F12" s="178" t="s">
        <v>1065</v>
      </c>
      <c r="G12" s="178" t="s">
        <v>1065</v>
      </c>
    </row>
    <row r="13" spans="2:14" x14ac:dyDescent="0.15">
      <c r="B13" s="127" t="s">
        <v>1066</v>
      </c>
      <c r="C13" s="128" t="s">
        <v>1067</v>
      </c>
      <c r="D13" s="127" t="s">
        <v>1066</v>
      </c>
      <c r="E13" s="128" t="s">
        <v>1067</v>
      </c>
      <c r="F13" s="179" t="s">
        <v>1068</v>
      </c>
      <c r="G13" s="179" t="s">
        <v>1068</v>
      </c>
      <c r="H13" s="53"/>
      <c r="I13" s="53"/>
      <c r="J13" s="53"/>
      <c r="K13" s="53"/>
      <c r="L13" s="53"/>
      <c r="M13" s="53"/>
      <c r="N13" s="53"/>
    </row>
    <row r="14" spans="2:14" x14ac:dyDescent="0.15">
      <c r="B14" s="127" t="s">
        <v>1069</v>
      </c>
      <c r="C14" s="128" t="s">
        <v>1070</v>
      </c>
      <c r="D14" s="127" t="s">
        <v>1069</v>
      </c>
      <c r="E14" s="128" t="s">
        <v>1070</v>
      </c>
      <c r="F14" s="179" t="s">
        <v>1071</v>
      </c>
      <c r="G14" s="179" t="s">
        <v>1071</v>
      </c>
      <c r="H14" s="53"/>
      <c r="I14" s="53"/>
      <c r="J14" s="53"/>
      <c r="K14" s="53"/>
      <c r="L14" s="53"/>
      <c r="M14" s="53"/>
      <c r="N14" s="53"/>
    </row>
    <row r="15" spans="2:14" x14ac:dyDescent="0.15">
      <c r="B15" s="127" t="s">
        <v>1072</v>
      </c>
      <c r="C15" s="128" t="s">
        <v>1073</v>
      </c>
      <c r="D15" s="127" t="s">
        <v>1072</v>
      </c>
      <c r="E15" s="128" t="s">
        <v>1073</v>
      </c>
      <c r="F15" s="179" t="s">
        <v>1074</v>
      </c>
      <c r="G15" s="179" t="s">
        <v>1074</v>
      </c>
      <c r="H15" s="53"/>
      <c r="I15" s="53"/>
      <c r="J15" s="53"/>
      <c r="K15" s="53"/>
      <c r="L15" s="53"/>
      <c r="M15" s="53"/>
      <c r="N15" s="53"/>
    </row>
    <row r="16" spans="2:14" x14ac:dyDescent="0.15">
      <c r="B16" s="127" t="s">
        <v>1075</v>
      </c>
      <c r="C16" s="128" t="s">
        <v>1076</v>
      </c>
      <c r="D16" s="127" t="s">
        <v>1075</v>
      </c>
      <c r="E16" s="128" t="s">
        <v>1076</v>
      </c>
      <c r="F16" s="179" t="s">
        <v>1077</v>
      </c>
      <c r="G16" s="179" t="s">
        <v>1077</v>
      </c>
      <c r="H16" s="53"/>
      <c r="I16" s="53"/>
      <c r="J16" s="53"/>
      <c r="K16" s="53"/>
      <c r="L16" s="53"/>
      <c r="M16" s="53"/>
      <c r="N16" s="53"/>
    </row>
    <row r="17" spans="2:7" x14ac:dyDescent="0.15">
      <c r="B17" s="127" t="s">
        <v>1078</v>
      </c>
      <c r="C17" s="128" t="s">
        <v>1079</v>
      </c>
      <c r="D17" s="127" t="s">
        <v>1078</v>
      </c>
      <c r="E17" s="128" t="s">
        <v>1079</v>
      </c>
      <c r="F17" s="179" t="s">
        <v>1080</v>
      </c>
      <c r="G17" s="179" t="s">
        <v>1080</v>
      </c>
    </row>
    <row r="18" spans="2:7" x14ac:dyDescent="0.15">
      <c r="B18" s="127" t="s">
        <v>1081</v>
      </c>
      <c r="C18" s="128" t="s">
        <v>1082</v>
      </c>
      <c r="D18" s="127" t="s">
        <v>1081</v>
      </c>
      <c r="E18" s="128" t="s">
        <v>1082</v>
      </c>
      <c r="F18" s="179" t="s">
        <v>1068</v>
      </c>
      <c r="G18" s="179" t="s">
        <v>1068</v>
      </c>
    </row>
    <row r="19" spans="2:7" x14ac:dyDescent="0.15">
      <c r="B19" s="127" t="s">
        <v>1083</v>
      </c>
      <c r="C19" s="128" t="s">
        <v>1084</v>
      </c>
      <c r="D19" s="127" t="s">
        <v>1083</v>
      </c>
      <c r="E19" s="128" t="s">
        <v>1084</v>
      </c>
      <c r="F19" s="179" t="s">
        <v>1085</v>
      </c>
      <c r="G19" s="179" t="s">
        <v>1085</v>
      </c>
    </row>
    <row r="20" spans="2:7" x14ac:dyDescent="0.15">
      <c r="B20" s="127" t="s">
        <v>1086</v>
      </c>
      <c r="C20" s="128" t="s">
        <v>1087</v>
      </c>
      <c r="D20" s="127" t="s">
        <v>1086</v>
      </c>
      <c r="E20" s="128" t="s">
        <v>1087</v>
      </c>
      <c r="F20" s="179" t="s">
        <v>1088</v>
      </c>
      <c r="G20" s="179" t="s">
        <v>1088</v>
      </c>
    </row>
    <row r="21" spans="2:7" x14ac:dyDescent="0.15">
      <c r="B21" s="127" t="s">
        <v>1089</v>
      </c>
      <c r="C21" s="128" t="s">
        <v>1090</v>
      </c>
      <c r="D21" s="127" t="s">
        <v>1089</v>
      </c>
      <c r="E21" s="128" t="s">
        <v>1090</v>
      </c>
      <c r="F21" s="179" t="s">
        <v>1091</v>
      </c>
      <c r="G21" s="179" t="s">
        <v>1091</v>
      </c>
    </row>
    <row r="22" spans="2:7" x14ac:dyDescent="0.15">
      <c r="B22" s="127" t="s">
        <v>1092</v>
      </c>
      <c r="C22" s="128" t="s">
        <v>1093</v>
      </c>
      <c r="D22" s="127" t="s">
        <v>1092</v>
      </c>
      <c r="E22" s="128" t="s">
        <v>1093</v>
      </c>
      <c r="F22" s="179" t="s">
        <v>1094</v>
      </c>
      <c r="G22" s="179" t="s">
        <v>1094</v>
      </c>
    </row>
    <row r="23" spans="2:7" x14ac:dyDescent="0.15">
      <c r="B23" s="127" t="s">
        <v>1095</v>
      </c>
      <c r="C23" s="128" t="s">
        <v>1096</v>
      </c>
      <c r="D23" s="127" t="s">
        <v>1095</v>
      </c>
      <c r="E23" s="128" t="s">
        <v>1096</v>
      </c>
      <c r="F23" s="179" t="s">
        <v>1097</v>
      </c>
      <c r="G23" s="179" t="s">
        <v>1097</v>
      </c>
    </row>
    <row r="24" spans="2:7" x14ac:dyDescent="0.15">
      <c r="B24" s="127" t="s">
        <v>1098</v>
      </c>
      <c r="C24" s="128" t="s">
        <v>1099</v>
      </c>
      <c r="D24" s="127" t="s">
        <v>1098</v>
      </c>
      <c r="E24" s="128" t="s">
        <v>1099</v>
      </c>
      <c r="F24" s="179" t="s">
        <v>1100</v>
      </c>
      <c r="G24" s="179" t="s">
        <v>1100</v>
      </c>
    </row>
    <row r="25" spans="2:7" x14ac:dyDescent="0.15">
      <c r="B25" s="127" t="s">
        <v>1101</v>
      </c>
      <c r="C25" s="128" t="s">
        <v>1102</v>
      </c>
      <c r="D25" s="127" t="s">
        <v>1101</v>
      </c>
      <c r="E25" s="128" t="s">
        <v>1102</v>
      </c>
      <c r="F25" s="179" t="s">
        <v>1103</v>
      </c>
      <c r="G25" s="179" t="s">
        <v>1103</v>
      </c>
    </row>
    <row r="26" spans="2:7" x14ac:dyDescent="0.15">
      <c r="B26" s="127" t="s">
        <v>1104</v>
      </c>
      <c r="C26" s="128" t="s">
        <v>1105</v>
      </c>
      <c r="D26" s="127" t="s">
        <v>1104</v>
      </c>
      <c r="E26" s="128" t="s">
        <v>1105</v>
      </c>
      <c r="F26" s="179" t="s">
        <v>1106</v>
      </c>
      <c r="G26" s="179" t="s">
        <v>1106</v>
      </c>
    </row>
    <row r="27" spans="2:7" x14ac:dyDescent="0.15">
      <c r="B27" s="127" t="s">
        <v>1107</v>
      </c>
      <c r="C27" s="128" t="s">
        <v>1108</v>
      </c>
      <c r="D27" s="127" t="s">
        <v>1107</v>
      </c>
      <c r="E27" s="128" t="s">
        <v>1108</v>
      </c>
      <c r="F27" s="179" t="s">
        <v>1109</v>
      </c>
      <c r="G27" s="179" t="s">
        <v>1109</v>
      </c>
    </row>
    <row r="28" spans="2:7" x14ac:dyDescent="0.15">
      <c r="B28" s="127" t="s">
        <v>1110</v>
      </c>
      <c r="C28" s="128" t="s">
        <v>1111</v>
      </c>
      <c r="D28" s="127" t="s">
        <v>1110</v>
      </c>
      <c r="E28" s="128" t="s">
        <v>1111</v>
      </c>
      <c r="F28" s="179" t="s">
        <v>1112</v>
      </c>
      <c r="G28" s="179" t="s">
        <v>1112</v>
      </c>
    </row>
    <row r="29" spans="2:7" x14ac:dyDescent="0.15">
      <c r="B29" s="127" t="s">
        <v>1113</v>
      </c>
      <c r="C29" s="128" t="s">
        <v>1114</v>
      </c>
      <c r="D29" s="127" t="s">
        <v>1113</v>
      </c>
      <c r="E29" s="128" t="s">
        <v>1114</v>
      </c>
      <c r="F29" s="179" t="s">
        <v>1115</v>
      </c>
      <c r="G29" s="179" t="s">
        <v>1115</v>
      </c>
    </row>
    <row r="30" spans="2:7" x14ac:dyDescent="0.15">
      <c r="B30" s="127" t="s">
        <v>1116</v>
      </c>
      <c r="C30" s="128" t="s">
        <v>1117</v>
      </c>
      <c r="D30" s="127" t="s">
        <v>1116</v>
      </c>
      <c r="E30" s="128" t="s">
        <v>1117</v>
      </c>
      <c r="F30" s="180" t="s">
        <v>1118</v>
      </c>
      <c r="G30" s="180" t="s">
        <v>1118</v>
      </c>
    </row>
    <row r="31" spans="2:7" x14ac:dyDescent="0.15">
      <c r="B31" s="127" t="s">
        <v>1119</v>
      </c>
      <c r="C31" s="128" t="s">
        <v>1120</v>
      </c>
      <c r="D31" s="127" t="s">
        <v>1119</v>
      </c>
      <c r="E31" s="128" t="s">
        <v>1120</v>
      </c>
      <c r="F31" s="53"/>
    </row>
    <row r="32" spans="2:7" x14ac:dyDescent="0.15">
      <c r="B32" s="127" t="s">
        <v>1121</v>
      </c>
      <c r="C32" s="128" t="s">
        <v>1122</v>
      </c>
      <c r="D32" s="127" t="s">
        <v>1121</v>
      </c>
      <c r="E32" s="128" t="s">
        <v>1122</v>
      </c>
      <c r="F32" s="53"/>
    </row>
    <row r="33" spans="2:5" x14ac:dyDescent="0.15">
      <c r="B33" s="127" t="s">
        <v>1123</v>
      </c>
      <c r="C33" s="128" t="s">
        <v>1124</v>
      </c>
      <c r="D33" s="127" t="s">
        <v>1123</v>
      </c>
      <c r="E33" s="128" t="s">
        <v>1124</v>
      </c>
    </row>
    <row r="34" spans="2:5" x14ac:dyDescent="0.15">
      <c r="B34" s="127" t="s">
        <v>1125</v>
      </c>
      <c r="C34" s="128" t="s">
        <v>1126</v>
      </c>
      <c r="D34" s="127" t="s">
        <v>1125</v>
      </c>
      <c r="E34" s="128" t="s">
        <v>1126</v>
      </c>
    </row>
    <row r="35" spans="2:5" x14ac:dyDescent="0.15">
      <c r="B35" s="127" t="s">
        <v>1127</v>
      </c>
      <c r="C35" s="128" t="s">
        <v>1128</v>
      </c>
      <c r="D35" s="127" t="s">
        <v>1127</v>
      </c>
      <c r="E35" s="128" t="s">
        <v>1128</v>
      </c>
    </row>
    <row r="36" spans="2:5" x14ac:dyDescent="0.15">
      <c r="B36" s="127" t="s">
        <v>1129</v>
      </c>
      <c r="C36" s="128" t="s">
        <v>1130</v>
      </c>
      <c r="D36" s="127" t="s">
        <v>1129</v>
      </c>
      <c r="E36" s="128" t="s">
        <v>1130</v>
      </c>
    </row>
    <row r="37" spans="2:5" x14ac:dyDescent="0.15">
      <c r="B37" s="127" t="s">
        <v>1131</v>
      </c>
      <c r="C37" s="128" t="s">
        <v>1132</v>
      </c>
      <c r="D37" s="127" t="s">
        <v>1131</v>
      </c>
      <c r="E37" s="128" t="s">
        <v>1132</v>
      </c>
    </row>
    <row r="38" spans="2:5" x14ac:dyDescent="0.15">
      <c r="B38" s="127" t="s">
        <v>1133</v>
      </c>
      <c r="C38" s="128" t="s">
        <v>1134</v>
      </c>
      <c r="D38" s="127" t="s">
        <v>1133</v>
      </c>
      <c r="E38" s="128" t="s">
        <v>1134</v>
      </c>
    </row>
    <row r="39" spans="2:5" x14ac:dyDescent="0.15">
      <c r="B39" s="127" t="s">
        <v>1135</v>
      </c>
      <c r="C39" s="128" t="s">
        <v>1136</v>
      </c>
      <c r="D39" s="127" t="s">
        <v>1135</v>
      </c>
      <c r="E39" s="128" t="s">
        <v>1136</v>
      </c>
    </row>
    <row r="40" spans="2:5" x14ac:dyDescent="0.15">
      <c r="B40" s="127" t="s">
        <v>1137</v>
      </c>
      <c r="C40" s="128" t="s">
        <v>1138</v>
      </c>
      <c r="D40" s="127" t="s">
        <v>1137</v>
      </c>
      <c r="E40" s="128" t="s">
        <v>1138</v>
      </c>
    </row>
    <row r="41" spans="2:5" x14ac:dyDescent="0.15">
      <c r="B41" s="127" t="s">
        <v>1139</v>
      </c>
      <c r="C41" s="128" t="s">
        <v>1140</v>
      </c>
      <c r="D41" s="127" t="s">
        <v>1139</v>
      </c>
      <c r="E41" s="128" t="s">
        <v>1140</v>
      </c>
    </row>
    <row r="42" spans="2:5" x14ac:dyDescent="0.15">
      <c r="B42" s="127" t="s">
        <v>1141</v>
      </c>
      <c r="C42" s="128" t="s">
        <v>1142</v>
      </c>
      <c r="D42" s="127" t="s">
        <v>1141</v>
      </c>
      <c r="E42" s="128" t="s">
        <v>1142</v>
      </c>
    </row>
    <row r="43" spans="2:5" x14ac:dyDescent="0.15">
      <c r="B43" s="127" t="s">
        <v>1143</v>
      </c>
      <c r="C43" s="128" t="s">
        <v>1144</v>
      </c>
      <c r="D43" s="127" t="s">
        <v>1143</v>
      </c>
      <c r="E43" s="128" t="s">
        <v>1144</v>
      </c>
    </row>
    <row r="44" spans="2:5" x14ac:dyDescent="0.15">
      <c r="B44" s="127" t="s">
        <v>1145</v>
      </c>
      <c r="C44" s="128" t="s">
        <v>1146</v>
      </c>
      <c r="D44" s="127" t="s">
        <v>1145</v>
      </c>
      <c r="E44" s="128" t="s">
        <v>1146</v>
      </c>
    </row>
    <row r="45" spans="2:5" x14ac:dyDescent="0.15">
      <c r="B45" s="127" t="s">
        <v>1147</v>
      </c>
      <c r="C45" s="128" t="s">
        <v>1148</v>
      </c>
      <c r="D45" s="127" t="s">
        <v>1147</v>
      </c>
      <c r="E45" s="128" t="s">
        <v>1148</v>
      </c>
    </row>
    <row r="46" spans="2:5" x14ac:dyDescent="0.15">
      <c r="B46" s="127" t="s">
        <v>1149</v>
      </c>
      <c r="C46" s="128" t="s">
        <v>1150</v>
      </c>
      <c r="D46" s="127" t="s">
        <v>1149</v>
      </c>
      <c r="E46" s="128" t="s">
        <v>1150</v>
      </c>
    </row>
    <row r="47" spans="2:5" x14ac:dyDescent="0.15">
      <c r="B47" s="127" t="s">
        <v>1151</v>
      </c>
      <c r="C47" s="128" t="s">
        <v>1152</v>
      </c>
      <c r="D47" s="127" t="s">
        <v>1151</v>
      </c>
      <c r="E47" s="128" t="s">
        <v>1152</v>
      </c>
    </row>
    <row r="48" spans="2:5" x14ac:dyDescent="0.15">
      <c r="B48" s="127" t="s">
        <v>1153</v>
      </c>
      <c r="C48" s="128" t="s">
        <v>1154</v>
      </c>
      <c r="D48" s="127" t="s">
        <v>1153</v>
      </c>
      <c r="E48" s="128" t="s">
        <v>1154</v>
      </c>
    </row>
    <row r="49" spans="2:8" x14ac:dyDescent="0.15">
      <c r="B49" s="127" t="s">
        <v>1155</v>
      </c>
      <c r="C49" s="128" t="s">
        <v>1156</v>
      </c>
      <c r="D49" s="127" t="s">
        <v>1155</v>
      </c>
      <c r="E49" s="128" t="s">
        <v>1156</v>
      </c>
      <c r="F49" s="53"/>
      <c r="H49" s="53"/>
    </row>
    <row r="50" spans="2:8" x14ac:dyDescent="0.15">
      <c r="B50" s="127" t="s">
        <v>1157</v>
      </c>
      <c r="C50" s="128" t="s">
        <v>1158</v>
      </c>
      <c r="D50" s="127" t="s">
        <v>1157</v>
      </c>
      <c r="E50" s="128" t="s">
        <v>1158</v>
      </c>
      <c r="F50" s="53"/>
      <c r="H50" s="53"/>
    </row>
    <row r="51" spans="2:8" x14ac:dyDescent="0.15">
      <c r="B51" s="127" t="s">
        <v>1159</v>
      </c>
      <c r="C51" s="128" t="s">
        <v>1160</v>
      </c>
      <c r="D51" s="127" t="s">
        <v>1159</v>
      </c>
      <c r="E51" s="128" t="s">
        <v>1160</v>
      </c>
      <c r="F51" s="53"/>
      <c r="H51" s="53"/>
    </row>
    <row r="52" spans="2:8" x14ac:dyDescent="0.15">
      <c r="B52" s="127" t="s">
        <v>1161</v>
      </c>
      <c r="C52" s="128" t="s">
        <v>1162</v>
      </c>
      <c r="D52" s="127" t="s">
        <v>1161</v>
      </c>
      <c r="E52" s="128" t="s">
        <v>1162</v>
      </c>
      <c r="F52" s="53"/>
      <c r="H52" s="53"/>
    </row>
    <row r="53" spans="2:8" x14ac:dyDescent="0.15">
      <c r="B53" s="130" t="s">
        <v>1163</v>
      </c>
      <c r="C53" s="131" t="s">
        <v>1164</v>
      </c>
      <c r="D53" s="130" t="s">
        <v>1163</v>
      </c>
      <c r="E53" s="131" t="s">
        <v>1164</v>
      </c>
      <c r="F53" s="53"/>
      <c r="H53" s="260"/>
    </row>
    <row r="55" spans="2:8" s="53" customFormat="1" x14ac:dyDescent="0.15"/>
    <row r="56" spans="2:8" x14ac:dyDescent="0.15">
      <c r="B56" s="53"/>
      <c r="C56" s="53"/>
      <c r="F56" s="53"/>
      <c r="H56" s="53"/>
    </row>
    <row r="57" spans="2:8" x14ac:dyDescent="0.15">
      <c r="B57" s="53"/>
      <c r="C57" s="53"/>
      <c r="F57" s="53"/>
      <c r="H57" s="53"/>
    </row>
    <row r="58" spans="2:8" x14ac:dyDescent="0.15">
      <c r="B58" s="53"/>
      <c r="C58" s="53"/>
      <c r="F58" s="53"/>
      <c r="H58" s="53"/>
    </row>
    <row r="59" spans="2:8" x14ac:dyDescent="0.15">
      <c r="B59" s="53"/>
      <c r="C59" s="53"/>
      <c r="F59" s="53"/>
      <c r="H59" s="53"/>
    </row>
    <row r="60" spans="2:8" x14ac:dyDescent="0.15">
      <c r="B60" s="53"/>
      <c r="C60" s="53"/>
      <c r="F60" s="53"/>
      <c r="H60" s="53"/>
    </row>
    <row r="61" spans="2:8" x14ac:dyDescent="0.15">
      <c r="B61" s="53"/>
      <c r="C61" s="53"/>
      <c r="F61" s="53"/>
      <c r="H61" s="53"/>
    </row>
    <row r="62" spans="2:8" x14ac:dyDescent="0.15">
      <c r="B62" s="53"/>
      <c r="C62" s="53"/>
      <c r="F62" s="53"/>
      <c r="H62" s="53"/>
    </row>
    <row r="63" spans="2:8" x14ac:dyDescent="0.15">
      <c r="B63" s="53"/>
      <c r="C63" s="53"/>
      <c r="F63" s="53"/>
      <c r="H63" s="53"/>
    </row>
    <row r="64" spans="2:8" x14ac:dyDescent="0.15">
      <c r="B64" s="53"/>
      <c r="C64" s="53"/>
      <c r="F64" s="53"/>
      <c r="H64" s="53"/>
    </row>
    <row r="65" spans="2:11" s="53" customFormat="1" x14ac:dyDescent="0.15"/>
    <row r="66" spans="2:11" x14ac:dyDescent="0.15">
      <c r="B66" s="53"/>
      <c r="C66" s="53"/>
      <c r="F66" s="53"/>
      <c r="H66" s="53"/>
      <c r="I66" s="53"/>
      <c r="J66" s="53"/>
      <c r="K66" s="53"/>
    </row>
    <row r="67" spans="2:11" x14ac:dyDescent="0.15">
      <c r="B67" s="53"/>
      <c r="C67" s="53"/>
      <c r="F67" s="53"/>
      <c r="H67" s="53"/>
      <c r="I67" s="53"/>
      <c r="J67" s="53"/>
      <c r="K67" s="53"/>
    </row>
    <row r="68" spans="2:11" x14ac:dyDescent="0.15">
      <c r="B68" s="53"/>
      <c r="C68" s="53"/>
      <c r="F68" s="53"/>
      <c r="H68" s="53"/>
      <c r="I68" s="53"/>
      <c r="J68" s="53"/>
      <c r="K68" s="53"/>
    </row>
    <row r="69" spans="2:11" x14ac:dyDescent="0.15">
      <c r="B69" s="53"/>
      <c r="C69" s="53"/>
      <c r="F69" s="53"/>
      <c r="H69" s="53"/>
      <c r="I69" s="53"/>
      <c r="J69" s="53"/>
      <c r="K69" s="53"/>
    </row>
    <row r="70" spans="2:11" s="53" customFormat="1" ht="15" customHeight="1" x14ac:dyDescent="0.15"/>
    <row r="71" spans="2:11" x14ac:dyDescent="0.15">
      <c r="B71" s="53"/>
      <c r="C71" s="53"/>
      <c r="F71" s="53"/>
      <c r="H71" s="53"/>
      <c r="I71" s="53"/>
      <c r="J71" s="53"/>
      <c r="K71" s="53"/>
    </row>
    <row r="72" spans="2:11" x14ac:dyDescent="0.15">
      <c r="B72" s="53"/>
      <c r="C72" s="53"/>
      <c r="F72" s="53"/>
      <c r="H72" s="53"/>
      <c r="I72" s="53"/>
      <c r="J72" s="53"/>
      <c r="K72" s="53"/>
    </row>
    <row r="73" spans="2:11" x14ac:dyDescent="0.15">
      <c r="B73" s="53"/>
      <c r="C73" s="53"/>
      <c r="F73" s="53"/>
      <c r="H73" s="53"/>
      <c r="I73" s="53"/>
      <c r="J73" s="53"/>
      <c r="K73" s="53"/>
    </row>
    <row r="74" spans="2:11" x14ac:dyDescent="0.15">
      <c r="B74" s="53"/>
      <c r="C74" s="53"/>
      <c r="F74" s="53"/>
      <c r="H74" s="53"/>
      <c r="I74" s="53"/>
      <c r="J74" s="53"/>
      <c r="K74" s="53"/>
    </row>
    <row r="75" spans="2:11" x14ac:dyDescent="0.15">
      <c r="B75" s="53"/>
      <c r="C75" s="53"/>
      <c r="F75" s="53"/>
      <c r="H75" s="53"/>
      <c r="I75" s="53"/>
      <c r="J75" s="53"/>
      <c r="K75" s="53"/>
    </row>
  </sheetData>
  <sheetProtection sheet="1" objects="1" scenarios="1"/>
  <mergeCells count="3">
    <mergeCell ref="B3:C3"/>
    <mergeCell ref="B4:C4"/>
    <mergeCell ref="D4:E4"/>
  </mergeCells>
  <phoneticPr fontId="32" type="noConversion"/>
  <pageMargins left="0.7" right="0.7" top="0.75" bottom="0.75" header="0.3" footer="0.3"/>
  <pageSetup paperSize="9" orientation="portrait" r:id="rId1"/>
  <headerFooter>
    <oddFooter>&amp;LUnrestricted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Template</p:Name>
  <p:Description/>
  <p:Statement/>
  <p:PolicyItems>
    <p:PolicyItem featureId="Microsoft.Office.RecordsManagement.PolicyFeatures.Expiration" staticId="0x010100009C8CC7884245409626FF08442284640800373DF47D49A0A446836426A6390E8996|-906186165" UniqueId="dcc60a0d-e483-438e-bc30-d316b6039451">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VGMSNextReviewDate</property>
                  <propertyId>39fe3fec-3dfc-43e2-8dca-d929e7f0183a</propertyId>
                  <period>years</period>
                </formula>
                <action type="workflow" id="d102393a-6060-468d-9075-a4063a33cf1e"/>
              </data>
            </stages>
          </Schedule>
        </Schedules>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Template" ma:contentTypeID="0x010100009C8CC7884245409626FF08442284640800373DF47D49A0A446836426A6390E8996" ma:contentTypeVersion="68" ma:contentTypeDescription="" ma:contentTypeScope="" ma:versionID="20460ff8dd37cdee2a1c9389df987e7b">
  <xsd:schema xmlns:xsd="http://www.w3.org/2001/XMLSchema" xmlns:xs="http://www.w3.org/2001/XMLSchema" xmlns:p="http://schemas.microsoft.com/office/2006/metadata/properties" xmlns:ns1="http://schemas.microsoft.com/sharepoint/v3" xmlns:ns2="f000d52c-3940-4883-8e21-bd750b63373c" targetNamespace="http://schemas.microsoft.com/office/2006/metadata/properties" ma:root="true" ma:fieldsID="4e22228cb567ca5c0691737184ba9033" ns1:_="" ns2:_="">
    <xsd:import namespace="http://schemas.microsoft.com/sharepoint/v3"/>
    <xsd:import namespace="f000d52c-3940-4883-8e21-bd750b63373c"/>
    <xsd:element name="properties">
      <xsd:complexType>
        <xsd:sequence>
          <xsd:element name="documentManagement">
            <xsd:complexType>
              <xsd:all>
                <xsd:element ref="ns2:VGMSEnglishTitle" minOccurs="0"/>
                <xsd:element ref="ns2:VGMSClassification" minOccurs="0"/>
                <xsd:element ref="ns2:VGMSOriginalID" minOccurs="0"/>
                <xsd:element ref="ns2:VGMSIssuer" minOccurs="0"/>
                <xsd:element ref="ns2:VGMSOwner" minOccurs="0"/>
                <xsd:element ref="ns2:VGMSPublisher"/>
                <xsd:element ref="ns2:VGMSContributors" minOccurs="0"/>
                <xsd:element ref="ns2:VGMSDocumentApprovedDate" minOccurs="0"/>
                <xsd:element ref="ns2:VGMSScope" minOccurs="0"/>
                <xsd:element ref="ns2:VGMSReviewedDate" minOccurs="0"/>
                <xsd:element ref="ns2:VGMSReviewedBy" minOccurs="0"/>
                <xsd:element ref="ns2:VGMSDocumentApprovedBy" minOccurs="0"/>
                <xsd:element ref="ns2:VGMSIsOriginal" minOccurs="0"/>
                <xsd:element ref="ns2:VGMSOriginalVersion" minOccurs="0"/>
                <xsd:element ref="ns2:VGMSValidVersion" minOccurs="0"/>
                <xsd:element ref="ns2:VGMSValidationBy" minOccurs="0"/>
                <xsd:element ref="ns2:VGMSValidationDate" minOccurs="0"/>
                <xsd:element ref="ns2:VGMSReviewFrequency" minOccurs="0"/>
                <xsd:element ref="ns2:fbd98ac8124c476dbaea07c3b8eb50a0" minOccurs="0"/>
                <xsd:element ref="ns2:TaxCatchAllLabel" minOccurs="0"/>
                <xsd:element ref="ns2:TaxCatchAll" minOccurs="0"/>
                <xsd:element ref="ns2:iaf5fc7a3a3b4c238ed94c9d8b7e0b5a" minOccurs="0"/>
                <xsd:element ref="ns2:_dlc_DocIdUrl" minOccurs="0"/>
                <xsd:element ref="ns2:lc850aa403fa465daac5e8e7412bf010" minOccurs="0"/>
                <xsd:element ref="ns2:_dlc_DocId" minOccurs="0"/>
                <xsd:element ref="ns2:d74c1f47d0ac42898120894a665011cf" minOccurs="0"/>
                <xsd:element ref="ns2:o92457583c854296901a465ecc76c90a" minOccurs="0"/>
                <xsd:element ref="ns2:VGMSValidationStartedDate" minOccurs="0"/>
                <xsd:element ref="ns2:VGMSNextReviewDate" minOccurs="0"/>
                <xsd:element ref="ns2:VGMSNextReviewReminderDate" minOccurs="0"/>
                <xsd:element ref="ns1:_dlc_Exempt" minOccurs="0"/>
                <xsd:element ref="ns1:_dlc_ExpireDateSaved" minOccurs="0"/>
                <xsd:element ref="ns1:_dlc_ExpireDate" minOccurs="0"/>
                <xsd:element ref="ns2:_dlc_DocIdPersistId" minOccurs="0"/>
                <xsd:element ref="ns2:VGMSPublishedFileForma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3" nillable="true" ma:displayName="Exempt from Policy" ma:hidden="true" ma:internalName="_dlc_Exempt" ma:readOnly="true">
      <xsd:simpleType>
        <xsd:restriction base="dms:Unknown"/>
      </xsd:simpleType>
    </xsd:element>
    <xsd:element name="_dlc_ExpireDateSaved" ma:index="44" nillable="true" ma:displayName="Original Expiration Date" ma:hidden="true" ma:internalName="_dlc_ExpireDateSaved" ma:readOnly="true">
      <xsd:simpleType>
        <xsd:restriction base="dms:DateTime"/>
      </xsd:simpleType>
    </xsd:element>
    <xsd:element name="_dlc_ExpireDate" ma:index="45"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00d52c-3940-4883-8e21-bd750b63373c" elementFormDefault="qualified">
    <xsd:import namespace="http://schemas.microsoft.com/office/2006/documentManagement/types"/>
    <xsd:import namespace="http://schemas.microsoft.com/office/infopath/2007/PartnerControls"/>
    <xsd:element name="VGMSEnglishTitle" ma:index="2" nillable="true" ma:displayName="English Title" ma:indexed="true" ma:internalName="VGMSEnglishTitle" ma:readOnly="false">
      <xsd:simpleType>
        <xsd:restriction base="dms:Text">
          <xsd:maxLength value="255"/>
        </xsd:restriction>
      </xsd:simpleType>
    </xsd:element>
    <xsd:element name="VGMSClassification" ma:index="3" nillable="true" ma:displayName="Classification" ma:default="Internal" ma:format="Dropdown" ma:internalName="VGMSClassification" ma:readOnly="false">
      <xsd:simpleType>
        <xsd:restriction base="dms:Choice">
          <xsd:enumeration value="Open"/>
          <xsd:enumeration value="Internal"/>
        </xsd:restriction>
      </xsd:simpleType>
    </xsd:element>
    <xsd:element name="VGMSOriginalID" ma:index="4" nillable="true" ma:displayName="Original ID" ma:hidden="true" ma:indexed="true" ma:internalName="VGMSOriginalID" ma:readOnly="false">
      <xsd:simpleType>
        <xsd:restriction base="dms:Text">
          <xsd:maxLength value="255"/>
        </xsd:restriction>
      </xsd:simpleType>
    </xsd:element>
    <xsd:element name="VGMSIssuer" ma:index="6" nillable="true" ma:displayName="Document Issuer" ma:indexed="true" ma:list="UserInfo" ma:SharePointGroup="45" ma:internalName="VGMSIssu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Owner" ma:index="7" nillable="true" ma:displayName="Document Owner" ma:indexed="true" ma:list="UserInfo" ma:SharePointGroup="46" ma:internalName="VGMSOwn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Publisher" ma:index="8" ma:displayName="Document Publisher" ma:indexed="true" ma:list="UserInfo" ma:SharePointGroup="0" ma:internalName="VGMSPublish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VGMSContributors" ma:index="9" nillable="true" ma:displayName="Document Contributors" ma:list="UserInfo" ma:SharePointGroup="0" ma:internalName="VGMSContributo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DocumentApprovedDate" ma:index="14" nillable="true" ma:displayName="Document Approved Date" ma:format="DateOnly" ma:indexed="true" ma:internalName="VGMSDocumentApprovedDate" ma:readOnly="false">
      <xsd:simpleType>
        <xsd:restriction base="dms:DateTime"/>
      </xsd:simpleType>
    </xsd:element>
    <xsd:element name="VGMSScope" ma:index="15" nillable="true" ma:displayName="Scope" ma:default="Design" ma:hidden="true" ma:indexed="true" ma:internalName="VGMSScope" ma:readOnly="false">
      <xsd:simpleType>
        <xsd:restriction base="dms:Text">
          <xsd:maxLength value="255"/>
        </xsd:restriction>
      </xsd:simpleType>
    </xsd:element>
    <xsd:element name="VGMSReviewedDate" ma:index="16" nillable="true" ma:displayName="Reviewed Date" ma:format="DateOnly" ma:internalName="VGMSReviewedDate" ma:readOnly="false">
      <xsd:simpleType>
        <xsd:restriction base="dms:DateTime"/>
      </xsd:simpleType>
    </xsd:element>
    <xsd:element name="VGMSReviewedBy" ma:index="17" nillable="true" ma:displayName="Reviewed By" ma:list="UserInfo" ma:SharePointGroup="0" ma:internalName="VGMSReview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DocumentApprovedBy" ma:index="18" nillable="true" ma:displayName="Document Approved By" ma:list="UserInfo" ma:SharePointGroup="0" ma:internalName="VGMSDocumentApprov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IsOriginal" ma:index="19" nillable="true" ma:displayName="Is Original" ma:default="YES" ma:format="Dropdown" ma:indexed="true" ma:internalName="VGMSIsOriginal" ma:readOnly="false">
      <xsd:simpleType>
        <xsd:restriction base="dms:Choice">
          <xsd:enumeration value="YES"/>
          <xsd:enumeration value="NO"/>
        </xsd:restriction>
      </xsd:simpleType>
    </xsd:element>
    <xsd:element name="VGMSOriginalVersion" ma:index="20" nillable="true" ma:displayName="Original Version" ma:internalName="VGMSOriginalVersion" ma:readOnly="false">
      <xsd:simpleType>
        <xsd:restriction base="dms:Text">
          <xsd:maxLength value="255"/>
        </xsd:restriction>
      </xsd:simpleType>
    </xsd:element>
    <xsd:element name="VGMSValidVersion" ma:index="21" nillable="true" ma:displayName="Valid Version" ma:internalName="VGMSValidVersion" ma:readOnly="false">
      <xsd:simpleType>
        <xsd:restriction base="dms:Text">
          <xsd:maxLength value="255"/>
        </xsd:restriction>
      </xsd:simpleType>
    </xsd:element>
    <xsd:element name="VGMSValidationBy" ma:index="22" nillable="true" ma:displayName="Validation By" ma:list="UserInfo" ma:SharePointGroup="0" ma:internalName="VGMSValidation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GMSValidationDate" ma:index="23" nillable="true" ma:displayName="Validation Date" ma:format="DateTime" ma:internalName="VGMSValidationDate" ma:readOnly="false">
      <xsd:simpleType>
        <xsd:restriction base="dms:DateTime"/>
      </xsd:simpleType>
    </xsd:element>
    <xsd:element name="VGMSReviewFrequency" ma:index="24" nillable="true" ma:displayName="Review Frequency" ma:default="24" ma:description="months" ma:format="Dropdown" ma:internalName="VGMSReviewFrequency">
      <xsd:simpleType>
        <xsd:restriction base="dms:Choice">
          <xsd:enumeration value="3"/>
          <xsd:enumeration value="6"/>
          <xsd:enumeration value="12"/>
          <xsd:enumeration value="24"/>
          <xsd:enumeration value="36"/>
        </xsd:restriction>
      </xsd:simpleType>
    </xsd:element>
    <xsd:element name="fbd98ac8124c476dbaea07c3b8eb50a0" ma:index="26" ma:taxonomy="true" ma:internalName="fbd98ac8124c476dbaea07c3b8eb50a0" ma:taxonomyFieldName="VGMSDocumentLanguage" ma:displayName="Document Language" ma:readOnly="false" ma:default="" ma:fieldId="{fbd98ac8-124c-476d-baea-07c3b8eb50a0}" ma:sspId="3733d03b-b6ea-435d-82fe-a0683924336c" ma:termSetId="71339300-2d47-4f57-844b-3530213872cb" ma:anchorId="00000000-0000-0000-0000-000000000000" ma:open="true" ma:isKeyword="false">
      <xsd:complexType>
        <xsd:sequence>
          <xsd:element ref="pc:Terms" minOccurs="0" maxOccurs="1"/>
        </xsd:sequence>
      </xsd:complexType>
    </xsd:element>
    <xsd:element name="TaxCatchAllLabel" ma:index="27" nillable="true" ma:displayName="Taxonomy Catch All Column1" ma:hidden="true" ma:list="{f6b9b8d3-8bc1-4c88-8f40-887254c81293}" ma:internalName="TaxCatchAllLabel" ma:readOnly="true" ma:showField="CatchAllDataLabel" ma:web="f000d52c-3940-4883-8e21-bd750b63373c">
      <xsd:complexType>
        <xsd:complexContent>
          <xsd:extension base="dms:MultiChoiceLookup">
            <xsd:sequence>
              <xsd:element name="Value" type="dms:Lookup" maxOccurs="unbounded" minOccurs="0" nillable="true"/>
            </xsd:sequence>
          </xsd:extension>
        </xsd:complexContent>
      </xsd:complexType>
    </xsd:element>
    <xsd:element name="TaxCatchAll" ma:index="28" nillable="true" ma:displayName="Taxonomy Catch All Column" ma:hidden="true" ma:list="{f6b9b8d3-8bc1-4c88-8f40-887254c81293}" ma:internalName="TaxCatchAll" ma:readOnly="false" ma:showField="CatchAllData" ma:web="f000d52c-3940-4883-8e21-bd750b63373c">
      <xsd:complexType>
        <xsd:complexContent>
          <xsd:extension base="dms:MultiChoiceLookup">
            <xsd:sequence>
              <xsd:element name="Value" type="dms:Lookup" maxOccurs="unbounded" minOccurs="0" nillable="true"/>
            </xsd:sequence>
          </xsd:extension>
        </xsd:complexContent>
      </xsd:complexType>
    </xsd:element>
    <xsd:element name="iaf5fc7a3a3b4c238ed94c9d8b7e0b5a" ma:index="31" ma:taxonomy="true" ma:internalName="iaf5fc7a3a3b4c238ed94c9d8b7e0b5a" ma:taxonomyFieldName="VGMSResponsibleFunction" ma:displayName="Issued by Function" ma:indexed="true" ma:readOnly="false" ma:default="" ma:fieldId="{2af5fc7a-3a3b-4c23-8ed9-4c9d8b7e0b5a}" ma:sspId="3733d03b-b6ea-435d-82fe-a0683924336c" ma:termSetId="2468add1-202a-4200-97a1-c0d2e18bbb84" ma:anchorId="00000000-0000-0000-0000-000000000000" ma:open="false" ma:isKeyword="false">
      <xsd:complexType>
        <xsd:sequence>
          <xsd:element ref="pc:Terms" minOccurs="0" maxOccurs="1"/>
        </xsd:sequence>
      </xsd:complex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lc850aa403fa465daac5e8e7412bf010" ma:index="34" nillable="true" ma:taxonomy="true" ma:internalName="lc850aa403fa465daac5e8e7412bf010" ma:taxonomyFieldName="VGMSFunctions" ma:displayName="Valid for Functions" ma:readOnly="false" ma:default="" ma:fieldId="{5c850aa4-03fa-465d-aac5-e8e7412bf010}" ma:taxonomyMulti="true" ma:sspId="3733d03b-b6ea-435d-82fe-a0683924336c" ma:termSetId="2468add1-202a-4200-97a1-c0d2e18bbb84" ma:anchorId="00000000-0000-0000-0000-000000000000" ma:open="false" ma:isKeyword="false">
      <xsd:complexType>
        <xsd:sequence>
          <xsd:element ref="pc:Terms" minOccurs="0" maxOccurs="1"/>
        </xsd:sequence>
      </xsd:complexType>
    </xsd:element>
    <xsd:element name="_dlc_DocId" ma:index="35" nillable="true" ma:displayName="Document ID Value" ma:description="The value of the document ID assigned to this item." ma:internalName="_dlc_DocId" ma:readOnly="true">
      <xsd:simpleType>
        <xsd:restriction base="dms:Text"/>
      </xsd:simpleType>
    </xsd:element>
    <xsd:element name="d74c1f47d0ac42898120894a665011cf" ma:index="36" nillable="true" ma:taxonomy="true" ma:internalName="d74c1f47d0ac42898120894a665011cf" ma:taxonomyFieldName="VGMSProcesses" ma:displayName="Valid for Processes" ma:readOnly="false" ma:default="" ma:fieldId="{d74c1f47-d0ac-4289-8120-894a665011cf}" ma:taxonomyMulti="true" ma:sspId="3733d03b-b6ea-435d-82fe-a0683924336c" ma:termSetId="bd5dc0ef-1180-4940-bed7-49fc2af1bdd8" ma:anchorId="00000000-0000-0000-0000-000000000000" ma:open="false" ma:isKeyword="false">
      <xsd:complexType>
        <xsd:sequence>
          <xsd:element ref="pc:Terms" minOccurs="0" maxOccurs="1"/>
        </xsd:sequence>
      </xsd:complexType>
    </xsd:element>
    <xsd:element name="o92457583c854296901a465ecc76c90a" ma:index="38" nillable="true" ma:taxonomy="true" ma:internalName="o92457583c854296901a465ecc76c90a" ma:taxonomyFieldName="VGMSSites" ma:displayName="Valid for Countries/Sites" ma:readOnly="false" ma:default="" ma:fieldId="{89245758-3c85-4296-901a-465ecc76c90a}" ma:taxonomyMulti="true" ma:sspId="3733d03b-b6ea-435d-82fe-a0683924336c" ma:termSetId="70f7d7a9-b2e5-4d03-8179-8427b00c59f1" ma:anchorId="00000000-0000-0000-0000-000000000000" ma:open="false" ma:isKeyword="false">
      <xsd:complexType>
        <xsd:sequence>
          <xsd:element ref="pc:Terms" minOccurs="0" maxOccurs="1"/>
        </xsd:sequence>
      </xsd:complexType>
    </xsd:element>
    <xsd:element name="VGMSValidationStartedDate" ma:index="39" nillable="true" ma:displayName="Validation Started Date" ma:format="DateOnly" ma:hidden="true" ma:internalName="VGMSValidationStartedDate" ma:readOnly="false">
      <xsd:simpleType>
        <xsd:restriction base="dms:DateTime"/>
      </xsd:simpleType>
    </xsd:element>
    <xsd:element name="VGMSNextReviewDate" ma:index="40" nillable="true" ma:displayName="Next Review Date" ma:format="DateOnly" ma:hidden="true" ma:internalName="VGMSNextReviewDate" ma:readOnly="false">
      <xsd:simpleType>
        <xsd:restriction base="dms:DateTime"/>
      </xsd:simpleType>
    </xsd:element>
    <xsd:element name="VGMSNextReviewReminderDate" ma:index="42" nillable="true" ma:displayName="Next Review Reminder Date" ma:format="DateOnly" ma:hidden="true" ma:internalName="VGMSNextReviewReminderDate" ma:readOnly="false">
      <xsd:simpleType>
        <xsd:restriction base="dms:DateTime"/>
      </xsd:simpleType>
    </xsd:element>
    <xsd:element name="_dlc_DocIdPersistId" ma:index="46" nillable="true" ma:displayName="Persist ID" ma:description="Keep ID on add." ma:hidden="true" ma:internalName="_dlc_DocIdPersistId" ma:readOnly="true">
      <xsd:simpleType>
        <xsd:restriction base="dms:Boolean"/>
      </xsd:simpleType>
    </xsd:element>
    <xsd:element name="VGMSPublishedFileFormat" ma:index="47" nillable="true" ma:displayName="Publish Word file to PDF" ma:default="Yes" ma:format="Dropdown" ma:internalName="VGMSPublishedFileFormat">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VGMSClassification xmlns="f000d52c-3940-4883-8e21-bd750b63373c">Internal</VGMSClassification>
    <VGMSEnglishTitle xmlns="f000d52c-3940-4883-8e21-bd750b63373c">Cost Breakdown Template</VGMSEnglishTitle>
    <lc850aa403fa465daac5e8e7412bf010 xmlns="f000d52c-3940-4883-8e21-bd750b63373c">
      <Terms xmlns="http://schemas.microsoft.com/office/infopath/2007/PartnerControls">
        <TermInfo xmlns="http://schemas.microsoft.com/office/infopath/2007/PartnerControls">
          <TermName xmlns="http://schemas.microsoft.com/office/infopath/2007/PartnerControls">Group Trucks Technology, BF10000</TermName>
          <TermId xmlns="http://schemas.microsoft.com/office/infopath/2007/PartnerControls">00000000-0000-0000-f87e-0134529667bc</TermId>
        </TermInfo>
        <TermInfo xmlns="http://schemas.microsoft.com/office/infopath/2007/PartnerControls">
          <TermName xmlns="http://schemas.microsoft.com/office/infopath/2007/PartnerControls">Group Trucks Purchasing, BI10000</TermName>
          <TermId xmlns="http://schemas.microsoft.com/office/infopath/2007/PartnerControls">00000000-0000-0000-f87e-04755296706e</TermId>
        </TermInfo>
        <TermInfo xmlns="http://schemas.microsoft.com/office/infopath/2007/PartnerControls">
          <TermName xmlns="http://schemas.microsoft.com/office/infopath/2007/PartnerControls">Group Trucks Operations, BE10000</TermName>
          <TermId xmlns="http://schemas.microsoft.com/office/infopath/2007/PartnerControls">00000000-0000-0000-f87e-011a52966769</TermId>
        </TermInfo>
        <TermInfo xmlns="http://schemas.microsoft.com/office/infopath/2007/PartnerControls">
          <TermName xmlns="http://schemas.microsoft.com/office/infopath/2007/PartnerControls">Volvo Penta, CB10000</TermName>
          <TermId xmlns="http://schemas.microsoft.com/office/infopath/2007/PartnerControls">00000000-0000-0000-a638-ab5152983c76</TermId>
        </TermInfo>
        <TermInfo xmlns="http://schemas.microsoft.com/office/infopath/2007/PartnerControls">
          <TermName xmlns="http://schemas.microsoft.com/office/infopath/2007/PartnerControls">Purchasing, CB72000</TermName>
          <TermId xmlns="http://schemas.microsoft.com/office/infopath/2007/PartnerControls">00000000-0000-0000-9a18-9aa1542b8b75</TermId>
        </TermInfo>
      </Terms>
    </lc850aa403fa465daac5e8e7412bf010>
    <VGMSPublishedFileFormat xmlns="f000d52c-3940-4883-8e21-bd750b63373c">No</VGMSPublishedFileFormat>
    <VGMSReviewFrequency xmlns="f000d52c-3940-4883-8e21-bd750b63373c">24</VGMSReviewFrequency>
    <TaxCatchAll xmlns="f000d52c-3940-4883-8e21-bd750b63373c">
      <Value>3625</Value>
      <Value>1387</Value>
      <Value>547</Value>
      <Value>1483</Value>
      <Value>844</Value>
      <Value>260</Value>
      <Value>380</Value>
      <Value>675</Value>
      <Value>597</Value>
      <Value>1965</Value>
      <Value>595</Value>
      <Value>2259</Value>
      <Value>1</Value>
      <Value>1368</Value>
    </TaxCatchAll>
    <VGMSDocumentApprovedDate xmlns="f000d52c-3940-4883-8e21-bd750b63373c">2020-09-22T22:00:00+00:00</VGMSDocumentApprovedDate>
    <VGMSNextReviewDate xmlns="f000d52c-3940-4883-8e21-bd750b63373c">2022-09-29T04:45:06+00:00</VGMSNextReviewDate>
    <VGMSReviewedBy xmlns="f000d52c-3940-4883-8e21-bd750b63373c">
      <UserInfo>
        <DisplayName>Nylander Gunnar</DisplayName>
        <AccountId>5896</AccountId>
        <AccountType/>
      </UserInfo>
    </VGMSReviewedBy>
    <fbd98ac8124c476dbaea07c3b8eb50a0 xmlns="f000d52c-3940-4883-8e21-bd750b63373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94e877a4-7d83-4dd7-a651-0ab52ddb56dd</TermId>
        </TermInfo>
      </Terms>
    </fbd98ac8124c476dbaea07c3b8eb50a0>
    <VGMSValidationDate xmlns="f000d52c-3940-4883-8e21-bd750b63373c">2020-09-29T06:45:06+00:00</VGMSValidationDate>
    <VGMSOwner xmlns="f000d52c-3940-4883-8e21-bd750b63373c">
      <UserInfo>
        <DisplayName>Nylander Gunnar</DisplayName>
        <AccountId>5896</AccountId>
        <AccountType/>
      </UserInfo>
    </VGMSOwner>
    <VGMSValidVersion xmlns="f000d52c-3940-4883-8e21-bd750b63373c">1.2</VGMSValidVersion>
    <VGMSValidationBy xmlns="f000d52c-3940-4883-8e21-bd750b63373c">
      <UserInfo>
        <DisplayName>Juvén Jarlhage Monica</DisplayName>
        <AccountId>671</AccountId>
        <AccountType/>
      </UserInfo>
    </VGMSValidationBy>
    <o92457583c854296901a465ecc76c90a xmlns="f000d52c-3940-4883-8e21-bd750b63373c">
      <Terms xmlns="http://schemas.microsoft.com/office/infopath/2007/PartnerControls">
        <TermInfo xmlns="http://schemas.microsoft.com/office/infopath/2007/PartnerControls">
          <TermName xmlns="http://schemas.microsoft.com/office/infopath/2007/PartnerControls">Global</TermName>
          <TermId xmlns="http://schemas.microsoft.com/office/infopath/2007/PartnerControls">00000000-0000-0000-62bf-76f154a637e8</TermId>
        </TermInfo>
      </Terms>
    </o92457583c854296901a465ecc76c90a>
    <VGMSReviewedDate xmlns="f000d52c-3940-4883-8e21-bd750b63373c">2020-09-29T06:45:06+00:00</VGMSReviewedDate>
    <VGMSOriginalID xmlns="f000d52c-3940-4883-8e21-bd750b63373c">0001-14-25806</VGMSOriginalID>
    <VGMSIssuer xmlns="f000d52c-3940-4883-8e21-bd750b63373c">
      <UserInfo>
        <DisplayName>Catala Cuenca Andrea</DisplayName>
        <AccountId>6376</AccountId>
        <AccountType/>
      </UserInfo>
    </VGMSIssuer>
    <VGMSIsOriginal xmlns="f000d52c-3940-4883-8e21-bd750b63373c">YES</VGMSIsOriginal>
    <VGMSPublisher xmlns="f000d52c-3940-4883-8e21-bd750b63373c">
      <UserInfo>
        <DisplayName>Epalle Christian</DisplayName>
        <AccountId>70</AccountId>
        <AccountType/>
      </UserInfo>
    </VGMSPublisher>
    <VGMSDocumentApprovedBy xmlns="f000d52c-3940-4883-8e21-bd750b63373c">
      <UserInfo>
        <DisplayName>Nylander Gunnar</DisplayName>
        <AccountId>5896</AccountId>
        <AccountType/>
      </UserInfo>
    </VGMSDocumentApprovedBy>
    <VGMSOriginalVersion xmlns="f000d52c-3940-4883-8e21-bd750b63373c">1.2</VGMSOriginalVersion>
    <iaf5fc7a3a3b4c238ed94c9d8b7e0b5a xmlns="f000d52c-3940-4883-8e21-bd750b63373c">
      <Terms xmlns="http://schemas.microsoft.com/office/infopath/2007/PartnerControls">
        <TermInfo xmlns="http://schemas.microsoft.com/office/infopath/2007/PartnerControls">
          <TermName xmlns="http://schemas.microsoft.com/office/infopath/2007/PartnerControls">Cost Engineering, BF12710</TermName>
          <TermId xmlns="http://schemas.microsoft.com/office/infopath/2007/PartnerControls">00000000-0000-0000-9a18-9a64542b5fc7</TermId>
        </TermInfo>
      </Terms>
    </iaf5fc7a3a3b4c238ed94c9d8b7e0b5a>
    <VGMSContributors xmlns="f000d52c-3940-4883-8e21-bd750b63373c">
      <UserInfo>
        <DisplayName/>
        <AccountId xsi:nil="true"/>
        <AccountType/>
      </UserInfo>
    </VGMSContributors>
    <VGMSValidationStartedDate xmlns="f000d52c-3940-4883-8e21-bd750b63373c" xsi:nil="true"/>
    <VGMSNextReviewReminderDate xmlns="f000d52c-3940-4883-8e21-bd750b63373c">2022-06-29T04:45:06+00:00</VGMSNextReviewReminderDate>
    <VGMSScope xmlns="f000d52c-3940-4883-8e21-bd750b63373c">Valid</VGMSScope>
    <d74c1f47d0ac42898120894a665011cf xmlns="f000d52c-3940-4883-8e21-bd750b63373c">
      <Terms xmlns="http://schemas.microsoft.com/office/infopath/2007/PartnerControls">
        <TermInfo xmlns="http://schemas.microsoft.com/office/infopath/2007/PartnerControls">
          <TermName xmlns="http://schemas.microsoft.com/office/infopath/2007/PartnerControls">Develop Product ＆ Aftermarket Product Portfolio (DVP)</TermName>
          <TermId xmlns="http://schemas.microsoft.com/office/infopath/2007/PartnerControls">00000000-0000-0000-c488-c54e5257107a</TermId>
        </TermInfo>
        <TermInfo xmlns="http://schemas.microsoft.com/office/infopath/2007/PartnerControls">
          <TermName xmlns="http://schemas.microsoft.com/office/infopath/2007/PartnerControls">Select AP Supplier and Prepare for Serial Production</TermName>
          <TermId xmlns="http://schemas.microsoft.com/office/infopath/2007/PartnerControls">00000000-0000-0000-f198-f24552cf0ac8</TermId>
        </TermInfo>
        <TermInfo xmlns="http://schemas.microsoft.com/office/infopath/2007/PartnerControls">
          <TermName xmlns="http://schemas.microsoft.com/office/infopath/2007/PartnerControls">Select AP Supplier and Prepare for Serial and Aftermarket Production</TermName>
          <TermId xmlns="http://schemas.microsoft.com/office/infopath/2007/PartnerControls">00000000-0000-0000-a0a3-a24257143de5</TermId>
        </TermInfo>
        <TermInfo xmlns="http://schemas.microsoft.com/office/infopath/2007/PartnerControls">
          <TermName xmlns="http://schemas.microsoft.com/office/infopath/2007/PartnerControls">Develop Technology</TermName>
          <TermId xmlns="http://schemas.microsoft.com/office/infopath/2007/PartnerControls">00000000-0000-0000-63fa-651056cc33fb</TermId>
        </TermInfo>
        <TermInfo xmlns="http://schemas.microsoft.com/office/infopath/2007/PartnerControls">
          <TermName xmlns="http://schemas.microsoft.com/office/infopath/2007/PartnerControls">Develop Total Offer</TermName>
          <TermId xmlns="http://schemas.microsoft.com/office/infopath/2007/PartnerControls">00000000-0000-0000-63fa-64f656cc33aa</TermId>
        </TermInfo>
      </Terms>
    </d74c1f47d0ac42898120894a665011cf>
    <_dlc_DocId xmlns="f000d52c-3940-4883-8e21-bd750b63373c">0001-16-54738</_dlc_DocId>
    <_dlc_DocIdUrl xmlns="f000d52c-3940-4883-8e21-bd750b63373c">
      <Url>https://ahsp.sp.srv.volvo.com/sites/VGMS/procdoc/_layouts/15/DocIdRedir.aspx?ID=0001-16-54738</Url>
      <Description>0001-16-54738</Description>
    </_dlc_DocIdUrl>
  </documentManagement>
</p:properties>
</file>

<file path=customXml/itemProps1.xml><?xml version="1.0" encoding="utf-8"?>
<ds:datastoreItem xmlns:ds="http://schemas.openxmlformats.org/officeDocument/2006/customXml" ds:itemID="{BDB5C50D-9071-47B3-8614-785EECC88C2B}">
  <ds:schemaRefs>
    <ds:schemaRef ds:uri="http://schemas.microsoft.com/sharepoint/v3/contenttype/forms"/>
  </ds:schemaRefs>
</ds:datastoreItem>
</file>

<file path=customXml/itemProps2.xml><?xml version="1.0" encoding="utf-8"?>
<ds:datastoreItem xmlns:ds="http://schemas.openxmlformats.org/officeDocument/2006/customXml" ds:itemID="{2C17F593-DF4F-4183-88FC-66DD3F4BD497}">
  <ds:schemaRefs>
    <ds:schemaRef ds:uri="http://schemas.microsoft.com/sharepoint/events"/>
  </ds:schemaRefs>
</ds:datastoreItem>
</file>

<file path=customXml/itemProps3.xml><?xml version="1.0" encoding="utf-8"?>
<ds:datastoreItem xmlns:ds="http://schemas.openxmlformats.org/officeDocument/2006/customXml" ds:itemID="{1A37A79D-0053-4A49-BCA9-1A435A498CA0}">
  <ds:schemaRefs>
    <ds:schemaRef ds:uri="office.server.policy"/>
  </ds:schemaRefs>
</ds:datastoreItem>
</file>

<file path=customXml/itemProps4.xml><?xml version="1.0" encoding="utf-8"?>
<ds:datastoreItem xmlns:ds="http://schemas.openxmlformats.org/officeDocument/2006/customXml" ds:itemID="{D27837CF-1D83-4772-A284-0974E43CD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00d52c-3940-4883-8e21-bd750b633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F4BC819-EA20-4405-BE96-58A7EFCE37EE}">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000d52c-3940-4883-8e21-bd750b63373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18</vt:i4>
      </vt:variant>
    </vt:vector>
  </HeadingPairs>
  <TitlesOfParts>
    <vt:vector size="26" baseType="lpstr">
      <vt:lpstr>Summary</vt:lpstr>
      <vt:lpstr>Material (1,2,3)</vt:lpstr>
      <vt:lpstr>Manufacturing (6,7,8,9)</vt:lpstr>
      <vt:lpstr>Tools and Devices (16,24)</vt:lpstr>
      <vt:lpstr>HELP MHR Calculator</vt:lpstr>
      <vt:lpstr>User Guide</vt:lpstr>
      <vt:lpstr>Languages</vt:lpstr>
      <vt:lpstr>Assumption</vt:lpstr>
      <vt:lpstr>Dropdown</vt:lpstr>
      <vt:lpstr>ManufacturingComment</vt:lpstr>
      <vt:lpstr>MaterialClass</vt:lpstr>
      <vt:lpstr>MaterialComment</vt:lpstr>
      <vt:lpstr>'HELP MHR Calculator'!Print_Area</vt:lpstr>
      <vt:lpstr>'Manufacturing (6,7,8,9)'!Print_Area</vt:lpstr>
      <vt:lpstr>'Material (1,2,3)'!Print_Area</vt:lpstr>
      <vt:lpstr>Summary!Print_Area</vt:lpstr>
      <vt:lpstr>'Tools and Devices (16,24)'!Print_Area</vt:lpstr>
      <vt:lpstr>'Manufacturing (6,7,8,9)'!Print_Titles</vt:lpstr>
      <vt:lpstr>'Material (1,2,3)'!Print_Titles</vt:lpstr>
      <vt:lpstr>'Tools and Devices (16,24)'!Print_Titles</vt:lpstr>
      <vt:lpstr>PurchasingCurrency</vt:lpstr>
      <vt:lpstr>PurchasingUnit</vt:lpstr>
      <vt:lpstr>QuotationCurrency</vt:lpstr>
      <vt:lpstr>QuotationUnit</vt:lpstr>
      <vt:lpstr>ToolsComment</vt:lpstr>
      <vt:lpstr>Wording</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Breakdown Template</dc:title>
  <dc:subject/>
  <dc:creator/>
  <cp:keywords>C_Unrestricted</cp:keywords>
  <dc:description/>
  <cp:lastModifiedBy/>
  <cp:revision/>
  <dcterms:created xsi:type="dcterms:W3CDTF">2006-09-16T00:00:00Z</dcterms:created>
  <dcterms:modified xsi:type="dcterms:W3CDTF">2021-11-30T07:39:05Z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onfidentiality">
    <vt:lpwstr>Unrestricted</vt:lpwstr>
  </property>
  <property fmtid="{D5CDD505-2E9C-101B-9397-08002B2CF9AE}" pid="3" name="ContentTypeId">
    <vt:lpwstr>0x010100009C8CC7884245409626FF08442284640800373DF47D49A0A446836426A6390E8996</vt:lpwstr>
  </property>
  <property fmtid="{D5CDD505-2E9C-101B-9397-08002B2CF9AE}" pid="4" name="_dlc_policyId">
    <vt:lpwstr/>
  </property>
  <property fmtid="{D5CDD505-2E9C-101B-9397-08002B2CF9AE}" pid="5" name="VGMSFunctions">
    <vt:lpwstr>597;#Group Trucks Technology, BF10000|00000000-0000-0000-f87e-0134529667bc;#547;#Group Trucks Purchasing, BI10000|00000000-0000-0000-f87e-04755296706e;#595;#Group Trucks Operations, BE10000|00000000-0000-0000-f87e-011a52966769;#675;#Volvo Penta, CB10000|0</vt:lpwstr>
  </property>
  <property fmtid="{D5CDD505-2E9C-101B-9397-08002B2CF9AE}" pid="6" name="VGMSDocumentLanguage">
    <vt:lpwstr>1;#en|94e877a4-7d83-4dd7-a651-0ab52ddb56dd</vt:lpwstr>
  </property>
  <property fmtid="{D5CDD505-2E9C-101B-9397-08002B2CF9AE}" pid="7" name="VGMSSites">
    <vt:lpwstr>380;#Global|00000000-0000-0000-62bf-76f154a637e8</vt:lpwstr>
  </property>
  <property fmtid="{D5CDD505-2E9C-101B-9397-08002B2CF9AE}" pid="8" name="VGMSResponsibleFunction">
    <vt:lpwstr>3625;#Cost Engineering, BF12710|00000000-0000-0000-9a18-9a64542b5fc7</vt:lpwstr>
  </property>
  <property fmtid="{D5CDD505-2E9C-101B-9397-08002B2CF9AE}" pid="9" name="ItemRetentionFormula">
    <vt:lpwstr/>
  </property>
  <property fmtid="{D5CDD505-2E9C-101B-9397-08002B2CF9AE}" pid="10" name="_dlc_DocIdItemGuid">
    <vt:lpwstr>dfdf2fd2-0d3f-4eb3-a615-228b12a40fef</vt:lpwstr>
  </property>
  <property fmtid="{D5CDD505-2E9C-101B-9397-08002B2CF9AE}" pid="11" name="VGMSCompanies">
    <vt:lpwstr>2259;#All Legal Companies|00000000-0000-0000-6203-7bba555049e8</vt:lpwstr>
  </property>
  <property fmtid="{D5CDD505-2E9C-101B-9397-08002B2CF9AE}" pid="12" name="VGMSProcesses">
    <vt:lpwstr>260;#Develop Product ＆ Aftermarket Product Portfolio (DVP)|00000000-0000-0000-c488-c54e5257107a;#844;#Select AP Supplier and Prepare for Serial Production|00000000-0000-0000-f198-f24552cf0ac8;#1387;#Select AP Supplier and Prepare for Serial and Aftermarke</vt:lpwstr>
  </property>
  <property fmtid="{D5CDD505-2E9C-101B-9397-08002B2CF9AE}" pid="13" name="lb88c80a29f94014bdf81eefd2f42f05">
    <vt:lpwstr>All Legal Companies|00000000-0000-0000-6203-7bba555049e8</vt:lpwstr>
  </property>
  <property fmtid="{D5CDD505-2E9C-101B-9397-08002B2CF9AE}" pid="14" name="MSIP_Label_19540963-e559-4020-8a90-fe8a502c2801_Enabled">
    <vt:lpwstr>true</vt:lpwstr>
  </property>
  <property fmtid="{D5CDD505-2E9C-101B-9397-08002B2CF9AE}" pid="15" name="MSIP_Label_19540963-e559-4020-8a90-fe8a502c2801_SetDate">
    <vt:lpwstr>2021-11-24T08:03:05Z</vt:lpwstr>
  </property>
  <property fmtid="{D5CDD505-2E9C-101B-9397-08002B2CF9AE}" pid="16" name="MSIP_Label_19540963-e559-4020-8a90-fe8a502c2801_Method">
    <vt:lpwstr>Standard</vt:lpwstr>
  </property>
  <property fmtid="{D5CDD505-2E9C-101B-9397-08002B2CF9AE}" pid="17" name="MSIP_Label_19540963-e559-4020-8a90-fe8a502c2801_Name">
    <vt:lpwstr>19540963-e559-4020-8a90-fe8a502c2801</vt:lpwstr>
  </property>
  <property fmtid="{D5CDD505-2E9C-101B-9397-08002B2CF9AE}" pid="18" name="MSIP_Label_19540963-e559-4020-8a90-fe8a502c2801_SiteId">
    <vt:lpwstr>f25493ae-1c98-41d7-8a33-0be75f5fe603</vt:lpwstr>
  </property>
  <property fmtid="{D5CDD505-2E9C-101B-9397-08002B2CF9AE}" pid="19" name="MSIP_Label_19540963-e559-4020-8a90-fe8a502c2801_ActionId">
    <vt:lpwstr>eabb2728-6b2c-4dcc-86a5-ee4d53f190fc</vt:lpwstr>
  </property>
  <property fmtid="{D5CDD505-2E9C-101B-9397-08002B2CF9AE}" pid="20" name="MSIP_Label_19540963-e559-4020-8a90-fe8a502c2801_ContentBits">
    <vt:lpwstr>0</vt:lpwstr>
  </property>
</Properties>
</file>