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再兴\"/>
    </mc:Choice>
  </mc:AlternateContent>
  <xr:revisionPtr revIDLastSave="0" documentId="13_ncr:1_{D531B8F4-FA4D-4602-BB3A-D6F87E94000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冲压工序费" sheetId="5" state="hidden" r:id="rId1"/>
    <sheet name="2021.8" sheetId="4" r:id="rId2"/>
    <sheet name="Sheet3" sheetId="6" r:id="rId3"/>
  </sheets>
  <definedNames>
    <definedName name="_xlnm._FilterDatabase" localSheetId="1" hidden="1">'2021.8'!$A$3:$AF$205</definedName>
    <definedName name="_xlnm.Print_Area" localSheetId="1">'2021.8'!$A$1:$AF$222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65" i="4" l="1"/>
  <c r="AB65" i="4"/>
  <c r="AB165" i="4"/>
  <c r="AE189" i="4"/>
  <c r="AE183" i="4"/>
  <c r="AE159" i="4"/>
  <c r="AE153" i="4"/>
  <c r="AD141" i="4"/>
  <c r="AD135" i="4"/>
  <c r="AE135" i="4" s="1"/>
  <c r="AE129" i="4"/>
  <c r="AE123" i="4"/>
  <c r="AE117" i="4"/>
  <c r="AE111" i="4"/>
  <c r="AE105" i="4"/>
  <c r="AE99" i="4"/>
  <c r="AE93" i="4"/>
  <c r="AE87" i="4"/>
  <c r="AE76" i="4"/>
  <c r="AD59" i="4"/>
  <c r="AE59" i="4"/>
  <c r="AE53" i="4"/>
  <c r="AD53" i="4"/>
  <c r="AB53" i="4"/>
  <c r="AE47" i="4"/>
  <c r="AD47" i="4"/>
  <c r="AD41" i="4"/>
  <c r="AE41" i="4" s="1"/>
  <c r="AE22" i="4"/>
  <c r="AE28" i="4"/>
  <c r="AE34" i="4"/>
  <c r="AE16" i="4" l="1"/>
  <c r="AE10" i="4"/>
  <c r="AE4" i="4"/>
  <c r="Y143" i="4" l="1"/>
  <c r="Y142" i="4"/>
  <c r="AE141" i="4"/>
  <c r="Y141" i="4"/>
  <c r="Y146" i="4" s="1"/>
  <c r="L141" i="4"/>
  <c r="K141" i="4"/>
  <c r="P141" i="4" s="1"/>
  <c r="R141" i="4" l="1"/>
  <c r="S141" i="4" s="1"/>
  <c r="S146" i="4" s="1"/>
  <c r="Z141" i="4" s="1"/>
  <c r="AA141" i="4" s="1"/>
  <c r="V74" i="4"/>
  <c r="AD189" i="4"/>
  <c r="AD183" i="4"/>
  <c r="AD177" i="4"/>
  <c r="AE177" i="4" s="1"/>
  <c r="AD171" i="4"/>
  <c r="AE171" i="4" s="1"/>
  <c r="AD165" i="4"/>
  <c r="AD159" i="4"/>
  <c r="AD153" i="4"/>
  <c r="AD147" i="4"/>
  <c r="AE147" i="4" s="1"/>
  <c r="AD129" i="4"/>
  <c r="AD123" i="4"/>
  <c r="AD117" i="4"/>
  <c r="AD111" i="4"/>
  <c r="AD105" i="4"/>
  <c r="AD99" i="4"/>
  <c r="AD93" i="4"/>
  <c r="AD87" i="4"/>
  <c r="AD65" i="4"/>
  <c r="AE65" i="4" s="1"/>
  <c r="AD34" i="4"/>
  <c r="AD28" i="4"/>
  <c r="AD10" i="4"/>
  <c r="AD4" i="4"/>
  <c r="Y173" i="4"/>
  <c r="Y172" i="4"/>
  <c r="Y176" i="4" s="1"/>
  <c r="Y171" i="4"/>
  <c r="P171" i="4"/>
  <c r="Y149" i="4"/>
  <c r="Y148" i="4"/>
  <c r="Y152" i="4" s="1"/>
  <c r="Y147" i="4"/>
  <c r="L147" i="4"/>
  <c r="K147" i="4"/>
  <c r="AB41" i="4"/>
  <c r="Y37" i="4"/>
  <c r="S35" i="4"/>
  <c r="K34" i="4"/>
  <c r="L34" i="4"/>
  <c r="AD22" i="4"/>
  <c r="AD16" i="4"/>
  <c r="S184" i="4"/>
  <c r="N112" i="4"/>
  <c r="S112" i="4" s="1"/>
  <c r="Y189" i="4"/>
  <c r="Y190" i="4"/>
  <c r="Y191" i="4"/>
  <c r="Y192" i="4"/>
  <c r="S190" i="4"/>
  <c r="Y183" i="4"/>
  <c r="Y184" i="4"/>
  <c r="Y185" i="4"/>
  <c r="Y186" i="4"/>
  <c r="Y177" i="4"/>
  <c r="Y178" i="4"/>
  <c r="Y179" i="4"/>
  <c r="Y165" i="4"/>
  <c r="Y166" i="4"/>
  <c r="Y167" i="4"/>
  <c r="Y159" i="4"/>
  <c r="Y160" i="4"/>
  <c r="Y153" i="4"/>
  <c r="Y158" i="4" s="1"/>
  <c r="Y135" i="4"/>
  <c r="Y136" i="4"/>
  <c r="Y137" i="4"/>
  <c r="Y129" i="4"/>
  <c r="Y130" i="4"/>
  <c r="Y131" i="4"/>
  <c r="Y123" i="4"/>
  <c r="Y124" i="4"/>
  <c r="Y125" i="4"/>
  <c r="Y117" i="4"/>
  <c r="Y118" i="4"/>
  <c r="Y119" i="4"/>
  <c r="Y120" i="4"/>
  <c r="Y111" i="4"/>
  <c r="Y112" i="4"/>
  <c r="Y113" i="4"/>
  <c r="Y114" i="4"/>
  <c r="Y28" i="4"/>
  <c r="Y29" i="4"/>
  <c r="Y30" i="4"/>
  <c r="Y76" i="4"/>
  <c r="Y77" i="4"/>
  <c r="Y78" i="4"/>
  <c r="Y79" i="4"/>
  <c r="Y80" i="4"/>
  <c r="Y81" i="4"/>
  <c r="Y82" i="4"/>
  <c r="Y83" i="4"/>
  <c r="Y84" i="4"/>
  <c r="K22" i="4"/>
  <c r="P22" i="4" s="1"/>
  <c r="K189" i="4"/>
  <c r="Q189" i="4"/>
  <c r="K28" i="4"/>
  <c r="P28" i="4" s="1"/>
  <c r="K183" i="4"/>
  <c r="Q111" i="4"/>
  <c r="Q183" i="4"/>
  <c r="L177" i="4"/>
  <c r="P105" i="4"/>
  <c r="Y99" i="4"/>
  <c r="Y100" i="4"/>
  <c r="L159" i="4"/>
  <c r="K159" i="4"/>
  <c r="K129" i="4"/>
  <c r="P129" i="4" s="1"/>
  <c r="R129" i="4" s="1"/>
  <c r="L117" i="4"/>
  <c r="Q34" i="4"/>
  <c r="K135" i="4"/>
  <c r="L135" i="4"/>
  <c r="K47" i="4"/>
  <c r="L47" i="4"/>
  <c r="K41" i="4"/>
  <c r="L41" i="4"/>
  <c r="L59" i="4"/>
  <c r="L53" i="4"/>
  <c r="K66" i="4"/>
  <c r="L66" i="4"/>
  <c r="L67" i="4"/>
  <c r="P67" i="4" s="1"/>
  <c r="Y69" i="4"/>
  <c r="Y70" i="4"/>
  <c r="Y71" i="4"/>
  <c r="Y72" i="4"/>
  <c r="Y73" i="4"/>
  <c r="Y105" i="4"/>
  <c r="Y106" i="4"/>
  <c r="Y93" i="4"/>
  <c r="Y94" i="4"/>
  <c r="Y87" i="4"/>
  <c r="Y88" i="4"/>
  <c r="Y65" i="4"/>
  <c r="Y66" i="4"/>
  <c r="Y67" i="4"/>
  <c r="Y68" i="4"/>
  <c r="Y59" i="4"/>
  <c r="Y60" i="4"/>
  <c r="Y61" i="4"/>
  <c r="Y53" i="4"/>
  <c r="Y54" i="4"/>
  <c r="Y55" i="4"/>
  <c r="Y47" i="4"/>
  <c r="Y48" i="4"/>
  <c r="Y49" i="4"/>
  <c r="Y41" i="4"/>
  <c r="Y42" i="4"/>
  <c r="Y43" i="4"/>
  <c r="Y34" i="4"/>
  <c r="Y35" i="4"/>
  <c r="Y36" i="4"/>
  <c r="Y38" i="4"/>
  <c r="Y39" i="4"/>
  <c r="Y22" i="4"/>
  <c r="Y23" i="4"/>
  <c r="Y16" i="4"/>
  <c r="Y17" i="4"/>
  <c r="Y18" i="4"/>
  <c r="P16" i="4"/>
  <c r="R16" i="4" s="1"/>
  <c r="Y10" i="4"/>
  <c r="Y11" i="4"/>
  <c r="P10" i="4"/>
  <c r="R10" i="4" s="1"/>
  <c r="S10" i="4" s="1"/>
  <c r="S15" i="4" s="1"/>
  <c r="AE4" i="6"/>
  <c r="AG71" i="6"/>
  <c r="AA61" i="6"/>
  <c r="AB61" i="6"/>
  <c r="AG59" i="6"/>
  <c r="AA49" i="6"/>
  <c r="AB49" i="6"/>
  <c r="AG47" i="6"/>
  <c r="AA37" i="6"/>
  <c r="AB37" i="6"/>
  <c r="AG35" i="6"/>
  <c r="AA25" i="6"/>
  <c r="AB25" i="6"/>
  <c r="AG23" i="6"/>
  <c r="AA13" i="6"/>
  <c r="AB13" i="6"/>
  <c r="Y4" i="4"/>
  <c r="Y9" i="4" s="1"/>
  <c r="Y5" i="4"/>
  <c r="P8" i="6"/>
  <c r="R8" i="6"/>
  <c r="S8" i="6"/>
  <c r="AA8" i="6"/>
  <c r="AB8" i="6"/>
  <c r="S7" i="6"/>
  <c r="S6" i="6"/>
  <c r="P4" i="6"/>
  <c r="R4" i="6"/>
  <c r="S4" i="6"/>
  <c r="AA4" i="6"/>
  <c r="AB4" i="6"/>
  <c r="P4" i="4"/>
  <c r="R4" i="4" s="1"/>
  <c r="S4" i="4" s="1"/>
  <c r="S9" i="4" s="1"/>
  <c r="R171" i="4" l="1"/>
  <c r="S171" i="4" s="1"/>
  <c r="S176" i="4" s="1"/>
  <c r="Z171" i="4" s="1"/>
  <c r="AA171" i="4" s="1"/>
  <c r="P147" i="4"/>
  <c r="P66" i="4"/>
  <c r="Y33" i="4"/>
  <c r="R147" i="4"/>
  <c r="S147" i="4" s="1"/>
  <c r="S152" i="4" s="1"/>
  <c r="Z147" i="4" s="1"/>
  <c r="AA147" i="4" s="1"/>
  <c r="Y15" i="4"/>
  <c r="Z10" i="4" s="1"/>
  <c r="AA10" i="4" s="1"/>
  <c r="Y98" i="4"/>
  <c r="P189" i="4"/>
  <c r="R189" i="4" s="1"/>
  <c r="S189" i="4" s="1"/>
  <c r="S194" i="4" s="1"/>
  <c r="Y164" i="4"/>
  <c r="Y21" i="4"/>
  <c r="Y27" i="4"/>
  <c r="Y64" i="4"/>
  <c r="Y52" i="4"/>
  <c r="P123" i="4"/>
  <c r="R123" i="4" s="1"/>
  <c r="P59" i="4"/>
  <c r="R59" i="4" s="1"/>
  <c r="S59" i="4" s="1"/>
  <c r="S64" i="4" s="1"/>
  <c r="P93" i="4"/>
  <c r="R93" i="4" s="1"/>
  <c r="Y122" i="4"/>
  <c r="Y140" i="4"/>
  <c r="Y170" i="4"/>
  <c r="P165" i="4"/>
  <c r="R165" i="4" s="1"/>
  <c r="S165" i="4" s="1"/>
  <c r="S170" i="4" s="1"/>
  <c r="Y92" i="4"/>
  <c r="P183" i="4"/>
  <c r="R183" i="4" s="1"/>
  <c r="P76" i="4"/>
  <c r="R76" i="4" s="1"/>
  <c r="S76" i="4" s="1"/>
  <c r="S86" i="4" s="1"/>
  <c r="Y188" i="4"/>
  <c r="Y75" i="4"/>
  <c r="P53" i="4"/>
  <c r="R53" i="4" s="1"/>
  <c r="S53" i="4" s="1"/>
  <c r="S58" i="4" s="1"/>
  <c r="P153" i="4"/>
  <c r="R153" i="4" s="1"/>
  <c r="S153" i="4" s="1"/>
  <c r="S158" i="4" s="1"/>
  <c r="Z153" i="4" s="1"/>
  <c r="AA153" i="4" s="1"/>
  <c r="P87" i="4"/>
  <c r="R87" i="4" s="1"/>
  <c r="S87" i="4" s="1"/>
  <c r="S92" i="4" s="1"/>
  <c r="Y134" i="4"/>
  <c r="R105" i="4"/>
  <c r="S105" i="4" s="1"/>
  <c r="S110" i="4" s="1"/>
  <c r="Y46" i="4"/>
  <c r="P117" i="4"/>
  <c r="R117" i="4" s="1"/>
  <c r="Y110" i="4"/>
  <c r="P159" i="4"/>
  <c r="R159" i="4" s="1"/>
  <c r="S159" i="4" s="1"/>
  <c r="S164" i="4" s="1"/>
  <c r="Z159" i="4" s="1"/>
  <c r="AA159" i="4" s="1"/>
  <c r="Y182" i="4"/>
  <c r="P135" i="4"/>
  <c r="R135" i="4" s="1"/>
  <c r="S135" i="4" s="1"/>
  <c r="S140" i="4" s="1"/>
  <c r="Y128" i="4"/>
  <c r="P65" i="4"/>
  <c r="R65" i="4" s="1"/>
  <c r="S65" i="4" s="1"/>
  <c r="Y104" i="4"/>
  <c r="P177" i="4"/>
  <c r="R177" i="4" s="1"/>
  <c r="S177" i="4" s="1"/>
  <c r="S182" i="4" s="1"/>
  <c r="Y86" i="4"/>
  <c r="Y116" i="4"/>
  <c r="Y194" i="4"/>
  <c r="Y58" i="4"/>
  <c r="P41" i="4"/>
  <c r="R41" i="4" s="1"/>
  <c r="S41" i="4" s="1"/>
  <c r="S46" i="4" s="1"/>
  <c r="P34" i="4"/>
  <c r="R34" i="4" s="1"/>
  <c r="Y40" i="4"/>
  <c r="P47" i="4"/>
  <c r="P111" i="4"/>
  <c r="R111" i="4" s="1"/>
  <c r="S111" i="4" s="1"/>
  <c r="S116" i="4" s="1"/>
  <c r="P99" i="4"/>
  <c r="R99" i="4" s="1"/>
  <c r="S99" i="4" s="1"/>
  <c r="S104" i="4" s="1"/>
  <c r="R66" i="4"/>
  <c r="S66" i="4" s="1"/>
  <c r="R47" i="4"/>
  <c r="S47" i="4" s="1"/>
  <c r="S52" i="4" s="1"/>
  <c r="R22" i="4"/>
  <c r="S22" i="4" s="1"/>
  <c r="S27" i="4" s="1"/>
  <c r="R67" i="4"/>
  <c r="S67" i="4" s="1"/>
  <c r="Z4" i="4"/>
  <c r="AA4" i="4" s="1"/>
  <c r="S129" i="4"/>
  <c r="S134" i="4" s="1"/>
  <c r="R28" i="4"/>
  <c r="S28" i="4" s="1"/>
  <c r="S33" i="4" s="1"/>
  <c r="S16" i="4"/>
  <c r="S21" i="4" s="1"/>
  <c r="Z16" i="4" s="1"/>
  <c r="AA16" i="4" s="1"/>
  <c r="Z87" i="4" l="1"/>
  <c r="AA87" i="4" s="1"/>
  <c r="Z99" i="4"/>
  <c r="AA99" i="4" s="1"/>
  <c r="Z28" i="4"/>
  <c r="AA28" i="4" s="1"/>
  <c r="Z189" i="4"/>
  <c r="AA189" i="4" s="1"/>
  <c r="Z129" i="4"/>
  <c r="AA129" i="4" s="1"/>
  <c r="Z105" i="4"/>
  <c r="AA105" i="4" s="1"/>
  <c r="Z59" i="4"/>
  <c r="AA59" i="4" s="1"/>
  <c r="S183" i="4"/>
  <c r="S188" i="4" s="1"/>
  <c r="Z183" i="4" s="1"/>
  <c r="AA183" i="4" s="1"/>
  <c r="Z111" i="4"/>
  <c r="AA111" i="4" s="1"/>
  <c r="Z22" i="4"/>
  <c r="AA22" i="4" s="1"/>
  <c r="Z177" i="4"/>
  <c r="AA177" i="4" s="1"/>
  <c r="Z76" i="4"/>
  <c r="AA76" i="4" s="1"/>
  <c r="Z165" i="4"/>
  <c r="AA165" i="4" s="1"/>
  <c r="S123" i="4"/>
  <c r="S128" i="4" s="1"/>
  <c r="Z123" i="4" s="1"/>
  <c r="AA123" i="4" s="1"/>
  <c r="S117" i="4"/>
  <c r="S122" i="4" s="1"/>
  <c r="Z117" i="4" s="1"/>
  <c r="AA117" i="4" s="1"/>
  <c r="S93" i="4"/>
  <c r="S98" i="4" s="1"/>
  <c r="Z93" i="4" s="1"/>
  <c r="AA93" i="4" s="1"/>
  <c r="Z47" i="4"/>
  <c r="AA47" i="4" s="1"/>
  <c r="S34" i="4"/>
  <c r="S40" i="4" s="1"/>
  <c r="Z34" i="4" s="1"/>
  <c r="AA34" i="4" s="1"/>
  <c r="Z41" i="4"/>
  <c r="AA41" i="4" s="1"/>
  <c r="Z135" i="4"/>
  <c r="AA135" i="4" s="1"/>
  <c r="Z53" i="4"/>
  <c r="AA53" i="4" s="1"/>
  <c r="S75" i="4"/>
  <c r="Z65" i="4" s="1"/>
  <c r="AA6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F35" authorId="0" shapeId="0" xr:uid="{42B41C8B-9279-47F2-856A-1D760D19E02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7/16螺母</t>
        </r>
      </text>
    </comment>
  </commentList>
</comments>
</file>

<file path=xl/sharedStrings.xml><?xml version="1.0" encoding="utf-8"?>
<sst xmlns="http://schemas.openxmlformats.org/spreadsheetml/2006/main" count="493" uniqueCount="219">
  <si>
    <t>序</t>
  </si>
  <si>
    <t>物料代码</t>
  </si>
  <si>
    <t>名称</t>
  </si>
  <si>
    <t>材质</t>
  </si>
  <si>
    <t>含税单价</t>
  </si>
  <si>
    <t>重量</t>
  </si>
  <si>
    <t>材料费</t>
  </si>
  <si>
    <t>加工成本</t>
  </si>
  <si>
    <t>号</t>
  </si>
  <si>
    <t>材料</t>
  </si>
  <si>
    <t>废铁</t>
  </si>
  <si>
    <t>毛重</t>
  </si>
  <si>
    <t>净重</t>
  </si>
  <si>
    <t>工序</t>
  </si>
  <si>
    <t>吨位</t>
  </si>
  <si>
    <t>工序费</t>
  </si>
  <si>
    <t>核价区间</t>
    <phoneticPr fontId="2" type="noConversion"/>
  </si>
  <si>
    <t>零件名称</t>
  </si>
  <si>
    <t>耗用量</t>
  </si>
  <si>
    <t>含税</t>
  </si>
  <si>
    <t>不含税</t>
  </si>
  <si>
    <t>报价</t>
  </si>
  <si>
    <t>核算价</t>
  </si>
  <si>
    <t>冲压件</t>
  </si>
  <si>
    <t>落料</t>
  </si>
  <si>
    <t>160T</t>
  </si>
  <si>
    <t>冲孔</t>
  </si>
  <si>
    <t>100T</t>
  </si>
  <si>
    <t>成型</t>
  </si>
  <si>
    <t>315油</t>
  </si>
  <si>
    <t>焊接</t>
  </si>
  <si>
    <t>SPFH590</t>
  </si>
  <si>
    <t>80T</t>
  </si>
  <si>
    <t>02.03.11.104</t>
  </si>
  <si>
    <t>气囊下支架组件</t>
  </si>
  <si>
    <t>247*185*3</t>
  </si>
  <si>
    <t>250T</t>
  </si>
  <si>
    <t>支撑柱</t>
  </si>
  <si>
    <t>14CM</t>
  </si>
  <si>
    <t>模摊</t>
  </si>
  <si>
    <t>63T</t>
  </si>
  <si>
    <t>200T</t>
  </si>
  <si>
    <t>125T</t>
  </si>
  <si>
    <t>冲孔</t>
    <phoneticPr fontId="2" type="noConversion"/>
  </si>
  <si>
    <t>成型</t>
    <phoneticPr fontId="2" type="noConversion"/>
  </si>
  <si>
    <t>40T</t>
  </si>
  <si>
    <t>压型</t>
  </si>
  <si>
    <t>85*40*4</t>
    <phoneticPr fontId="2" type="noConversion"/>
  </si>
  <si>
    <t>冲孔切开</t>
  </si>
  <si>
    <t>02.03.09.018</t>
    <phoneticPr fontId="2" type="noConversion"/>
  </si>
  <si>
    <t>涡簧固定片</t>
    <phoneticPr fontId="2" type="noConversion"/>
  </si>
  <si>
    <t>SAPH440</t>
    <phoneticPr fontId="2" type="noConversion"/>
  </si>
  <si>
    <t>400T</t>
  </si>
  <si>
    <t>02.03.09.019</t>
    <phoneticPr fontId="2" type="noConversion"/>
  </si>
  <si>
    <t>调角器固定螺母</t>
    <phoneticPr fontId="2" type="noConversion"/>
  </si>
  <si>
    <t>参考岳钢价格</t>
    <phoneticPr fontId="2" type="noConversion"/>
  </si>
  <si>
    <t>是否提供发票</t>
    <phoneticPr fontId="2" type="noConversion"/>
  </si>
  <si>
    <t>长</t>
    <phoneticPr fontId="2" type="noConversion"/>
  </si>
  <si>
    <t>宽</t>
    <phoneticPr fontId="2" type="noConversion"/>
  </si>
  <si>
    <t>厚</t>
    <phoneticPr fontId="2" type="noConversion"/>
  </si>
  <si>
    <t>照片</t>
    <phoneticPr fontId="2" type="noConversion"/>
  </si>
  <si>
    <t>自制/外购</t>
    <phoneticPr fontId="2" type="noConversion"/>
  </si>
  <si>
    <t>自制</t>
    <phoneticPr fontId="2" type="noConversion"/>
  </si>
  <si>
    <t>外协</t>
    <phoneticPr fontId="2" type="noConversion"/>
  </si>
  <si>
    <t>工序数</t>
    <phoneticPr fontId="2" type="noConversion"/>
  </si>
  <si>
    <t>合计</t>
    <phoneticPr fontId="2" type="noConversion"/>
  </si>
  <si>
    <t>取消</t>
    <phoneticPr fontId="2" type="noConversion"/>
  </si>
  <si>
    <t>落料</t>
    <phoneticPr fontId="2" type="noConversion"/>
  </si>
  <si>
    <t>不供了</t>
    <phoneticPr fontId="2" type="noConversion"/>
  </si>
  <si>
    <t>济南轻卡镜座左连接件</t>
    <phoneticPr fontId="2" type="noConversion"/>
  </si>
  <si>
    <t>02.03.14.001</t>
    <phoneticPr fontId="2" type="noConversion"/>
  </si>
  <si>
    <t>02.03.14.002</t>
    <phoneticPr fontId="2" type="noConversion"/>
  </si>
  <si>
    <t>济南轻卡镜座右连接件</t>
    <phoneticPr fontId="2" type="noConversion"/>
  </si>
  <si>
    <t>02.03.14.003</t>
    <phoneticPr fontId="2" type="noConversion"/>
  </si>
  <si>
    <t>济南轻卡镜座左支撑件</t>
    <phoneticPr fontId="2" type="noConversion"/>
  </si>
  <si>
    <t>02.03.14.004</t>
    <phoneticPr fontId="2" type="noConversion"/>
  </si>
  <si>
    <t>济南轻卡镜座右支撑件</t>
    <phoneticPr fontId="2" type="noConversion"/>
  </si>
  <si>
    <t>产品净尺寸</t>
    <phoneticPr fontId="2" type="noConversion"/>
  </si>
  <si>
    <t>类别</t>
    <phoneticPr fontId="2" type="noConversion"/>
  </si>
  <si>
    <t>冲压机</t>
    <phoneticPr fontId="2" type="noConversion"/>
  </si>
  <si>
    <t>工序费</t>
    <phoneticPr fontId="2" type="noConversion"/>
  </si>
  <si>
    <t>冲床</t>
    <phoneticPr fontId="2" type="noConversion"/>
  </si>
  <si>
    <t>16T</t>
  </si>
  <si>
    <t>25T</t>
  </si>
  <si>
    <t>60T</t>
  </si>
  <si>
    <t>65t</t>
  </si>
  <si>
    <t>110T</t>
  </si>
  <si>
    <t>315T</t>
  </si>
  <si>
    <t>350T</t>
  </si>
  <si>
    <t>液压机</t>
    <phoneticPr fontId="2" type="noConversion"/>
  </si>
  <si>
    <t>500T</t>
  </si>
  <si>
    <t>焊接</t>
    <phoneticPr fontId="2" type="noConversion"/>
  </si>
  <si>
    <t>1CM</t>
    <phoneticPr fontId="2" type="noConversion"/>
  </si>
  <si>
    <t>焊螺母</t>
    <phoneticPr fontId="2" type="noConversion"/>
  </si>
  <si>
    <t>1个</t>
    <phoneticPr fontId="2" type="noConversion"/>
  </si>
  <si>
    <t>出件数</t>
    <phoneticPr fontId="2" type="noConversion"/>
  </si>
  <si>
    <t>模具分摊数量</t>
    <phoneticPr fontId="2" type="noConversion"/>
  </si>
  <si>
    <t>未税模具费</t>
    <phoneticPr fontId="2" type="noConversion"/>
  </si>
  <si>
    <t>模摊费</t>
    <phoneticPr fontId="2" type="noConversion"/>
  </si>
  <si>
    <t>含模摊未税价</t>
    <phoneticPr fontId="2" type="noConversion"/>
  </si>
  <si>
    <t>工序费合计</t>
    <phoneticPr fontId="2" type="noConversion"/>
  </si>
  <si>
    <t>停供产品</t>
    <phoneticPr fontId="2" type="noConversion"/>
  </si>
  <si>
    <t>SHT0010786</t>
    <phoneticPr fontId="2" type="noConversion"/>
  </si>
  <si>
    <t>02.03.57.027</t>
    <phoneticPr fontId="2" type="noConversion"/>
  </si>
  <si>
    <t>H6罩壳固定钣金片</t>
    <phoneticPr fontId="2" type="noConversion"/>
  </si>
  <si>
    <t>H6橡胶垫安装支架</t>
    <phoneticPr fontId="2" type="noConversion"/>
  </si>
  <si>
    <t>02.03.57.018</t>
    <phoneticPr fontId="2" type="noConversion"/>
  </si>
  <si>
    <t>SHT0010699</t>
    <phoneticPr fontId="2" type="noConversion"/>
  </si>
  <si>
    <t>H6防尘罩支撑钣金</t>
    <phoneticPr fontId="2" type="noConversion"/>
  </si>
  <si>
    <t>SHT0010261</t>
    <phoneticPr fontId="2" type="noConversion"/>
  </si>
  <si>
    <t>H6罩壳固定钣金</t>
    <phoneticPr fontId="2" type="noConversion"/>
  </si>
  <si>
    <t>02.03.57.024</t>
    <phoneticPr fontId="2" type="noConversion"/>
  </si>
  <si>
    <t>SHT0010134</t>
    <phoneticPr fontId="2" type="noConversion"/>
  </si>
  <si>
    <t>02.03.57.029</t>
    <phoneticPr fontId="2" type="noConversion"/>
  </si>
  <si>
    <t>H6坐盆延伸固定钣金</t>
    <phoneticPr fontId="2" type="noConversion"/>
  </si>
  <si>
    <t>SHT0012971</t>
    <phoneticPr fontId="2" type="noConversion"/>
  </si>
  <si>
    <t>安全带上悬置固定板总成</t>
    <phoneticPr fontId="2" type="noConversion"/>
  </si>
  <si>
    <t>SHT0012843</t>
    <phoneticPr fontId="2" type="noConversion"/>
  </si>
  <si>
    <t>升降左前固定钣金(新状态B版)</t>
    <phoneticPr fontId="2" type="noConversion"/>
  </si>
  <si>
    <t>SHT0013700</t>
    <phoneticPr fontId="2" type="noConversion"/>
  </si>
  <si>
    <t>升降右前固定钣金(新状态B版)</t>
    <phoneticPr fontId="2" type="noConversion"/>
  </si>
  <si>
    <t>SHT0012844</t>
    <phoneticPr fontId="2" type="noConversion"/>
  </si>
  <si>
    <t>升降左后固定钣金(新状态B版)</t>
    <phoneticPr fontId="2" type="noConversion"/>
  </si>
  <si>
    <t>SHT0013699</t>
    <phoneticPr fontId="2" type="noConversion"/>
  </si>
  <si>
    <t>升降右后固定钣金(新状态B版)</t>
    <phoneticPr fontId="2" type="noConversion"/>
  </si>
  <si>
    <t>SHT0011999</t>
    <phoneticPr fontId="2" type="noConversion"/>
  </si>
  <si>
    <t>1.0座框前横梁</t>
    <phoneticPr fontId="2" type="noConversion"/>
  </si>
  <si>
    <t>SHT0012003</t>
    <phoneticPr fontId="2" type="noConversion"/>
  </si>
  <si>
    <t>升降拉线固定钣金</t>
    <phoneticPr fontId="2" type="noConversion"/>
  </si>
  <si>
    <t>SHT0012052</t>
    <phoneticPr fontId="2" type="noConversion"/>
  </si>
  <si>
    <t>主侧罩壳固定片1</t>
    <phoneticPr fontId="2" type="noConversion"/>
  </si>
  <si>
    <t>SHT0012111</t>
    <phoneticPr fontId="2" type="noConversion"/>
  </si>
  <si>
    <t>M4主边罩壳后固定板</t>
    <phoneticPr fontId="2" type="noConversion"/>
  </si>
  <si>
    <t>SHT0001857</t>
    <phoneticPr fontId="2" type="noConversion"/>
  </si>
  <si>
    <t>SHT0001859</t>
    <phoneticPr fontId="2" type="noConversion"/>
  </si>
  <si>
    <t>SHT0011723</t>
    <phoneticPr fontId="2" type="noConversion"/>
  </si>
  <si>
    <t>SHT0011778</t>
    <phoneticPr fontId="2" type="noConversion"/>
  </si>
  <si>
    <t>底座左连接板焊接总成</t>
    <phoneticPr fontId="2" type="noConversion"/>
  </si>
  <si>
    <t>底座右连接板焊接总成</t>
    <phoneticPr fontId="2" type="noConversion"/>
  </si>
  <si>
    <t>2021年核算明细表</t>
    <phoneticPr fontId="2" type="noConversion"/>
  </si>
  <si>
    <t>1.0座框前横梁SHT0011999</t>
    <phoneticPr fontId="2" type="noConversion"/>
  </si>
  <si>
    <t>YJ-6805305前罩壳固定片</t>
    <phoneticPr fontId="2" type="noConversion"/>
  </si>
  <si>
    <t>YJ-6805306左右罩壳中间固定片</t>
    <phoneticPr fontId="2" type="noConversion"/>
  </si>
  <si>
    <t>翻铆</t>
    <phoneticPr fontId="2" type="noConversion"/>
  </si>
  <si>
    <t>成型1</t>
    <phoneticPr fontId="2" type="noConversion"/>
  </si>
  <si>
    <t>成型2</t>
    <phoneticPr fontId="2" type="noConversion"/>
  </si>
  <si>
    <t>SPFH590</t>
    <phoneticPr fontId="2" type="noConversion"/>
  </si>
  <si>
    <t>SHT0011804</t>
    <phoneticPr fontId="2" type="noConversion"/>
  </si>
  <si>
    <t>安全带上悬置固定板SHT0012969</t>
    <phoneticPr fontId="2" type="noConversion"/>
  </si>
  <si>
    <t>焊接-委外</t>
    <phoneticPr fontId="2" type="noConversion"/>
  </si>
  <si>
    <t>上框后横梁</t>
    <phoneticPr fontId="2" type="noConversion"/>
  </si>
  <si>
    <t>02.03.37.040A</t>
    <phoneticPr fontId="2" type="noConversion"/>
  </si>
  <si>
    <t>F3000上框后横梁总成</t>
    <phoneticPr fontId="2" type="noConversion"/>
  </si>
  <si>
    <t>M8焊接螺母</t>
    <phoneticPr fontId="2" type="noConversion"/>
  </si>
  <si>
    <t>02.03.37.042</t>
    <phoneticPr fontId="2" type="noConversion"/>
  </si>
  <si>
    <t>SHT0001058</t>
    <phoneticPr fontId="2" type="noConversion"/>
  </si>
  <si>
    <t>仰角调节机构手柄钣金件</t>
    <phoneticPr fontId="2" type="noConversion"/>
  </si>
  <si>
    <t>02.03.26.022A</t>
    <phoneticPr fontId="2" type="noConversion"/>
  </si>
  <si>
    <t>T5稳定钣金</t>
    <phoneticPr fontId="2" type="noConversion"/>
  </si>
  <si>
    <t>T5座框前梁</t>
    <phoneticPr fontId="2" type="noConversion"/>
  </si>
  <si>
    <t>Q235</t>
    <phoneticPr fontId="2" type="noConversion"/>
  </si>
  <si>
    <t>02.03.27.008A</t>
    <phoneticPr fontId="2" type="noConversion"/>
  </si>
  <si>
    <t>D04导向板固定片</t>
    <phoneticPr fontId="2" type="noConversion"/>
  </si>
  <si>
    <t>主侧罩壳固定片2</t>
    <phoneticPr fontId="2" type="noConversion"/>
  </si>
  <si>
    <t>02.03.60.059</t>
    <phoneticPr fontId="2" type="noConversion"/>
  </si>
  <si>
    <t>SHT0012113</t>
    <phoneticPr fontId="2" type="noConversion"/>
  </si>
  <si>
    <t>M3000副边罩壳固定钣金</t>
    <phoneticPr fontId="2" type="noConversion"/>
  </si>
  <si>
    <t>压筋</t>
    <phoneticPr fontId="2" type="noConversion"/>
  </si>
  <si>
    <t>折弯</t>
    <phoneticPr fontId="2" type="noConversion"/>
  </si>
  <si>
    <t>副边罩壳固定钣金</t>
    <phoneticPr fontId="2" type="noConversion"/>
  </si>
  <si>
    <t>SHT0012497</t>
    <phoneticPr fontId="2" type="noConversion"/>
  </si>
  <si>
    <t>底座左连接板</t>
    <phoneticPr fontId="2" type="noConversion"/>
  </si>
  <si>
    <t>M10螺母</t>
    <phoneticPr fontId="2" type="noConversion"/>
  </si>
  <si>
    <t>02.03.61.027</t>
    <phoneticPr fontId="2" type="noConversion"/>
  </si>
  <si>
    <t>底座右连接板</t>
    <phoneticPr fontId="2" type="noConversion"/>
  </si>
  <si>
    <t>总成供货，单件也供货</t>
    <phoneticPr fontId="2" type="noConversion"/>
  </si>
  <si>
    <t>1.0座框前横梁总成</t>
    <phoneticPr fontId="2" type="noConversion"/>
  </si>
  <si>
    <t>SAPH440</t>
  </si>
  <si>
    <t>起突台</t>
    <phoneticPr fontId="2" type="noConversion"/>
  </si>
  <si>
    <t>下框横梁(19年加2个孔，但20年价格未体现)</t>
    <phoneticPr fontId="2" type="noConversion"/>
  </si>
  <si>
    <t>SHT0012498</t>
    <phoneticPr fontId="2" type="noConversion"/>
  </si>
  <si>
    <t>02.03.61.028</t>
    <phoneticPr fontId="2" type="noConversion"/>
  </si>
  <si>
    <t>02.03.57.023</t>
    <phoneticPr fontId="2" type="noConversion"/>
  </si>
  <si>
    <t>SHT0010240</t>
    <phoneticPr fontId="2" type="noConversion"/>
  </si>
  <si>
    <t>02.03.11.128</t>
    <phoneticPr fontId="2" type="noConversion"/>
  </si>
  <si>
    <t>02.03.61.071A</t>
    <phoneticPr fontId="2" type="noConversion"/>
  </si>
  <si>
    <t>02.03.61.072A</t>
    <phoneticPr fontId="2" type="noConversion"/>
  </si>
  <si>
    <t>02.03.61.073A</t>
    <phoneticPr fontId="2" type="noConversion"/>
  </si>
  <si>
    <t>02.03.61.074A</t>
    <phoneticPr fontId="2" type="noConversion"/>
  </si>
  <si>
    <t>02.03.60.057</t>
    <phoneticPr fontId="2" type="noConversion"/>
  </si>
  <si>
    <t>SHT0012212</t>
    <phoneticPr fontId="2" type="noConversion"/>
  </si>
  <si>
    <t>02.03.60.008</t>
    <phoneticPr fontId="2" type="noConversion"/>
  </si>
  <si>
    <t>02.03.60.014</t>
    <phoneticPr fontId="2" type="noConversion"/>
  </si>
  <si>
    <t>SHT0012054</t>
    <phoneticPr fontId="2" type="noConversion"/>
  </si>
  <si>
    <t>02.03.60.016</t>
    <phoneticPr fontId="2" type="noConversion"/>
  </si>
  <si>
    <t>02.03.61.008</t>
    <phoneticPr fontId="2" type="noConversion"/>
  </si>
  <si>
    <t>02.03.61.009</t>
    <phoneticPr fontId="2" type="noConversion"/>
  </si>
  <si>
    <t>02.03.11.108</t>
    <phoneticPr fontId="2" type="noConversion"/>
  </si>
  <si>
    <t>SHT0002071</t>
    <phoneticPr fontId="2" type="noConversion"/>
  </si>
  <si>
    <t>02.03.60.058</t>
    <phoneticPr fontId="2" type="noConversion"/>
  </si>
  <si>
    <t>SHT0012053</t>
    <phoneticPr fontId="2" type="noConversion"/>
  </si>
  <si>
    <t>02.03.60.060</t>
    <phoneticPr fontId="2" type="noConversion"/>
  </si>
  <si>
    <t>7/16焊接螺母</t>
    <phoneticPr fontId="2" type="noConversion"/>
  </si>
  <si>
    <t>落料共用</t>
    <phoneticPr fontId="2" type="noConversion"/>
  </si>
  <si>
    <t>仰角调节机构钣金件2</t>
    <phoneticPr fontId="2" type="noConversion"/>
  </si>
  <si>
    <t>落料没开</t>
    <phoneticPr fontId="2" type="noConversion"/>
  </si>
  <si>
    <t>2000另一面，鑫昌，成型</t>
    <phoneticPr fontId="2" type="noConversion"/>
  </si>
  <si>
    <t>2000另一面，鑫昌，新开成型，其他通用</t>
    <phoneticPr fontId="2" type="noConversion"/>
  </si>
  <si>
    <t>X5000副边罩壳固定钣金</t>
    <phoneticPr fontId="2" type="noConversion"/>
  </si>
  <si>
    <t>02.03.60.087</t>
    <phoneticPr fontId="2" type="noConversion"/>
  </si>
  <si>
    <t>SHT0013786</t>
    <phoneticPr fontId="2" type="noConversion"/>
  </si>
  <si>
    <t>SHT0011806</t>
    <phoneticPr fontId="2" type="noConversion"/>
  </si>
  <si>
    <t>02.03.11.110</t>
    <phoneticPr fontId="2" type="noConversion"/>
  </si>
  <si>
    <t>SHT0011805</t>
    <phoneticPr fontId="2" type="noConversion"/>
  </si>
  <si>
    <t>仰角调节机构钣金件1右</t>
    <phoneticPr fontId="2" type="noConversion"/>
  </si>
  <si>
    <t>仰角调节机构钣金件1左</t>
    <phoneticPr fontId="2" type="noConversion"/>
  </si>
  <si>
    <t>02.03.11.109</t>
    <phoneticPr fontId="2" type="noConversion"/>
  </si>
  <si>
    <t>老状态模具费18300</t>
    <phoneticPr fontId="2" type="noConversion"/>
  </si>
  <si>
    <t>17200检具新增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</si>
</sst>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);[Red]\(0.000\)"/>
    <numFmt numFmtId="177" formatCode="0.00_);[Red]\(0.00\)"/>
    <numFmt numFmtId="178" formatCode="0.00_ "/>
    <numFmt numFmtId="179" formatCode="0.0000_ "/>
    <numFmt numFmtId="180" formatCode="0_ "/>
    <numFmt numFmtId="181" formatCode="0.000_ "/>
    <numFmt numFmtId="182" formatCode="0_);[Red]\(0\)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5" applyNumberForma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178" fontId="7" fillId="4" borderId="5" xfId="0" applyNumberFormat="1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178" fontId="7" fillId="3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7" fontId="7" fillId="3" borderId="5" xfId="0" applyNumberFormat="1" applyFont="1" applyFill="1" applyBorder="1" applyAlignment="1">
      <alignment horizontal="center" vertical="center"/>
    </xf>
    <xf numFmtId="177" fontId="7" fillId="4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178" fontId="7" fillId="7" borderId="5" xfId="0" applyNumberFormat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0" xfId="1">
      <alignment vertical="center"/>
    </xf>
    <xf numFmtId="0" fontId="1" fillId="0" borderId="5" xfId="1" applyBorder="1" applyAlignment="1">
      <alignment horizontal="center" vertical="center"/>
    </xf>
    <xf numFmtId="178" fontId="9" fillId="2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 shrinkToFit="1"/>
    </xf>
    <xf numFmtId="178" fontId="6" fillId="0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>
      <alignment vertical="center"/>
    </xf>
    <xf numFmtId="0" fontId="7" fillId="0" borderId="0" xfId="0" applyFont="1">
      <alignment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1" fontId="7" fillId="4" borderId="5" xfId="0" applyNumberFormat="1" applyFont="1" applyFill="1" applyBorder="1" applyAlignment="1">
      <alignment horizontal="center" vertical="center" shrinkToFit="1"/>
    </xf>
    <xf numFmtId="177" fontId="7" fillId="4" borderId="5" xfId="0" applyNumberFormat="1" applyFont="1" applyFill="1" applyBorder="1">
      <alignment vertical="center"/>
    </xf>
    <xf numFmtId="176" fontId="7" fillId="4" borderId="5" xfId="0" applyNumberFormat="1" applyFont="1" applyFill="1" applyBorder="1" applyAlignment="1">
      <alignment vertical="center" shrinkToFit="1"/>
    </xf>
    <xf numFmtId="0" fontId="7" fillId="4" borderId="0" xfId="0" applyFont="1" applyFill="1">
      <alignment vertical="center"/>
    </xf>
    <xf numFmtId="0" fontId="7" fillId="4" borderId="5" xfId="0" applyFont="1" applyFill="1" applyBorder="1" applyAlignment="1">
      <alignment vertical="center" shrinkToFit="1"/>
    </xf>
    <xf numFmtId="182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>
      <alignment vertical="center"/>
    </xf>
    <xf numFmtId="179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77" fontId="7" fillId="4" borderId="5" xfId="0" applyNumberFormat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shrinkToFit="1"/>
    </xf>
    <xf numFmtId="0" fontId="7" fillId="7" borderId="0" xfId="0" applyFont="1" applyFill="1">
      <alignment vertical="center"/>
    </xf>
    <xf numFmtId="0" fontId="7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vertical="center" shrinkToFit="1"/>
    </xf>
    <xf numFmtId="177" fontId="7" fillId="7" borderId="5" xfId="0" applyNumberFormat="1" applyFont="1" applyFill="1" applyBorder="1" applyAlignment="1">
      <alignment horizontal="center" vertical="center"/>
    </xf>
    <xf numFmtId="177" fontId="7" fillId="7" borderId="5" xfId="0" applyNumberFormat="1" applyFont="1" applyFill="1" applyBorder="1">
      <alignment vertical="center"/>
    </xf>
    <xf numFmtId="176" fontId="7" fillId="7" borderId="5" xfId="0" applyNumberFormat="1" applyFont="1" applyFill="1" applyBorder="1" applyAlignment="1">
      <alignment vertical="center" shrinkToFit="1"/>
    </xf>
    <xf numFmtId="182" fontId="7" fillId="7" borderId="5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3" borderId="5" xfId="0" applyFont="1" applyFill="1" applyBorder="1" applyAlignment="1">
      <alignment vertical="center"/>
    </xf>
    <xf numFmtId="178" fontId="7" fillId="3" borderId="5" xfId="0" applyNumberFormat="1" applyFont="1" applyFill="1" applyBorder="1" applyAlignment="1">
      <alignment vertical="center"/>
    </xf>
    <xf numFmtId="0" fontId="7" fillId="3" borderId="0" xfId="0" applyFont="1" applyFill="1">
      <alignment vertical="center"/>
    </xf>
    <xf numFmtId="0" fontId="7" fillId="4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77" fontId="7" fillId="2" borderId="0" xfId="0" applyNumberFormat="1" applyFont="1" applyFill="1" applyAlignment="1">
      <alignment horizontal="center" vertical="center"/>
    </xf>
    <xf numFmtId="177" fontId="7" fillId="2" borderId="0" xfId="0" applyNumberFormat="1" applyFont="1" applyFill="1">
      <alignment vertical="center"/>
    </xf>
    <xf numFmtId="176" fontId="7" fillId="2" borderId="0" xfId="0" applyNumberFormat="1" applyFont="1" applyFill="1">
      <alignment vertical="center"/>
    </xf>
    <xf numFmtId="178" fontId="7" fillId="2" borderId="0" xfId="0" applyNumberFormat="1" applyFont="1" applyFill="1">
      <alignment vertical="center"/>
    </xf>
    <xf numFmtId="179" fontId="7" fillId="2" borderId="0" xfId="0" applyNumberFormat="1" applyFont="1" applyFill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7" fillId="6" borderId="0" xfId="0" applyNumberFormat="1" applyFont="1" applyFill="1">
      <alignment vertical="center"/>
    </xf>
    <xf numFmtId="179" fontId="7" fillId="5" borderId="0" xfId="0" applyNumberFormat="1" applyFont="1" applyFill="1">
      <alignment vertical="center"/>
    </xf>
    <xf numFmtId="179" fontId="7" fillId="6" borderId="0" xfId="0" applyNumberFormat="1" applyFont="1" applyFill="1">
      <alignment vertical="center"/>
    </xf>
    <xf numFmtId="179" fontId="7" fillId="6" borderId="5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5" xfId="0" applyFont="1" applyFill="1" applyBorder="1">
      <alignment vertical="center"/>
    </xf>
    <xf numFmtId="178" fontId="7" fillId="8" borderId="5" xfId="0" applyNumberFormat="1" applyFont="1" applyFill="1" applyBorder="1">
      <alignment vertical="center"/>
    </xf>
    <xf numFmtId="178" fontId="7" fillId="8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177" fontId="7" fillId="8" borderId="5" xfId="0" applyNumberFormat="1" applyFont="1" applyFill="1" applyBorder="1" applyAlignment="1">
      <alignment horizontal="center" vertical="center"/>
    </xf>
    <xf numFmtId="0" fontId="7" fillId="8" borderId="0" xfId="0" applyFont="1" applyFill="1">
      <alignment vertical="center"/>
    </xf>
    <xf numFmtId="0" fontId="10" fillId="8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 wrapText="1"/>
    </xf>
    <xf numFmtId="177" fontId="7" fillId="8" borderId="0" xfId="0" applyNumberFormat="1" applyFont="1" applyFill="1" applyAlignment="1">
      <alignment horizontal="center" vertical="center"/>
    </xf>
    <xf numFmtId="177" fontId="7" fillId="8" borderId="0" xfId="0" applyNumberFormat="1" applyFont="1" applyFill="1">
      <alignment vertical="center"/>
    </xf>
    <xf numFmtId="176" fontId="7" fillId="8" borderId="0" xfId="0" applyNumberFormat="1" applyFont="1" applyFill="1">
      <alignment vertical="center"/>
    </xf>
    <xf numFmtId="178" fontId="7" fillId="8" borderId="0" xfId="0" applyNumberFormat="1" applyFont="1" applyFill="1" applyAlignment="1">
      <alignment horizontal="center" vertical="center"/>
    </xf>
    <xf numFmtId="178" fontId="7" fillId="8" borderId="0" xfId="0" applyNumberFormat="1" applyFont="1" applyFill="1">
      <alignment vertical="center"/>
    </xf>
    <xf numFmtId="179" fontId="7" fillId="8" borderId="0" xfId="0" applyNumberFormat="1" applyFont="1" applyFill="1">
      <alignment vertical="center"/>
    </xf>
    <xf numFmtId="180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178" fontId="6" fillId="0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>
      <alignment vertical="center"/>
    </xf>
    <xf numFmtId="176" fontId="7" fillId="0" borderId="5" xfId="0" applyNumberFormat="1" applyFont="1" applyFill="1" applyBorder="1" applyAlignment="1">
      <alignment vertical="center" shrinkToFit="1"/>
    </xf>
    <xf numFmtId="0" fontId="7" fillId="0" borderId="5" xfId="0" applyFont="1" applyFill="1" applyBorder="1">
      <alignment vertical="center"/>
    </xf>
    <xf numFmtId="176" fontId="7" fillId="0" borderId="0" xfId="0" applyNumberFormat="1" applyFont="1" applyFill="1">
      <alignment vertical="center"/>
    </xf>
    <xf numFmtId="178" fontId="7" fillId="0" borderId="5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>
      <alignment vertical="center"/>
    </xf>
    <xf numFmtId="0" fontId="7" fillId="0" borderId="0" xfId="0" applyFont="1" applyAlignment="1">
      <alignment vertical="center"/>
    </xf>
    <xf numFmtId="180" fontId="7" fillId="2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78" fontId="7" fillId="4" borderId="5" xfId="0" applyNumberFormat="1" applyFont="1" applyFill="1" applyBorder="1" applyAlignment="1">
      <alignment horizontal="center" vertical="center"/>
    </xf>
    <xf numFmtId="180" fontId="7" fillId="4" borderId="5" xfId="0" applyNumberFormat="1" applyFont="1" applyFill="1" applyBorder="1" applyAlignment="1">
      <alignment horizontal="center" vertical="center"/>
    </xf>
    <xf numFmtId="180" fontId="7" fillId="4" borderId="5" xfId="0" applyNumberFormat="1" applyFont="1" applyFill="1" applyBorder="1" applyAlignment="1">
      <alignment horizontal="center" vertical="center"/>
    </xf>
    <xf numFmtId="178" fontId="7" fillId="4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80" fontId="6" fillId="2" borderId="5" xfId="0" applyNumberFormat="1" applyFont="1" applyFill="1" applyBorder="1" applyAlignment="1">
      <alignment horizontal="center" vertical="center"/>
    </xf>
    <xf numFmtId="179" fontId="6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178" fontId="7" fillId="4" borderId="5" xfId="0" applyNumberFormat="1" applyFont="1" applyFill="1" applyBorder="1" applyAlignment="1">
      <alignment horizontal="center" vertical="center"/>
    </xf>
    <xf numFmtId="180" fontId="7" fillId="4" borderId="5" xfId="0" applyNumberFormat="1" applyFont="1" applyFill="1" applyBorder="1" applyAlignment="1">
      <alignment horizontal="center" vertical="center"/>
    </xf>
    <xf numFmtId="180" fontId="7" fillId="4" borderId="5" xfId="0" applyNumberFormat="1" applyFont="1" applyFill="1" applyBorder="1" applyAlignment="1">
      <alignment horizontal="center" vertical="center"/>
    </xf>
    <xf numFmtId="178" fontId="7" fillId="4" borderId="5" xfId="0" applyNumberFormat="1" applyFont="1" applyFill="1" applyBorder="1" applyAlignment="1">
      <alignment horizontal="center" vertical="center"/>
    </xf>
    <xf numFmtId="180" fontId="7" fillId="4" borderId="5" xfId="0" applyNumberFormat="1" applyFont="1" applyFill="1" applyBorder="1" applyAlignment="1">
      <alignment horizontal="center" vertical="center"/>
    </xf>
    <xf numFmtId="180" fontId="7" fillId="2" borderId="5" xfId="0" applyNumberFormat="1" applyFont="1" applyFill="1" applyBorder="1" applyAlignment="1">
      <alignment vertical="center"/>
    </xf>
    <xf numFmtId="179" fontId="7" fillId="2" borderId="5" xfId="0" applyNumberFormat="1" applyFont="1" applyFill="1" applyBorder="1" applyAlignment="1">
      <alignment vertical="center" wrapText="1"/>
    </xf>
    <xf numFmtId="0" fontId="7" fillId="4" borderId="0" xfId="0" applyFont="1" applyFill="1" applyAlignment="1">
      <alignment horizontal="left" vertical="center"/>
    </xf>
    <xf numFmtId="179" fontId="7" fillId="4" borderId="5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178" fontId="7" fillId="4" borderId="2" xfId="0" applyNumberFormat="1" applyFont="1" applyFill="1" applyBorder="1" applyAlignment="1">
      <alignment horizontal="center" vertical="center"/>
    </xf>
    <xf numFmtId="178" fontId="7" fillId="4" borderId="4" xfId="0" applyNumberFormat="1" applyFont="1" applyFill="1" applyBorder="1" applyAlignment="1">
      <alignment horizontal="center" vertical="center"/>
    </xf>
    <xf numFmtId="178" fontId="7" fillId="4" borderId="6" xfId="0" applyNumberFormat="1" applyFont="1" applyFill="1" applyBorder="1" applyAlignment="1">
      <alignment horizontal="center" vertical="center"/>
    </xf>
    <xf numFmtId="0" fontId="7" fillId="9" borderId="2" xfId="0" quotePrefix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4" fontId="7" fillId="4" borderId="6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79" fontId="7" fillId="0" borderId="5" xfId="0" applyNumberFormat="1" applyFont="1" applyFill="1" applyBorder="1" applyAlignment="1">
      <alignment horizontal="center" vertical="center"/>
    </xf>
    <xf numFmtId="178" fontId="7" fillId="4" borderId="5" xfId="0" applyNumberFormat="1" applyFont="1" applyFill="1" applyBorder="1" applyAlignment="1">
      <alignment horizontal="center" vertical="center"/>
    </xf>
    <xf numFmtId="180" fontId="7" fillId="4" borderId="5" xfId="0" applyNumberFormat="1" applyFont="1" applyFill="1" applyBorder="1" applyAlignment="1">
      <alignment horizontal="center" vertical="center"/>
    </xf>
    <xf numFmtId="179" fontId="7" fillId="4" borderId="5" xfId="0" applyNumberFormat="1" applyFont="1" applyFill="1" applyBorder="1" applyAlignment="1">
      <alignment horizontal="center" vertical="center" wrapText="1"/>
    </xf>
    <xf numFmtId="179" fontId="7" fillId="3" borderId="5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180" fontId="7" fillId="4" borderId="2" xfId="0" applyNumberFormat="1" applyFont="1" applyFill="1" applyBorder="1" applyAlignment="1">
      <alignment horizontal="center" vertical="center"/>
    </xf>
    <xf numFmtId="180" fontId="7" fillId="4" borderId="4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center" vertical="center" wrapText="1"/>
    </xf>
    <xf numFmtId="179" fontId="7" fillId="4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0" borderId="6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179" fontId="7" fillId="7" borderId="5" xfId="0" applyNumberFormat="1" applyFont="1" applyFill="1" applyBorder="1" applyAlignment="1">
      <alignment horizontal="center" vertical="center"/>
    </xf>
    <xf numFmtId="178" fontId="7" fillId="7" borderId="5" xfId="0" applyNumberFormat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shrinkToFit="1"/>
    </xf>
    <xf numFmtId="178" fontId="7" fillId="7" borderId="5" xfId="0" applyNumberFormat="1" applyFont="1" applyFill="1" applyBorder="1" applyAlignment="1">
      <alignment horizontal="center" vertical="center"/>
    </xf>
    <xf numFmtId="179" fontId="7" fillId="6" borderId="5" xfId="0" applyNumberFormat="1" applyFont="1" applyFill="1" applyBorder="1" applyAlignment="1">
      <alignment horizontal="center" vertical="center"/>
    </xf>
    <xf numFmtId="179" fontId="7" fillId="8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78" fontId="7" fillId="3" borderId="5" xfId="0" applyNumberFormat="1" applyFont="1" applyFill="1" applyBorder="1" applyAlignment="1">
      <alignment horizontal="center" vertical="center"/>
    </xf>
    <xf numFmtId="177" fontId="7" fillId="3" borderId="5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178" fontId="7" fillId="8" borderId="9" xfId="0" applyNumberFormat="1" applyFont="1" applyFill="1" applyBorder="1" applyAlignment="1">
      <alignment horizontal="center" vertical="center"/>
    </xf>
    <xf numFmtId="178" fontId="7" fillId="8" borderId="10" xfId="0" applyNumberFormat="1" applyFont="1" applyFill="1" applyBorder="1" applyAlignment="1">
      <alignment horizontal="center" vertical="center"/>
    </xf>
    <xf numFmtId="178" fontId="7" fillId="8" borderId="11" xfId="0" applyNumberFormat="1" applyFont="1" applyFill="1" applyBorder="1" applyAlignment="1">
      <alignment horizontal="center" vertical="center"/>
    </xf>
    <xf numFmtId="177" fontId="7" fillId="8" borderId="5" xfId="0" applyNumberFormat="1" applyFont="1" applyFill="1" applyBorder="1" applyAlignment="1">
      <alignment horizontal="center" vertical="center"/>
    </xf>
  </cellXfs>
  <cellStyles count="6">
    <cellStyle name="BOM_Level_Below3" xfId="5" xr:uid="{04A54BD4-7BDC-4917-96A3-19C7DA7CA5F8}"/>
    <cellStyle name="百分比 2" xfId="3" xr:uid="{26B3589F-27DB-41A2-9A05-5D5929F205DE}"/>
    <cellStyle name="常规" xfId="0" builtinId="0"/>
    <cellStyle name="常规 2" xfId="1" xr:uid="{00000000-0005-0000-0000-000002000000}"/>
    <cellStyle name="常规 2 2 6" xfId="2" xr:uid="{00000000-0005-0000-0000-000003000000}"/>
    <cellStyle name="常规 3" xfId="4" xr:uid="{2DF9427C-A2EB-4EF5-9A4E-7FD0F2CCC34B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522F-0638-4473-A524-8CC7D795D14A}">
  <dimension ref="A1:C23"/>
  <sheetViews>
    <sheetView workbookViewId="0">
      <selection activeCell="F17" sqref="F17"/>
    </sheetView>
  </sheetViews>
  <sheetFormatPr defaultRowHeight="14.4"/>
  <cols>
    <col min="1" max="1" width="10.33203125" style="20" customWidth="1"/>
    <col min="2" max="2" width="11.21875" style="20" customWidth="1"/>
    <col min="3" max="3" width="13.109375" style="20" customWidth="1"/>
    <col min="4" max="17" width="7" style="16" customWidth="1"/>
    <col min="18" max="16384" width="8.88671875" style="16"/>
  </cols>
  <sheetData>
    <row r="1" spans="1:3">
      <c r="A1" s="15" t="s">
        <v>78</v>
      </c>
      <c r="B1" s="15" t="s">
        <v>79</v>
      </c>
      <c r="C1" s="15" t="s">
        <v>80</v>
      </c>
    </row>
    <row r="2" spans="1:3" ht="13.5" customHeight="1">
      <c r="A2" s="17" t="s">
        <v>81</v>
      </c>
      <c r="B2" s="17" t="s">
        <v>82</v>
      </c>
      <c r="C2" s="18">
        <v>0.03</v>
      </c>
    </row>
    <row r="3" spans="1:3" ht="13.5" customHeight="1">
      <c r="A3" s="17" t="s">
        <v>81</v>
      </c>
      <c r="B3" s="17" t="s">
        <v>83</v>
      </c>
      <c r="C3" s="18">
        <v>0.03</v>
      </c>
    </row>
    <row r="4" spans="1:3" ht="13.5" customHeight="1">
      <c r="A4" s="17" t="s">
        <v>81</v>
      </c>
      <c r="B4" s="17" t="s">
        <v>45</v>
      </c>
      <c r="C4" s="18">
        <v>0.03</v>
      </c>
    </row>
    <row r="5" spans="1:3" ht="13.5" customHeight="1">
      <c r="A5" s="17" t="s">
        <v>81</v>
      </c>
      <c r="B5" s="17" t="s">
        <v>84</v>
      </c>
      <c r="C5" s="18">
        <v>0.04</v>
      </c>
    </row>
    <row r="6" spans="1:3" ht="13.5" customHeight="1">
      <c r="A6" s="17" t="s">
        <v>81</v>
      </c>
      <c r="B6" s="17" t="s">
        <v>40</v>
      </c>
      <c r="C6" s="18">
        <v>0.04</v>
      </c>
    </row>
    <row r="7" spans="1:3" ht="13.5" customHeight="1">
      <c r="A7" s="17" t="s">
        <v>81</v>
      </c>
      <c r="B7" s="17" t="s">
        <v>85</v>
      </c>
      <c r="C7" s="18">
        <v>0.04</v>
      </c>
    </row>
    <row r="8" spans="1:3" ht="13.5" customHeight="1">
      <c r="A8" s="17" t="s">
        <v>81</v>
      </c>
      <c r="B8" s="17" t="s">
        <v>32</v>
      </c>
      <c r="C8" s="18">
        <v>0.05</v>
      </c>
    </row>
    <row r="9" spans="1:3" ht="13.5" customHeight="1">
      <c r="A9" s="17" t="s">
        <v>81</v>
      </c>
      <c r="B9" s="17" t="s">
        <v>27</v>
      </c>
      <c r="C9" s="18">
        <v>7.0000000000000007E-2</v>
      </c>
    </row>
    <row r="10" spans="1:3" ht="13.5" customHeight="1">
      <c r="A10" s="17" t="s">
        <v>81</v>
      </c>
      <c r="B10" s="17" t="s">
        <v>86</v>
      </c>
      <c r="C10" s="18">
        <v>7.4999999999999997E-2</v>
      </c>
    </row>
    <row r="11" spans="1:3" ht="13.5" customHeight="1">
      <c r="A11" s="17" t="s">
        <v>81</v>
      </c>
      <c r="B11" s="17" t="s">
        <v>42</v>
      </c>
      <c r="C11" s="18">
        <v>0.08</v>
      </c>
    </row>
    <row r="12" spans="1:3" ht="13.5" customHeight="1">
      <c r="A12" s="17" t="s">
        <v>81</v>
      </c>
      <c r="B12" s="17" t="s">
        <v>25</v>
      </c>
      <c r="C12" s="18">
        <v>0.1</v>
      </c>
    </row>
    <row r="13" spans="1:3" ht="13.5" customHeight="1">
      <c r="A13" s="17" t="s">
        <v>81</v>
      </c>
      <c r="B13" s="17" t="s">
        <v>41</v>
      </c>
      <c r="C13" s="19">
        <v>0.15</v>
      </c>
    </row>
    <row r="14" spans="1:3" ht="13.5" customHeight="1">
      <c r="A14" s="17" t="s">
        <v>81</v>
      </c>
      <c r="B14" s="17" t="s">
        <v>36</v>
      </c>
      <c r="C14" s="18">
        <v>0.18</v>
      </c>
    </row>
    <row r="15" spans="1:3" ht="13.5" customHeight="1">
      <c r="A15" s="17" t="s">
        <v>81</v>
      </c>
      <c r="B15" s="17" t="s">
        <v>87</v>
      </c>
      <c r="C15" s="19">
        <v>0.2</v>
      </c>
    </row>
    <row r="16" spans="1:3" ht="13.5" customHeight="1">
      <c r="A16" s="17" t="s">
        <v>81</v>
      </c>
      <c r="B16" s="17" t="s">
        <v>88</v>
      </c>
      <c r="C16" s="19">
        <v>0.28000000000000003</v>
      </c>
    </row>
    <row r="17" spans="1:3" ht="13.5" customHeight="1">
      <c r="A17" s="17" t="s">
        <v>81</v>
      </c>
      <c r="B17" s="17" t="s">
        <v>52</v>
      </c>
      <c r="C17" s="19"/>
    </row>
    <row r="18" spans="1:3" ht="13.5" customHeight="1">
      <c r="A18" s="17" t="s">
        <v>89</v>
      </c>
      <c r="B18" s="17" t="s">
        <v>25</v>
      </c>
      <c r="C18" s="19"/>
    </row>
    <row r="19" spans="1:3">
      <c r="A19" s="17" t="s">
        <v>89</v>
      </c>
      <c r="B19" s="17" t="s">
        <v>41</v>
      </c>
      <c r="C19" s="19">
        <v>0.2</v>
      </c>
    </row>
    <row r="20" spans="1:3">
      <c r="A20" s="17" t="s">
        <v>89</v>
      </c>
      <c r="B20" s="17" t="s">
        <v>87</v>
      </c>
      <c r="C20" s="19">
        <v>0.25</v>
      </c>
    </row>
    <row r="21" spans="1:3">
      <c r="A21" s="17" t="s">
        <v>89</v>
      </c>
      <c r="B21" s="17" t="s">
        <v>90</v>
      </c>
      <c r="C21" s="19">
        <v>0.53</v>
      </c>
    </row>
    <row r="22" spans="1:3">
      <c r="A22" s="17" t="s">
        <v>91</v>
      </c>
      <c r="B22" s="17" t="s">
        <v>92</v>
      </c>
      <c r="C22" s="19">
        <v>0.04</v>
      </c>
    </row>
    <row r="23" spans="1:3">
      <c r="A23" s="17" t="s">
        <v>93</v>
      </c>
      <c r="B23" s="17" t="s">
        <v>94</v>
      </c>
      <c r="C23" s="17">
        <v>7.0000000000000007E-2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E641-11E8-4D8F-BFCF-50CC5E44059A}">
  <dimension ref="A1:AG910"/>
  <sheetViews>
    <sheetView tabSelected="1" zoomScale="90" zoomScaleNormal="90" zoomScaleSheetLayoutView="90" workbookViewId="0">
      <pane xSplit="10" ySplit="3" topLeftCell="V37" activePane="bottomRight" state="frozen"/>
      <selection pane="topRight" activeCell="H1" sqref="H1"/>
      <selection pane="bottomLeft" activeCell="A4" sqref="A4"/>
      <selection pane="bottomRight" activeCell="C147" sqref="C147:C152"/>
    </sheetView>
  </sheetViews>
  <sheetFormatPr defaultColWidth="9" defaultRowHeight="12"/>
  <cols>
    <col min="1" max="1" width="3.33203125" style="24" customWidth="1"/>
    <col min="2" max="2" width="11.88671875" style="24" customWidth="1"/>
    <col min="3" max="3" width="12.77734375" style="61" customWidth="1"/>
    <col min="4" max="4" width="14.88671875" style="61" customWidth="1"/>
    <col min="5" max="5" width="12.77734375" style="61" customWidth="1"/>
    <col min="6" max="6" width="17.33203125" style="62" customWidth="1"/>
    <col min="7" max="7" width="6.44140625" style="62" customWidth="1"/>
    <col min="8" max="8" width="5.5546875" style="62" customWidth="1"/>
    <col min="9" max="9" width="9.6640625" style="105" customWidth="1"/>
    <col min="10" max="10" width="12.5546875" style="101" hidden="1" customWidth="1"/>
    <col min="11" max="11" width="4.44140625" style="24" customWidth="1"/>
    <col min="12" max="12" width="4.88671875" style="24" customWidth="1"/>
    <col min="13" max="13" width="4.21875" style="62" customWidth="1"/>
    <col min="14" max="14" width="7.77734375" style="63" customWidth="1"/>
    <col min="15" max="15" width="7.6640625" style="64" customWidth="1"/>
    <col min="16" max="16" width="9.44140625" style="65" customWidth="1"/>
    <col min="17" max="17" width="6.33203125" style="97" customWidth="1"/>
    <col min="18" max="18" width="6.33203125" style="65" customWidth="1"/>
    <col min="19" max="19" width="8.44140625" style="63" customWidth="1"/>
    <col min="20" max="20" width="10.21875" style="5" customWidth="1"/>
    <col min="21" max="21" width="8.44140625" style="5" customWidth="1"/>
    <col min="22" max="23" width="5.5546875" style="5" customWidth="1"/>
    <col min="24" max="24" width="9" style="99" customWidth="1"/>
    <col min="25" max="25" width="10.44140625" style="5" customWidth="1"/>
    <col min="26" max="26" width="7.88671875" style="100" customWidth="1"/>
    <col min="27" max="27" width="9.109375" style="23" customWidth="1"/>
    <col min="28" max="28" width="12.44140625" style="67" customWidth="1"/>
    <col min="29" max="29" width="10.88671875" style="67" customWidth="1"/>
    <col min="30" max="30" width="9.77734375" style="67" customWidth="1"/>
    <col min="31" max="31" width="9" style="67" customWidth="1"/>
    <col min="32" max="32" width="14" style="24" customWidth="1"/>
    <col min="33" max="16384" width="9" style="24"/>
  </cols>
  <sheetData>
    <row r="1" spans="1:32" ht="18" customHeight="1">
      <c r="A1" s="166" t="s">
        <v>139</v>
      </c>
      <c r="B1" s="166"/>
      <c r="C1" s="166"/>
      <c r="D1" s="166"/>
      <c r="E1" s="166"/>
      <c r="F1" s="166"/>
      <c r="G1" s="166"/>
      <c r="H1" s="166"/>
      <c r="I1" s="166"/>
      <c r="J1" s="167"/>
      <c r="K1" s="166"/>
      <c r="L1" s="166"/>
      <c r="M1" s="166"/>
      <c r="N1" s="168"/>
      <c r="O1" s="168"/>
      <c r="P1" s="169"/>
      <c r="Q1" s="169"/>
      <c r="R1" s="169"/>
      <c r="S1" s="168"/>
      <c r="T1" s="168"/>
      <c r="U1" s="168"/>
      <c r="V1" s="168"/>
      <c r="W1" s="168"/>
      <c r="X1" s="168"/>
      <c r="Y1" s="168"/>
      <c r="Z1" s="168"/>
      <c r="AB1" s="23"/>
      <c r="AC1" s="23"/>
      <c r="AD1" s="23"/>
      <c r="AE1" s="23"/>
    </row>
    <row r="2" spans="1:32" ht="15.9" customHeight="1">
      <c r="A2" s="25" t="s">
        <v>0</v>
      </c>
      <c r="B2" s="180" t="s">
        <v>16</v>
      </c>
      <c r="C2" s="170" t="s">
        <v>1</v>
      </c>
      <c r="D2" s="170" t="s">
        <v>1</v>
      </c>
      <c r="E2" s="170" t="s">
        <v>2</v>
      </c>
      <c r="F2" s="170" t="s">
        <v>17</v>
      </c>
      <c r="G2" s="178" t="s">
        <v>61</v>
      </c>
      <c r="H2" s="170" t="s">
        <v>18</v>
      </c>
      <c r="I2" s="170" t="s">
        <v>3</v>
      </c>
      <c r="J2" s="171" t="s">
        <v>77</v>
      </c>
      <c r="K2" s="175" t="s">
        <v>57</v>
      </c>
      <c r="L2" s="175" t="s">
        <v>58</v>
      </c>
      <c r="M2" s="175" t="s">
        <v>59</v>
      </c>
      <c r="N2" s="172" t="s">
        <v>4</v>
      </c>
      <c r="O2" s="172"/>
      <c r="P2" s="173" t="s">
        <v>5</v>
      </c>
      <c r="Q2" s="173"/>
      <c r="R2" s="173"/>
      <c r="S2" s="174" t="s">
        <v>6</v>
      </c>
      <c r="T2" s="177" t="s">
        <v>7</v>
      </c>
      <c r="U2" s="177"/>
      <c r="V2" s="177"/>
      <c r="W2" s="177"/>
      <c r="X2" s="177"/>
      <c r="Y2" s="177"/>
      <c r="Z2" s="93" t="s">
        <v>19</v>
      </c>
      <c r="AA2" s="149" t="s">
        <v>20</v>
      </c>
      <c r="AB2" s="164" t="s">
        <v>97</v>
      </c>
      <c r="AC2" s="162" t="s">
        <v>96</v>
      </c>
      <c r="AD2" s="162" t="s">
        <v>98</v>
      </c>
      <c r="AE2" s="162" t="s">
        <v>99</v>
      </c>
      <c r="AF2" s="161" t="s">
        <v>60</v>
      </c>
    </row>
    <row r="3" spans="1:32" ht="30.6" customHeight="1">
      <c r="A3" s="25" t="s">
        <v>8</v>
      </c>
      <c r="B3" s="181"/>
      <c r="C3" s="170"/>
      <c r="D3" s="170"/>
      <c r="E3" s="170"/>
      <c r="F3" s="170"/>
      <c r="G3" s="179"/>
      <c r="H3" s="170"/>
      <c r="I3" s="170"/>
      <c r="J3" s="171"/>
      <c r="K3" s="176"/>
      <c r="L3" s="176"/>
      <c r="M3" s="176"/>
      <c r="N3" s="26" t="s">
        <v>9</v>
      </c>
      <c r="O3" s="26" t="s">
        <v>10</v>
      </c>
      <c r="P3" s="27" t="s">
        <v>11</v>
      </c>
      <c r="Q3" s="110" t="s">
        <v>12</v>
      </c>
      <c r="R3" s="27" t="s">
        <v>10</v>
      </c>
      <c r="S3" s="174"/>
      <c r="T3" s="21" t="s">
        <v>13</v>
      </c>
      <c r="U3" s="22" t="s">
        <v>14</v>
      </c>
      <c r="V3" s="70" t="s">
        <v>64</v>
      </c>
      <c r="W3" s="70" t="s">
        <v>95</v>
      </c>
      <c r="X3" s="93" t="s">
        <v>15</v>
      </c>
      <c r="Y3" s="70" t="s">
        <v>100</v>
      </c>
      <c r="Z3" s="93" t="s">
        <v>22</v>
      </c>
      <c r="AA3" s="149"/>
      <c r="AB3" s="165"/>
      <c r="AC3" s="163"/>
      <c r="AD3" s="163"/>
      <c r="AE3" s="163"/>
      <c r="AF3" s="161"/>
    </row>
    <row r="4" spans="1:32" s="32" customFormat="1" ht="14.1" customHeight="1">
      <c r="A4" s="140">
        <v>1</v>
      </c>
      <c r="B4" s="143">
        <v>44553</v>
      </c>
      <c r="C4" s="146" t="s">
        <v>102</v>
      </c>
      <c r="D4" s="182" t="s">
        <v>103</v>
      </c>
      <c r="E4" s="134" t="s">
        <v>104</v>
      </c>
      <c r="F4" s="28" t="s">
        <v>23</v>
      </c>
      <c r="G4" s="28" t="s">
        <v>62</v>
      </c>
      <c r="H4" s="4">
        <v>1</v>
      </c>
      <c r="I4" s="103" t="s">
        <v>51</v>
      </c>
      <c r="J4" s="33"/>
      <c r="K4" s="29">
        <v>52</v>
      </c>
      <c r="L4" s="29">
        <v>23</v>
      </c>
      <c r="M4" s="28">
        <v>2</v>
      </c>
      <c r="N4" s="7">
        <v>6.25</v>
      </c>
      <c r="O4" s="30">
        <v>3.4</v>
      </c>
      <c r="P4" s="31">
        <f>K4*L4*M4*0.00000785</f>
        <v>1.8777199999999997E-2</v>
      </c>
      <c r="Q4" s="95">
        <v>6.0000000000000001E-3</v>
      </c>
      <c r="R4" s="31">
        <f>P4-Q4</f>
        <v>1.2777199999999997E-2</v>
      </c>
      <c r="S4" s="7">
        <f>(N4*P4-O4*R4)*H4</f>
        <v>7.3915019999999998E-2</v>
      </c>
      <c r="T4" s="1" t="s">
        <v>67</v>
      </c>
      <c r="U4" s="90">
        <v>40</v>
      </c>
      <c r="V4" s="90">
        <v>1</v>
      </c>
      <c r="W4" s="90">
        <v>1</v>
      </c>
      <c r="X4" s="98">
        <v>0.03</v>
      </c>
      <c r="Y4" s="1">
        <f>V4*X4/W4</f>
        <v>0.03</v>
      </c>
      <c r="Z4" s="137">
        <f>(S9+Y9)*1.2</f>
        <v>0.16069802399999999</v>
      </c>
      <c r="AA4" s="149">
        <f>Z4/1.13</f>
        <v>0.1422106407079646</v>
      </c>
      <c r="AB4" s="150">
        <v>3600</v>
      </c>
      <c r="AC4" s="151">
        <v>100000</v>
      </c>
      <c r="AD4" s="152">
        <f>AB4/AC4</f>
        <v>3.5999999999999997E-2</v>
      </c>
      <c r="AE4" s="153">
        <f>AA4+AD4</f>
        <v>0.17821064070796461</v>
      </c>
      <c r="AF4" s="124"/>
    </row>
    <row r="5" spans="1:32" s="32" customFormat="1" ht="14.1" customHeight="1">
      <c r="A5" s="141"/>
      <c r="B5" s="144"/>
      <c r="C5" s="147"/>
      <c r="D5" s="132"/>
      <c r="E5" s="135"/>
      <c r="F5" s="28"/>
      <c r="G5" s="28"/>
      <c r="H5" s="4"/>
      <c r="I5" s="103"/>
      <c r="J5" s="33"/>
      <c r="K5" s="33"/>
      <c r="L5" s="33"/>
      <c r="M5" s="33"/>
      <c r="N5" s="7"/>
      <c r="O5" s="30"/>
      <c r="P5" s="31"/>
      <c r="Q5" s="95"/>
      <c r="R5" s="31"/>
      <c r="S5" s="7"/>
      <c r="T5" s="1" t="s">
        <v>44</v>
      </c>
      <c r="U5" s="90">
        <v>40</v>
      </c>
      <c r="V5" s="90">
        <v>1</v>
      </c>
      <c r="W5" s="90">
        <v>1</v>
      </c>
      <c r="X5" s="98">
        <v>0.03</v>
      </c>
      <c r="Y5" s="1">
        <f>V5*X5/W5</f>
        <v>0.03</v>
      </c>
      <c r="Z5" s="138"/>
      <c r="AA5" s="149"/>
      <c r="AB5" s="150"/>
      <c r="AC5" s="151"/>
      <c r="AD5" s="152"/>
      <c r="AE5" s="153"/>
      <c r="AF5" s="124"/>
    </row>
    <row r="6" spans="1:32" s="32" customFormat="1" ht="14.1" customHeight="1">
      <c r="A6" s="141"/>
      <c r="B6" s="144"/>
      <c r="C6" s="147"/>
      <c r="D6" s="132"/>
      <c r="E6" s="135"/>
      <c r="F6" s="28"/>
      <c r="G6" s="28"/>
      <c r="H6" s="4"/>
      <c r="I6" s="103"/>
      <c r="J6" s="33"/>
      <c r="K6" s="33"/>
      <c r="L6" s="33"/>
      <c r="M6" s="33"/>
      <c r="N6" s="7"/>
      <c r="O6" s="30"/>
      <c r="P6" s="31"/>
      <c r="Q6" s="95"/>
      <c r="R6" s="31"/>
      <c r="S6" s="7"/>
      <c r="T6" s="1"/>
      <c r="U6" s="90"/>
      <c r="V6" s="90"/>
      <c r="W6" s="90"/>
      <c r="X6" s="98"/>
      <c r="Y6" s="1"/>
      <c r="Z6" s="138"/>
      <c r="AA6" s="149"/>
      <c r="AB6" s="150"/>
      <c r="AC6" s="151"/>
      <c r="AD6" s="152"/>
      <c r="AE6" s="153"/>
      <c r="AF6" s="124"/>
    </row>
    <row r="7" spans="1:32" s="32" customFormat="1" ht="23.4" customHeight="1">
      <c r="A7" s="141"/>
      <c r="B7" s="144"/>
      <c r="C7" s="147"/>
      <c r="D7" s="132"/>
      <c r="E7" s="135"/>
      <c r="F7" s="28"/>
      <c r="G7" s="28"/>
      <c r="H7" s="4"/>
      <c r="I7" s="103"/>
      <c r="J7" s="33"/>
      <c r="K7" s="28"/>
      <c r="L7" s="28"/>
      <c r="M7" s="28"/>
      <c r="N7" s="34"/>
      <c r="O7" s="30"/>
      <c r="P7" s="31"/>
      <c r="Q7" s="95"/>
      <c r="R7" s="31"/>
      <c r="S7" s="7"/>
      <c r="T7" s="1"/>
      <c r="U7" s="90"/>
      <c r="V7" s="90"/>
      <c r="W7" s="90"/>
      <c r="X7" s="98"/>
      <c r="Y7" s="1"/>
      <c r="Z7" s="138"/>
      <c r="AA7" s="149"/>
      <c r="AB7" s="150"/>
      <c r="AC7" s="151"/>
      <c r="AD7" s="152"/>
      <c r="AE7" s="153"/>
      <c r="AF7" s="124"/>
    </row>
    <row r="8" spans="1:32" s="32" customFormat="1" ht="14.1" customHeight="1">
      <c r="A8" s="141"/>
      <c r="B8" s="144"/>
      <c r="C8" s="147"/>
      <c r="D8" s="132"/>
      <c r="E8" s="135"/>
      <c r="F8" s="4"/>
      <c r="G8" s="4"/>
      <c r="H8" s="4"/>
      <c r="I8" s="104"/>
      <c r="J8" s="52"/>
      <c r="K8" s="35"/>
      <c r="L8" s="35"/>
      <c r="M8" s="35"/>
      <c r="N8" s="35"/>
      <c r="O8" s="35"/>
      <c r="P8" s="35"/>
      <c r="Q8" s="96"/>
      <c r="R8" s="35"/>
      <c r="S8" s="4"/>
      <c r="T8" s="1"/>
      <c r="U8" s="90"/>
      <c r="V8" s="90"/>
      <c r="W8" s="90"/>
      <c r="X8" s="98"/>
      <c r="Y8" s="1"/>
      <c r="Z8" s="139"/>
      <c r="AA8" s="149"/>
      <c r="AB8" s="150"/>
      <c r="AC8" s="151"/>
      <c r="AD8" s="152"/>
      <c r="AE8" s="153"/>
      <c r="AF8" s="124"/>
    </row>
    <row r="9" spans="1:32" s="37" customFormat="1" ht="14.1" customHeight="1">
      <c r="A9" s="142"/>
      <c r="B9" s="145"/>
      <c r="C9" s="148"/>
      <c r="D9" s="133"/>
      <c r="E9" s="136"/>
      <c r="F9" s="125" t="s">
        <v>65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7"/>
      <c r="S9" s="10">
        <f>SUM(S4:S8)</f>
        <v>7.3915019999999998E-2</v>
      </c>
      <c r="T9" s="2"/>
      <c r="U9" s="102"/>
      <c r="V9" s="102"/>
      <c r="W9" s="102"/>
      <c r="X9" s="2"/>
      <c r="Y9" s="2">
        <f>SUM(Y4:Y8)</f>
        <v>0.06</v>
      </c>
      <c r="Z9" s="2"/>
      <c r="AA9" s="36"/>
      <c r="AB9" s="36"/>
      <c r="AC9" s="36"/>
      <c r="AD9" s="36"/>
      <c r="AE9" s="36"/>
      <c r="AF9" s="36"/>
    </row>
    <row r="10" spans="1:32" s="32" customFormat="1" ht="14.1" customHeight="1">
      <c r="A10" s="140">
        <v>2</v>
      </c>
      <c r="B10" s="143">
        <v>44553</v>
      </c>
      <c r="C10" s="146" t="s">
        <v>107</v>
      </c>
      <c r="D10" s="131" t="s">
        <v>106</v>
      </c>
      <c r="E10" s="134" t="s">
        <v>105</v>
      </c>
      <c r="F10" s="92" t="s">
        <v>23</v>
      </c>
      <c r="G10" s="92" t="s">
        <v>62</v>
      </c>
      <c r="H10" s="91">
        <v>1</v>
      </c>
      <c r="I10" s="103" t="s">
        <v>51</v>
      </c>
      <c r="J10" s="33"/>
      <c r="K10" s="29">
        <v>86</v>
      </c>
      <c r="L10" s="29">
        <v>48</v>
      </c>
      <c r="M10" s="92">
        <v>2</v>
      </c>
      <c r="N10" s="39">
        <v>6.25</v>
      </c>
      <c r="O10" s="30">
        <v>3.4</v>
      </c>
      <c r="P10" s="31">
        <f>K10*L10*M10*0.00000785</f>
        <v>6.4809599999999995E-2</v>
      </c>
      <c r="Q10" s="95">
        <v>3.7999999999999999E-2</v>
      </c>
      <c r="R10" s="31">
        <f>P10-Q10</f>
        <v>2.6809599999999996E-2</v>
      </c>
      <c r="S10" s="39">
        <f>(N10*P10-O10*R10)*H10</f>
        <v>0.31390735999999997</v>
      </c>
      <c r="T10" s="106" t="s">
        <v>67</v>
      </c>
      <c r="U10" s="107">
        <v>80</v>
      </c>
      <c r="V10" s="107">
        <v>1</v>
      </c>
      <c r="W10" s="107">
        <v>1</v>
      </c>
      <c r="X10" s="98">
        <v>0.05</v>
      </c>
      <c r="Y10" s="106">
        <f>V10*X10/W10</f>
        <v>0.05</v>
      </c>
      <c r="Z10" s="137">
        <f>(S15+Y15)*1.2</f>
        <v>0.47268883199999995</v>
      </c>
      <c r="AA10" s="149">
        <f>Z10/1.13</f>
        <v>0.41830870088495575</v>
      </c>
      <c r="AB10" s="150">
        <v>4100</v>
      </c>
      <c r="AC10" s="151">
        <v>100000</v>
      </c>
      <c r="AD10" s="152">
        <f>AB10/AC10</f>
        <v>4.1000000000000002E-2</v>
      </c>
      <c r="AE10" s="153">
        <f>AA10+AD10</f>
        <v>0.45930870088495573</v>
      </c>
      <c r="AF10" s="124"/>
    </row>
    <row r="11" spans="1:32" s="32" customFormat="1" ht="14.1" customHeight="1">
      <c r="A11" s="141"/>
      <c r="B11" s="144"/>
      <c r="C11" s="147"/>
      <c r="D11" s="132"/>
      <c r="E11" s="135"/>
      <c r="F11" s="92"/>
      <c r="G11" s="92"/>
      <c r="H11" s="91"/>
      <c r="I11" s="103"/>
      <c r="J11" s="33"/>
      <c r="K11" s="33"/>
      <c r="L11" s="33"/>
      <c r="M11" s="33"/>
      <c r="N11" s="39"/>
      <c r="O11" s="30"/>
      <c r="P11" s="31"/>
      <c r="Q11" s="95"/>
      <c r="R11" s="31"/>
      <c r="S11" s="39"/>
      <c r="T11" s="106" t="s">
        <v>44</v>
      </c>
      <c r="U11" s="107">
        <v>40</v>
      </c>
      <c r="V11" s="107">
        <v>1</v>
      </c>
      <c r="W11" s="107">
        <v>1</v>
      </c>
      <c r="X11" s="98">
        <v>0.03</v>
      </c>
      <c r="Y11" s="106">
        <f>V11*X11/W11</f>
        <v>0.03</v>
      </c>
      <c r="Z11" s="138"/>
      <c r="AA11" s="149"/>
      <c r="AB11" s="150"/>
      <c r="AC11" s="151"/>
      <c r="AD11" s="152"/>
      <c r="AE11" s="153"/>
      <c r="AF11" s="124"/>
    </row>
    <row r="12" spans="1:32" s="32" customFormat="1" ht="14.1" customHeight="1">
      <c r="A12" s="141"/>
      <c r="B12" s="144"/>
      <c r="C12" s="147"/>
      <c r="D12" s="132"/>
      <c r="E12" s="135"/>
      <c r="F12" s="92"/>
      <c r="G12" s="92"/>
      <c r="H12" s="91"/>
      <c r="I12" s="103"/>
      <c r="J12" s="33"/>
      <c r="K12" s="33"/>
      <c r="L12" s="33"/>
      <c r="M12" s="33"/>
      <c r="N12" s="39"/>
      <c r="O12" s="30"/>
      <c r="P12" s="31"/>
      <c r="Q12" s="95"/>
      <c r="R12" s="31"/>
      <c r="S12" s="39"/>
      <c r="T12" s="106"/>
      <c r="U12" s="107"/>
      <c r="V12" s="107"/>
      <c r="W12" s="107"/>
      <c r="X12" s="98"/>
      <c r="Y12" s="106"/>
      <c r="Z12" s="138"/>
      <c r="AA12" s="149"/>
      <c r="AB12" s="150"/>
      <c r="AC12" s="151"/>
      <c r="AD12" s="152"/>
      <c r="AE12" s="153"/>
      <c r="AF12" s="124"/>
    </row>
    <row r="13" spans="1:32" s="32" customFormat="1" ht="23.4" customHeight="1">
      <c r="A13" s="141"/>
      <c r="B13" s="144"/>
      <c r="C13" s="147"/>
      <c r="D13" s="132"/>
      <c r="E13" s="135"/>
      <c r="F13" s="92"/>
      <c r="G13" s="92"/>
      <c r="H13" s="91"/>
      <c r="I13" s="103"/>
      <c r="J13" s="33"/>
      <c r="K13" s="92"/>
      <c r="L13" s="92"/>
      <c r="M13" s="92"/>
      <c r="N13" s="34"/>
      <c r="O13" s="30"/>
      <c r="P13" s="31"/>
      <c r="Q13" s="95"/>
      <c r="R13" s="31"/>
      <c r="S13" s="39"/>
      <c r="T13" s="106"/>
      <c r="U13" s="107"/>
      <c r="V13" s="107"/>
      <c r="W13" s="107"/>
      <c r="X13" s="98"/>
      <c r="Y13" s="106"/>
      <c r="Z13" s="138"/>
      <c r="AA13" s="149"/>
      <c r="AB13" s="150"/>
      <c r="AC13" s="151"/>
      <c r="AD13" s="152"/>
      <c r="AE13" s="153"/>
      <c r="AF13" s="124"/>
    </row>
    <row r="14" spans="1:32" s="32" customFormat="1" ht="14.1" customHeight="1">
      <c r="A14" s="141"/>
      <c r="B14" s="144"/>
      <c r="C14" s="147"/>
      <c r="D14" s="132"/>
      <c r="E14" s="135"/>
      <c r="F14" s="91"/>
      <c r="G14" s="91"/>
      <c r="H14" s="91"/>
      <c r="I14" s="104"/>
      <c r="J14" s="52"/>
      <c r="K14" s="35"/>
      <c r="L14" s="35"/>
      <c r="M14" s="35"/>
      <c r="N14" s="35"/>
      <c r="O14" s="35"/>
      <c r="P14" s="35"/>
      <c r="Q14" s="96"/>
      <c r="R14" s="35"/>
      <c r="S14" s="91"/>
      <c r="T14" s="106"/>
      <c r="U14" s="107"/>
      <c r="V14" s="107"/>
      <c r="W14" s="107"/>
      <c r="X14" s="98"/>
      <c r="Y14" s="106"/>
      <c r="Z14" s="139"/>
      <c r="AA14" s="149"/>
      <c r="AB14" s="150"/>
      <c r="AC14" s="151"/>
      <c r="AD14" s="152"/>
      <c r="AE14" s="153"/>
      <c r="AF14" s="124"/>
    </row>
    <row r="15" spans="1:32" s="37" customFormat="1" ht="14.1" customHeight="1">
      <c r="A15" s="142"/>
      <c r="B15" s="145"/>
      <c r="C15" s="148"/>
      <c r="D15" s="133"/>
      <c r="E15" s="136"/>
      <c r="F15" s="125" t="s">
        <v>65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7"/>
      <c r="S15" s="10">
        <f>SUM(S10:S14)</f>
        <v>0.31390735999999997</v>
      </c>
      <c r="T15" s="2"/>
      <c r="U15" s="102"/>
      <c r="V15" s="102"/>
      <c r="W15" s="102"/>
      <c r="X15" s="2"/>
      <c r="Y15" s="2">
        <f>SUM(Y10:Y14)</f>
        <v>0.08</v>
      </c>
      <c r="Z15" s="2"/>
      <c r="AA15" s="36"/>
      <c r="AB15" s="36"/>
      <c r="AC15" s="36"/>
      <c r="AD15" s="36"/>
      <c r="AE15" s="36"/>
      <c r="AF15" s="36"/>
    </row>
    <row r="16" spans="1:32" s="32" customFormat="1" ht="14.1" customHeight="1">
      <c r="A16" s="140">
        <v>3</v>
      </c>
      <c r="B16" s="143">
        <v>44553</v>
      </c>
      <c r="C16" s="146" t="s">
        <v>183</v>
      </c>
      <c r="D16" s="131" t="s">
        <v>182</v>
      </c>
      <c r="E16" s="134" t="s">
        <v>108</v>
      </c>
      <c r="F16" s="92" t="s">
        <v>23</v>
      </c>
      <c r="G16" s="92" t="s">
        <v>62</v>
      </c>
      <c r="H16" s="91">
        <v>1</v>
      </c>
      <c r="I16" s="103" t="s">
        <v>177</v>
      </c>
      <c r="J16" s="33"/>
      <c r="K16" s="29">
        <v>57</v>
      </c>
      <c r="L16" s="29">
        <v>24</v>
      </c>
      <c r="M16" s="92">
        <v>2</v>
      </c>
      <c r="N16" s="39">
        <v>6.25</v>
      </c>
      <c r="O16" s="30">
        <v>3.4</v>
      </c>
      <c r="P16" s="31">
        <f>K16*L16*M16*0.00000785</f>
        <v>2.1477599999999999E-2</v>
      </c>
      <c r="Q16" s="95">
        <v>1.0999999999999999E-2</v>
      </c>
      <c r="R16" s="31">
        <f>P16-Q16</f>
        <v>1.04776E-2</v>
      </c>
      <c r="S16" s="39">
        <f>(N16*P16-O16*R16)*H16</f>
        <v>9.8611160000000003E-2</v>
      </c>
      <c r="T16" s="106" t="s">
        <v>67</v>
      </c>
      <c r="U16" s="107">
        <v>40</v>
      </c>
      <c r="V16" s="107">
        <v>1</v>
      </c>
      <c r="W16" s="107">
        <v>1</v>
      </c>
      <c r="X16" s="98">
        <v>0.03</v>
      </c>
      <c r="Y16" s="106">
        <f>V16*X16/W16</f>
        <v>0.03</v>
      </c>
      <c r="Z16" s="137">
        <f>(S21+Y21)*1.2</f>
        <v>0.22633339199999999</v>
      </c>
      <c r="AA16" s="149">
        <f>Z16/1.13</f>
        <v>0.20029503716814159</v>
      </c>
      <c r="AB16" s="150">
        <v>4300</v>
      </c>
      <c r="AC16" s="151">
        <v>100000</v>
      </c>
      <c r="AD16" s="152">
        <f>AB16/AC16</f>
        <v>4.2999999999999997E-2</v>
      </c>
      <c r="AE16" s="153">
        <f>AA16+AD16</f>
        <v>0.2432950371681416</v>
      </c>
      <c r="AF16" s="124"/>
    </row>
    <row r="17" spans="1:32" s="32" customFormat="1" ht="14.1" customHeight="1">
      <c r="A17" s="141"/>
      <c r="B17" s="144"/>
      <c r="C17" s="147"/>
      <c r="D17" s="132"/>
      <c r="E17" s="135"/>
      <c r="F17" s="92"/>
      <c r="G17" s="92"/>
      <c r="H17" s="91"/>
      <c r="I17" s="103"/>
      <c r="J17" s="33"/>
      <c r="K17" s="33"/>
      <c r="L17" s="33"/>
      <c r="M17" s="33"/>
      <c r="N17" s="39"/>
      <c r="O17" s="30"/>
      <c r="P17" s="31"/>
      <c r="Q17" s="95"/>
      <c r="R17" s="31"/>
      <c r="S17" s="39"/>
      <c r="T17" s="106" t="s">
        <v>44</v>
      </c>
      <c r="U17" s="107">
        <v>40</v>
      </c>
      <c r="V17" s="107">
        <v>1</v>
      </c>
      <c r="W17" s="107">
        <v>1</v>
      </c>
      <c r="X17" s="98">
        <v>0.03</v>
      </c>
      <c r="Y17" s="106">
        <f>V17*X17/W17</f>
        <v>0.03</v>
      </c>
      <c r="Z17" s="138"/>
      <c r="AA17" s="149"/>
      <c r="AB17" s="150"/>
      <c r="AC17" s="151"/>
      <c r="AD17" s="152"/>
      <c r="AE17" s="153"/>
      <c r="AF17" s="124"/>
    </row>
    <row r="18" spans="1:32" s="32" customFormat="1" ht="14.1" customHeight="1">
      <c r="A18" s="141"/>
      <c r="B18" s="144"/>
      <c r="C18" s="147"/>
      <c r="D18" s="132"/>
      <c r="E18" s="135"/>
      <c r="F18" s="92"/>
      <c r="G18" s="92"/>
      <c r="H18" s="91"/>
      <c r="I18" s="103"/>
      <c r="J18" s="33"/>
      <c r="K18" s="33"/>
      <c r="L18" s="33"/>
      <c r="M18" s="33"/>
      <c r="N18" s="39"/>
      <c r="O18" s="30"/>
      <c r="P18" s="31"/>
      <c r="Q18" s="95"/>
      <c r="R18" s="31"/>
      <c r="S18" s="39"/>
      <c r="T18" s="106" t="s">
        <v>178</v>
      </c>
      <c r="U18" s="107">
        <v>25</v>
      </c>
      <c r="V18" s="107">
        <v>1</v>
      </c>
      <c r="W18" s="107">
        <v>1</v>
      </c>
      <c r="X18" s="98">
        <v>0.03</v>
      </c>
      <c r="Y18" s="106">
        <f>V18*X18/W18</f>
        <v>0.03</v>
      </c>
      <c r="Z18" s="138"/>
      <c r="AA18" s="149"/>
      <c r="AB18" s="150"/>
      <c r="AC18" s="151"/>
      <c r="AD18" s="152"/>
      <c r="AE18" s="153"/>
      <c r="AF18" s="124"/>
    </row>
    <row r="19" spans="1:32" s="32" customFormat="1" ht="23.4" customHeight="1">
      <c r="A19" s="141"/>
      <c r="B19" s="144"/>
      <c r="C19" s="147"/>
      <c r="D19" s="132"/>
      <c r="E19" s="135"/>
      <c r="F19" s="92"/>
      <c r="G19" s="92"/>
      <c r="H19" s="91"/>
      <c r="I19" s="103"/>
      <c r="J19" s="33"/>
      <c r="K19" s="92"/>
      <c r="L19" s="92"/>
      <c r="M19" s="92"/>
      <c r="N19" s="34"/>
      <c r="O19" s="30"/>
      <c r="P19" s="31"/>
      <c r="Q19" s="95"/>
      <c r="R19" s="31"/>
      <c r="S19" s="39"/>
      <c r="T19" s="106"/>
      <c r="U19" s="107"/>
      <c r="V19" s="107"/>
      <c r="W19" s="107"/>
      <c r="X19" s="98"/>
      <c r="Y19" s="106"/>
      <c r="Z19" s="138"/>
      <c r="AA19" s="149"/>
      <c r="AB19" s="150"/>
      <c r="AC19" s="151"/>
      <c r="AD19" s="152"/>
      <c r="AE19" s="153"/>
      <c r="AF19" s="124"/>
    </row>
    <row r="20" spans="1:32" s="32" customFormat="1" ht="14.1" customHeight="1">
      <c r="A20" s="141"/>
      <c r="B20" s="144"/>
      <c r="C20" s="147"/>
      <c r="D20" s="132"/>
      <c r="E20" s="135"/>
      <c r="F20" s="91"/>
      <c r="G20" s="91"/>
      <c r="H20" s="91"/>
      <c r="I20" s="104"/>
      <c r="J20" s="52"/>
      <c r="K20" s="35"/>
      <c r="L20" s="35"/>
      <c r="M20" s="35"/>
      <c r="N20" s="35"/>
      <c r="O20" s="35"/>
      <c r="P20" s="35"/>
      <c r="Q20" s="96"/>
      <c r="R20" s="35"/>
      <c r="S20" s="91"/>
      <c r="T20" s="106"/>
      <c r="U20" s="107"/>
      <c r="V20" s="107"/>
      <c r="W20" s="107"/>
      <c r="X20" s="98"/>
      <c r="Y20" s="106"/>
      <c r="Z20" s="139"/>
      <c r="AA20" s="149"/>
      <c r="AB20" s="150"/>
      <c r="AC20" s="151"/>
      <c r="AD20" s="152"/>
      <c r="AE20" s="153"/>
      <c r="AF20" s="124"/>
    </row>
    <row r="21" spans="1:32" s="37" customFormat="1" ht="14.1" customHeight="1">
      <c r="A21" s="142"/>
      <c r="B21" s="145"/>
      <c r="C21" s="148"/>
      <c r="D21" s="133"/>
      <c r="E21" s="136"/>
      <c r="F21" s="125" t="s">
        <v>65</v>
      </c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7"/>
      <c r="S21" s="10">
        <f>SUM(S16:S20)</f>
        <v>9.8611160000000003E-2</v>
      </c>
      <c r="T21" s="2"/>
      <c r="U21" s="102"/>
      <c r="V21" s="102"/>
      <c r="W21" s="102"/>
      <c r="X21" s="2"/>
      <c r="Y21" s="2">
        <f>SUM(Y16:Y20)</f>
        <v>0.09</v>
      </c>
      <c r="Z21" s="2"/>
      <c r="AA21" s="36"/>
      <c r="AB21" s="36"/>
      <c r="AC21" s="36"/>
      <c r="AD21" s="36"/>
      <c r="AE21" s="36"/>
      <c r="AF21" s="36"/>
    </row>
    <row r="22" spans="1:32" s="32" customFormat="1" ht="14.1" customHeight="1">
      <c r="A22" s="140">
        <v>4</v>
      </c>
      <c r="B22" s="143">
        <v>44553</v>
      </c>
      <c r="C22" s="146" t="s">
        <v>109</v>
      </c>
      <c r="D22" s="131" t="s">
        <v>111</v>
      </c>
      <c r="E22" s="134" t="s">
        <v>110</v>
      </c>
      <c r="F22" s="92" t="s">
        <v>23</v>
      </c>
      <c r="G22" s="92" t="s">
        <v>62</v>
      </c>
      <c r="H22" s="91">
        <v>1</v>
      </c>
      <c r="I22" s="103" t="s">
        <v>51</v>
      </c>
      <c r="J22" s="33"/>
      <c r="K22" s="29">
        <f>51+4</f>
        <v>55</v>
      </c>
      <c r="L22" s="29">
        <v>23</v>
      </c>
      <c r="M22" s="92">
        <v>2</v>
      </c>
      <c r="N22" s="39">
        <v>6.25</v>
      </c>
      <c r="O22" s="30">
        <v>3.4</v>
      </c>
      <c r="P22" s="31">
        <f>K22*L22*M22*0.00000785</f>
        <v>1.98605E-2</v>
      </c>
      <c r="Q22" s="95">
        <v>8.9999999999999993E-3</v>
      </c>
      <c r="R22" s="31">
        <f>P22-Q22</f>
        <v>1.08605E-2</v>
      </c>
      <c r="S22" s="39">
        <f>(N22*P22-O22*R22)*H22</f>
        <v>8.7202425E-2</v>
      </c>
      <c r="T22" s="106" t="s">
        <v>67</v>
      </c>
      <c r="U22" s="107">
        <v>40</v>
      </c>
      <c r="V22" s="107">
        <v>1</v>
      </c>
      <c r="W22" s="107">
        <v>1</v>
      </c>
      <c r="X22" s="98">
        <v>0.03</v>
      </c>
      <c r="Y22" s="106">
        <f>V22*X22/W22</f>
        <v>0.03</v>
      </c>
      <c r="Z22" s="137">
        <f>(S27+Y27)*1.2</f>
        <v>0.17664290999999999</v>
      </c>
      <c r="AA22" s="149">
        <f>Z22/1.13</f>
        <v>0.15632115929203541</v>
      </c>
      <c r="AB22" s="150">
        <v>3600</v>
      </c>
      <c r="AC22" s="151">
        <v>100000</v>
      </c>
      <c r="AD22" s="152">
        <f>AB22/AC22</f>
        <v>3.5999999999999997E-2</v>
      </c>
      <c r="AE22" s="153">
        <f>AA22+AD22</f>
        <v>0.19232115929203542</v>
      </c>
      <c r="AF22" s="124"/>
    </row>
    <row r="23" spans="1:32" s="32" customFormat="1" ht="14.1" customHeight="1">
      <c r="A23" s="141"/>
      <c r="B23" s="144"/>
      <c r="C23" s="147"/>
      <c r="D23" s="132"/>
      <c r="E23" s="135"/>
      <c r="F23" s="92"/>
      <c r="G23" s="92"/>
      <c r="H23" s="91"/>
      <c r="I23" s="103"/>
      <c r="J23" s="33"/>
      <c r="K23" s="33"/>
      <c r="L23" s="33"/>
      <c r="M23" s="33"/>
      <c r="N23" s="39"/>
      <c r="O23" s="30"/>
      <c r="P23" s="31"/>
      <c r="Q23" s="95"/>
      <c r="R23" s="31"/>
      <c r="S23" s="39"/>
      <c r="T23" s="106" t="s">
        <v>44</v>
      </c>
      <c r="U23" s="107">
        <v>25</v>
      </c>
      <c r="V23" s="107">
        <v>1</v>
      </c>
      <c r="W23" s="107">
        <v>1</v>
      </c>
      <c r="X23" s="98">
        <v>0.03</v>
      </c>
      <c r="Y23" s="106">
        <f>V23*X23/W23</f>
        <v>0.03</v>
      </c>
      <c r="Z23" s="138"/>
      <c r="AA23" s="149"/>
      <c r="AB23" s="150"/>
      <c r="AC23" s="151"/>
      <c r="AD23" s="152"/>
      <c r="AE23" s="153"/>
      <c r="AF23" s="124"/>
    </row>
    <row r="24" spans="1:32" s="32" customFormat="1" ht="14.1" customHeight="1">
      <c r="A24" s="141"/>
      <c r="B24" s="144"/>
      <c r="C24" s="147"/>
      <c r="D24" s="132"/>
      <c r="E24" s="135"/>
      <c r="F24" s="92"/>
      <c r="G24" s="92"/>
      <c r="H24" s="91"/>
      <c r="I24" s="103"/>
      <c r="J24" s="33"/>
      <c r="K24" s="33"/>
      <c r="L24" s="33"/>
      <c r="M24" s="33"/>
      <c r="N24" s="39"/>
      <c r="O24" s="30"/>
      <c r="P24" s="31"/>
      <c r="Q24" s="95"/>
      <c r="R24" s="31"/>
      <c r="S24" s="39"/>
      <c r="T24" s="106"/>
      <c r="U24" s="107"/>
      <c r="V24" s="107"/>
      <c r="W24" s="107"/>
      <c r="X24" s="98"/>
      <c r="Y24" s="106"/>
      <c r="Z24" s="138"/>
      <c r="AA24" s="149"/>
      <c r="AB24" s="150"/>
      <c r="AC24" s="151"/>
      <c r="AD24" s="152"/>
      <c r="AE24" s="153"/>
      <c r="AF24" s="124"/>
    </row>
    <row r="25" spans="1:32" s="32" customFormat="1" ht="23.4" customHeight="1">
      <c r="A25" s="141"/>
      <c r="B25" s="144"/>
      <c r="C25" s="147"/>
      <c r="D25" s="132"/>
      <c r="E25" s="135"/>
      <c r="F25" s="92"/>
      <c r="G25" s="92"/>
      <c r="H25" s="91"/>
      <c r="I25" s="103"/>
      <c r="J25" s="33"/>
      <c r="K25" s="92"/>
      <c r="L25" s="92"/>
      <c r="M25" s="92"/>
      <c r="N25" s="34"/>
      <c r="O25" s="30"/>
      <c r="P25" s="31"/>
      <c r="Q25" s="95"/>
      <c r="R25" s="31"/>
      <c r="S25" s="39"/>
      <c r="T25" s="106"/>
      <c r="U25" s="107"/>
      <c r="V25" s="107"/>
      <c r="W25" s="107"/>
      <c r="X25" s="98"/>
      <c r="Y25" s="106"/>
      <c r="Z25" s="138"/>
      <c r="AA25" s="149"/>
      <c r="AB25" s="150"/>
      <c r="AC25" s="151"/>
      <c r="AD25" s="152"/>
      <c r="AE25" s="153"/>
      <c r="AF25" s="124"/>
    </row>
    <row r="26" spans="1:32" s="32" customFormat="1" ht="14.1" customHeight="1">
      <c r="A26" s="141"/>
      <c r="B26" s="144"/>
      <c r="C26" s="147"/>
      <c r="D26" s="132"/>
      <c r="E26" s="135"/>
      <c r="F26" s="91"/>
      <c r="G26" s="91"/>
      <c r="H26" s="91"/>
      <c r="I26" s="104"/>
      <c r="J26" s="52"/>
      <c r="K26" s="35"/>
      <c r="L26" s="35"/>
      <c r="M26" s="35"/>
      <c r="N26" s="35"/>
      <c r="O26" s="35"/>
      <c r="P26" s="35"/>
      <c r="Q26" s="96"/>
      <c r="R26" s="35"/>
      <c r="S26" s="91"/>
      <c r="T26" s="106"/>
      <c r="U26" s="107"/>
      <c r="V26" s="107"/>
      <c r="W26" s="107"/>
      <c r="X26" s="98"/>
      <c r="Y26" s="106"/>
      <c r="Z26" s="139"/>
      <c r="AA26" s="149"/>
      <c r="AB26" s="150"/>
      <c r="AC26" s="151"/>
      <c r="AD26" s="152"/>
      <c r="AE26" s="153"/>
      <c r="AF26" s="124"/>
    </row>
    <row r="27" spans="1:32" s="37" customFormat="1" ht="14.1" customHeight="1">
      <c r="A27" s="142"/>
      <c r="B27" s="145"/>
      <c r="C27" s="148"/>
      <c r="D27" s="133"/>
      <c r="E27" s="136"/>
      <c r="F27" s="125" t="s">
        <v>65</v>
      </c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7"/>
      <c r="S27" s="10">
        <f>SUM(S22:S26)</f>
        <v>8.7202425E-2</v>
      </c>
      <c r="T27" s="2"/>
      <c r="U27" s="102"/>
      <c r="V27" s="102"/>
      <c r="W27" s="102"/>
      <c r="X27" s="2"/>
      <c r="Y27" s="2">
        <f>SUM(Y22:Y26)</f>
        <v>0.06</v>
      </c>
      <c r="Z27" s="2"/>
      <c r="AA27" s="36"/>
      <c r="AB27" s="36"/>
      <c r="AC27" s="36"/>
      <c r="AD27" s="36"/>
      <c r="AE27" s="36"/>
      <c r="AF27" s="36"/>
    </row>
    <row r="28" spans="1:32" s="32" customFormat="1" ht="14.1" customHeight="1">
      <c r="A28" s="140">
        <v>5</v>
      </c>
      <c r="B28" s="143">
        <v>44553</v>
      </c>
      <c r="C28" s="146" t="s">
        <v>112</v>
      </c>
      <c r="D28" s="131" t="s">
        <v>113</v>
      </c>
      <c r="E28" s="134" t="s">
        <v>114</v>
      </c>
      <c r="F28" s="92" t="s">
        <v>23</v>
      </c>
      <c r="G28" s="92" t="s">
        <v>62</v>
      </c>
      <c r="H28" s="91">
        <v>1</v>
      </c>
      <c r="I28" s="103" t="s">
        <v>51</v>
      </c>
      <c r="J28" s="33"/>
      <c r="K28" s="29">
        <f>72+4</f>
        <v>76</v>
      </c>
      <c r="L28" s="29">
        <v>43</v>
      </c>
      <c r="M28" s="92">
        <v>2</v>
      </c>
      <c r="N28" s="39">
        <v>6.25</v>
      </c>
      <c r="O28" s="30">
        <v>3.4</v>
      </c>
      <c r="P28" s="31">
        <f>K28*L28*M28*0.00000785</f>
        <v>5.1307599999999995E-2</v>
      </c>
      <c r="Q28" s="95">
        <v>2.7E-2</v>
      </c>
      <c r="R28" s="31">
        <f>P28-Q28</f>
        <v>2.4307599999999995E-2</v>
      </c>
      <c r="S28" s="39">
        <f>(N28*P28-O28*R28)*H28</f>
        <v>0.23802666</v>
      </c>
      <c r="T28" s="106" t="s">
        <v>67</v>
      </c>
      <c r="U28" s="107">
        <v>40</v>
      </c>
      <c r="V28" s="107">
        <v>1</v>
      </c>
      <c r="W28" s="107">
        <v>1</v>
      </c>
      <c r="X28" s="98">
        <v>0.03</v>
      </c>
      <c r="Y28" s="106">
        <f>V28*X28/W28</f>
        <v>0.03</v>
      </c>
      <c r="Z28" s="137">
        <f>(S33+Y33)*1.2</f>
        <v>0.39363199200000004</v>
      </c>
      <c r="AA28" s="149">
        <f>Z28/1.13</f>
        <v>0.3483468955752213</v>
      </c>
      <c r="AB28" s="150">
        <v>5700</v>
      </c>
      <c r="AC28" s="151">
        <v>100000</v>
      </c>
      <c r="AD28" s="152">
        <f>AB28/AC28</f>
        <v>5.7000000000000002E-2</v>
      </c>
      <c r="AE28" s="153">
        <f>AA28+AD28</f>
        <v>0.4053468955752213</v>
      </c>
      <c r="AF28" s="124"/>
    </row>
    <row r="29" spans="1:32" s="32" customFormat="1" ht="14.1" customHeight="1">
      <c r="A29" s="141"/>
      <c r="B29" s="144"/>
      <c r="C29" s="147"/>
      <c r="D29" s="132"/>
      <c r="E29" s="135"/>
      <c r="F29" s="92"/>
      <c r="G29" s="92"/>
      <c r="H29" s="91"/>
      <c r="I29" s="103"/>
      <c r="J29" s="33"/>
      <c r="K29" s="33"/>
      <c r="L29" s="33"/>
      <c r="M29" s="33"/>
      <c r="N29" s="39"/>
      <c r="O29" s="30"/>
      <c r="P29" s="31"/>
      <c r="Q29" s="95"/>
      <c r="R29" s="31"/>
      <c r="S29" s="39"/>
      <c r="T29" s="106" t="s">
        <v>168</v>
      </c>
      <c r="U29" s="107">
        <v>25</v>
      </c>
      <c r="V29" s="107">
        <v>1</v>
      </c>
      <c r="W29" s="107">
        <v>1</v>
      </c>
      <c r="X29" s="98">
        <v>0.03</v>
      </c>
      <c r="Y29" s="106">
        <f>V29*X29/W29</f>
        <v>0.03</v>
      </c>
      <c r="Z29" s="138"/>
      <c r="AA29" s="149"/>
      <c r="AB29" s="150"/>
      <c r="AC29" s="151"/>
      <c r="AD29" s="152"/>
      <c r="AE29" s="153"/>
      <c r="AF29" s="124"/>
    </row>
    <row r="30" spans="1:32" s="32" customFormat="1" ht="14.1" customHeight="1">
      <c r="A30" s="141"/>
      <c r="B30" s="144"/>
      <c r="C30" s="147"/>
      <c r="D30" s="132"/>
      <c r="E30" s="135"/>
      <c r="F30" s="92"/>
      <c r="G30" s="92"/>
      <c r="H30" s="91"/>
      <c r="I30" s="103"/>
      <c r="J30" s="33"/>
      <c r="K30" s="33"/>
      <c r="L30" s="33"/>
      <c r="M30" s="33"/>
      <c r="N30" s="39"/>
      <c r="O30" s="30"/>
      <c r="P30" s="31"/>
      <c r="Q30" s="95"/>
      <c r="R30" s="31"/>
      <c r="S30" s="39"/>
      <c r="T30" s="106" t="s">
        <v>44</v>
      </c>
      <c r="U30" s="107">
        <v>25</v>
      </c>
      <c r="V30" s="107">
        <v>1</v>
      </c>
      <c r="W30" s="107">
        <v>1</v>
      </c>
      <c r="X30" s="98">
        <v>0.03</v>
      </c>
      <c r="Y30" s="106">
        <f>V30*X30/W30</f>
        <v>0.03</v>
      </c>
      <c r="Z30" s="138"/>
      <c r="AA30" s="149"/>
      <c r="AB30" s="150"/>
      <c r="AC30" s="151"/>
      <c r="AD30" s="152"/>
      <c r="AE30" s="153"/>
      <c r="AF30" s="124"/>
    </row>
    <row r="31" spans="1:32" s="32" customFormat="1" ht="23.4" customHeight="1">
      <c r="A31" s="141"/>
      <c r="B31" s="144"/>
      <c r="C31" s="147"/>
      <c r="D31" s="132"/>
      <c r="E31" s="135"/>
      <c r="F31" s="92"/>
      <c r="G31" s="92"/>
      <c r="H31" s="91"/>
      <c r="I31" s="103"/>
      <c r="J31" s="33"/>
      <c r="K31" s="92"/>
      <c r="L31" s="92"/>
      <c r="M31" s="92"/>
      <c r="N31" s="34"/>
      <c r="O31" s="30"/>
      <c r="P31" s="31"/>
      <c r="Q31" s="95"/>
      <c r="R31" s="31"/>
      <c r="S31" s="39"/>
      <c r="T31" s="106"/>
      <c r="U31" s="107"/>
      <c r="V31" s="107"/>
      <c r="W31" s="107"/>
      <c r="X31" s="98"/>
      <c r="Y31" s="106"/>
      <c r="Z31" s="138"/>
      <c r="AA31" s="149"/>
      <c r="AB31" s="150"/>
      <c r="AC31" s="151"/>
      <c r="AD31" s="152"/>
      <c r="AE31" s="153"/>
      <c r="AF31" s="124"/>
    </row>
    <row r="32" spans="1:32" s="32" customFormat="1" ht="14.1" customHeight="1">
      <c r="A32" s="141"/>
      <c r="B32" s="144"/>
      <c r="C32" s="147"/>
      <c r="D32" s="132"/>
      <c r="E32" s="135"/>
      <c r="F32" s="91"/>
      <c r="G32" s="91"/>
      <c r="H32" s="91"/>
      <c r="I32" s="104"/>
      <c r="J32" s="52"/>
      <c r="K32" s="35"/>
      <c r="L32" s="35"/>
      <c r="M32" s="35"/>
      <c r="N32" s="35"/>
      <c r="O32" s="35"/>
      <c r="P32" s="35"/>
      <c r="Q32" s="96"/>
      <c r="R32" s="35"/>
      <c r="S32" s="91"/>
      <c r="T32" s="106"/>
      <c r="U32" s="107"/>
      <c r="V32" s="107"/>
      <c r="W32" s="107"/>
      <c r="X32" s="98"/>
      <c r="Y32" s="106"/>
      <c r="Z32" s="139"/>
      <c r="AA32" s="149"/>
      <c r="AB32" s="150"/>
      <c r="AC32" s="151"/>
      <c r="AD32" s="152"/>
      <c r="AE32" s="153"/>
      <c r="AF32" s="124"/>
    </row>
    <row r="33" spans="1:33" s="37" customFormat="1" ht="14.1" customHeight="1">
      <c r="A33" s="142"/>
      <c r="B33" s="145"/>
      <c r="C33" s="148"/>
      <c r="D33" s="133"/>
      <c r="E33" s="136"/>
      <c r="F33" s="125" t="s">
        <v>65</v>
      </c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7"/>
      <c r="S33" s="10">
        <f>SUM(S28:S32)</f>
        <v>0.23802666</v>
      </c>
      <c r="T33" s="2"/>
      <c r="U33" s="102"/>
      <c r="V33" s="102"/>
      <c r="W33" s="102"/>
      <c r="X33" s="2"/>
      <c r="Y33" s="2">
        <f>SUM(Y28:Y32)</f>
        <v>0.09</v>
      </c>
      <c r="Z33" s="2"/>
      <c r="AA33" s="36"/>
      <c r="AB33" s="36"/>
      <c r="AC33" s="36"/>
      <c r="AD33" s="36"/>
      <c r="AE33" s="36"/>
      <c r="AF33" s="36"/>
    </row>
    <row r="34" spans="1:33" s="32" customFormat="1" ht="14.1" customHeight="1">
      <c r="A34" s="140">
        <v>6</v>
      </c>
      <c r="B34" s="143">
        <v>44553</v>
      </c>
      <c r="C34" s="146" t="s">
        <v>115</v>
      </c>
      <c r="D34" s="131" t="s">
        <v>184</v>
      </c>
      <c r="E34" s="134" t="s">
        <v>116</v>
      </c>
      <c r="F34" s="92" t="s">
        <v>148</v>
      </c>
      <c r="G34" s="92" t="s">
        <v>62</v>
      </c>
      <c r="H34" s="91">
        <v>1</v>
      </c>
      <c r="I34" s="103" t="s">
        <v>51</v>
      </c>
      <c r="J34" s="33"/>
      <c r="K34" s="29">
        <f>139+12</f>
        <v>151</v>
      </c>
      <c r="L34" s="29">
        <f>197+12</f>
        <v>209</v>
      </c>
      <c r="M34" s="92">
        <v>3</v>
      </c>
      <c r="N34" s="39">
        <v>6.1</v>
      </c>
      <c r="O34" s="30">
        <v>3.4</v>
      </c>
      <c r="P34" s="31">
        <f>K34*L34*M34*0.00000785</f>
        <v>0.74321444999999997</v>
      </c>
      <c r="Q34" s="95">
        <f>0.406-0.015</f>
        <v>0.39100000000000001</v>
      </c>
      <c r="R34" s="31">
        <f>P34-Q34</f>
        <v>0.35221444999999996</v>
      </c>
      <c r="S34" s="39">
        <f>(N34*P34-O34*R34)*H34</f>
        <v>3.3360790150000001</v>
      </c>
      <c r="T34" s="106" t="s">
        <v>67</v>
      </c>
      <c r="U34" s="107">
        <v>160</v>
      </c>
      <c r="V34" s="107">
        <v>1</v>
      </c>
      <c r="W34" s="107">
        <v>1</v>
      </c>
      <c r="X34" s="98">
        <v>0.1</v>
      </c>
      <c r="Y34" s="106">
        <f t="shared" ref="Y34:Y39" si="0">V34*X34/W34</f>
        <v>0.1</v>
      </c>
      <c r="Z34" s="137">
        <f>(S40+Y40)*1.2</f>
        <v>4.9992948180000001</v>
      </c>
      <c r="AA34" s="149">
        <f>Z34/1.13</f>
        <v>4.4241547061946909</v>
      </c>
      <c r="AB34" s="150">
        <v>66800</v>
      </c>
      <c r="AC34" s="151">
        <v>50000</v>
      </c>
      <c r="AD34" s="152">
        <f>AB34/AC34</f>
        <v>1.3360000000000001</v>
      </c>
      <c r="AE34" s="153">
        <f>AA34+AD34</f>
        <v>5.7601547061946912</v>
      </c>
      <c r="AF34" s="124"/>
    </row>
    <row r="35" spans="1:33" s="32" customFormat="1" ht="14.1" customHeight="1">
      <c r="A35" s="141"/>
      <c r="B35" s="144"/>
      <c r="C35" s="147"/>
      <c r="D35" s="132"/>
      <c r="E35" s="135"/>
      <c r="F35" s="92" t="s">
        <v>202</v>
      </c>
      <c r="G35" s="92" t="s">
        <v>63</v>
      </c>
      <c r="H35" s="91">
        <v>1</v>
      </c>
      <c r="I35" s="103"/>
      <c r="J35" s="33"/>
      <c r="K35" s="33"/>
      <c r="L35" s="33"/>
      <c r="M35" s="33"/>
      <c r="N35" s="39">
        <v>0.4</v>
      </c>
      <c r="O35" s="30"/>
      <c r="P35" s="31"/>
      <c r="Q35" s="95"/>
      <c r="R35" s="31"/>
      <c r="S35" s="39">
        <f>H35*N35</f>
        <v>0.4</v>
      </c>
      <c r="T35" s="106" t="s">
        <v>44</v>
      </c>
      <c r="U35" s="107">
        <v>100</v>
      </c>
      <c r="V35" s="107">
        <v>1</v>
      </c>
      <c r="W35" s="107">
        <v>1</v>
      </c>
      <c r="X35" s="98">
        <v>7.0000000000000007E-2</v>
      </c>
      <c r="Y35" s="106">
        <f t="shared" si="0"/>
        <v>7.0000000000000007E-2</v>
      </c>
      <c r="Z35" s="138"/>
      <c r="AA35" s="149"/>
      <c r="AB35" s="150"/>
      <c r="AC35" s="151"/>
      <c r="AD35" s="152"/>
      <c r="AE35" s="153"/>
      <c r="AF35" s="124"/>
    </row>
    <row r="36" spans="1:33" s="32" customFormat="1" ht="14.1" customHeight="1">
      <c r="A36" s="141"/>
      <c r="B36" s="144"/>
      <c r="C36" s="147"/>
      <c r="D36" s="132"/>
      <c r="E36" s="135"/>
      <c r="F36" s="92"/>
      <c r="G36" s="92"/>
      <c r="H36" s="91"/>
      <c r="I36" s="103"/>
      <c r="J36" s="33"/>
      <c r="K36" s="33"/>
      <c r="L36" s="33"/>
      <c r="M36" s="33"/>
      <c r="N36" s="39"/>
      <c r="O36" s="30"/>
      <c r="P36" s="31"/>
      <c r="Q36" s="95"/>
      <c r="R36" s="31"/>
      <c r="S36" s="39"/>
      <c r="T36" s="106" t="s">
        <v>43</v>
      </c>
      <c r="U36" s="107">
        <v>80</v>
      </c>
      <c r="V36" s="107">
        <v>1</v>
      </c>
      <c r="W36" s="107">
        <v>1</v>
      </c>
      <c r="X36" s="98">
        <v>0.05</v>
      </c>
      <c r="Y36" s="106">
        <f t="shared" si="0"/>
        <v>0.05</v>
      </c>
      <c r="Z36" s="138"/>
      <c r="AA36" s="149"/>
      <c r="AB36" s="150"/>
      <c r="AC36" s="151"/>
      <c r="AD36" s="152"/>
      <c r="AE36" s="153"/>
      <c r="AF36" s="124"/>
    </row>
    <row r="37" spans="1:33" s="32" customFormat="1" ht="18.600000000000001" customHeight="1">
      <c r="A37" s="141"/>
      <c r="B37" s="144"/>
      <c r="C37" s="147"/>
      <c r="D37" s="132"/>
      <c r="E37" s="135"/>
      <c r="F37" s="92"/>
      <c r="G37" s="92"/>
      <c r="H37" s="91"/>
      <c r="I37" s="103"/>
      <c r="J37" s="33"/>
      <c r="K37" s="33"/>
      <c r="L37" s="33"/>
      <c r="M37" s="33"/>
      <c r="N37" s="39"/>
      <c r="O37" s="30"/>
      <c r="P37" s="31"/>
      <c r="Q37" s="95"/>
      <c r="R37" s="31"/>
      <c r="S37" s="39"/>
      <c r="T37" s="116" t="s">
        <v>43</v>
      </c>
      <c r="U37" s="117">
        <v>40</v>
      </c>
      <c r="V37" s="117">
        <v>1</v>
      </c>
      <c r="W37" s="117">
        <v>1</v>
      </c>
      <c r="X37" s="98">
        <v>0.03</v>
      </c>
      <c r="Y37" s="116">
        <f t="shared" si="0"/>
        <v>0.03</v>
      </c>
      <c r="Z37" s="138"/>
      <c r="AA37" s="149"/>
      <c r="AB37" s="150"/>
      <c r="AC37" s="151"/>
      <c r="AD37" s="152"/>
      <c r="AE37" s="153"/>
      <c r="AF37" s="124"/>
    </row>
    <row r="38" spans="1:33" s="32" customFormat="1" ht="23.4" customHeight="1">
      <c r="A38" s="141"/>
      <c r="B38" s="144"/>
      <c r="C38" s="147"/>
      <c r="D38" s="132"/>
      <c r="E38" s="135"/>
      <c r="F38" s="92"/>
      <c r="G38" s="92"/>
      <c r="H38" s="91"/>
      <c r="I38" s="103"/>
      <c r="J38" s="33"/>
      <c r="K38" s="92"/>
      <c r="L38" s="92"/>
      <c r="M38" s="92"/>
      <c r="N38" s="34"/>
      <c r="O38" s="30"/>
      <c r="P38" s="31"/>
      <c r="Q38" s="95"/>
      <c r="R38" s="31"/>
      <c r="S38" s="39"/>
      <c r="T38" s="106" t="s">
        <v>43</v>
      </c>
      <c r="U38" s="107">
        <v>25</v>
      </c>
      <c r="V38" s="107">
        <v>1</v>
      </c>
      <c r="W38" s="107">
        <v>1</v>
      </c>
      <c r="X38" s="98">
        <v>0.03</v>
      </c>
      <c r="Y38" s="106">
        <f t="shared" si="0"/>
        <v>0.03</v>
      </c>
      <c r="Z38" s="138"/>
      <c r="AA38" s="149"/>
      <c r="AB38" s="150"/>
      <c r="AC38" s="151"/>
      <c r="AD38" s="152"/>
      <c r="AE38" s="153"/>
      <c r="AF38" s="124"/>
    </row>
    <row r="39" spans="1:33" s="32" customFormat="1" ht="14.1" customHeight="1">
      <c r="A39" s="141"/>
      <c r="B39" s="144"/>
      <c r="C39" s="147"/>
      <c r="D39" s="132"/>
      <c r="E39" s="135"/>
      <c r="F39" s="91"/>
      <c r="G39" s="91"/>
      <c r="H39" s="91"/>
      <c r="I39" s="104"/>
      <c r="J39" s="52"/>
      <c r="K39" s="35"/>
      <c r="L39" s="35"/>
      <c r="M39" s="35"/>
      <c r="N39" s="35"/>
      <c r="O39" s="35"/>
      <c r="P39" s="35"/>
      <c r="Q39" s="96"/>
      <c r="R39" s="35"/>
      <c r="S39" s="91"/>
      <c r="T39" s="106" t="s">
        <v>149</v>
      </c>
      <c r="U39" s="107"/>
      <c r="V39" s="107">
        <v>1</v>
      </c>
      <c r="W39" s="107">
        <v>1</v>
      </c>
      <c r="X39" s="98">
        <v>0.15</v>
      </c>
      <c r="Y39" s="106">
        <f t="shared" si="0"/>
        <v>0.15</v>
      </c>
      <c r="Z39" s="139"/>
      <c r="AA39" s="149"/>
      <c r="AB39" s="150"/>
      <c r="AC39" s="151"/>
      <c r="AD39" s="152"/>
      <c r="AE39" s="153"/>
      <c r="AF39" s="124"/>
    </row>
    <row r="40" spans="1:33" s="37" customFormat="1" ht="14.1" customHeight="1">
      <c r="A40" s="142"/>
      <c r="B40" s="145"/>
      <c r="C40" s="148"/>
      <c r="D40" s="133"/>
      <c r="E40" s="136"/>
      <c r="F40" s="125" t="s">
        <v>65</v>
      </c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7"/>
      <c r="S40" s="10">
        <f>SUM(S34:S39)</f>
        <v>3.7360790150000001</v>
      </c>
      <c r="T40" s="2"/>
      <c r="U40" s="102"/>
      <c r="V40" s="102"/>
      <c r="W40" s="102"/>
      <c r="X40" s="2"/>
      <c r="Y40" s="2">
        <f>SUM(Y34:Y39)</f>
        <v>0.43000000000000005</v>
      </c>
      <c r="Z40" s="2"/>
      <c r="AA40" s="36"/>
      <c r="AB40" s="36"/>
      <c r="AC40" s="36"/>
      <c r="AD40" s="36"/>
      <c r="AE40" s="36"/>
      <c r="AF40" s="36"/>
    </row>
    <row r="41" spans="1:33" s="32" customFormat="1" ht="14.1" customHeight="1">
      <c r="A41" s="140">
        <v>8</v>
      </c>
      <c r="B41" s="143">
        <v>44553</v>
      </c>
      <c r="C41" s="146" t="s">
        <v>117</v>
      </c>
      <c r="D41" s="131" t="s">
        <v>185</v>
      </c>
      <c r="E41" s="134" t="s">
        <v>118</v>
      </c>
      <c r="F41" s="92" t="s">
        <v>23</v>
      </c>
      <c r="G41" s="92" t="s">
        <v>62</v>
      </c>
      <c r="H41" s="91">
        <v>1</v>
      </c>
      <c r="I41" s="103" t="s">
        <v>146</v>
      </c>
      <c r="J41" s="33"/>
      <c r="K41" s="29">
        <f>125+5</f>
        <v>130</v>
      </c>
      <c r="L41" s="29">
        <f>65+5</f>
        <v>70</v>
      </c>
      <c r="M41" s="92">
        <v>2.5</v>
      </c>
      <c r="N41" s="39">
        <v>6.45</v>
      </c>
      <c r="O41" s="30">
        <v>3.4</v>
      </c>
      <c r="P41" s="31">
        <f>K41*L41*M41*0.00000785</f>
        <v>0.17858749999999998</v>
      </c>
      <c r="Q41" s="95">
        <v>8.6999999999999994E-2</v>
      </c>
      <c r="R41" s="31">
        <f>P41-Q41</f>
        <v>9.1587499999999988E-2</v>
      </c>
      <c r="S41" s="39">
        <f>(N41*P41-O41*R41)*H41</f>
        <v>0.84049187499999989</v>
      </c>
      <c r="T41" s="106" t="s">
        <v>67</v>
      </c>
      <c r="U41" s="107">
        <v>100</v>
      </c>
      <c r="V41" s="107">
        <v>1</v>
      </c>
      <c r="W41" s="107">
        <v>1</v>
      </c>
      <c r="X41" s="98">
        <v>7.0000000000000007E-2</v>
      </c>
      <c r="Y41" s="106">
        <f>V41*X41/W41</f>
        <v>7.0000000000000007E-2</v>
      </c>
      <c r="Z41" s="137">
        <f>(S46+Y46)*1.2</f>
        <v>1.2125902499999996</v>
      </c>
      <c r="AA41" s="149">
        <f>Z41/1.13</f>
        <v>1.0730887168141592</v>
      </c>
      <c r="AB41" s="128">
        <f>17900+12000</f>
        <v>29900</v>
      </c>
      <c r="AC41" s="157">
        <v>100000</v>
      </c>
      <c r="AD41" s="159">
        <f>AB41/2/AC41</f>
        <v>0.14949999999999999</v>
      </c>
      <c r="AE41" s="153">
        <f>AA41+AD41</f>
        <v>1.2225887168141591</v>
      </c>
      <c r="AF41" s="124"/>
    </row>
    <row r="42" spans="1:33" s="32" customFormat="1" ht="14.1" customHeight="1">
      <c r="A42" s="141"/>
      <c r="B42" s="144"/>
      <c r="C42" s="147"/>
      <c r="D42" s="132"/>
      <c r="E42" s="135"/>
      <c r="F42" s="92"/>
      <c r="G42" s="92"/>
      <c r="H42" s="91"/>
      <c r="I42" s="103"/>
      <c r="J42" s="33"/>
      <c r="K42" s="33"/>
      <c r="L42" s="33"/>
      <c r="M42" s="33"/>
      <c r="N42" s="39"/>
      <c r="O42" s="30"/>
      <c r="P42" s="31"/>
      <c r="Q42" s="95"/>
      <c r="R42" s="31"/>
      <c r="S42" s="39"/>
      <c r="T42" s="106" t="s">
        <v>44</v>
      </c>
      <c r="U42" s="107">
        <v>80</v>
      </c>
      <c r="V42" s="107">
        <v>1</v>
      </c>
      <c r="W42" s="107">
        <v>1</v>
      </c>
      <c r="X42" s="98">
        <v>0.05</v>
      </c>
      <c r="Y42" s="106">
        <f>V42*X42/W42</f>
        <v>0.05</v>
      </c>
      <c r="Z42" s="138"/>
      <c r="AA42" s="149"/>
      <c r="AB42" s="129"/>
      <c r="AC42" s="158"/>
      <c r="AD42" s="160"/>
      <c r="AE42" s="153"/>
      <c r="AF42" s="124"/>
    </row>
    <row r="43" spans="1:33" s="32" customFormat="1" ht="14.1" customHeight="1">
      <c r="A43" s="141"/>
      <c r="B43" s="144"/>
      <c r="C43" s="147"/>
      <c r="D43" s="132"/>
      <c r="E43" s="135"/>
      <c r="F43" s="92"/>
      <c r="G43" s="92"/>
      <c r="H43" s="91"/>
      <c r="I43" s="103"/>
      <c r="J43" s="33"/>
      <c r="K43" s="33"/>
      <c r="L43" s="33"/>
      <c r="M43" s="33"/>
      <c r="N43" s="39"/>
      <c r="O43" s="30"/>
      <c r="P43" s="31"/>
      <c r="Q43" s="95"/>
      <c r="R43" s="31"/>
      <c r="S43" s="39"/>
      <c r="T43" s="106" t="s">
        <v>43</v>
      </c>
      <c r="U43" s="107">
        <v>80</v>
      </c>
      <c r="V43" s="107">
        <v>1</v>
      </c>
      <c r="W43" s="107">
        <v>1</v>
      </c>
      <c r="X43" s="98">
        <v>0.05</v>
      </c>
      <c r="Y43" s="106">
        <f>V43*X43/W43</f>
        <v>0.05</v>
      </c>
      <c r="Z43" s="138"/>
      <c r="AA43" s="149"/>
      <c r="AB43" s="129"/>
      <c r="AC43" s="158"/>
      <c r="AD43" s="160"/>
      <c r="AE43" s="153"/>
      <c r="AF43" s="124"/>
    </row>
    <row r="44" spans="1:33" s="32" customFormat="1" ht="23.4" customHeight="1">
      <c r="A44" s="141"/>
      <c r="B44" s="144"/>
      <c r="C44" s="147"/>
      <c r="D44" s="132"/>
      <c r="E44" s="135"/>
      <c r="F44" s="92"/>
      <c r="G44" s="92"/>
      <c r="H44" s="91"/>
      <c r="I44" s="103"/>
      <c r="J44" s="33"/>
      <c r="K44" s="92"/>
      <c r="L44" s="92"/>
      <c r="M44" s="92"/>
      <c r="N44" s="34"/>
      <c r="O44" s="30"/>
      <c r="P44" s="31"/>
      <c r="Q44" s="95"/>
      <c r="R44" s="31"/>
      <c r="S44" s="39"/>
      <c r="T44" s="106"/>
      <c r="U44" s="107"/>
      <c r="V44" s="107"/>
      <c r="W44" s="107"/>
      <c r="X44" s="98"/>
      <c r="Y44" s="106"/>
      <c r="Z44" s="138"/>
      <c r="AA44" s="149"/>
      <c r="AB44" s="129"/>
      <c r="AC44" s="158"/>
      <c r="AD44" s="160"/>
      <c r="AE44" s="153"/>
      <c r="AF44" s="124"/>
    </row>
    <row r="45" spans="1:33" s="32" customFormat="1" ht="14.1" customHeight="1">
      <c r="A45" s="141"/>
      <c r="B45" s="144"/>
      <c r="C45" s="147"/>
      <c r="D45" s="132"/>
      <c r="E45" s="135"/>
      <c r="F45" s="91"/>
      <c r="G45" s="91"/>
      <c r="H45" s="91"/>
      <c r="I45" s="104"/>
      <c r="J45" s="52"/>
      <c r="K45" s="35"/>
      <c r="L45" s="35"/>
      <c r="M45" s="35"/>
      <c r="N45" s="35"/>
      <c r="O45" s="35"/>
      <c r="P45" s="35"/>
      <c r="Q45" s="96"/>
      <c r="R45" s="35"/>
      <c r="S45" s="91"/>
      <c r="T45" s="106"/>
      <c r="U45" s="107"/>
      <c r="V45" s="107"/>
      <c r="W45" s="107"/>
      <c r="X45" s="98"/>
      <c r="Y45" s="106"/>
      <c r="Z45" s="139"/>
      <c r="AA45" s="149"/>
      <c r="AB45" s="129"/>
      <c r="AC45" s="158"/>
      <c r="AD45" s="160"/>
      <c r="AE45" s="153"/>
      <c r="AF45" s="124"/>
    </row>
    <row r="46" spans="1:33" s="37" customFormat="1" ht="14.1" customHeight="1">
      <c r="A46" s="142"/>
      <c r="B46" s="145"/>
      <c r="C46" s="148"/>
      <c r="D46" s="133"/>
      <c r="E46" s="136"/>
      <c r="F46" s="125" t="s">
        <v>65</v>
      </c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7"/>
      <c r="S46" s="10">
        <f>SUM(S41:S45)</f>
        <v>0.84049187499999989</v>
      </c>
      <c r="T46" s="2"/>
      <c r="U46" s="102"/>
      <c r="V46" s="102"/>
      <c r="W46" s="102"/>
      <c r="X46" s="2"/>
      <c r="Y46" s="2">
        <f>SUM(Y41:Y45)</f>
        <v>0.17</v>
      </c>
      <c r="Z46" s="2"/>
      <c r="AA46" s="36"/>
      <c r="AB46" s="129"/>
      <c r="AC46" s="121"/>
      <c r="AD46" s="122"/>
      <c r="AE46" s="36"/>
      <c r="AF46" s="36"/>
    </row>
    <row r="47" spans="1:33" s="32" customFormat="1" ht="14.1" customHeight="1">
      <c r="A47" s="140">
        <v>9</v>
      </c>
      <c r="B47" s="143">
        <v>44553</v>
      </c>
      <c r="C47" s="146" t="s">
        <v>119</v>
      </c>
      <c r="D47" s="131" t="s">
        <v>186</v>
      </c>
      <c r="E47" s="134" t="s">
        <v>120</v>
      </c>
      <c r="F47" s="92" t="s">
        <v>23</v>
      </c>
      <c r="G47" s="92" t="s">
        <v>62</v>
      </c>
      <c r="H47" s="91">
        <v>1</v>
      </c>
      <c r="I47" s="103" t="s">
        <v>146</v>
      </c>
      <c r="J47" s="33"/>
      <c r="K47" s="29">
        <f>125+5</f>
        <v>130</v>
      </c>
      <c r="L47" s="29">
        <f>65+5</f>
        <v>70</v>
      </c>
      <c r="M47" s="92">
        <v>2.5</v>
      </c>
      <c r="N47" s="39">
        <v>6.45</v>
      </c>
      <c r="O47" s="30">
        <v>3.4</v>
      </c>
      <c r="P47" s="31">
        <f>K47*L47*M47*0.00000785</f>
        <v>0.17858749999999998</v>
      </c>
      <c r="Q47" s="95">
        <v>8.6999999999999994E-2</v>
      </c>
      <c r="R47" s="31">
        <f>P47-Q47</f>
        <v>9.1587499999999988E-2</v>
      </c>
      <c r="S47" s="39">
        <f>(N47*P47-O47*R47)*H47</f>
        <v>0.84049187499999989</v>
      </c>
      <c r="T47" s="106" t="s">
        <v>67</v>
      </c>
      <c r="U47" s="107">
        <v>100</v>
      </c>
      <c r="V47" s="107">
        <v>1</v>
      </c>
      <c r="W47" s="107">
        <v>1</v>
      </c>
      <c r="X47" s="98">
        <v>7.0000000000000007E-2</v>
      </c>
      <c r="Y47" s="106">
        <f>V47*X47/W47</f>
        <v>7.0000000000000007E-2</v>
      </c>
      <c r="Z47" s="137">
        <f>(S52+Y52)*1.2</f>
        <v>1.2125902499999996</v>
      </c>
      <c r="AA47" s="149">
        <f>Z47/1.13</f>
        <v>1.0730887168141592</v>
      </c>
      <c r="AB47" s="129"/>
      <c r="AC47" s="157">
        <v>100000</v>
      </c>
      <c r="AD47" s="159">
        <f>AB41/2/AC47</f>
        <v>0.14949999999999999</v>
      </c>
      <c r="AE47" s="153">
        <f>AA47+AD47</f>
        <v>1.2225887168141591</v>
      </c>
      <c r="AF47" s="124"/>
      <c r="AG47" s="32" t="s">
        <v>203</v>
      </c>
    </row>
    <row r="48" spans="1:33" s="32" customFormat="1" ht="14.1" customHeight="1">
      <c r="A48" s="141"/>
      <c r="B48" s="144"/>
      <c r="C48" s="147"/>
      <c r="D48" s="132"/>
      <c r="E48" s="135"/>
      <c r="F48" s="92"/>
      <c r="G48" s="92"/>
      <c r="H48" s="91"/>
      <c r="I48" s="103"/>
      <c r="J48" s="33"/>
      <c r="K48" s="33"/>
      <c r="L48" s="33"/>
      <c r="M48" s="33"/>
      <c r="N48" s="39"/>
      <c r="O48" s="30"/>
      <c r="P48" s="31"/>
      <c r="Q48" s="95"/>
      <c r="R48" s="31"/>
      <c r="S48" s="39"/>
      <c r="T48" s="106" t="s">
        <v>44</v>
      </c>
      <c r="U48" s="107">
        <v>80</v>
      </c>
      <c r="V48" s="107">
        <v>1</v>
      </c>
      <c r="W48" s="107">
        <v>1</v>
      </c>
      <c r="X48" s="98">
        <v>0.05</v>
      </c>
      <c r="Y48" s="106">
        <f>V48*X48/W48</f>
        <v>0.05</v>
      </c>
      <c r="Z48" s="138"/>
      <c r="AA48" s="149"/>
      <c r="AB48" s="129"/>
      <c r="AC48" s="158"/>
      <c r="AD48" s="160"/>
      <c r="AE48" s="153"/>
      <c r="AF48" s="124"/>
    </row>
    <row r="49" spans="1:33" s="32" customFormat="1" ht="14.1" customHeight="1">
      <c r="A49" s="141"/>
      <c r="B49" s="144"/>
      <c r="C49" s="147"/>
      <c r="D49" s="132"/>
      <c r="E49" s="135"/>
      <c r="F49" s="92"/>
      <c r="G49" s="92"/>
      <c r="H49" s="91"/>
      <c r="I49" s="103"/>
      <c r="J49" s="33"/>
      <c r="K49" s="33"/>
      <c r="L49" s="33"/>
      <c r="M49" s="33"/>
      <c r="N49" s="39"/>
      <c r="O49" s="30"/>
      <c r="P49" s="31"/>
      <c r="Q49" s="95"/>
      <c r="R49" s="31"/>
      <c r="S49" s="39"/>
      <c r="T49" s="106" t="s">
        <v>43</v>
      </c>
      <c r="U49" s="107">
        <v>80</v>
      </c>
      <c r="V49" s="107">
        <v>1</v>
      </c>
      <c r="W49" s="107">
        <v>1</v>
      </c>
      <c r="X49" s="98">
        <v>0.05</v>
      </c>
      <c r="Y49" s="106">
        <f>V49*X49/W49</f>
        <v>0.05</v>
      </c>
      <c r="Z49" s="138"/>
      <c r="AA49" s="149"/>
      <c r="AB49" s="129"/>
      <c r="AC49" s="158"/>
      <c r="AD49" s="160"/>
      <c r="AE49" s="153"/>
      <c r="AF49" s="124"/>
    </row>
    <row r="50" spans="1:33" s="32" customFormat="1" ht="23.4" customHeight="1">
      <c r="A50" s="141"/>
      <c r="B50" s="144"/>
      <c r="C50" s="147"/>
      <c r="D50" s="132"/>
      <c r="E50" s="135"/>
      <c r="F50" s="92"/>
      <c r="G50" s="92"/>
      <c r="H50" s="91"/>
      <c r="I50" s="103"/>
      <c r="J50" s="33"/>
      <c r="K50" s="92"/>
      <c r="L50" s="92"/>
      <c r="M50" s="92"/>
      <c r="N50" s="34"/>
      <c r="O50" s="30"/>
      <c r="P50" s="31"/>
      <c r="Q50" s="95"/>
      <c r="R50" s="31"/>
      <c r="S50" s="39"/>
      <c r="T50" s="106"/>
      <c r="U50" s="107"/>
      <c r="V50" s="107"/>
      <c r="W50" s="107"/>
      <c r="X50" s="98"/>
      <c r="Y50" s="106"/>
      <c r="Z50" s="138"/>
      <c r="AA50" s="149"/>
      <c r="AB50" s="129"/>
      <c r="AC50" s="158"/>
      <c r="AD50" s="160"/>
      <c r="AE50" s="153"/>
      <c r="AF50" s="124"/>
    </row>
    <row r="51" spans="1:33" s="32" customFormat="1" ht="14.1" customHeight="1">
      <c r="A51" s="141"/>
      <c r="B51" s="144"/>
      <c r="C51" s="147"/>
      <c r="D51" s="132"/>
      <c r="E51" s="135"/>
      <c r="F51" s="91"/>
      <c r="G51" s="91"/>
      <c r="H51" s="91"/>
      <c r="I51" s="104"/>
      <c r="J51" s="52"/>
      <c r="K51" s="35"/>
      <c r="L51" s="35"/>
      <c r="M51" s="35"/>
      <c r="N51" s="35"/>
      <c r="O51" s="35"/>
      <c r="P51" s="35"/>
      <c r="Q51" s="96"/>
      <c r="R51" s="35"/>
      <c r="S51" s="91"/>
      <c r="T51" s="106"/>
      <c r="U51" s="107"/>
      <c r="V51" s="107"/>
      <c r="W51" s="107"/>
      <c r="X51" s="98"/>
      <c r="Y51" s="106"/>
      <c r="Z51" s="139"/>
      <c r="AA51" s="149"/>
      <c r="AB51" s="130"/>
      <c r="AC51" s="158"/>
      <c r="AD51" s="160"/>
      <c r="AE51" s="153"/>
      <c r="AF51" s="124"/>
    </row>
    <row r="52" spans="1:33" s="37" customFormat="1" ht="14.1" customHeight="1">
      <c r="A52" s="142"/>
      <c r="B52" s="145"/>
      <c r="C52" s="148"/>
      <c r="D52" s="133"/>
      <c r="E52" s="136"/>
      <c r="F52" s="125" t="s">
        <v>65</v>
      </c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7"/>
      <c r="S52" s="10">
        <f>SUM(S47:S51)</f>
        <v>0.84049187499999989</v>
      </c>
      <c r="T52" s="2"/>
      <c r="U52" s="102"/>
      <c r="V52" s="102"/>
      <c r="W52" s="102"/>
      <c r="X52" s="2"/>
      <c r="Y52" s="2">
        <f>SUM(Y47:Y51)</f>
        <v>0.17</v>
      </c>
      <c r="Z52" s="2"/>
      <c r="AA52" s="36"/>
      <c r="AB52" s="36"/>
      <c r="AC52" s="36"/>
      <c r="AD52" s="36"/>
      <c r="AE52" s="36"/>
      <c r="AF52" s="36"/>
    </row>
    <row r="53" spans="1:33" s="32" customFormat="1" ht="14.1" customHeight="1">
      <c r="A53" s="140">
        <v>10</v>
      </c>
      <c r="B53" s="143">
        <v>44553</v>
      </c>
      <c r="C53" s="146" t="s">
        <v>121</v>
      </c>
      <c r="D53" s="131" t="s">
        <v>187</v>
      </c>
      <c r="E53" s="134" t="s">
        <v>122</v>
      </c>
      <c r="F53" s="92" t="s">
        <v>23</v>
      </c>
      <c r="G53" s="92" t="s">
        <v>62</v>
      </c>
      <c r="H53" s="91">
        <v>1</v>
      </c>
      <c r="I53" s="103" t="s">
        <v>146</v>
      </c>
      <c r="J53" s="33"/>
      <c r="K53" s="29">
        <v>89</v>
      </c>
      <c r="L53" s="29">
        <f>125+2.5*2</f>
        <v>130</v>
      </c>
      <c r="M53" s="92">
        <v>2.5</v>
      </c>
      <c r="N53" s="39">
        <v>6.45</v>
      </c>
      <c r="O53" s="30">
        <v>3.4</v>
      </c>
      <c r="P53" s="31">
        <f>K53*L53*M53*0.00000785</f>
        <v>0.22706124999999999</v>
      </c>
      <c r="Q53" s="95">
        <v>8.6999999999999994E-2</v>
      </c>
      <c r="R53" s="31">
        <f>P53-Q53</f>
        <v>0.14006125</v>
      </c>
      <c r="S53" s="39">
        <f>(N53*P53-O53*R53)*H53</f>
        <v>0.98833681250000005</v>
      </c>
      <c r="T53" s="106" t="s">
        <v>67</v>
      </c>
      <c r="U53" s="107">
        <v>100</v>
      </c>
      <c r="V53" s="107">
        <v>1</v>
      </c>
      <c r="W53" s="107">
        <v>1</v>
      </c>
      <c r="X53" s="98">
        <v>7.0000000000000007E-2</v>
      </c>
      <c r="Y53" s="106">
        <f>V53*X53/W53</f>
        <v>7.0000000000000007E-2</v>
      </c>
      <c r="Z53" s="137">
        <f>(S58+Y58)*1.2</f>
        <v>1.3660041749999998</v>
      </c>
      <c r="AA53" s="149">
        <f>Z53/1.13</f>
        <v>1.2088532522123894</v>
      </c>
      <c r="AB53" s="128">
        <f>18600+18300</f>
        <v>36900</v>
      </c>
      <c r="AC53" s="151">
        <v>100000</v>
      </c>
      <c r="AD53" s="152">
        <f>AB53/2/AC53</f>
        <v>0.1845</v>
      </c>
      <c r="AE53" s="153">
        <f>AA53+AD53</f>
        <v>1.3933532522123895</v>
      </c>
      <c r="AF53" s="124"/>
    </row>
    <row r="54" spans="1:33" s="32" customFormat="1" ht="14.1" customHeight="1">
      <c r="A54" s="141"/>
      <c r="B54" s="144"/>
      <c r="C54" s="147"/>
      <c r="D54" s="132"/>
      <c r="E54" s="135"/>
      <c r="F54" s="92"/>
      <c r="G54" s="92"/>
      <c r="H54" s="91"/>
      <c r="I54" s="103"/>
      <c r="J54" s="33"/>
      <c r="K54" s="33"/>
      <c r="L54" s="33"/>
      <c r="M54" s="33"/>
      <c r="N54" s="39"/>
      <c r="O54" s="30"/>
      <c r="P54" s="31"/>
      <c r="Q54" s="95"/>
      <c r="R54" s="31"/>
      <c r="S54" s="39"/>
      <c r="T54" s="106" t="s">
        <v>44</v>
      </c>
      <c r="U54" s="107">
        <v>80</v>
      </c>
      <c r="V54" s="107">
        <v>1</v>
      </c>
      <c r="W54" s="107">
        <v>1</v>
      </c>
      <c r="X54" s="98">
        <v>0.05</v>
      </c>
      <c r="Y54" s="106">
        <f>V54*X54/W54</f>
        <v>0.05</v>
      </c>
      <c r="Z54" s="138"/>
      <c r="AA54" s="149"/>
      <c r="AB54" s="129"/>
      <c r="AC54" s="151"/>
      <c r="AD54" s="152"/>
      <c r="AE54" s="153"/>
      <c r="AF54" s="124"/>
    </row>
    <row r="55" spans="1:33" s="32" customFormat="1" ht="14.1" customHeight="1">
      <c r="A55" s="141"/>
      <c r="B55" s="144"/>
      <c r="C55" s="147"/>
      <c r="D55" s="132"/>
      <c r="E55" s="135"/>
      <c r="F55" s="92"/>
      <c r="G55" s="92"/>
      <c r="H55" s="91"/>
      <c r="I55" s="103"/>
      <c r="J55" s="33"/>
      <c r="K55" s="33"/>
      <c r="L55" s="33"/>
      <c r="M55" s="33"/>
      <c r="N55" s="39"/>
      <c r="O55" s="30"/>
      <c r="P55" s="31"/>
      <c r="Q55" s="95"/>
      <c r="R55" s="31"/>
      <c r="S55" s="39"/>
      <c r="T55" s="106" t="s">
        <v>43</v>
      </c>
      <c r="U55" s="107">
        <v>40</v>
      </c>
      <c r="V55" s="107">
        <v>1</v>
      </c>
      <c r="W55" s="107">
        <v>1</v>
      </c>
      <c r="X55" s="98">
        <v>0.03</v>
      </c>
      <c r="Y55" s="106">
        <f>V55*X55/W55</f>
        <v>0.03</v>
      </c>
      <c r="Z55" s="138"/>
      <c r="AA55" s="149"/>
      <c r="AB55" s="129"/>
      <c r="AC55" s="151"/>
      <c r="AD55" s="152"/>
      <c r="AE55" s="153"/>
      <c r="AF55" s="124"/>
    </row>
    <row r="56" spans="1:33" s="32" customFormat="1" ht="23.4" customHeight="1">
      <c r="A56" s="141"/>
      <c r="B56" s="144"/>
      <c r="C56" s="147"/>
      <c r="D56" s="132"/>
      <c r="E56" s="135"/>
      <c r="F56" s="92"/>
      <c r="G56" s="92"/>
      <c r="H56" s="91"/>
      <c r="I56" s="103"/>
      <c r="J56" s="33"/>
      <c r="K56" s="92"/>
      <c r="L56" s="92"/>
      <c r="M56" s="92"/>
      <c r="N56" s="34"/>
      <c r="O56" s="30"/>
      <c r="P56" s="31"/>
      <c r="Q56" s="95"/>
      <c r="R56" s="31"/>
      <c r="S56" s="39"/>
      <c r="T56" s="106"/>
      <c r="U56" s="107"/>
      <c r="V56" s="107"/>
      <c r="W56" s="107"/>
      <c r="X56" s="98"/>
      <c r="Y56" s="106"/>
      <c r="Z56" s="138"/>
      <c r="AA56" s="149"/>
      <c r="AB56" s="129"/>
      <c r="AC56" s="151"/>
      <c r="AD56" s="152"/>
      <c r="AE56" s="153"/>
      <c r="AF56" s="124"/>
    </row>
    <row r="57" spans="1:33" s="32" customFormat="1" ht="14.1" customHeight="1">
      <c r="A57" s="141"/>
      <c r="B57" s="144"/>
      <c r="C57" s="147"/>
      <c r="D57" s="132"/>
      <c r="E57" s="135"/>
      <c r="F57" s="91"/>
      <c r="G57" s="91"/>
      <c r="H57" s="91"/>
      <c r="I57" s="104"/>
      <c r="J57" s="52"/>
      <c r="K57" s="35"/>
      <c r="L57" s="35"/>
      <c r="M57" s="35"/>
      <c r="N57" s="35"/>
      <c r="O57" s="35"/>
      <c r="P57" s="35"/>
      <c r="Q57" s="96"/>
      <c r="R57" s="35"/>
      <c r="S57" s="91"/>
      <c r="T57" s="106"/>
      <c r="U57" s="107"/>
      <c r="V57" s="107"/>
      <c r="W57" s="107"/>
      <c r="X57" s="98"/>
      <c r="Y57" s="106"/>
      <c r="Z57" s="139"/>
      <c r="AA57" s="149"/>
      <c r="AB57" s="129"/>
      <c r="AC57" s="151"/>
      <c r="AD57" s="152"/>
      <c r="AE57" s="153"/>
      <c r="AF57" s="124"/>
    </row>
    <row r="58" spans="1:33" s="37" customFormat="1" ht="14.1" customHeight="1">
      <c r="A58" s="142"/>
      <c r="B58" s="145"/>
      <c r="C58" s="148"/>
      <c r="D58" s="133"/>
      <c r="E58" s="136"/>
      <c r="F58" s="125" t="s">
        <v>65</v>
      </c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7"/>
      <c r="S58" s="10">
        <f>SUM(S53:S57)</f>
        <v>0.98833681250000005</v>
      </c>
      <c r="T58" s="2"/>
      <c r="U58" s="102"/>
      <c r="V58" s="102"/>
      <c r="W58" s="102"/>
      <c r="X58" s="2"/>
      <c r="Y58" s="2">
        <f>SUM(Y53:Y57)</f>
        <v>0.15000000000000002</v>
      </c>
      <c r="Z58" s="2"/>
      <c r="AA58" s="36"/>
      <c r="AB58" s="129"/>
      <c r="AC58" s="36"/>
      <c r="AD58" s="36"/>
      <c r="AE58" s="36"/>
      <c r="AF58" s="36"/>
    </row>
    <row r="59" spans="1:33" s="32" customFormat="1" ht="14.1" customHeight="1">
      <c r="A59" s="140">
        <v>11</v>
      </c>
      <c r="B59" s="143">
        <v>44553</v>
      </c>
      <c r="C59" s="146" t="s">
        <v>123</v>
      </c>
      <c r="D59" s="131" t="s">
        <v>188</v>
      </c>
      <c r="E59" s="134" t="s">
        <v>124</v>
      </c>
      <c r="F59" s="92" t="s">
        <v>23</v>
      </c>
      <c r="G59" s="92" t="s">
        <v>62</v>
      </c>
      <c r="H59" s="91">
        <v>1</v>
      </c>
      <c r="I59" s="103" t="s">
        <v>146</v>
      </c>
      <c r="J59" s="33"/>
      <c r="K59" s="29">
        <v>89</v>
      </c>
      <c r="L59" s="29">
        <f>125+2.5*2</f>
        <v>130</v>
      </c>
      <c r="M59" s="92">
        <v>2.5</v>
      </c>
      <c r="N59" s="39">
        <v>6.45</v>
      </c>
      <c r="O59" s="30">
        <v>3.4</v>
      </c>
      <c r="P59" s="31">
        <f>K59*L59*M59*0.00000785</f>
        <v>0.22706124999999999</v>
      </c>
      <c r="Q59" s="95">
        <v>8.6999999999999994E-2</v>
      </c>
      <c r="R59" s="31">
        <f>P59-Q59</f>
        <v>0.14006125</v>
      </c>
      <c r="S59" s="39">
        <f>(N59*P59-O59*R59)*H59</f>
        <v>0.98833681250000005</v>
      </c>
      <c r="T59" s="106" t="s">
        <v>67</v>
      </c>
      <c r="U59" s="107">
        <v>100</v>
      </c>
      <c r="V59" s="107">
        <v>1</v>
      </c>
      <c r="W59" s="107">
        <v>1</v>
      </c>
      <c r="X59" s="98">
        <v>7.0000000000000007E-2</v>
      </c>
      <c r="Y59" s="106">
        <f>V59*X59/W59</f>
        <v>7.0000000000000007E-2</v>
      </c>
      <c r="Z59" s="137">
        <f>(S64+Y64)*1.2</f>
        <v>1.3660041749999998</v>
      </c>
      <c r="AA59" s="149">
        <f>Z59/1.13</f>
        <v>1.2088532522123894</v>
      </c>
      <c r="AB59" s="129"/>
      <c r="AC59" s="151">
        <v>100000</v>
      </c>
      <c r="AD59" s="152">
        <f>AB53/2/AC59</f>
        <v>0.1845</v>
      </c>
      <c r="AE59" s="153">
        <f>AA59+AD59</f>
        <v>1.3933532522123895</v>
      </c>
      <c r="AF59" s="124"/>
    </row>
    <row r="60" spans="1:33" s="32" customFormat="1" ht="14.1" customHeight="1">
      <c r="A60" s="141"/>
      <c r="B60" s="144"/>
      <c r="C60" s="147"/>
      <c r="D60" s="132"/>
      <c r="E60" s="135"/>
      <c r="F60" s="92"/>
      <c r="G60" s="92"/>
      <c r="H60" s="91"/>
      <c r="I60" s="103"/>
      <c r="J60" s="33"/>
      <c r="K60" s="33"/>
      <c r="L60" s="33"/>
      <c r="M60" s="33"/>
      <c r="N60" s="39"/>
      <c r="O60" s="30"/>
      <c r="P60" s="31"/>
      <c r="Q60" s="95"/>
      <c r="R60" s="31"/>
      <c r="S60" s="39"/>
      <c r="T60" s="106" t="s">
        <v>44</v>
      </c>
      <c r="U60" s="107">
        <v>80</v>
      </c>
      <c r="V60" s="107">
        <v>1</v>
      </c>
      <c r="W60" s="107">
        <v>1</v>
      </c>
      <c r="X60" s="98">
        <v>0.05</v>
      </c>
      <c r="Y60" s="106">
        <f>V60*X60/W60</f>
        <v>0.05</v>
      </c>
      <c r="Z60" s="138"/>
      <c r="AA60" s="149"/>
      <c r="AB60" s="129"/>
      <c r="AC60" s="151"/>
      <c r="AD60" s="152"/>
      <c r="AE60" s="153"/>
      <c r="AF60" s="124"/>
      <c r="AG60" s="32" t="s">
        <v>217</v>
      </c>
    </row>
    <row r="61" spans="1:33" s="32" customFormat="1" ht="14.1" customHeight="1">
      <c r="A61" s="141"/>
      <c r="B61" s="144"/>
      <c r="C61" s="147"/>
      <c r="D61" s="132"/>
      <c r="E61" s="135"/>
      <c r="F61" s="92"/>
      <c r="G61" s="92"/>
      <c r="H61" s="91"/>
      <c r="I61" s="103"/>
      <c r="J61" s="33"/>
      <c r="K61" s="33"/>
      <c r="L61" s="33"/>
      <c r="M61" s="33"/>
      <c r="N61" s="39"/>
      <c r="O61" s="30"/>
      <c r="P61" s="31"/>
      <c r="Q61" s="95"/>
      <c r="R61" s="31"/>
      <c r="S61" s="39"/>
      <c r="T61" s="106" t="s">
        <v>43</v>
      </c>
      <c r="U61" s="107">
        <v>40</v>
      </c>
      <c r="V61" s="107">
        <v>1</v>
      </c>
      <c r="W61" s="107">
        <v>1</v>
      </c>
      <c r="X61" s="98">
        <v>0.03</v>
      </c>
      <c r="Y61" s="106">
        <f>V61*X61/W61</f>
        <v>0.03</v>
      </c>
      <c r="Z61" s="138"/>
      <c r="AA61" s="149"/>
      <c r="AB61" s="129"/>
      <c r="AC61" s="151"/>
      <c r="AD61" s="152"/>
      <c r="AE61" s="153"/>
      <c r="AF61" s="124"/>
    </row>
    <row r="62" spans="1:33" s="32" customFormat="1" ht="23.4" customHeight="1">
      <c r="A62" s="141"/>
      <c r="B62" s="144"/>
      <c r="C62" s="147"/>
      <c r="D62" s="132"/>
      <c r="E62" s="135"/>
      <c r="F62" s="92"/>
      <c r="G62" s="92"/>
      <c r="H62" s="91"/>
      <c r="I62" s="103"/>
      <c r="J62" s="33"/>
      <c r="K62" s="92"/>
      <c r="L62" s="92"/>
      <c r="M62" s="92"/>
      <c r="N62" s="34"/>
      <c r="O62" s="30"/>
      <c r="P62" s="31"/>
      <c r="Q62" s="95"/>
      <c r="R62" s="31"/>
      <c r="S62" s="39"/>
      <c r="T62" s="106"/>
      <c r="U62" s="107"/>
      <c r="V62" s="107"/>
      <c r="W62" s="107"/>
      <c r="X62" s="98"/>
      <c r="Y62" s="106"/>
      <c r="Z62" s="138"/>
      <c r="AA62" s="149"/>
      <c r="AB62" s="129"/>
      <c r="AC62" s="151"/>
      <c r="AD62" s="152"/>
      <c r="AE62" s="153"/>
      <c r="AF62" s="124"/>
    </row>
    <row r="63" spans="1:33" s="32" customFormat="1" ht="14.1" customHeight="1">
      <c r="A63" s="141"/>
      <c r="B63" s="144"/>
      <c r="C63" s="147"/>
      <c r="D63" s="132"/>
      <c r="E63" s="135"/>
      <c r="F63" s="91"/>
      <c r="G63" s="91"/>
      <c r="H63" s="91"/>
      <c r="I63" s="104"/>
      <c r="J63" s="52"/>
      <c r="K63" s="35"/>
      <c r="L63" s="35"/>
      <c r="M63" s="35"/>
      <c r="N63" s="35"/>
      <c r="O63" s="35"/>
      <c r="P63" s="35"/>
      <c r="Q63" s="96"/>
      <c r="R63" s="35"/>
      <c r="S63" s="91"/>
      <c r="T63" s="106"/>
      <c r="U63" s="107"/>
      <c r="V63" s="107"/>
      <c r="W63" s="107"/>
      <c r="X63" s="98"/>
      <c r="Y63" s="106"/>
      <c r="Z63" s="139"/>
      <c r="AA63" s="149"/>
      <c r="AB63" s="130"/>
      <c r="AC63" s="151"/>
      <c r="AD63" s="152"/>
      <c r="AE63" s="153"/>
      <c r="AF63" s="124"/>
    </row>
    <row r="64" spans="1:33" s="37" customFormat="1" ht="14.1" customHeight="1">
      <c r="A64" s="142"/>
      <c r="B64" s="145"/>
      <c r="C64" s="148"/>
      <c r="D64" s="133"/>
      <c r="E64" s="136"/>
      <c r="F64" s="125" t="s">
        <v>65</v>
      </c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7"/>
      <c r="S64" s="10">
        <f>SUM(S59:S63)</f>
        <v>0.98833681250000005</v>
      </c>
      <c r="T64" s="2"/>
      <c r="U64" s="102"/>
      <c r="V64" s="102"/>
      <c r="W64" s="102"/>
      <c r="X64" s="2"/>
      <c r="Y64" s="2">
        <f>SUM(Y59:Y63)</f>
        <v>0.15000000000000002</v>
      </c>
      <c r="Z64" s="2"/>
      <c r="AA64" s="36"/>
      <c r="AB64" s="36"/>
      <c r="AC64" s="36"/>
      <c r="AD64" s="36"/>
      <c r="AE64" s="36"/>
      <c r="AF64" s="36"/>
    </row>
    <row r="65" spans="1:33" s="32" customFormat="1" ht="14.1" customHeight="1">
      <c r="A65" s="140">
        <v>12</v>
      </c>
      <c r="B65" s="143">
        <v>44553</v>
      </c>
      <c r="C65" s="146" t="s">
        <v>190</v>
      </c>
      <c r="D65" s="131" t="s">
        <v>189</v>
      </c>
      <c r="E65" s="134" t="s">
        <v>176</v>
      </c>
      <c r="F65" s="92" t="s">
        <v>140</v>
      </c>
      <c r="G65" s="92" t="s">
        <v>62</v>
      </c>
      <c r="H65" s="91">
        <v>1</v>
      </c>
      <c r="I65" s="103" t="s">
        <v>146</v>
      </c>
      <c r="J65" s="33"/>
      <c r="K65" s="29">
        <v>370</v>
      </c>
      <c r="L65" s="29">
        <v>92</v>
      </c>
      <c r="M65" s="92">
        <v>1.6</v>
      </c>
      <c r="N65" s="39">
        <v>6.45</v>
      </c>
      <c r="O65" s="30">
        <v>3.4</v>
      </c>
      <c r="P65" s="31">
        <f>K65*L65*M65*0.00000785</f>
        <v>0.42754239999999999</v>
      </c>
      <c r="Q65" s="95">
        <v>0.307</v>
      </c>
      <c r="R65" s="31">
        <f>P65-Q65</f>
        <v>0.12054239999999999</v>
      </c>
      <c r="S65" s="39">
        <f>(N65*P65-O65*R65)*H65</f>
        <v>2.3478043199999998</v>
      </c>
      <c r="T65" s="106" t="s">
        <v>67</v>
      </c>
      <c r="U65" s="107">
        <v>125</v>
      </c>
      <c r="V65" s="107">
        <v>1</v>
      </c>
      <c r="W65" s="107">
        <v>1</v>
      </c>
      <c r="X65" s="98">
        <v>0.08</v>
      </c>
      <c r="Y65" s="106">
        <f>V65*X65/W65</f>
        <v>0.08</v>
      </c>
      <c r="Z65" s="137">
        <f>(S75+Y75)*1.2</f>
        <v>5.3611219919999993</v>
      </c>
      <c r="AA65" s="149">
        <f>Z65/1.13</f>
        <v>4.7443557451327436</v>
      </c>
      <c r="AB65" s="150">
        <f>56000+17200</f>
        <v>73200</v>
      </c>
      <c r="AC65" s="151">
        <v>100000</v>
      </c>
      <c r="AD65" s="152">
        <f>AB65/AC65</f>
        <v>0.73199999999999998</v>
      </c>
      <c r="AE65" s="153">
        <f>AA65+AD65</f>
        <v>5.4763557451327438</v>
      </c>
      <c r="AF65" s="124"/>
    </row>
    <row r="66" spans="1:33" s="32" customFormat="1" ht="14.1" customHeight="1">
      <c r="A66" s="141"/>
      <c r="B66" s="144"/>
      <c r="C66" s="147"/>
      <c r="D66" s="132"/>
      <c r="E66" s="135"/>
      <c r="F66" s="92" t="s">
        <v>141</v>
      </c>
      <c r="G66" s="92" t="s">
        <v>62</v>
      </c>
      <c r="H66" s="91">
        <v>2</v>
      </c>
      <c r="I66" s="103" t="s">
        <v>51</v>
      </c>
      <c r="J66" s="33"/>
      <c r="K66" s="33">
        <f>20+4</f>
        <v>24</v>
      </c>
      <c r="L66" s="33">
        <f>45+4</f>
        <v>49</v>
      </c>
      <c r="M66" s="33">
        <v>2</v>
      </c>
      <c r="N66" s="39">
        <v>6.25</v>
      </c>
      <c r="O66" s="30">
        <v>3.4</v>
      </c>
      <c r="P66" s="31">
        <f>K66*L66*M66*0.00000785</f>
        <v>1.8463199999999999E-2</v>
      </c>
      <c r="Q66" s="95">
        <v>1.2E-2</v>
      </c>
      <c r="R66" s="31">
        <f t="shared" ref="R66:R67" si="1">P66-Q66</f>
        <v>6.4631999999999988E-3</v>
      </c>
      <c r="S66" s="39">
        <f>(N66*P66-O66*R66)*H66</f>
        <v>0.18684023999999999</v>
      </c>
      <c r="T66" s="106" t="s">
        <v>44</v>
      </c>
      <c r="U66" s="107">
        <v>100</v>
      </c>
      <c r="V66" s="107">
        <v>1</v>
      </c>
      <c r="W66" s="107">
        <v>1</v>
      </c>
      <c r="X66" s="98">
        <v>7.0000000000000007E-2</v>
      </c>
      <c r="Y66" s="106">
        <f>V66*X66/W66</f>
        <v>7.0000000000000007E-2</v>
      </c>
      <c r="Z66" s="138"/>
      <c r="AA66" s="149"/>
      <c r="AB66" s="150"/>
      <c r="AC66" s="151"/>
      <c r="AD66" s="152"/>
      <c r="AE66" s="153"/>
      <c r="AF66" s="124"/>
    </row>
    <row r="67" spans="1:33" s="32" customFormat="1" ht="14.1" customHeight="1">
      <c r="A67" s="141"/>
      <c r="B67" s="144"/>
      <c r="C67" s="147"/>
      <c r="D67" s="132"/>
      <c r="E67" s="135"/>
      <c r="F67" s="92" t="s">
        <v>142</v>
      </c>
      <c r="G67" s="92" t="s">
        <v>62</v>
      </c>
      <c r="H67" s="91">
        <v>2</v>
      </c>
      <c r="I67" s="103" t="s">
        <v>146</v>
      </c>
      <c r="J67" s="33"/>
      <c r="K67" s="33">
        <v>65</v>
      </c>
      <c r="L67" s="33">
        <f>20+30+20+4</f>
        <v>74</v>
      </c>
      <c r="M67" s="33">
        <v>2</v>
      </c>
      <c r="N67" s="39">
        <v>6.55</v>
      </c>
      <c r="O67" s="30">
        <v>3.4</v>
      </c>
      <c r="P67" s="31">
        <f>K67*L67*M67*0.00000785</f>
        <v>7.5517000000000001E-2</v>
      </c>
      <c r="Q67" s="95">
        <v>2.9000000000000001E-2</v>
      </c>
      <c r="R67" s="31">
        <f t="shared" si="1"/>
        <v>4.6517000000000003E-2</v>
      </c>
      <c r="S67" s="39">
        <f>(N67*P67-O67*R67)*H67</f>
        <v>0.67295709999999997</v>
      </c>
      <c r="T67" s="106" t="s">
        <v>43</v>
      </c>
      <c r="U67" s="107">
        <v>100</v>
      </c>
      <c r="V67" s="107">
        <v>1</v>
      </c>
      <c r="W67" s="107">
        <v>1</v>
      </c>
      <c r="X67" s="98">
        <v>7.0000000000000007E-2</v>
      </c>
      <c r="Y67" s="106">
        <f>V67*X67/W67</f>
        <v>7.0000000000000007E-2</v>
      </c>
      <c r="Z67" s="138"/>
      <c r="AA67" s="149"/>
      <c r="AB67" s="150"/>
      <c r="AC67" s="151"/>
      <c r="AD67" s="152"/>
      <c r="AE67" s="153"/>
      <c r="AF67" s="124"/>
    </row>
    <row r="68" spans="1:33" s="32" customFormat="1" ht="23.4" customHeight="1">
      <c r="A68" s="141"/>
      <c r="B68" s="144"/>
      <c r="C68" s="147"/>
      <c r="D68" s="132"/>
      <c r="E68" s="135"/>
      <c r="F68" s="92"/>
      <c r="G68" s="92"/>
      <c r="H68" s="91"/>
      <c r="I68" s="103"/>
      <c r="J68" s="33"/>
      <c r="K68" s="92"/>
      <c r="L68" s="92"/>
      <c r="M68" s="92"/>
      <c r="N68" s="34"/>
      <c r="O68" s="30"/>
      <c r="P68" s="31"/>
      <c r="Q68" s="95"/>
      <c r="R68" s="31"/>
      <c r="S68" s="39"/>
      <c r="T68" s="106" t="s">
        <v>143</v>
      </c>
      <c r="U68" s="107">
        <v>80</v>
      </c>
      <c r="V68" s="107">
        <v>1</v>
      </c>
      <c r="W68" s="107">
        <v>1</v>
      </c>
      <c r="X68" s="98">
        <v>0.05</v>
      </c>
      <c r="Y68" s="106">
        <f>V68*X68/W68</f>
        <v>0.05</v>
      </c>
      <c r="Z68" s="138"/>
      <c r="AA68" s="149"/>
      <c r="AB68" s="150"/>
      <c r="AC68" s="151"/>
      <c r="AD68" s="152"/>
      <c r="AE68" s="153"/>
      <c r="AF68" s="124"/>
    </row>
    <row r="69" spans="1:33" s="32" customFormat="1" ht="23.4" customHeight="1">
      <c r="A69" s="141"/>
      <c r="B69" s="144"/>
      <c r="C69" s="147"/>
      <c r="D69" s="132"/>
      <c r="E69" s="135"/>
      <c r="F69" s="92"/>
      <c r="G69" s="92"/>
      <c r="H69" s="91"/>
      <c r="I69" s="103"/>
      <c r="J69" s="33"/>
      <c r="K69" s="92"/>
      <c r="L69" s="92"/>
      <c r="M69" s="92"/>
      <c r="N69" s="34"/>
      <c r="O69" s="30"/>
      <c r="P69" s="31"/>
      <c r="Q69" s="95"/>
      <c r="R69" s="31"/>
      <c r="S69" s="39"/>
      <c r="T69" s="106" t="s">
        <v>67</v>
      </c>
      <c r="U69" s="107">
        <v>40</v>
      </c>
      <c r="V69" s="107">
        <v>1</v>
      </c>
      <c r="W69" s="107">
        <v>1</v>
      </c>
      <c r="X69" s="98">
        <v>0.03</v>
      </c>
      <c r="Y69" s="106">
        <f t="shared" ref="Y69:Y73" si="2">V69*X69/W69</f>
        <v>0.03</v>
      </c>
      <c r="Z69" s="138"/>
      <c r="AA69" s="149"/>
      <c r="AB69" s="150"/>
      <c r="AC69" s="151"/>
      <c r="AD69" s="152"/>
      <c r="AE69" s="153"/>
      <c r="AF69" s="124"/>
      <c r="AG69" s="123" t="s">
        <v>218</v>
      </c>
    </row>
    <row r="70" spans="1:33" s="32" customFormat="1" ht="23.4" customHeight="1">
      <c r="A70" s="141"/>
      <c r="B70" s="144"/>
      <c r="C70" s="147"/>
      <c r="D70" s="132"/>
      <c r="E70" s="135"/>
      <c r="F70" s="92"/>
      <c r="G70" s="92"/>
      <c r="H70" s="91"/>
      <c r="I70" s="103"/>
      <c r="J70" s="33"/>
      <c r="K70" s="92"/>
      <c r="L70" s="92"/>
      <c r="M70" s="92"/>
      <c r="N70" s="34"/>
      <c r="O70" s="30"/>
      <c r="P70" s="31"/>
      <c r="Q70" s="95"/>
      <c r="R70" s="31"/>
      <c r="S70" s="39"/>
      <c r="T70" s="106" t="s">
        <v>44</v>
      </c>
      <c r="U70" s="107">
        <v>25</v>
      </c>
      <c r="V70" s="107">
        <v>1</v>
      </c>
      <c r="W70" s="107">
        <v>1</v>
      </c>
      <c r="X70" s="98">
        <v>0.03</v>
      </c>
      <c r="Y70" s="106">
        <f t="shared" si="2"/>
        <v>0.03</v>
      </c>
      <c r="Z70" s="138"/>
      <c r="AA70" s="149"/>
      <c r="AB70" s="150"/>
      <c r="AC70" s="151"/>
      <c r="AD70" s="152"/>
      <c r="AE70" s="153"/>
      <c r="AF70" s="124"/>
    </row>
    <row r="71" spans="1:33" s="32" customFormat="1" ht="23.4" customHeight="1">
      <c r="A71" s="141"/>
      <c r="B71" s="144"/>
      <c r="C71" s="147"/>
      <c r="D71" s="132"/>
      <c r="E71" s="135"/>
      <c r="F71" s="92"/>
      <c r="G71" s="92"/>
      <c r="H71" s="91"/>
      <c r="I71" s="103"/>
      <c r="J71" s="33"/>
      <c r="K71" s="92"/>
      <c r="L71" s="92"/>
      <c r="M71" s="92"/>
      <c r="N71" s="34"/>
      <c r="O71" s="30"/>
      <c r="P71" s="31"/>
      <c r="Q71" s="95"/>
      <c r="R71" s="31"/>
      <c r="S71" s="39"/>
      <c r="T71" s="106" t="s">
        <v>24</v>
      </c>
      <c r="U71" s="107">
        <v>80</v>
      </c>
      <c r="V71" s="107">
        <v>1</v>
      </c>
      <c r="W71" s="107">
        <v>1</v>
      </c>
      <c r="X71" s="98">
        <v>0.05</v>
      </c>
      <c r="Y71" s="106">
        <f t="shared" si="2"/>
        <v>0.05</v>
      </c>
      <c r="Z71" s="138"/>
      <c r="AA71" s="149"/>
      <c r="AB71" s="150"/>
      <c r="AC71" s="151"/>
      <c r="AD71" s="152"/>
      <c r="AE71" s="153"/>
      <c r="AF71" s="124"/>
    </row>
    <row r="72" spans="1:33" s="32" customFormat="1" ht="23.4" customHeight="1">
      <c r="A72" s="141"/>
      <c r="B72" s="144"/>
      <c r="C72" s="147"/>
      <c r="D72" s="132"/>
      <c r="E72" s="135"/>
      <c r="F72" s="92"/>
      <c r="G72" s="92"/>
      <c r="H72" s="91"/>
      <c r="I72" s="103"/>
      <c r="J72" s="33"/>
      <c r="K72" s="92"/>
      <c r="L72" s="92"/>
      <c r="M72" s="92"/>
      <c r="N72" s="34"/>
      <c r="O72" s="30"/>
      <c r="P72" s="31"/>
      <c r="Q72" s="95"/>
      <c r="R72" s="31"/>
      <c r="S72" s="39"/>
      <c r="T72" s="106" t="s">
        <v>144</v>
      </c>
      <c r="U72" s="107">
        <v>40</v>
      </c>
      <c r="V72" s="107">
        <v>1</v>
      </c>
      <c r="W72" s="107">
        <v>1</v>
      </c>
      <c r="X72" s="98">
        <v>0.03</v>
      </c>
      <c r="Y72" s="106">
        <f t="shared" si="2"/>
        <v>0.03</v>
      </c>
      <c r="Z72" s="138"/>
      <c r="AA72" s="149"/>
      <c r="AB72" s="150"/>
      <c r="AC72" s="151"/>
      <c r="AD72" s="152"/>
      <c r="AE72" s="153"/>
      <c r="AF72" s="124"/>
    </row>
    <row r="73" spans="1:33" s="32" customFormat="1" ht="23.4" customHeight="1">
      <c r="A73" s="141"/>
      <c r="B73" s="144"/>
      <c r="C73" s="147"/>
      <c r="D73" s="132"/>
      <c r="E73" s="135"/>
      <c r="F73" s="92"/>
      <c r="G73" s="92"/>
      <c r="H73" s="91"/>
      <c r="I73" s="103"/>
      <c r="J73" s="33"/>
      <c r="K73" s="92"/>
      <c r="L73" s="92"/>
      <c r="M73" s="92"/>
      <c r="N73" s="34"/>
      <c r="O73" s="30"/>
      <c r="P73" s="31"/>
      <c r="Q73" s="95"/>
      <c r="R73" s="31"/>
      <c r="S73" s="39"/>
      <c r="T73" s="106" t="s">
        <v>145</v>
      </c>
      <c r="U73" s="107">
        <v>25</v>
      </c>
      <c r="V73" s="107">
        <v>1</v>
      </c>
      <c r="W73" s="107">
        <v>1</v>
      </c>
      <c r="X73" s="98">
        <v>0.03</v>
      </c>
      <c r="Y73" s="106">
        <f t="shared" si="2"/>
        <v>0.03</v>
      </c>
      <c r="Z73" s="138"/>
      <c r="AA73" s="149"/>
      <c r="AB73" s="150"/>
      <c r="AC73" s="151"/>
      <c r="AD73" s="152"/>
      <c r="AE73" s="153"/>
      <c r="AF73" s="124"/>
    </row>
    <row r="74" spans="1:33" s="32" customFormat="1" ht="14.1" customHeight="1">
      <c r="A74" s="141"/>
      <c r="B74" s="144"/>
      <c r="C74" s="147"/>
      <c r="D74" s="132"/>
      <c r="E74" s="135"/>
      <c r="F74" s="91"/>
      <c r="G74" s="91"/>
      <c r="H74" s="91"/>
      <c r="I74" s="104"/>
      <c r="J74" s="52"/>
      <c r="K74" s="35"/>
      <c r="L74" s="35"/>
      <c r="M74" s="35"/>
      <c r="N74" s="35"/>
      <c r="O74" s="35"/>
      <c r="P74" s="35"/>
      <c r="Q74" s="96"/>
      <c r="R74" s="35"/>
      <c r="S74" s="91"/>
      <c r="T74" s="106" t="s">
        <v>149</v>
      </c>
      <c r="U74" s="108"/>
      <c r="V74" s="118">
        <f>4*2+4*1.5</f>
        <v>14</v>
      </c>
      <c r="W74" s="107">
        <v>1</v>
      </c>
      <c r="X74" s="98">
        <v>0.05</v>
      </c>
      <c r="Y74" s="106">
        <v>0.82</v>
      </c>
      <c r="Z74" s="139"/>
      <c r="AA74" s="149"/>
      <c r="AB74" s="150"/>
      <c r="AC74" s="151"/>
      <c r="AD74" s="152"/>
      <c r="AE74" s="153"/>
      <c r="AF74" s="124"/>
    </row>
    <row r="75" spans="1:33" s="37" customFormat="1" ht="14.1" customHeight="1">
      <c r="A75" s="142"/>
      <c r="B75" s="145"/>
      <c r="C75" s="148"/>
      <c r="D75" s="133"/>
      <c r="E75" s="136"/>
      <c r="F75" s="125" t="s">
        <v>65</v>
      </c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7"/>
      <c r="S75" s="10">
        <f>SUM(S65:S74)</f>
        <v>3.2076016599999999</v>
      </c>
      <c r="T75" s="2"/>
      <c r="U75" s="102"/>
      <c r="V75" s="102"/>
      <c r="W75" s="102"/>
      <c r="X75" s="2"/>
      <c r="Y75" s="2">
        <f>SUM(Y65:Y74)</f>
        <v>1.26</v>
      </c>
      <c r="Z75" s="2"/>
      <c r="AA75" s="36"/>
      <c r="AB75" s="36"/>
      <c r="AC75" s="36"/>
      <c r="AD75" s="36"/>
      <c r="AE75" s="36"/>
      <c r="AF75" s="36"/>
    </row>
    <row r="76" spans="1:33" s="32" customFormat="1" ht="14.1" customHeight="1">
      <c r="A76" s="140">
        <v>13</v>
      </c>
      <c r="B76" s="143">
        <v>44553</v>
      </c>
      <c r="C76" s="146" t="s">
        <v>125</v>
      </c>
      <c r="D76" s="131" t="s">
        <v>175</v>
      </c>
      <c r="E76" s="134" t="s">
        <v>126</v>
      </c>
      <c r="F76" s="92" t="s">
        <v>140</v>
      </c>
      <c r="G76" s="92" t="s">
        <v>62</v>
      </c>
      <c r="H76" s="91">
        <v>1</v>
      </c>
      <c r="I76" s="103" t="s">
        <v>146</v>
      </c>
      <c r="J76" s="33"/>
      <c r="K76" s="29">
        <v>370</v>
      </c>
      <c r="L76" s="29">
        <v>92</v>
      </c>
      <c r="M76" s="92">
        <v>1.6</v>
      </c>
      <c r="N76" s="39">
        <v>6.45</v>
      </c>
      <c r="O76" s="30">
        <v>3.4</v>
      </c>
      <c r="P76" s="31">
        <f>K76*L76*M76*0.00000785</f>
        <v>0.42754239999999999</v>
      </c>
      <c r="Q76" s="95">
        <v>0.307</v>
      </c>
      <c r="R76" s="31">
        <f>P76-Q76</f>
        <v>0.12054239999999999</v>
      </c>
      <c r="S76" s="39">
        <f>(N76*P76-O76*R76)*H76</f>
        <v>2.3478043199999998</v>
      </c>
      <c r="T76" s="106" t="s">
        <v>67</v>
      </c>
      <c r="U76" s="107">
        <v>125</v>
      </c>
      <c r="V76" s="107">
        <v>1</v>
      </c>
      <c r="W76" s="107">
        <v>1</v>
      </c>
      <c r="X76" s="98">
        <v>0.08</v>
      </c>
      <c r="Y76" s="106">
        <f>V76*X76/W76</f>
        <v>0.08</v>
      </c>
      <c r="Z76" s="137">
        <f>(S86+Y86)*1.2</f>
        <v>3.3453651839999998</v>
      </c>
      <c r="AA76" s="149">
        <f>Z76/1.13</f>
        <v>2.9605001628318584</v>
      </c>
      <c r="AB76" s="150"/>
      <c r="AC76" s="151"/>
      <c r="AD76" s="152"/>
      <c r="AE76" s="153">
        <f>AA76+AD76</f>
        <v>2.9605001628318584</v>
      </c>
      <c r="AF76" s="124"/>
    </row>
    <row r="77" spans="1:33" s="32" customFormat="1" ht="14.1" customHeight="1">
      <c r="A77" s="141"/>
      <c r="B77" s="144"/>
      <c r="C77" s="147"/>
      <c r="D77" s="132"/>
      <c r="E77" s="135"/>
      <c r="F77" s="92"/>
      <c r="G77" s="92"/>
      <c r="H77" s="91"/>
      <c r="I77" s="103"/>
      <c r="J77" s="33"/>
      <c r="K77" s="33"/>
      <c r="L77" s="33"/>
      <c r="M77" s="33"/>
      <c r="N77" s="39"/>
      <c r="O77" s="30"/>
      <c r="P77" s="31"/>
      <c r="Q77" s="95"/>
      <c r="R77" s="31"/>
      <c r="S77" s="39"/>
      <c r="T77" s="106" t="s">
        <v>44</v>
      </c>
      <c r="U77" s="107">
        <v>100</v>
      </c>
      <c r="V77" s="107">
        <v>1</v>
      </c>
      <c r="W77" s="107">
        <v>1</v>
      </c>
      <c r="X77" s="98">
        <v>7.0000000000000007E-2</v>
      </c>
      <c r="Y77" s="106">
        <f>V77*X77/W77</f>
        <v>7.0000000000000007E-2</v>
      </c>
      <c r="Z77" s="138"/>
      <c r="AA77" s="149"/>
      <c r="AB77" s="150"/>
      <c r="AC77" s="151"/>
      <c r="AD77" s="152"/>
      <c r="AE77" s="153"/>
      <c r="AF77" s="124"/>
    </row>
    <row r="78" spans="1:33" s="32" customFormat="1" ht="14.1" customHeight="1">
      <c r="A78" s="141"/>
      <c r="B78" s="144"/>
      <c r="C78" s="147"/>
      <c r="D78" s="132"/>
      <c r="E78" s="135"/>
      <c r="F78" s="92"/>
      <c r="G78" s="92"/>
      <c r="H78" s="91"/>
      <c r="I78" s="103"/>
      <c r="J78" s="33"/>
      <c r="K78" s="33"/>
      <c r="L78" s="33"/>
      <c r="M78" s="33"/>
      <c r="N78" s="39"/>
      <c r="O78" s="30"/>
      <c r="P78" s="31"/>
      <c r="Q78" s="95"/>
      <c r="R78" s="31"/>
      <c r="S78" s="39"/>
      <c r="T78" s="106" t="s">
        <v>43</v>
      </c>
      <c r="U78" s="107">
        <v>100</v>
      </c>
      <c r="V78" s="107">
        <v>1</v>
      </c>
      <c r="W78" s="107">
        <v>1</v>
      </c>
      <c r="X78" s="98">
        <v>7.0000000000000007E-2</v>
      </c>
      <c r="Y78" s="106">
        <f>V78*X78/W78</f>
        <v>7.0000000000000007E-2</v>
      </c>
      <c r="Z78" s="138"/>
      <c r="AA78" s="149"/>
      <c r="AB78" s="150"/>
      <c r="AC78" s="151"/>
      <c r="AD78" s="152"/>
      <c r="AE78" s="153"/>
      <c r="AF78" s="124"/>
    </row>
    <row r="79" spans="1:33" s="32" customFormat="1" ht="23.4" customHeight="1">
      <c r="A79" s="141"/>
      <c r="B79" s="144"/>
      <c r="C79" s="147"/>
      <c r="D79" s="132"/>
      <c r="E79" s="135"/>
      <c r="F79" s="92"/>
      <c r="G79" s="92"/>
      <c r="H79" s="91"/>
      <c r="I79" s="103"/>
      <c r="J79" s="33"/>
      <c r="K79" s="92"/>
      <c r="L79" s="92"/>
      <c r="M79" s="92"/>
      <c r="N79" s="34"/>
      <c r="O79" s="30"/>
      <c r="P79" s="31"/>
      <c r="Q79" s="95"/>
      <c r="R79" s="31"/>
      <c r="S79" s="39"/>
      <c r="T79" s="106" t="s">
        <v>143</v>
      </c>
      <c r="U79" s="107">
        <v>80</v>
      </c>
      <c r="V79" s="107">
        <v>1</v>
      </c>
      <c r="W79" s="107">
        <v>1</v>
      </c>
      <c r="X79" s="98">
        <v>0.05</v>
      </c>
      <c r="Y79" s="106">
        <f>V79*X79/W79</f>
        <v>0.05</v>
      </c>
      <c r="Z79" s="138"/>
      <c r="AA79" s="149"/>
      <c r="AB79" s="150"/>
      <c r="AC79" s="151"/>
      <c r="AD79" s="152"/>
      <c r="AE79" s="153"/>
      <c r="AF79" s="124"/>
    </row>
    <row r="80" spans="1:33" s="32" customFormat="1" ht="23.4" customHeight="1">
      <c r="A80" s="141"/>
      <c r="B80" s="144"/>
      <c r="C80" s="147"/>
      <c r="D80" s="132"/>
      <c r="E80" s="135"/>
      <c r="F80" s="92"/>
      <c r="G80" s="92"/>
      <c r="H80" s="91"/>
      <c r="I80" s="103"/>
      <c r="J80" s="33"/>
      <c r="K80" s="92"/>
      <c r="L80" s="92"/>
      <c r="M80" s="92"/>
      <c r="N80" s="34"/>
      <c r="O80" s="30"/>
      <c r="P80" s="31"/>
      <c r="Q80" s="95"/>
      <c r="R80" s="31"/>
      <c r="S80" s="39"/>
      <c r="T80" s="106" t="s">
        <v>67</v>
      </c>
      <c r="U80" s="107">
        <v>40</v>
      </c>
      <c r="V80" s="107">
        <v>1</v>
      </c>
      <c r="W80" s="107">
        <v>1</v>
      </c>
      <c r="X80" s="98">
        <v>0.03</v>
      </c>
      <c r="Y80" s="106">
        <f t="shared" ref="Y80:Y84" si="3">V80*X80/W80</f>
        <v>0.03</v>
      </c>
      <c r="Z80" s="138"/>
      <c r="AA80" s="149"/>
      <c r="AB80" s="150"/>
      <c r="AC80" s="151"/>
      <c r="AD80" s="152"/>
      <c r="AE80" s="153"/>
      <c r="AF80" s="124"/>
    </row>
    <row r="81" spans="1:32" s="32" customFormat="1" ht="23.4" customHeight="1">
      <c r="A81" s="141"/>
      <c r="B81" s="144"/>
      <c r="C81" s="147"/>
      <c r="D81" s="132"/>
      <c r="E81" s="135"/>
      <c r="F81" s="92"/>
      <c r="G81" s="92"/>
      <c r="H81" s="91"/>
      <c r="I81" s="103"/>
      <c r="J81" s="33"/>
      <c r="K81" s="92"/>
      <c r="L81" s="92"/>
      <c r="M81" s="92"/>
      <c r="N81" s="34"/>
      <c r="O81" s="30"/>
      <c r="P81" s="31"/>
      <c r="Q81" s="95"/>
      <c r="R81" s="31"/>
      <c r="S81" s="39"/>
      <c r="T81" s="106" t="s">
        <v>44</v>
      </c>
      <c r="U81" s="107">
        <v>25</v>
      </c>
      <c r="V81" s="107">
        <v>1</v>
      </c>
      <c r="W81" s="107">
        <v>1</v>
      </c>
      <c r="X81" s="98">
        <v>0.03</v>
      </c>
      <c r="Y81" s="106">
        <f t="shared" si="3"/>
        <v>0.03</v>
      </c>
      <c r="Z81" s="138"/>
      <c r="AA81" s="149"/>
      <c r="AB81" s="150"/>
      <c r="AC81" s="151"/>
      <c r="AD81" s="152"/>
      <c r="AE81" s="153"/>
      <c r="AF81" s="124"/>
    </row>
    <row r="82" spans="1:32" s="32" customFormat="1" ht="23.4" customHeight="1">
      <c r="A82" s="141"/>
      <c r="B82" s="144"/>
      <c r="C82" s="147"/>
      <c r="D82" s="132"/>
      <c r="E82" s="135"/>
      <c r="F82" s="92"/>
      <c r="G82" s="92"/>
      <c r="H82" s="91"/>
      <c r="I82" s="103"/>
      <c r="J82" s="33"/>
      <c r="K82" s="92"/>
      <c r="L82" s="92"/>
      <c r="M82" s="92"/>
      <c r="N82" s="34"/>
      <c r="O82" s="30"/>
      <c r="P82" s="31"/>
      <c r="Q82" s="95"/>
      <c r="R82" s="31"/>
      <c r="S82" s="39"/>
      <c r="T82" s="106" t="s">
        <v>24</v>
      </c>
      <c r="U82" s="107">
        <v>80</v>
      </c>
      <c r="V82" s="107">
        <v>1</v>
      </c>
      <c r="W82" s="107">
        <v>1</v>
      </c>
      <c r="X82" s="98">
        <v>0.05</v>
      </c>
      <c r="Y82" s="106">
        <f t="shared" si="3"/>
        <v>0.05</v>
      </c>
      <c r="Z82" s="138"/>
      <c r="AA82" s="149"/>
      <c r="AB82" s="150"/>
      <c r="AC82" s="151"/>
      <c r="AD82" s="152"/>
      <c r="AE82" s="153"/>
      <c r="AF82" s="124"/>
    </row>
    <row r="83" spans="1:32" s="32" customFormat="1" ht="23.4" customHeight="1">
      <c r="A83" s="141"/>
      <c r="B83" s="144"/>
      <c r="C83" s="147"/>
      <c r="D83" s="132"/>
      <c r="E83" s="135"/>
      <c r="F83" s="92"/>
      <c r="G83" s="92"/>
      <c r="H83" s="91"/>
      <c r="I83" s="103"/>
      <c r="J83" s="33"/>
      <c r="K83" s="92"/>
      <c r="L83" s="92"/>
      <c r="M83" s="92"/>
      <c r="N83" s="34"/>
      <c r="O83" s="30"/>
      <c r="P83" s="31"/>
      <c r="Q83" s="95"/>
      <c r="R83" s="31"/>
      <c r="S83" s="39"/>
      <c r="T83" s="106" t="s">
        <v>144</v>
      </c>
      <c r="U83" s="107">
        <v>40</v>
      </c>
      <c r="V83" s="107">
        <v>1</v>
      </c>
      <c r="W83" s="107">
        <v>1</v>
      </c>
      <c r="X83" s="98">
        <v>0.03</v>
      </c>
      <c r="Y83" s="106">
        <f t="shared" si="3"/>
        <v>0.03</v>
      </c>
      <c r="Z83" s="138"/>
      <c r="AA83" s="149"/>
      <c r="AB83" s="150"/>
      <c r="AC83" s="151"/>
      <c r="AD83" s="152"/>
      <c r="AE83" s="153"/>
      <c r="AF83" s="124"/>
    </row>
    <row r="84" spans="1:32" s="32" customFormat="1" ht="23.4" customHeight="1">
      <c r="A84" s="141"/>
      <c r="B84" s="144"/>
      <c r="C84" s="147"/>
      <c r="D84" s="132"/>
      <c r="E84" s="135"/>
      <c r="F84" s="92"/>
      <c r="G84" s="92"/>
      <c r="H84" s="91"/>
      <c r="I84" s="103"/>
      <c r="J84" s="33"/>
      <c r="K84" s="92"/>
      <c r="L84" s="92"/>
      <c r="M84" s="92"/>
      <c r="N84" s="34"/>
      <c r="O84" s="30"/>
      <c r="P84" s="31"/>
      <c r="Q84" s="95"/>
      <c r="R84" s="31"/>
      <c r="S84" s="39"/>
      <c r="T84" s="106" t="s">
        <v>145</v>
      </c>
      <c r="U84" s="107">
        <v>25</v>
      </c>
      <c r="V84" s="107">
        <v>1</v>
      </c>
      <c r="W84" s="107">
        <v>1</v>
      </c>
      <c r="X84" s="98">
        <v>0.03</v>
      </c>
      <c r="Y84" s="106">
        <f t="shared" si="3"/>
        <v>0.03</v>
      </c>
      <c r="Z84" s="138"/>
      <c r="AA84" s="149"/>
      <c r="AB84" s="150"/>
      <c r="AC84" s="151"/>
      <c r="AD84" s="152"/>
      <c r="AE84" s="153"/>
      <c r="AF84" s="124"/>
    </row>
    <row r="85" spans="1:32" s="32" customFormat="1" ht="14.1" customHeight="1">
      <c r="A85" s="141"/>
      <c r="B85" s="144"/>
      <c r="C85" s="147"/>
      <c r="D85" s="132"/>
      <c r="E85" s="135"/>
      <c r="F85" s="91"/>
      <c r="G85" s="91"/>
      <c r="H85" s="91"/>
      <c r="I85" s="104"/>
      <c r="J85" s="52"/>
      <c r="K85" s="35"/>
      <c r="L85" s="35"/>
      <c r="M85" s="35"/>
      <c r="N85" s="35"/>
      <c r="O85" s="35"/>
      <c r="P85" s="35"/>
      <c r="Q85" s="96"/>
      <c r="R85" s="35"/>
      <c r="S85" s="91"/>
      <c r="T85" s="106"/>
      <c r="U85" s="108"/>
      <c r="V85" s="107"/>
      <c r="W85" s="107"/>
      <c r="X85" s="98"/>
      <c r="Y85" s="106"/>
      <c r="Z85" s="139"/>
      <c r="AA85" s="149"/>
      <c r="AB85" s="150"/>
      <c r="AC85" s="151"/>
      <c r="AD85" s="152"/>
      <c r="AE85" s="153"/>
      <c r="AF85" s="124"/>
    </row>
    <row r="86" spans="1:32" s="37" customFormat="1" ht="14.1" customHeight="1">
      <c r="A86" s="142"/>
      <c r="B86" s="145"/>
      <c r="C86" s="148"/>
      <c r="D86" s="133"/>
      <c r="E86" s="136"/>
      <c r="F86" s="125" t="s">
        <v>65</v>
      </c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7"/>
      <c r="S86" s="10">
        <f>SUM(S76:S85)</f>
        <v>2.3478043199999998</v>
      </c>
      <c r="T86" s="2"/>
      <c r="U86" s="102"/>
      <c r="V86" s="102"/>
      <c r="W86" s="102"/>
      <c r="X86" s="2"/>
      <c r="Y86" s="2">
        <f>SUM(Y76:Y85)</f>
        <v>0.44000000000000006</v>
      </c>
      <c r="Z86" s="2"/>
      <c r="AA86" s="36"/>
      <c r="AB86" s="36"/>
      <c r="AC86" s="36"/>
      <c r="AD86" s="36"/>
      <c r="AE86" s="36"/>
      <c r="AF86" s="36"/>
    </row>
    <row r="87" spans="1:32" s="32" customFormat="1" ht="14.1" customHeight="1">
      <c r="A87" s="140">
        <v>14</v>
      </c>
      <c r="B87" s="143">
        <v>44553</v>
      </c>
      <c r="C87" s="146" t="s">
        <v>127</v>
      </c>
      <c r="D87" s="131" t="s">
        <v>191</v>
      </c>
      <c r="E87" s="134" t="s">
        <v>128</v>
      </c>
      <c r="F87" s="92" t="s">
        <v>23</v>
      </c>
      <c r="G87" s="92" t="s">
        <v>62</v>
      </c>
      <c r="H87" s="91">
        <v>1</v>
      </c>
      <c r="I87" s="103" t="s">
        <v>146</v>
      </c>
      <c r="J87" s="33"/>
      <c r="K87" s="29">
        <v>38</v>
      </c>
      <c r="L87" s="29">
        <v>33</v>
      </c>
      <c r="M87" s="92">
        <v>2.5</v>
      </c>
      <c r="N87" s="39">
        <v>6.45</v>
      </c>
      <c r="O87" s="30">
        <v>3.4</v>
      </c>
      <c r="P87" s="31">
        <f>K87*L87*M87*0.00000785</f>
        <v>2.460975E-2</v>
      </c>
      <c r="Q87" s="95">
        <v>1.0999999999999999E-2</v>
      </c>
      <c r="R87" s="31">
        <f>P87-Q87</f>
        <v>1.360975E-2</v>
      </c>
      <c r="S87" s="39">
        <f>(N87*P87-O87*R87)*H87</f>
        <v>0.1124597375</v>
      </c>
      <c r="T87" s="106" t="s">
        <v>67</v>
      </c>
      <c r="U87" s="107">
        <v>40</v>
      </c>
      <c r="V87" s="107">
        <v>1</v>
      </c>
      <c r="W87" s="107">
        <v>1</v>
      </c>
      <c r="X87" s="98">
        <v>0.03</v>
      </c>
      <c r="Y87" s="106">
        <f>V87*X87/W87</f>
        <v>0.03</v>
      </c>
      <c r="Z87" s="137">
        <f>(S92+Y92)*1.2</f>
        <v>0.20695168499999997</v>
      </c>
      <c r="AA87" s="149">
        <f>Z87/1.13</f>
        <v>0.18314308407079644</v>
      </c>
      <c r="AB87" s="150">
        <v>3000</v>
      </c>
      <c r="AC87" s="151">
        <v>100000</v>
      </c>
      <c r="AD87" s="152">
        <f>AB87/AC87</f>
        <v>0.03</v>
      </c>
      <c r="AE87" s="153">
        <f>AA87+AD87</f>
        <v>0.21314308407079643</v>
      </c>
      <c r="AF87" s="124"/>
    </row>
    <row r="88" spans="1:32" s="32" customFormat="1" ht="14.1" customHeight="1">
      <c r="A88" s="141"/>
      <c r="B88" s="144"/>
      <c r="C88" s="147"/>
      <c r="D88" s="132"/>
      <c r="E88" s="135"/>
      <c r="F88" s="92"/>
      <c r="G88" s="92"/>
      <c r="H88" s="91"/>
      <c r="I88" s="103"/>
      <c r="J88" s="33"/>
      <c r="K88" s="33"/>
      <c r="L88" s="33"/>
      <c r="M88" s="33"/>
      <c r="N88" s="39"/>
      <c r="O88" s="30"/>
      <c r="P88" s="31"/>
      <c r="Q88" s="95"/>
      <c r="R88" s="31"/>
      <c r="S88" s="39"/>
      <c r="T88" s="106" t="s">
        <v>44</v>
      </c>
      <c r="U88" s="107">
        <v>25</v>
      </c>
      <c r="V88" s="107">
        <v>1</v>
      </c>
      <c r="W88" s="107">
        <v>1</v>
      </c>
      <c r="X88" s="98">
        <v>0.03</v>
      </c>
      <c r="Y88" s="106">
        <f>V88*X88/W88</f>
        <v>0.03</v>
      </c>
      <c r="Z88" s="138"/>
      <c r="AA88" s="149"/>
      <c r="AB88" s="150"/>
      <c r="AC88" s="151"/>
      <c r="AD88" s="152"/>
      <c r="AE88" s="153"/>
      <c r="AF88" s="124"/>
    </row>
    <row r="89" spans="1:32" s="32" customFormat="1" ht="14.1" customHeight="1">
      <c r="A89" s="141"/>
      <c r="B89" s="144"/>
      <c r="C89" s="147"/>
      <c r="D89" s="132"/>
      <c r="E89" s="135"/>
      <c r="F89" s="92"/>
      <c r="G89" s="92"/>
      <c r="H89" s="91"/>
      <c r="I89" s="103"/>
      <c r="J89" s="33"/>
      <c r="K89" s="33"/>
      <c r="L89" s="33"/>
      <c r="M89" s="33"/>
      <c r="N89" s="39"/>
      <c r="O89" s="30"/>
      <c r="P89" s="31"/>
      <c r="Q89" s="95"/>
      <c r="R89" s="31"/>
      <c r="S89" s="39"/>
      <c r="T89" s="106"/>
      <c r="U89" s="107"/>
      <c r="V89" s="107"/>
      <c r="W89" s="107"/>
      <c r="X89" s="98"/>
      <c r="Y89" s="106"/>
      <c r="Z89" s="138"/>
      <c r="AA89" s="149"/>
      <c r="AB89" s="150"/>
      <c r="AC89" s="151"/>
      <c r="AD89" s="152"/>
      <c r="AE89" s="153"/>
      <c r="AF89" s="124"/>
    </row>
    <row r="90" spans="1:32" s="32" customFormat="1" ht="23.4" customHeight="1">
      <c r="A90" s="141"/>
      <c r="B90" s="144"/>
      <c r="C90" s="147"/>
      <c r="D90" s="132"/>
      <c r="E90" s="135"/>
      <c r="F90" s="92"/>
      <c r="G90" s="92"/>
      <c r="H90" s="91"/>
      <c r="I90" s="103"/>
      <c r="J90" s="33"/>
      <c r="K90" s="92"/>
      <c r="L90" s="92"/>
      <c r="M90" s="92"/>
      <c r="N90" s="34"/>
      <c r="O90" s="30"/>
      <c r="P90" s="31"/>
      <c r="Q90" s="95"/>
      <c r="R90" s="31"/>
      <c r="S90" s="39"/>
      <c r="T90" s="106"/>
      <c r="U90" s="107"/>
      <c r="V90" s="107"/>
      <c r="W90" s="107"/>
      <c r="X90" s="98"/>
      <c r="Y90" s="106"/>
      <c r="Z90" s="138"/>
      <c r="AA90" s="149"/>
      <c r="AB90" s="150"/>
      <c r="AC90" s="151"/>
      <c r="AD90" s="152"/>
      <c r="AE90" s="153"/>
      <c r="AF90" s="124"/>
    </row>
    <row r="91" spans="1:32" s="32" customFormat="1" ht="14.1" customHeight="1">
      <c r="A91" s="141"/>
      <c r="B91" s="144"/>
      <c r="C91" s="147"/>
      <c r="D91" s="132"/>
      <c r="E91" s="135"/>
      <c r="F91" s="91"/>
      <c r="G91" s="91"/>
      <c r="H91" s="91"/>
      <c r="I91" s="104"/>
      <c r="J91" s="52"/>
      <c r="K91" s="35"/>
      <c r="L91" s="35"/>
      <c r="M91" s="35"/>
      <c r="N91" s="35"/>
      <c r="O91" s="35"/>
      <c r="P91" s="35"/>
      <c r="Q91" s="96"/>
      <c r="R91" s="35"/>
      <c r="S91" s="91"/>
      <c r="T91" s="106"/>
      <c r="U91" s="107"/>
      <c r="V91" s="107"/>
      <c r="W91" s="107"/>
      <c r="X91" s="98"/>
      <c r="Y91" s="106"/>
      <c r="Z91" s="139"/>
      <c r="AA91" s="149"/>
      <c r="AB91" s="150"/>
      <c r="AC91" s="151"/>
      <c r="AD91" s="152"/>
      <c r="AE91" s="153"/>
      <c r="AF91" s="124"/>
    </row>
    <row r="92" spans="1:32" s="37" customFormat="1" ht="14.1" customHeight="1">
      <c r="A92" s="142"/>
      <c r="B92" s="145"/>
      <c r="C92" s="148"/>
      <c r="D92" s="133"/>
      <c r="E92" s="136"/>
      <c r="F92" s="125" t="s">
        <v>65</v>
      </c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7"/>
      <c r="S92" s="10">
        <f>SUM(S87:S91)</f>
        <v>0.1124597375</v>
      </c>
      <c r="T92" s="2"/>
      <c r="U92" s="102"/>
      <c r="V92" s="102"/>
      <c r="W92" s="102"/>
      <c r="X92" s="2"/>
      <c r="Y92" s="2">
        <f>SUM(Y87:Y91)</f>
        <v>0.06</v>
      </c>
      <c r="Z92" s="2"/>
      <c r="AA92" s="36"/>
      <c r="AB92" s="36"/>
      <c r="AC92" s="36"/>
      <c r="AD92" s="36"/>
      <c r="AE92" s="36"/>
      <c r="AF92" s="36"/>
    </row>
    <row r="93" spans="1:32" s="32" customFormat="1" ht="14.1" customHeight="1">
      <c r="A93" s="140">
        <v>15</v>
      </c>
      <c r="B93" s="143">
        <v>44553</v>
      </c>
      <c r="C93" s="146" t="s">
        <v>129</v>
      </c>
      <c r="D93" s="131" t="s">
        <v>192</v>
      </c>
      <c r="E93" s="134" t="s">
        <v>130</v>
      </c>
      <c r="F93" s="92" t="s">
        <v>23</v>
      </c>
      <c r="G93" s="92" t="s">
        <v>62</v>
      </c>
      <c r="H93" s="91">
        <v>1</v>
      </c>
      <c r="I93" s="103" t="s">
        <v>51</v>
      </c>
      <c r="J93" s="33"/>
      <c r="K93" s="29">
        <v>55</v>
      </c>
      <c r="L93" s="29">
        <v>24</v>
      </c>
      <c r="M93" s="92">
        <v>2</v>
      </c>
      <c r="N93" s="39">
        <v>6.25</v>
      </c>
      <c r="O93" s="30">
        <v>3.4</v>
      </c>
      <c r="P93" s="31">
        <f>K93*L93*M93*0.00000785</f>
        <v>2.0723999999999999E-2</v>
      </c>
      <c r="Q93" s="95">
        <v>1.2E-2</v>
      </c>
      <c r="R93" s="31">
        <f>P93-Q93</f>
        <v>8.7239999999999991E-3</v>
      </c>
      <c r="S93" s="39">
        <f>(N93*P93-O93*R93)*H93</f>
        <v>9.9863400000000005E-2</v>
      </c>
      <c r="T93" s="106" t="s">
        <v>67</v>
      </c>
      <c r="U93" s="107">
        <v>40</v>
      </c>
      <c r="V93" s="107">
        <v>1</v>
      </c>
      <c r="W93" s="107">
        <v>1</v>
      </c>
      <c r="X93" s="98">
        <v>0.03</v>
      </c>
      <c r="Y93" s="106">
        <f>V93*X93/W93</f>
        <v>0.03</v>
      </c>
      <c r="Z93" s="137">
        <f>(S98+Y98)*1.2</f>
        <v>0.19183607999999999</v>
      </c>
      <c r="AA93" s="149">
        <f>Z93/1.13</f>
        <v>0.16976644247787612</v>
      </c>
      <c r="AB93" s="150">
        <v>3000</v>
      </c>
      <c r="AC93" s="151">
        <v>100000</v>
      </c>
      <c r="AD93" s="152">
        <f>AB93/AC93</f>
        <v>0.03</v>
      </c>
      <c r="AE93" s="153">
        <f>AA93+AD93</f>
        <v>0.19976644247787612</v>
      </c>
      <c r="AF93" s="124"/>
    </row>
    <row r="94" spans="1:32" s="32" customFormat="1" ht="14.1" customHeight="1">
      <c r="A94" s="141"/>
      <c r="B94" s="144"/>
      <c r="C94" s="147"/>
      <c r="D94" s="132"/>
      <c r="E94" s="135"/>
      <c r="F94" s="92"/>
      <c r="G94" s="92"/>
      <c r="H94" s="91"/>
      <c r="I94" s="103"/>
      <c r="J94" s="33"/>
      <c r="K94" s="33"/>
      <c r="L94" s="33"/>
      <c r="M94" s="33"/>
      <c r="N94" s="39"/>
      <c r="O94" s="30"/>
      <c r="P94" s="31"/>
      <c r="Q94" s="95"/>
      <c r="R94" s="31"/>
      <c r="S94" s="39"/>
      <c r="T94" s="106" t="s">
        <v>44</v>
      </c>
      <c r="U94" s="107">
        <v>40</v>
      </c>
      <c r="V94" s="107">
        <v>1</v>
      </c>
      <c r="W94" s="107">
        <v>1</v>
      </c>
      <c r="X94" s="98">
        <v>0.03</v>
      </c>
      <c r="Y94" s="106">
        <f>V94*X94/W94</f>
        <v>0.03</v>
      </c>
      <c r="Z94" s="138"/>
      <c r="AA94" s="149"/>
      <c r="AB94" s="150"/>
      <c r="AC94" s="151"/>
      <c r="AD94" s="152"/>
      <c r="AE94" s="153"/>
      <c r="AF94" s="124"/>
    </row>
    <row r="95" spans="1:32" s="32" customFormat="1" ht="14.1" customHeight="1">
      <c r="A95" s="141"/>
      <c r="B95" s="144"/>
      <c r="C95" s="147"/>
      <c r="D95" s="132"/>
      <c r="E95" s="135"/>
      <c r="F95" s="92"/>
      <c r="G95" s="92"/>
      <c r="H95" s="91"/>
      <c r="I95" s="103"/>
      <c r="J95" s="33"/>
      <c r="K95" s="33"/>
      <c r="L95" s="33"/>
      <c r="M95" s="33"/>
      <c r="N95" s="39"/>
      <c r="O95" s="30"/>
      <c r="P95" s="31"/>
      <c r="Q95" s="95"/>
      <c r="R95" s="31"/>
      <c r="S95" s="39"/>
      <c r="T95" s="106"/>
      <c r="U95" s="107"/>
      <c r="V95" s="107"/>
      <c r="W95" s="107"/>
      <c r="X95" s="98"/>
      <c r="Y95" s="106"/>
      <c r="Z95" s="138"/>
      <c r="AA95" s="149"/>
      <c r="AB95" s="150"/>
      <c r="AC95" s="151"/>
      <c r="AD95" s="152"/>
      <c r="AE95" s="153"/>
      <c r="AF95" s="124"/>
    </row>
    <row r="96" spans="1:32" s="32" customFormat="1" ht="23.4" customHeight="1">
      <c r="A96" s="141"/>
      <c r="B96" s="144"/>
      <c r="C96" s="147"/>
      <c r="D96" s="132"/>
      <c r="E96" s="135"/>
      <c r="F96" s="92"/>
      <c r="G96" s="92"/>
      <c r="H96" s="91"/>
      <c r="I96" s="103"/>
      <c r="J96" s="33"/>
      <c r="K96" s="92"/>
      <c r="L96" s="92"/>
      <c r="M96" s="92"/>
      <c r="N96" s="34"/>
      <c r="O96" s="30"/>
      <c r="P96" s="31"/>
      <c r="Q96" s="95"/>
      <c r="R96" s="31"/>
      <c r="S96" s="39"/>
      <c r="T96" s="106"/>
      <c r="U96" s="107"/>
      <c r="V96" s="107"/>
      <c r="W96" s="107"/>
      <c r="X96" s="98"/>
      <c r="Y96" s="106"/>
      <c r="Z96" s="138"/>
      <c r="AA96" s="149"/>
      <c r="AB96" s="150"/>
      <c r="AC96" s="151"/>
      <c r="AD96" s="152"/>
      <c r="AE96" s="153"/>
      <c r="AF96" s="124"/>
    </row>
    <row r="97" spans="1:32" s="32" customFormat="1" ht="14.1" customHeight="1">
      <c r="A97" s="141"/>
      <c r="B97" s="144"/>
      <c r="C97" s="147"/>
      <c r="D97" s="132"/>
      <c r="E97" s="135"/>
      <c r="F97" s="91"/>
      <c r="G97" s="91"/>
      <c r="H97" s="91"/>
      <c r="I97" s="104"/>
      <c r="J97" s="52"/>
      <c r="K97" s="35"/>
      <c r="L97" s="35"/>
      <c r="M97" s="35"/>
      <c r="N97" s="35"/>
      <c r="O97" s="35"/>
      <c r="P97" s="35"/>
      <c r="Q97" s="96"/>
      <c r="R97" s="35"/>
      <c r="S97" s="91"/>
      <c r="T97" s="106"/>
      <c r="U97" s="107"/>
      <c r="V97" s="107"/>
      <c r="W97" s="107"/>
      <c r="X97" s="98"/>
      <c r="Y97" s="106"/>
      <c r="Z97" s="139"/>
      <c r="AA97" s="149"/>
      <c r="AB97" s="150"/>
      <c r="AC97" s="151"/>
      <c r="AD97" s="152"/>
      <c r="AE97" s="153"/>
      <c r="AF97" s="124"/>
    </row>
    <row r="98" spans="1:32" s="37" customFormat="1" ht="14.1" customHeight="1">
      <c r="A98" s="142"/>
      <c r="B98" s="145"/>
      <c r="C98" s="148"/>
      <c r="D98" s="133"/>
      <c r="E98" s="136"/>
      <c r="F98" s="125" t="s">
        <v>65</v>
      </c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7"/>
      <c r="S98" s="10">
        <f>SUM(S93:S97)</f>
        <v>9.9863400000000005E-2</v>
      </c>
      <c r="T98" s="2"/>
      <c r="U98" s="102"/>
      <c r="V98" s="102"/>
      <c r="W98" s="102"/>
      <c r="X98" s="2"/>
      <c r="Y98" s="2">
        <f>SUM(Y93:Y97)</f>
        <v>0.06</v>
      </c>
      <c r="Z98" s="2"/>
      <c r="AA98" s="36"/>
      <c r="AB98" s="36"/>
      <c r="AC98" s="36"/>
      <c r="AD98" s="36"/>
      <c r="AE98" s="36"/>
      <c r="AF98" s="36"/>
    </row>
    <row r="99" spans="1:32" s="32" customFormat="1" ht="14.1" customHeight="1">
      <c r="A99" s="140">
        <v>16</v>
      </c>
      <c r="B99" s="143">
        <v>44553</v>
      </c>
      <c r="C99" s="146" t="s">
        <v>193</v>
      </c>
      <c r="D99" s="131" t="s">
        <v>164</v>
      </c>
      <c r="E99" s="134" t="s">
        <v>163</v>
      </c>
      <c r="F99" s="92" t="s">
        <v>23</v>
      </c>
      <c r="G99" s="92" t="s">
        <v>62</v>
      </c>
      <c r="H99" s="91">
        <v>1</v>
      </c>
      <c r="I99" s="103" t="s">
        <v>51</v>
      </c>
      <c r="J99" s="33"/>
      <c r="K99" s="29">
        <v>71</v>
      </c>
      <c r="L99" s="29">
        <v>23</v>
      </c>
      <c r="M99" s="92">
        <v>2</v>
      </c>
      <c r="N99" s="39">
        <v>6.25</v>
      </c>
      <c r="O99" s="30">
        <v>3.4</v>
      </c>
      <c r="P99" s="31">
        <f>K99*L99*M99*0.00000785</f>
        <v>2.5638099999999997E-2</v>
      </c>
      <c r="Q99" s="95">
        <v>1.4E-2</v>
      </c>
      <c r="R99" s="31">
        <f>P99-Q99</f>
        <v>1.1638099999999997E-2</v>
      </c>
      <c r="S99" s="39">
        <f>(N99*P99-O99*R99)*H99</f>
        <v>0.12066858499999999</v>
      </c>
      <c r="T99" s="106" t="s">
        <v>67</v>
      </c>
      <c r="U99" s="107">
        <v>40</v>
      </c>
      <c r="V99" s="107">
        <v>1</v>
      </c>
      <c r="W99" s="107">
        <v>1</v>
      </c>
      <c r="X99" s="98">
        <v>0.03</v>
      </c>
      <c r="Y99" s="106">
        <f>V99*X99/W99</f>
        <v>0.03</v>
      </c>
      <c r="Z99" s="137">
        <f>(S104+Y104)*1.2</f>
        <v>0.21680230199999997</v>
      </c>
      <c r="AA99" s="149">
        <f>Z99/1.13</f>
        <v>0.19186044424778761</v>
      </c>
      <c r="AB99" s="150">
        <v>4500</v>
      </c>
      <c r="AC99" s="151">
        <v>100000</v>
      </c>
      <c r="AD99" s="152">
        <f>AB99/AC99</f>
        <v>4.4999999999999998E-2</v>
      </c>
      <c r="AE99" s="153">
        <f>AA99+AD99</f>
        <v>0.23686044424778763</v>
      </c>
      <c r="AF99" s="124"/>
    </row>
    <row r="100" spans="1:32" s="32" customFormat="1" ht="14.1" customHeight="1">
      <c r="A100" s="141"/>
      <c r="B100" s="144"/>
      <c r="C100" s="147"/>
      <c r="D100" s="132"/>
      <c r="E100" s="135"/>
      <c r="F100" s="92"/>
      <c r="G100" s="92"/>
      <c r="H100" s="91"/>
      <c r="I100" s="103"/>
      <c r="J100" s="33"/>
      <c r="K100" s="33"/>
      <c r="L100" s="33"/>
      <c r="M100" s="33"/>
      <c r="N100" s="39"/>
      <c r="O100" s="30"/>
      <c r="P100" s="31"/>
      <c r="Q100" s="95"/>
      <c r="R100" s="31"/>
      <c r="S100" s="39"/>
      <c r="T100" s="106" t="s">
        <v>44</v>
      </c>
      <c r="U100" s="107">
        <v>40</v>
      </c>
      <c r="V100" s="107">
        <v>1</v>
      </c>
      <c r="W100" s="107">
        <v>1</v>
      </c>
      <c r="X100" s="98">
        <v>0.03</v>
      </c>
      <c r="Y100" s="106">
        <f>V100*X100/W100</f>
        <v>0.03</v>
      </c>
      <c r="Z100" s="138"/>
      <c r="AA100" s="149"/>
      <c r="AB100" s="150"/>
      <c r="AC100" s="151"/>
      <c r="AD100" s="152"/>
      <c r="AE100" s="153"/>
      <c r="AF100" s="124"/>
    </row>
    <row r="101" spans="1:32" s="32" customFormat="1" ht="14.1" customHeight="1">
      <c r="A101" s="141"/>
      <c r="B101" s="144"/>
      <c r="C101" s="147"/>
      <c r="D101" s="132"/>
      <c r="E101" s="135"/>
      <c r="F101" s="92"/>
      <c r="G101" s="92"/>
      <c r="H101" s="91"/>
      <c r="I101" s="103"/>
      <c r="J101" s="33"/>
      <c r="K101" s="33"/>
      <c r="L101" s="33"/>
      <c r="M101" s="33"/>
      <c r="N101" s="39"/>
      <c r="O101" s="30"/>
      <c r="P101" s="31"/>
      <c r="Q101" s="95"/>
      <c r="R101" s="31"/>
      <c r="S101" s="39"/>
      <c r="T101" s="106"/>
      <c r="U101" s="107"/>
      <c r="V101" s="107"/>
      <c r="W101" s="107"/>
      <c r="X101" s="98"/>
      <c r="Y101" s="106"/>
      <c r="Z101" s="138"/>
      <c r="AA101" s="149"/>
      <c r="AB101" s="150"/>
      <c r="AC101" s="151"/>
      <c r="AD101" s="152"/>
      <c r="AE101" s="153"/>
      <c r="AF101" s="124"/>
    </row>
    <row r="102" spans="1:32" s="32" customFormat="1" ht="23.4" customHeight="1">
      <c r="A102" s="141"/>
      <c r="B102" s="144"/>
      <c r="C102" s="147"/>
      <c r="D102" s="132"/>
      <c r="E102" s="135"/>
      <c r="F102" s="92"/>
      <c r="G102" s="92"/>
      <c r="H102" s="91"/>
      <c r="I102" s="103"/>
      <c r="J102" s="33"/>
      <c r="K102" s="92"/>
      <c r="L102" s="92"/>
      <c r="M102" s="92"/>
      <c r="N102" s="34"/>
      <c r="O102" s="30"/>
      <c r="P102" s="31"/>
      <c r="Q102" s="95"/>
      <c r="R102" s="31"/>
      <c r="S102" s="39"/>
      <c r="T102" s="106"/>
      <c r="U102" s="107"/>
      <c r="V102" s="107"/>
      <c r="W102" s="107"/>
      <c r="X102" s="98"/>
      <c r="Y102" s="106"/>
      <c r="Z102" s="138"/>
      <c r="AA102" s="149"/>
      <c r="AB102" s="150"/>
      <c r="AC102" s="151"/>
      <c r="AD102" s="152"/>
      <c r="AE102" s="153"/>
      <c r="AF102" s="124"/>
    </row>
    <row r="103" spans="1:32" s="32" customFormat="1" ht="14.1" customHeight="1">
      <c r="A103" s="141"/>
      <c r="B103" s="144"/>
      <c r="C103" s="147"/>
      <c r="D103" s="132"/>
      <c r="E103" s="135"/>
      <c r="F103" s="91"/>
      <c r="G103" s="91"/>
      <c r="H103" s="91"/>
      <c r="I103" s="104"/>
      <c r="J103" s="52"/>
      <c r="K103" s="35"/>
      <c r="L103" s="35"/>
      <c r="M103" s="35"/>
      <c r="N103" s="35"/>
      <c r="O103" s="35"/>
      <c r="P103" s="35"/>
      <c r="Q103" s="96"/>
      <c r="R103" s="35"/>
      <c r="S103" s="91"/>
      <c r="T103" s="106"/>
      <c r="U103" s="107"/>
      <c r="V103" s="107"/>
      <c r="W103" s="107"/>
      <c r="X103" s="98"/>
      <c r="Y103" s="106"/>
      <c r="Z103" s="139"/>
      <c r="AA103" s="149"/>
      <c r="AB103" s="150"/>
      <c r="AC103" s="151"/>
      <c r="AD103" s="152"/>
      <c r="AE103" s="153"/>
      <c r="AF103" s="124"/>
    </row>
    <row r="104" spans="1:32" s="37" customFormat="1" ht="14.1" customHeight="1">
      <c r="A104" s="142"/>
      <c r="B104" s="145"/>
      <c r="C104" s="148"/>
      <c r="D104" s="133"/>
      <c r="E104" s="136"/>
      <c r="F104" s="125" t="s">
        <v>65</v>
      </c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7"/>
      <c r="S104" s="10">
        <f>SUM(S99:S103)</f>
        <v>0.12066858499999999</v>
      </c>
      <c r="T104" s="2"/>
      <c r="U104" s="102"/>
      <c r="V104" s="102"/>
      <c r="W104" s="102"/>
      <c r="X104" s="2"/>
      <c r="Y104" s="2">
        <f>SUM(Y99:Y103)</f>
        <v>0.06</v>
      </c>
      <c r="Z104" s="2"/>
      <c r="AA104" s="36"/>
      <c r="AB104" s="36"/>
      <c r="AC104" s="36"/>
      <c r="AD104" s="36"/>
      <c r="AE104" s="36"/>
      <c r="AF104" s="36"/>
    </row>
    <row r="105" spans="1:32" s="32" customFormat="1" ht="14.1" customHeight="1">
      <c r="A105" s="140">
        <v>17</v>
      </c>
      <c r="B105" s="143">
        <v>44553</v>
      </c>
      <c r="C105" s="146" t="s">
        <v>131</v>
      </c>
      <c r="D105" s="131" t="s">
        <v>194</v>
      </c>
      <c r="E105" s="134" t="s">
        <v>132</v>
      </c>
      <c r="F105" s="92" t="s">
        <v>23</v>
      </c>
      <c r="G105" s="92" t="s">
        <v>62</v>
      </c>
      <c r="H105" s="91">
        <v>1</v>
      </c>
      <c r="I105" s="103" t="s">
        <v>51</v>
      </c>
      <c r="J105" s="33"/>
      <c r="K105" s="29">
        <v>66</v>
      </c>
      <c r="L105" s="29">
        <v>31</v>
      </c>
      <c r="M105" s="92">
        <v>2</v>
      </c>
      <c r="N105" s="39">
        <v>6.25</v>
      </c>
      <c r="O105" s="30">
        <v>3.4</v>
      </c>
      <c r="P105" s="31">
        <f>K105*L105*M105*0.00000785</f>
        <v>3.2122199999999997E-2</v>
      </c>
      <c r="Q105" s="95">
        <v>1.9E-2</v>
      </c>
      <c r="R105" s="31">
        <f>P105-Q105</f>
        <v>1.3122199999999997E-2</v>
      </c>
      <c r="S105" s="39">
        <f>(N105*P105-O105*R105)*H105</f>
        <v>0.15614827000000001</v>
      </c>
      <c r="T105" s="106" t="s">
        <v>67</v>
      </c>
      <c r="U105" s="107">
        <v>40</v>
      </c>
      <c r="V105" s="107">
        <v>1</v>
      </c>
      <c r="W105" s="107">
        <v>1</v>
      </c>
      <c r="X105" s="98">
        <v>0.03</v>
      </c>
      <c r="Y105" s="106">
        <f>V105*X105/W105</f>
        <v>0.03</v>
      </c>
      <c r="Z105" s="137">
        <f>(S110+Y110)*1.2</f>
        <v>0.25937792399999998</v>
      </c>
      <c r="AA105" s="149">
        <f>Z105/1.13</f>
        <v>0.22953798584070798</v>
      </c>
      <c r="AB105" s="150">
        <v>3000</v>
      </c>
      <c r="AC105" s="151">
        <v>100000</v>
      </c>
      <c r="AD105" s="152">
        <f>AB105/AC105</f>
        <v>0.03</v>
      </c>
      <c r="AE105" s="153">
        <f>AA105+AD105</f>
        <v>0.25953798584070797</v>
      </c>
      <c r="AF105" s="124"/>
    </row>
    <row r="106" spans="1:32" s="32" customFormat="1" ht="14.1" customHeight="1">
      <c r="A106" s="141"/>
      <c r="B106" s="144"/>
      <c r="C106" s="147"/>
      <c r="D106" s="132"/>
      <c r="E106" s="135"/>
      <c r="F106" s="92"/>
      <c r="G106" s="92"/>
      <c r="H106" s="91"/>
      <c r="I106" s="103"/>
      <c r="J106" s="33"/>
      <c r="K106" s="33"/>
      <c r="L106" s="33"/>
      <c r="M106" s="33"/>
      <c r="N106" s="39"/>
      <c r="O106" s="30"/>
      <c r="P106" s="31"/>
      <c r="Q106" s="95"/>
      <c r="R106" s="31"/>
      <c r="S106" s="39"/>
      <c r="T106" s="106" t="s">
        <v>44</v>
      </c>
      <c r="U106" s="107">
        <v>40</v>
      </c>
      <c r="V106" s="107">
        <v>1</v>
      </c>
      <c r="W106" s="107">
        <v>1</v>
      </c>
      <c r="X106" s="98">
        <v>0.03</v>
      </c>
      <c r="Y106" s="106">
        <f>V106*X106/W106</f>
        <v>0.03</v>
      </c>
      <c r="Z106" s="138"/>
      <c r="AA106" s="149"/>
      <c r="AB106" s="150"/>
      <c r="AC106" s="151"/>
      <c r="AD106" s="152"/>
      <c r="AE106" s="153"/>
      <c r="AF106" s="124"/>
    </row>
    <row r="107" spans="1:32" s="32" customFormat="1" ht="14.1" customHeight="1">
      <c r="A107" s="141"/>
      <c r="B107" s="144"/>
      <c r="C107" s="147"/>
      <c r="D107" s="132"/>
      <c r="E107" s="135"/>
      <c r="F107" s="92"/>
      <c r="G107" s="92"/>
      <c r="H107" s="91"/>
      <c r="I107" s="103"/>
      <c r="J107" s="33"/>
      <c r="K107" s="33"/>
      <c r="L107" s="33"/>
      <c r="M107" s="33"/>
      <c r="N107" s="39"/>
      <c r="O107" s="30"/>
      <c r="P107" s="31"/>
      <c r="Q107" s="95"/>
      <c r="R107" s="31"/>
      <c r="S107" s="39"/>
      <c r="T107" s="106"/>
      <c r="U107" s="107"/>
      <c r="V107" s="107"/>
      <c r="W107" s="107"/>
      <c r="X107" s="98"/>
      <c r="Y107" s="106"/>
      <c r="Z107" s="138"/>
      <c r="AA107" s="149"/>
      <c r="AB107" s="150"/>
      <c r="AC107" s="151"/>
      <c r="AD107" s="152"/>
      <c r="AE107" s="153"/>
      <c r="AF107" s="124"/>
    </row>
    <row r="108" spans="1:32" s="32" customFormat="1" ht="23.4" customHeight="1">
      <c r="A108" s="141"/>
      <c r="B108" s="144"/>
      <c r="C108" s="147"/>
      <c r="D108" s="132"/>
      <c r="E108" s="135"/>
      <c r="F108" s="92"/>
      <c r="G108" s="92"/>
      <c r="H108" s="91"/>
      <c r="I108" s="103"/>
      <c r="J108" s="33"/>
      <c r="K108" s="92"/>
      <c r="L108" s="92"/>
      <c r="M108" s="92"/>
      <c r="N108" s="34"/>
      <c r="O108" s="30"/>
      <c r="P108" s="31"/>
      <c r="Q108" s="95"/>
      <c r="R108" s="31"/>
      <c r="S108" s="39"/>
      <c r="T108" s="106"/>
      <c r="U108" s="107"/>
      <c r="V108" s="107"/>
      <c r="W108" s="107"/>
      <c r="X108" s="98"/>
      <c r="Y108" s="106"/>
      <c r="Z108" s="138"/>
      <c r="AA108" s="149"/>
      <c r="AB108" s="150"/>
      <c r="AC108" s="151"/>
      <c r="AD108" s="152"/>
      <c r="AE108" s="153"/>
      <c r="AF108" s="124"/>
    </row>
    <row r="109" spans="1:32" s="32" customFormat="1" ht="14.1" customHeight="1">
      <c r="A109" s="141"/>
      <c r="B109" s="144"/>
      <c r="C109" s="147"/>
      <c r="D109" s="132"/>
      <c r="E109" s="135"/>
      <c r="F109" s="91"/>
      <c r="G109" s="91"/>
      <c r="H109" s="91"/>
      <c r="I109" s="104"/>
      <c r="J109" s="52"/>
      <c r="K109" s="35"/>
      <c r="L109" s="35"/>
      <c r="M109" s="35"/>
      <c r="N109" s="35"/>
      <c r="O109" s="35"/>
      <c r="P109" s="35"/>
      <c r="Q109" s="96"/>
      <c r="R109" s="35"/>
      <c r="S109" s="91"/>
      <c r="T109" s="106"/>
      <c r="U109" s="107"/>
      <c r="V109" s="107"/>
      <c r="W109" s="107"/>
      <c r="X109" s="98"/>
      <c r="Y109" s="106"/>
      <c r="Z109" s="139"/>
      <c r="AA109" s="149"/>
      <c r="AB109" s="150"/>
      <c r="AC109" s="151"/>
      <c r="AD109" s="152"/>
      <c r="AE109" s="153"/>
      <c r="AF109" s="124"/>
    </row>
    <row r="110" spans="1:32" s="37" customFormat="1" ht="14.1" customHeight="1">
      <c r="A110" s="142"/>
      <c r="B110" s="145"/>
      <c r="C110" s="148"/>
      <c r="D110" s="133"/>
      <c r="E110" s="136"/>
      <c r="F110" s="125" t="s">
        <v>65</v>
      </c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7"/>
      <c r="S110" s="10">
        <f>SUM(S105:S109)</f>
        <v>0.15614827000000001</v>
      </c>
      <c r="T110" s="2"/>
      <c r="U110" s="102"/>
      <c r="V110" s="102"/>
      <c r="W110" s="102"/>
      <c r="X110" s="2"/>
      <c r="Y110" s="2">
        <f>SUM(Y105:Y109)</f>
        <v>0.06</v>
      </c>
      <c r="Z110" s="2"/>
      <c r="AA110" s="36"/>
      <c r="AB110" s="36"/>
      <c r="AC110" s="36"/>
      <c r="AD110" s="36"/>
      <c r="AE110" s="36"/>
      <c r="AF110" s="36"/>
    </row>
    <row r="111" spans="1:32" s="32" customFormat="1" ht="14.1" customHeight="1">
      <c r="A111" s="140">
        <v>18</v>
      </c>
      <c r="B111" s="143">
        <v>44553</v>
      </c>
      <c r="C111" s="146" t="s">
        <v>133</v>
      </c>
      <c r="D111" s="131" t="s">
        <v>151</v>
      </c>
      <c r="E111" s="134" t="s">
        <v>152</v>
      </c>
      <c r="F111" s="92" t="s">
        <v>150</v>
      </c>
      <c r="G111" s="92" t="s">
        <v>62</v>
      </c>
      <c r="H111" s="91">
        <v>1</v>
      </c>
      <c r="I111" s="103" t="s">
        <v>51</v>
      </c>
      <c r="J111" s="33"/>
      <c r="K111" s="29">
        <v>252</v>
      </c>
      <c r="L111" s="29">
        <v>90</v>
      </c>
      <c r="M111" s="92">
        <v>3</v>
      </c>
      <c r="N111" s="39">
        <v>6.1</v>
      </c>
      <c r="O111" s="30">
        <v>3.4</v>
      </c>
      <c r="P111" s="31">
        <f>K111*L111*M111*0.00000785</f>
        <v>0.53411399999999998</v>
      </c>
      <c r="Q111" s="95">
        <f>0.41-0.005*2</f>
        <v>0.39999999999999997</v>
      </c>
      <c r="R111" s="31">
        <f>P111-Q111</f>
        <v>0.13411400000000001</v>
      </c>
      <c r="S111" s="39">
        <f>(N111*P111-O111*R111)*H111</f>
        <v>2.8021077999999999</v>
      </c>
      <c r="T111" s="106" t="s">
        <v>67</v>
      </c>
      <c r="U111" s="107">
        <v>125</v>
      </c>
      <c r="V111" s="107">
        <v>1</v>
      </c>
      <c r="W111" s="107">
        <v>1</v>
      </c>
      <c r="X111" s="98">
        <v>0.08</v>
      </c>
      <c r="Y111" s="106">
        <f>V111*X111/W111</f>
        <v>0.08</v>
      </c>
      <c r="Z111" s="137">
        <f>(S116+Y116)*1.2</f>
        <v>4.0884333599999998</v>
      </c>
      <c r="AA111" s="149">
        <f>Z111/1.13</f>
        <v>3.6180826194690265</v>
      </c>
      <c r="AB111" s="150">
        <v>37000</v>
      </c>
      <c r="AC111" s="151">
        <v>100000</v>
      </c>
      <c r="AD111" s="152">
        <f>AB111/AC111</f>
        <v>0.37</v>
      </c>
      <c r="AE111" s="153">
        <f>AA111+AD111</f>
        <v>3.9880826194690266</v>
      </c>
      <c r="AF111" s="124"/>
    </row>
    <row r="112" spans="1:32" s="32" customFormat="1" ht="14.1" customHeight="1">
      <c r="A112" s="141"/>
      <c r="B112" s="144"/>
      <c r="C112" s="147"/>
      <c r="D112" s="132"/>
      <c r="E112" s="135"/>
      <c r="F112" s="92" t="s">
        <v>153</v>
      </c>
      <c r="G112" s="92"/>
      <c r="H112" s="91">
        <v>2</v>
      </c>
      <c r="I112" s="103"/>
      <c r="J112" s="33"/>
      <c r="K112" s="33"/>
      <c r="L112" s="33"/>
      <c r="M112" s="33"/>
      <c r="N112" s="39">
        <f>0.042*1.13</f>
        <v>4.7459999999999995E-2</v>
      </c>
      <c r="O112" s="30"/>
      <c r="P112" s="31"/>
      <c r="Q112" s="95">
        <v>5.0000000000000001E-3</v>
      </c>
      <c r="R112" s="31"/>
      <c r="S112" s="39">
        <f>H112*N112</f>
        <v>9.491999999999999E-2</v>
      </c>
      <c r="T112" s="106" t="s">
        <v>43</v>
      </c>
      <c r="U112" s="107">
        <v>100</v>
      </c>
      <c r="V112" s="107">
        <v>1</v>
      </c>
      <c r="W112" s="107">
        <v>1</v>
      </c>
      <c r="X112" s="98">
        <v>7.0000000000000007E-2</v>
      </c>
      <c r="Y112" s="106">
        <f>V112*X112/W112</f>
        <v>7.0000000000000007E-2</v>
      </c>
      <c r="Z112" s="138"/>
      <c r="AA112" s="149"/>
      <c r="AB112" s="150"/>
      <c r="AC112" s="151"/>
      <c r="AD112" s="152"/>
      <c r="AE112" s="153"/>
      <c r="AF112" s="124"/>
    </row>
    <row r="113" spans="1:32" s="32" customFormat="1" ht="14.1" customHeight="1">
      <c r="A113" s="141"/>
      <c r="B113" s="144"/>
      <c r="C113" s="147"/>
      <c r="D113" s="132"/>
      <c r="E113" s="135"/>
      <c r="F113" s="92"/>
      <c r="G113" s="92"/>
      <c r="H113" s="91"/>
      <c r="I113" s="103"/>
      <c r="J113" s="33"/>
      <c r="K113" s="33"/>
      <c r="L113" s="33"/>
      <c r="M113" s="33"/>
      <c r="N113" s="39"/>
      <c r="O113" s="30"/>
      <c r="P113" s="31"/>
      <c r="Q113" s="95"/>
      <c r="R113" s="31"/>
      <c r="S113" s="39"/>
      <c r="T113" s="106" t="s">
        <v>44</v>
      </c>
      <c r="U113" s="107">
        <v>80</v>
      </c>
      <c r="V113" s="107">
        <v>1</v>
      </c>
      <c r="W113" s="107">
        <v>1</v>
      </c>
      <c r="X113" s="98">
        <v>0.05</v>
      </c>
      <c r="Y113" s="106">
        <f>V113*X113/W113</f>
        <v>0.05</v>
      </c>
      <c r="Z113" s="138"/>
      <c r="AA113" s="149"/>
      <c r="AB113" s="150"/>
      <c r="AC113" s="151"/>
      <c r="AD113" s="152"/>
      <c r="AE113" s="153"/>
      <c r="AF113" s="124"/>
    </row>
    <row r="114" spans="1:32" s="32" customFormat="1" ht="23.4" customHeight="1">
      <c r="A114" s="141"/>
      <c r="B114" s="144"/>
      <c r="C114" s="147"/>
      <c r="D114" s="132"/>
      <c r="E114" s="135"/>
      <c r="F114" s="92"/>
      <c r="G114" s="92"/>
      <c r="H114" s="91"/>
      <c r="I114" s="103"/>
      <c r="J114" s="33"/>
      <c r="K114" s="92"/>
      <c r="L114" s="92"/>
      <c r="M114" s="92"/>
      <c r="N114" s="34"/>
      <c r="O114" s="30"/>
      <c r="P114" s="31"/>
      <c r="Q114" s="95"/>
      <c r="R114" s="31"/>
      <c r="S114" s="39"/>
      <c r="T114" s="106" t="s">
        <v>43</v>
      </c>
      <c r="U114" s="107">
        <v>25</v>
      </c>
      <c r="V114" s="107">
        <v>1</v>
      </c>
      <c r="W114" s="107">
        <v>1</v>
      </c>
      <c r="X114" s="98">
        <v>0.03</v>
      </c>
      <c r="Y114" s="106">
        <f>V114*X114/W114</f>
        <v>0.03</v>
      </c>
      <c r="Z114" s="138"/>
      <c r="AA114" s="149"/>
      <c r="AB114" s="150"/>
      <c r="AC114" s="151"/>
      <c r="AD114" s="152"/>
      <c r="AE114" s="153"/>
      <c r="AF114" s="124"/>
    </row>
    <row r="115" spans="1:32" s="32" customFormat="1" ht="14.1" customHeight="1">
      <c r="A115" s="141"/>
      <c r="B115" s="144"/>
      <c r="C115" s="147"/>
      <c r="D115" s="132"/>
      <c r="E115" s="135"/>
      <c r="F115" s="91"/>
      <c r="G115" s="91"/>
      <c r="H115" s="91"/>
      <c r="I115" s="104"/>
      <c r="J115" s="52"/>
      <c r="K115" s="35"/>
      <c r="L115" s="35"/>
      <c r="M115" s="35"/>
      <c r="N115" s="35"/>
      <c r="O115" s="35"/>
      <c r="P115" s="35"/>
      <c r="Q115" s="96"/>
      <c r="R115" s="35"/>
      <c r="S115" s="91"/>
      <c r="T115" s="106" t="s">
        <v>149</v>
      </c>
      <c r="U115" s="107"/>
      <c r="V115" s="107">
        <v>4</v>
      </c>
      <c r="W115" s="107">
        <v>1</v>
      </c>
      <c r="X115" s="98">
        <v>0.05</v>
      </c>
      <c r="Y115" s="106">
        <v>0.28000000000000003</v>
      </c>
      <c r="Z115" s="139"/>
      <c r="AA115" s="149"/>
      <c r="AB115" s="150"/>
      <c r="AC115" s="151"/>
      <c r="AD115" s="152"/>
      <c r="AE115" s="153"/>
      <c r="AF115" s="124"/>
    </row>
    <row r="116" spans="1:32" s="37" customFormat="1" ht="14.1" customHeight="1">
      <c r="A116" s="142"/>
      <c r="B116" s="145"/>
      <c r="C116" s="148"/>
      <c r="D116" s="133"/>
      <c r="E116" s="136"/>
      <c r="F116" s="125" t="s">
        <v>65</v>
      </c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7"/>
      <c r="S116" s="10">
        <f>SUM(S111:S115)</f>
        <v>2.8970278</v>
      </c>
      <c r="T116" s="2"/>
      <c r="U116" s="102"/>
      <c r="V116" s="102"/>
      <c r="W116" s="102"/>
      <c r="X116" s="2"/>
      <c r="Y116" s="2">
        <f>SUM(Y111:Y115)</f>
        <v>0.51</v>
      </c>
      <c r="Z116" s="2"/>
      <c r="AA116" s="36"/>
      <c r="AB116" s="36"/>
      <c r="AC116" s="36"/>
      <c r="AD116" s="36"/>
      <c r="AE116" s="36"/>
      <c r="AF116" s="36"/>
    </row>
    <row r="117" spans="1:32" s="32" customFormat="1" ht="14.1" customHeight="1">
      <c r="A117" s="140">
        <v>19</v>
      </c>
      <c r="B117" s="143">
        <v>44553</v>
      </c>
      <c r="C117" s="146" t="s">
        <v>134</v>
      </c>
      <c r="D117" s="131" t="s">
        <v>154</v>
      </c>
      <c r="E117" s="134" t="s">
        <v>179</v>
      </c>
      <c r="F117" s="92" t="s">
        <v>23</v>
      </c>
      <c r="G117" s="92" t="s">
        <v>62</v>
      </c>
      <c r="H117" s="91">
        <v>1</v>
      </c>
      <c r="I117" s="103" t="s">
        <v>177</v>
      </c>
      <c r="J117" s="33"/>
      <c r="K117" s="29">
        <v>252</v>
      </c>
      <c r="L117" s="29">
        <f>65+6</f>
        <v>71</v>
      </c>
      <c r="M117" s="92">
        <v>3</v>
      </c>
      <c r="N117" s="39">
        <v>6.1</v>
      </c>
      <c r="O117" s="30">
        <v>3.4</v>
      </c>
      <c r="P117" s="31">
        <f>K117*L117*M117*0.00000785</f>
        <v>0.42135659999999997</v>
      </c>
      <c r="Q117" s="95">
        <v>0.308</v>
      </c>
      <c r="R117" s="31">
        <f>P117-Q117</f>
        <v>0.11335659999999997</v>
      </c>
      <c r="S117" s="39">
        <f>(N117*P117-O117*R117)*H117</f>
        <v>2.1848628199999998</v>
      </c>
      <c r="T117" s="109" t="s">
        <v>67</v>
      </c>
      <c r="U117" s="108">
        <v>125</v>
      </c>
      <c r="V117" s="108">
        <v>1</v>
      </c>
      <c r="W117" s="108">
        <v>1</v>
      </c>
      <c r="X117" s="98">
        <v>0.08</v>
      </c>
      <c r="Y117" s="109">
        <f>V117*X117/W117</f>
        <v>0.08</v>
      </c>
      <c r="Z117" s="137">
        <f>(S122+Y122)*1.2</f>
        <v>2.8978353839999995</v>
      </c>
      <c r="AA117" s="149">
        <f>Z117/1.13</f>
        <v>2.5644560920353983</v>
      </c>
      <c r="AB117" s="150">
        <v>36000</v>
      </c>
      <c r="AC117" s="151">
        <v>100000</v>
      </c>
      <c r="AD117" s="152">
        <f>AB117/AC117</f>
        <v>0.36</v>
      </c>
      <c r="AE117" s="153">
        <f>AA117+AD117</f>
        <v>2.9244560920353981</v>
      </c>
      <c r="AF117" s="124"/>
    </row>
    <row r="118" spans="1:32" s="32" customFormat="1" ht="14.1" customHeight="1">
      <c r="A118" s="141"/>
      <c r="B118" s="144"/>
      <c r="C118" s="147"/>
      <c r="D118" s="132"/>
      <c r="E118" s="135"/>
      <c r="F118" s="92"/>
      <c r="G118" s="92"/>
      <c r="H118" s="91"/>
      <c r="I118" s="103"/>
      <c r="J118" s="33"/>
      <c r="K118" s="33"/>
      <c r="L118" s="33"/>
      <c r="M118" s="33"/>
      <c r="N118" s="39"/>
      <c r="O118" s="30"/>
      <c r="P118" s="31"/>
      <c r="Q118" s="95"/>
      <c r="R118" s="31"/>
      <c r="S118" s="39"/>
      <c r="T118" s="109" t="s">
        <v>43</v>
      </c>
      <c r="U118" s="108">
        <v>100</v>
      </c>
      <c r="V118" s="108">
        <v>1</v>
      </c>
      <c r="W118" s="108">
        <v>1</v>
      </c>
      <c r="X118" s="98">
        <v>7.0000000000000007E-2</v>
      </c>
      <c r="Y118" s="109">
        <f>V118*X118/W118</f>
        <v>7.0000000000000007E-2</v>
      </c>
      <c r="Z118" s="138"/>
      <c r="AA118" s="149"/>
      <c r="AB118" s="150"/>
      <c r="AC118" s="151"/>
      <c r="AD118" s="152"/>
      <c r="AE118" s="153"/>
      <c r="AF118" s="124"/>
    </row>
    <row r="119" spans="1:32" s="32" customFormat="1" ht="14.1" customHeight="1">
      <c r="A119" s="141"/>
      <c r="B119" s="144"/>
      <c r="C119" s="147"/>
      <c r="D119" s="132"/>
      <c r="E119" s="135"/>
      <c r="F119" s="92"/>
      <c r="G119" s="92"/>
      <c r="H119" s="91"/>
      <c r="I119" s="103"/>
      <c r="J119" s="33"/>
      <c r="K119" s="33"/>
      <c r="L119" s="33"/>
      <c r="M119" s="33"/>
      <c r="N119" s="39"/>
      <c r="O119" s="30"/>
      <c r="P119" s="31"/>
      <c r="Q119" s="95"/>
      <c r="R119" s="31"/>
      <c r="S119" s="39"/>
      <c r="T119" s="109" t="s">
        <v>44</v>
      </c>
      <c r="U119" s="108">
        <v>80</v>
      </c>
      <c r="V119" s="108">
        <v>1</v>
      </c>
      <c r="W119" s="108">
        <v>1</v>
      </c>
      <c r="X119" s="98">
        <v>0.05</v>
      </c>
      <c r="Y119" s="109">
        <f>V119*X119/W119</f>
        <v>0.05</v>
      </c>
      <c r="Z119" s="138"/>
      <c r="AA119" s="149"/>
      <c r="AB119" s="150"/>
      <c r="AC119" s="151"/>
      <c r="AD119" s="152"/>
      <c r="AE119" s="153"/>
      <c r="AF119" s="124"/>
    </row>
    <row r="120" spans="1:32" s="32" customFormat="1" ht="23.4" customHeight="1">
      <c r="A120" s="141"/>
      <c r="B120" s="144"/>
      <c r="C120" s="147"/>
      <c r="D120" s="132"/>
      <c r="E120" s="135"/>
      <c r="F120" s="92"/>
      <c r="G120" s="92"/>
      <c r="H120" s="91"/>
      <c r="I120" s="103"/>
      <c r="J120" s="33"/>
      <c r="K120" s="92"/>
      <c r="L120" s="92"/>
      <c r="M120" s="92"/>
      <c r="N120" s="34"/>
      <c r="O120" s="30"/>
      <c r="P120" s="31"/>
      <c r="Q120" s="95"/>
      <c r="R120" s="31"/>
      <c r="S120" s="39"/>
      <c r="T120" s="109" t="s">
        <v>43</v>
      </c>
      <c r="U120" s="108">
        <v>25</v>
      </c>
      <c r="V120" s="108">
        <v>1</v>
      </c>
      <c r="W120" s="108">
        <v>1</v>
      </c>
      <c r="X120" s="98">
        <v>0.03</v>
      </c>
      <c r="Y120" s="109">
        <f>V120*X120/W120</f>
        <v>0.03</v>
      </c>
      <c r="Z120" s="138"/>
      <c r="AA120" s="149"/>
      <c r="AB120" s="150"/>
      <c r="AC120" s="151"/>
      <c r="AD120" s="152"/>
      <c r="AE120" s="153"/>
      <c r="AF120" s="124"/>
    </row>
    <row r="121" spans="1:32" s="32" customFormat="1" ht="14.1" customHeight="1">
      <c r="A121" s="141"/>
      <c r="B121" s="144"/>
      <c r="C121" s="147"/>
      <c r="D121" s="132"/>
      <c r="E121" s="135"/>
      <c r="F121" s="91"/>
      <c r="G121" s="91"/>
      <c r="H121" s="91"/>
      <c r="I121" s="104"/>
      <c r="J121" s="52"/>
      <c r="K121" s="35"/>
      <c r="L121" s="35"/>
      <c r="M121" s="35"/>
      <c r="N121" s="35"/>
      <c r="O121" s="35"/>
      <c r="P121" s="35"/>
      <c r="Q121" s="96"/>
      <c r="R121" s="35"/>
      <c r="S121" s="91"/>
      <c r="T121" s="109"/>
      <c r="U121" s="108"/>
      <c r="V121" s="108"/>
      <c r="W121" s="108"/>
      <c r="X121" s="109"/>
      <c r="Y121" s="109"/>
      <c r="Z121" s="139"/>
      <c r="AA121" s="149"/>
      <c r="AB121" s="150"/>
      <c r="AC121" s="151"/>
      <c r="AD121" s="152"/>
      <c r="AE121" s="153"/>
      <c r="AF121" s="124"/>
    </row>
    <row r="122" spans="1:32" s="115" customFormat="1" ht="14.1" customHeight="1">
      <c r="A122" s="142"/>
      <c r="B122" s="145"/>
      <c r="C122" s="148"/>
      <c r="D122" s="133"/>
      <c r="E122" s="136"/>
      <c r="F122" s="154" t="s">
        <v>65</v>
      </c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6"/>
      <c r="S122" s="111">
        <f>SUM(S117:S121)</f>
        <v>2.1848628199999998</v>
      </c>
      <c r="T122" s="112"/>
      <c r="U122" s="113"/>
      <c r="V122" s="113"/>
      <c r="W122" s="113"/>
      <c r="X122" s="112"/>
      <c r="Y122" s="112">
        <f>SUM(Y117:Y121)</f>
        <v>0.23</v>
      </c>
      <c r="Z122" s="112"/>
      <c r="AA122" s="114"/>
      <c r="AB122" s="114"/>
      <c r="AC122" s="114"/>
      <c r="AD122" s="114"/>
      <c r="AE122" s="114"/>
      <c r="AF122" s="114"/>
    </row>
    <row r="123" spans="1:32" s="32" customFormat="1" ht="14.1" customHeight="1">
      <c r="A123" s="140">
        <v>20</v>
      </c>
      <c r="B123" s="143">
        <v>44553</v>
      </c>
      <c r="C123" s="146" t="s">
        <v>135</v>
      </c>
      <c r="D123" s="131" t="s">
        <v>195</v>
      </c>
      <c r="E123" s="134" t="s">
        <v>158</v>
      </c>
      <c r="F123" s="92" t="s">
        <v>23</v>
      </c>
      <c r="G123" s="92" t="s">
        <v>62</v>
      </c>
      <c r="H123" s="91">
        <v>1</v>
      </c>
      <c r="I123" s="103" t="s">
        <v>51</v>
      </c>
      <c r="J123" s="33"/>
      <c r="K123" s="29">
        <v>60</v>
      </c>
      <c r="L123" s="29">
        <v>262</v>
      </c>
      <c r="M123" s="92">
        <v>3</v>
      </c>
      <c r="N123" s="39">
        <v>6.1</v>
      </c>
      <c r="O123" s="30">
        <v>3.4</v>
      </c>
      <c r="P123" s="31">
        <f>K123*L123*M123*0.00000785</f>
        <v>0.37020599999999998</v>
      </c>
      <c r="Q123" s="95">
        <v>0.23400000000000001</v>
      </c>
      <c r="R123" s="31">
        <f>P123-Q123</f>
        <v>0.13620599999999997</v>
      </c>
      <c r="S123" s="39">
        <f>(N123*P123-O123*R123)*H123</f>
        <v>1.7951561999999999</v>
      </c>
      <c r="T123" s="106" t="s">
        <v>67</v>
      </c>
      <c r="U123" s="107">
        <v>100</v>
      </c>
      <c r="V123" s="107">
        <v>1</v>
      </c>
      <c r="W123" s="107">
        <v>1</v>
      </c>
      <c r="X123" s="98">
        <v>7.0000000000000007E-2</v>
      </c>
      <c r="Y123" s="106">
        <f>V123*X123/W123</f>
        <v>7.0000000000000007E-2</v>
      </c>
      <c r="Z123" s="137">
        <f>(S128+Y128)*1.2</f>
        <v>2.33418744</v>
      </c>
      <c r="AA123" s="149">
        <f>Z123/1.13</f>
        <v>2.0656526017699117</v>
      </c>
      <c r="AB123" s="150">
        <v>32000</v>
      </c>
      <c r="AC123" s="151">
        <v>50000</v>
      </c>
      <c r="AD123" s="152">
        <f>AB123/AC123</f>
        <v>0.64</v>
      </c>
      <c r="AE123" s="153">
        <f>AA123+AD123</f>
        <v>2.7056526017699118</v>
      </c>
      <c r="AF123" s="124"/>
    </row>
    <row r="124" spans="1:32" s="32" customFormat="1" ht="14.1" customHeight="1">
      <c r="A124" s="141"/>
      <c r="B124" s="144"/>
      <c r="C124" s="147"/>
      <c r="D124" s="132"/>
      <c r="E124" s="135"/>
      <c r="F124" s="92"/>
      <c r="G124" s="92"/>
      <c r="H124" s="91"/>
      <c r="I124" s="103"/>
      <c r="J124" s="33"/>
      <c r="K124" s="33"/>
      <c r="L124" s="33"/>
      <c r="M124" s="33"/>
      <c r="N124" s="39"/>
      <c r="O124" s="30"/>
      <c r="P124" s="31"/>
      <c r="Q124" s="95"/>
      <c r="R124" s="31"/>
      <c r="S124" s="39"/>
      <c r="T124" s="106" t="s">
        <v>44</v>
      </c>
      <c r="U124" s="107">
        <v>80</v>
      </c>
      <c r="V124" s="107">
        <v>1</v>
      </c>
      <c r="W124" s="107">
        <v>1</v>
      </c>
      <c r="X124" s="98">
        <v>0.05</v>
      </c>
      <c r="Y124" s="106">
        <f>V124*X124/W124</f>
        <v>0.05</v>
      </c>
      <c r="Z124" s="138"/>
      <c r="AA124" s="149"/>
      <c r="AB124" s="150"/>
      <c r="AC124" s="151"/>
      <c r="AD124" s="152"/>
      <c r="AE124" s="153"/>
      <c r="AF124" s="124"/>
    </row>
    <row r="125" spans="1:32" s="32" customFormat="1" ht="14.1" customHeight="1">
      <c r="A125" s="141"/>
      <c r="B125" s="144"/>
      <c r="C125" s="147"/>
      <c r="D125" s="132"/>
      <c r="E125" s="135"/>
      <c r="F125" s="92"/>
      <c r="G125" s="92"/>
      <c r="H125" s="91"/>
      <c r="I125" s="103"/>
      <c r="J125" s="33"/>
      <c r="K125" s="33"/>
      <c r="L125" s="33"/>
      <c r="M125" s="33"/>
      <c r="N125" s="39"/>
      <c r="O125" s="30"/>
      <c r="P125" s="31"/>
      <c r="Q125" s="95"/>
      <c r="R125" s="31"/>
      <c r="S125" s="39"/>
      <c r="T125" s="106" t="s">
        <v>43</v>
      </c>
      <c r="U125" s="107">
        <v>40</v>
      </c>
      <c r="V125" s="107">
        <v>1</v>
      </c>
      <c r="W125" s="107">
        <v>1</v>
      </c>
      <c r="X125" s="98">
        <v>0.03</v>
      </c>
      <c r="Y125" s="106">
        <f>V125*X125/W125</f>
        <v>0.03</v>
      </c>
      <c r="Z125" s="138"/>
      <c r="AA125" s="149"/>
      <c r="AB125" s="150"/>
      <c r="AC125" s="151"/>
      <c r="AD125" s="152"/>
      <c r="AE125" s="153"/>
      <c r="AF125" s="124"/>
    </row>
    <row r="126" spans="1:32" s="32" customFormat="1" ht="23.4" customHeight="1">
      <c r="A126" s="141"/>
      <c r="B126" s="144"/>
      <c r="C126" s="147"/>
      <c r="D126" s="132"/>
      <c r="E126" s="135"/>
      <c r="F126" s="92"/>
      <c r="G126" s="92"/>
      <c r="H126" s="91"/>
      <c r="I126" s="103"/>
      <c r="J126" s="33"/>
      <c r="K126" s="92"/>
      <c r="L126" s="92"/>
      <c r="M126" s="92"/>
      <c r="N126" s="34"/>
      <c r="O126" s="30"/>
      <c r="P126" s="31"/>
      <c r="Q126" s="95"/>
      <c r="R126" s="31"/>
      <c r="S126" s="39"/>
      <c r="T126" s="106"/>
      <c r="U126" s="107"/>
      <c r="V126" s="107"/>
      <c r="W126" s="107"/>
      <c r="X126" s="98"/>
      <c r="Y126" s="106"/>
      <c r="Z126" s="138"/>
      <c r="AA126" s="149"/>
      <c r="AB126" s="150"/>
      <c r="AC126" s="151"/>
      <c r="AD126" s="152"/>
      <c r="AE126" s="153"/>
      <c r="AF126" s="124"/>
    </row>
    <row r="127" spans="1:32" s="32" customFormat="1" ht="14.1" customHeight="1">
      <c r="A127" s="141"/>
      <c r="B127" s="144"/>
      <c r="C127" s="147"/>
      <c r="D127" s="132"/>
      <c r="E127" s="135"/>
      <c r="F127" s="91"/>
      <c r="G127" s="91"/>
      <c r="H127" s="91"/>
      <c r="I127" s="104"/>
      <c r="J127" s="52"/>
      <c r="K127" s="35"/>
      <c r="L127" s="35"/>
      <c r="M127" s="35"/>
      <c r="N127" s="35"/>
      <c r="O127" s="35"/>
      <c r="P127" s="35"/>
      <c r="Q127" s="96"/>
      <c r="R127" s="35"/>
      <c r="S127" s="91"/>
      <c r="T127" s="106"/>
      <c r="U127" s="107"/>
      <c r="V127" s="107"/>
      <c r="W127" s="107"/>
      <c r="X127" s="98"/>
      <c r="Y127" s="106"/>
      <c r="Z127" s="139"/>
      <c r="AA127" s="149"/>
      <c r="AB127" s="150"/>
      <c r="AC127" s="151"/>
      <c r="AD127" s="152"/>
      <c r="AE127" s="153"/>
      <c r="AF127" s="124"/>
    </row>
    <row r="128" spans="1:32" s="37" customFormat="1" ht="14.1" customHeight="1">
      <c r="A128" s="142"/>
      <c r="B128" s="145"/>
      <c r="C128" s="148"/>
      <c r="D128" s="133"/>
      <c r="E128" s="136"/>
      <c r="F128" s="125" t="s">
        <v>65</v>
      </c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7"/>
      <c r="S128" s="10">
        <f>SUM(S123:S127)</f>
        <v>1.7951561999999999</v>
      </c>
      <c r="T128" s="2"/>
      <c r="U128" s="102"/>
      <c r="V128" s="102"/>
      <c r="W128" s="102"/>
      <c r="X128" s="2"/>
      <c r="Y128" s="2">
        <f>SUM(Y123:Y127)</f>
        <v>0.15000000000000002</v>
      </c>
      <c r="Z128" s="2"/>
      <c r="AA128" s="36"/>
      <c r="AB128" s="36"/>
      <c r="AC128" s="36"/>
      <c r="AD128" s="36"/>
      <c r="AE128" s="36"/>
      <c r="AF128" s="36"/>
    </row>
    <row r="129" spans="1:33" s="32" customFormat="1" ht="14.1" customHeight="1">
      <c r="A129" s="140">
        <v>21</v>
      </c>
      <c r="B129" s="143">
        <v>44553</v>
      </c>
      <c r="C129" s="146" t="s">
        <v>136</v>
      </c>
      <c r="D129" s="131" t="s">
        <v>196</v>
      </c>
      <c r="E129" s="134" t="s">
        <v>159</v>
      </c>
      <c r="F129" s="92" t="s">
        <v>23</v>
      </c>
      <c r="G129" s="92" t="s">
        <v>62</v>
      </c>
      <c r="H129" s="91">
        <v>1</v>
      </c>
      <c r="I129" s="103" t="s">
        <v>160</v>
      </c>
      <c r="J129" s="33"/>
      <c r="K129" s="29">
        <f>324+4</f>
        <v>328</v>
      </c>
      <c r="L129" s="29">
        <v>47</v>
      </c>
      <c r="M129" s="92">
        <v>2</v>
      </c>
      <c r="N129" s="39">
        <v>6.25</v>
      </c>
      <c r="O129" s="30">
        <v>3.4</v>
      </c>
      <c r="P129" s="31">
        <f>K129*L129*M129*0.00000785</f>
        <v>0.24203119999999997</v>
      </c>
      <c r="Q129" s="95">
        <v>0.17399999999999999</v>
      </c>
      <c r="R129" s="31">
        <f>P129-Q129</f>
        <v>6.8031199999999986E-2</v>
      </c>
      <c r="S129" s="39">
        <f>(N129*P129-O129*R129)*H129</f>
        <v>1.2813889199999999</v>
      </c>
      <c r="T129" s="106" t="s">
        <v>67</v>
      </c>
      <c r="U129" s="107">
        <v>100</v>
      </c>
      <c r="V129" s="107">
        <v>1</v>
      </c>
      <c r="W129" s="107">
        <v>1</v>
      </c>
      <c r="X129" s="98">
        <v>7.0000000000000007E-2</v>
      </c>
      <c r="Y129" s="106">
        <f>V129*X129/W129</f>
        <v>7.0000000000000007E-2</v>
      </c>
      <c r="Z129" s="137">
        <f>(S134+Y134)*1.2</f>
        <v>1.7176667039999998</v>
      </c>
      <c r="AA129" s="149">
        <f>Z129/1.13</f>
        <v>1.5200590300884955</v>
      </c>
      <c r="AB129" s="150">
        <v>26000</v>
      </c>
      <c r="AC129" s="151">
        <v>50000</v>
      </c>
      <c r="AD129" s="152">
        <f>AB129/AC129</f>
        <v>0.52</v>
      </c>
      <c r="AE129" s="153">
        <f>AA129+AD129</f>
        <v>2.0400590300884955</v>
      </c>
      <c r="AF129" s="124"/>
    </row>
    <row r="130" spans="1:33" s="32" customFormat="1" ht="14.1" customHeight="1">
      <c r="A130" s="141"/>
      <c r="B130" s="144"/>
      <c r="C130" s="147"/>
      <c r="D130" s="132"/>
      <c r="E130" s="135"/>
      <c r="F130" s="92"/>
      <c r="G130" s="92"/>
      <c r="H130" s="91"/>
      <c r="I130" s="103"/>
      <c r="J130" s="33"/>
      <c r="K130" s="33"/>
      <c r="L130" s="33"/>
      <c r="M130" s="33"/>
      <c r="N130" s="39"/>
      <c r="O130" s="30"/>
      <c r="P130" s="31"/>
      <c r="Q130" s="95"/>
      <c r="R130" s="31"/>
      <c r="S130" s="39"/>
      <c r="T130" s="106" t="s">
        <v>44</v>
      </c>
      <c r="U130" s="107">
        <v>80</v>
      </c>
      <c r="V130" s="107">
        <v>1</v>
      </c>
      <c r="W130" s="107">
        <v>1</v>
      </c>
      <c r="X130" s="98">
        <v>0.05</v>
      </c>
      <c r="Y130" s="106">
        <f>V130*X130/W130</f>
        <v>0.05</v>
      </c>
      <c r="Z130" s="138"/>
      <c r="AA130" s="149"/>
      <c r="AB130" s="150"/>
      <c r="AC130" s="151"/>
      <c r="AD130" s="152"/>
      <c r="AE130" s="153"/>
      <c r="AF130" s="124"/>
    </row>
    <row r="131" spans="1:33" s="32" customFormat="1" ht="14.1" customHeight="1">
      <c r="A131" s="141"/>
      <c r="B131" s="144"/>
      <c r="C131" s="147"/>
      <c r="D131" s="132"/>
      <c r="E131" s="135"/>
      <c r="F131" s="92"/>
      <c r="G131" s="92"/>
      <c r="H131" s="91"/>
      <c r="I131" s="103"/>
      <c r="J131" s="33"/>
      <c r="K131" s="33"/>
      <c r="L131" s="33"/>
      <c r="M131" s="33"/>
      <c r="N131" s="39"/>
      <c r="O131" s="30"/>
      <c r="P131" s="31"/>
      <c r="Q131" s="95"/>
      <c r="R131" s="31"/>
      <c r="S131" s="39"/>
      <c r="T131" s="106" t="s">
        <v>43</v>
      </c>
      <c r="U131" s="107">
        <v>40</v>
      </c>
      <c r="V131" s="107">
        <v>1</v>
      </c>
      <c r="W131" s="107">
        <v>1</v>
      </c>
      <c r="X131" s="98">
        <v>0.03</v>
      </c>
      <c r="Y131" s="106">
        <f>V131*X131/W131</f>
        <v>0.03</v>
      </c>
      <c r="Z131" s="138"/>
      <c r="AA131" s="149"/>
      <c r="AB131" s="150"/>
      <c r="AC131" s="151"/>
      <c r="AD131" s="152"/>
      <c r="AE131" s="153"/>
      <c r="AF131" s="124"/>
    </row>
    <row r="132" spans="1:33" s="32" customFormat="1" ht="23.4" customHeight="1">
      <c r="A132" s="141"/>
      <c r="B132" s="144"/>
      <c r="C132" s="147"/>
      <c r="D132" s="132"/>
      <c r="E132" s="135"/>
      <c r="F132" s="92"/>
      <c r="G132" s="92"/>
      <c r="H132" s="91"/>
      <c r="I132" s="103"/>
      <c r="J132" s="33"/>
      <c r="K132" s="92"/>
      <c r="L132" s="92"/>
      <c r="M132" s="92"/>
      <c r="N132" s="34"/>
      <c r="O132" s="30"/>
      <c r="P132" s="31"/>
      <c r="Q132" s="95"/>
      <c r="R132" s="31"/>
      <c r="S132" s="39"/>
      <c r="T132" s="106"/>
      <c r="U132" s="107"/>
      <c r="V132" s="107"/>
      <c r="W132" s="107"/>
      <c r="X132" s="98"/>
      <c r="Y132" s="106"/>
      <c r="Z132" s="138"/>
      <c r="AA132" s="149"/>
      <c r="AB132" s="150"/>
      <c r="AC132" s="151"/>
      <c r="AD132" s="152"/>
      <c r="AE132" s="153"/>
      <c r="AF132" s="124"/>
    </row>
    <row r="133" spans="1:33" s="32" customFormat="1" ht="14.1" customHeight="1">
      <c r="A133" s="141"/>
      <c r="B133" s="144"/>
      <c r="C133" s="147"/>
      <c r="D133" s="132"/>
      <c r="E133" s="135"/>
      <c r="F133" s="91"/>
      <c r="G133" s="91"/>
      <c r="H133" s="91"/>
      <c r="I133" s="104"/>
      <c r="J133" s="52"/>
      <c r="K133" s="35"/>
      <c r="L133" s="35"/>
      <c r="M133" s="35"/>
      <c r="N133" s="35"/>
      <c r="O133" s="35"/>
      <c r="P133" s="35"/>
      <c r="Q133" s="96"/>
      <c r="R133" s="35"/>
      <c r="S133" s="91"/>
      <c r="T133" s="106"/>
      <c r="U133" s="107"/>
      <c r="V133" s="107"/>
      <c r="W133" s="107"/>
      <c r="X133" s="98"/>
      <c r="Y133" s="106"/>
      <c r="Z133" s="139"/>
      <c r="AA133" s="149"/>
      <c r="AB133" s="150"/>
      <c r="AC133" s="151"/>
      <c r="AD133" s="152"/>
      <c r="AE133" s="153"/>
      <c r="AF133" s="124"/>
    </row>
    <row r="134" spans="1:33" s="37" customFormat="1" ht="14.1" customHeight="1">
      <c r="A134" s="142"/>
      <c r="B134" s="145"/>
      <c r="C134" s="148"/>
      <c r="D134" s="133"/>
      <c r="E134" s="136"/>
      <c r="F134" s="125" t="s">
        <v>65</v>
      </c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7"/>
      <c r="S134" s="10">
        <f>SUM(S129:S133)</f>
        <v>1.2813889199999999</v>
      </c>
      <c r="T134" s="2"/>
      <c r="U134" s="102"/>
      <c r="V134" s="102"/>
      <c r="W134" s="102"/>
      <c r="X134" s="2"/>
      <c r="Y134" s="2">
        <f>SUM(Y129:Y133)</f>
        <v>0.15000000000000002</v>
      </c>
      <c r="Z134" s="2"/>
      <c r="AA134" s="36"/>
      <c r="AB134" s="36"/>
      <c r="AC134" s="36"/>
      <c r="AD134" s="36"/>
      <c r="AE134" s="36"/>
      <c r="AF134" s="36"/>
    </row>
    <row r="135" spans="1:33" s="32" customFormat="1" ht="14.1" customHeight="1">
      <c r="A135" s="140">
        <v>22</v>
      </c>
      <c r="B135" s="143">
        <v>44553</v>
      </c>
      <c r="C135" s="146" t="s">
        <v>147</v>
      </c>
      <c r="D135" s="131" t="s">
        <v>197</v>
      </c>
      <c r="E135" s="134" t="s">
        <v>215</v>
      </c>
      <c r="F135" s="92" t="s">
        <v>23</v>
      </c>
      <c r="G135" s="92" t="s">
        <v>62</v>
      </c>
      <c r="H135" s="91">
        <v>1</v>
      </c>
      <c r="I135" s="103" t="s">
        <v>51</v>
      </c>
      <c r="J135" s="33"/>
      <c r="K135" s="29">
        <f>67+5</f>
        <v>72</v>
      </c>
      <c r="L135" s="29">
        <f>95+5</f>
        <v>100</v>
      </c>
      <c r="M135" s="92">
        <v>2.5</v>
      </c>
      <c r="N135" s="39">
        <v>6.15</v>
      </c>
      <c r="O135" s="30">
        <v>3.4</v>
      </c>
      <c r="P135" s="31">
        <f>K135*L135*M135*0.00000785</f>
        <v>0.14129999999999998</v>
      </c>
      <c r="Q135" s="95">
        <v>6.7000000000000004E-2</v>
      </c>
      <c r="R135" s="31">
        <f>P135-Q135</f>
        <v>7.4299999999999977E-2</v>
      </c>
      <c r="S135" s="39">
        <f>(N135*P135-O135*R135)*H135</f>
        <v>0.61637500000000012</v>
      </c>
      <c r="T135" s="106" t="s">
        <v>67</v>
      </c>
      <c r="U135" s="107">
        <v>100</v>
      </c>
      <c r="V135" s="107">
        <v>1</v>
      </c>
      <c r="W135" s="107">
        <v>1</v>
      </c>
      <c r="X135" s="98">
        <v>7.0000000000000007E-2</v>
      </c>
      <c r="Y135" s="106">
        <f>V135*X135/W135</f>
        <v>7.0000000000000007E-2</v>
      </c>
      <c r="Z135" s="137">
        <f>(S140+Y140)*1.2</f>
        <v>0.89565000000000017</v>
      </c>
      <c r="AA135" s="149">
        <f>Z135/1.13</f>
        <v>0.79261061946902678</v>
      </c>
      <c r="AB135" s="128">
        <v>29000</v>
      </c>
      <c r="AC135" s="151">
        <v>100000</v>
      </c>
      <c r="AD135" s="152">
        <f>AB135/2/AC135</f>
        <v>0.14499999999999999</v>
      </c>
      <c r="AE135" s="153">
        <f>AA135+AD135</f>
        <v>0.9376106194690268</v>
      </c>
      <c r="AF135" s="124"/>
      <c r="AG135" s="32" t="s">
        <v>205</v>
      </c>
    </row>
    <row r="136" spans="1:33" s="32" customFormat="1" ht="14.1" customHeight="1">
      <c r="A136" s="141"/>
      <c r="B136" s="144"/>
      <c r="C136" s="147"/>
      <c r="D136" s="132"/>
      <c r="E136" s="135"/>
      <c r="F136" s="92"/>
      <c r="G136" s="92"/>
      <c r="H136" s="91"/>
      <c r="I136" s="103"/>
      <c r="J136" s="33"/>
      <c r="K136" s="33"/>
      <c r="L136" s="33"/>
      <c r="M136" s="33"/>
      <c r="N136" s="39"/>
      <c r="O136" s="30"/>
      <c r="P136" s="31"/>
      <c r="Q136" s="95"/>
      <c r="R136" s="31"/>
      <c r="S136" s="39"/>
      <c r="T136" s="106" t="s">
        <v>44</v>
      </c>
      <c r="U136" s="107">
        <v>40</v>
      </c>
      <c r="V136" s="107">
        <v>1</v>
      </c>
      <c r="W136" s="107">
        <v>1</v>
      </c>
      <c r="X136" s="98">
        <v>0.03</v>
      </c>
      <c r="Y136" s="106">
        <f>V136*X136/W136</f>
        <v>0.03</v>
      </c>
      <c r="Z136" s="138"/>
      <c r="AA136" s="149"/>
      <c r="AB136" s="129"/>
      <c r="AC136" s="151"/>
      <c r="AD136" s="152"/>
      <c r="AE136" s="153"/>
      <c r="AF136" s="124"/>
    </row>
    <row r="137" spans="1:33" s="32" customFormat="1" ht="14.1" customHeight="1">
      <c r="A137" s="141"/>
      <c r="B137" s="144"/>
      <c r="C137" s="147"/>
      <c r="D137" s="132"/>
      <c r="E137" s="135"/>
      <c r="F137" s="92"/>
      <c r="G137" s="92"/>
      <c r="H137" s="91"/>
      <c r="I137" s="103"/>
      <c r="J137" s="33"/>
      <c r="K137" s="33"/>
      <c r="L137" s="33"/>
      <c r="M137" s="33"/>
      <c r="N137" s="39"/>
      <c r="O137" s="30"/>
      <c r="P137" s="31"/>
      <c r="Q137" s="95"/>
      <c r="R137" s="31"/>
      <c r="S137" s="39"/>
      <c r="T137" s="106" t="s">
        <v>43</v>
      </c>
      <c r="U137" s="107">
        <v>25</v>
      </c>
      <c r="V137" s="107">
        <v>1</v>
      </c>
      <c r="W137" s="107">
        <v>1</v>
      </c>
      <c r="X137" s="98">
        <v>0.03</v>
      </c>
      <c r="Y137" s="106">
        <f>V137*X137/W137</f>
        <v>0.03</v>
      </c>
      <c r="Z137" s="138"/>
      <c r="AA137" s="149"/>
      <c r="AB137" s="129"/>
      <c r="AC137" s="151"/>
      <c r="AD137" s="152"/>
      <c r="AE137" s="153"/>
      <c r="AF137" s="124"/>
    </row>
    <row r="138" spans="1:33" s="32" customFormat="1" ht="23.4" customHeight="1">
      <c r="A138" s="141"/>
      <c r="B138" s="144"/>
      <c r="C138" s="147"/>
      <c r="D138" s="132"/>
      <c r="E138" s="135"/>
      <c r="F138" s="92"/>
      <c r="G138" s="92"/>
      <c r="H138" s="91"/>
      <c r="I138" s="103"/>
      <c r="J138" s="33"/>
      <c r="K138" s="92"/>
      <c r="L138" s="92"/>
      <c r="M138" s="92"/>
      <c r="N138" s="34"/>
      <c r="O138" s="30"/>
      <c r="P138" s="31"/>
      <c r="Q138" s="95"/>
      <c r="R138" s="31"/>
      <c r="S138" s="39"/>
      <c r="T138" s="106"/>
      <c r="U138" s="107"/>
      <c r="V138" s="107"/>
      <c r="W138" s="107"/>
      <c r="X138" s="98"/>
      <c r="Y138" s="106"/>
      <c r="Z138" s="138"/>
      <c r="AA138" s="149"/>
      <c r="AB138" s="129"/>
      <c r="AC138" s="151"/>
      <c r="AD138" s="152"/>
      <c r="AE138" s="153"/>
      <c r="AF138" s="124"/>
    </row>
    <row r="139" spans="1:33" s="32" customFormat="1" ht="14.1" customHeight="1">
      <c r="A139" s="141"/>
      <c r="B139" s="144"/>
      <c r="C139" s="147"/>
      <c r="D139" s="132"/>
      <c r="E139" s="135"/>
      <c r="F139" s="91"/>
      <c r="G139" s="91"/>
      <c r="H139" s="91"/>
      <c r="I139" s="104"/>
      <c r="J139" s="52"/>
      <c r="K139" s="35"/>
      <c r="L139" s="35"/>
      <c r="M139" s="35"/>
      <c r="N139" s="35"/>
      <c r="O139" s="35"/>
      <c r="P139" s="35"/>
      <c r="Q139" s="96"/>
      <c r="R139" s="35"/>
      <c r="S139" s="91"/>
      <c r="T139" s="106"/>
      <c r="U139" s="107"/>
      <c r="V139" s="107"/>
      <c r="W139" s="107"/>
      <c r="X139" s="98"/>
      <c r="Y139" s="106"/>
      <c r="Z139" s="139"/>
      <c r="AA139" s="149"/>
      <c r="AB139" s="129"/>
      <c r="AC139" s="151"/>
      <c r="AD139" s="152"/>
      <c r="AE139" s="153"/>
      <c r="AF139" s="124"/>
    </row>
    <row r="140" spans="1:33" s="37" customFormat="1" ht="14.1" customHeight="1">
      <c r="A140" s="142"/>
      <c r="B140" s="145"/>
      <c r="C140" s="148"/>
      <c r="D140" s="133"/>
      <c r="E140" s="136"/>
      <c r="F140" s="125" t="s">
        <v>65</v>
      </c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7"/>
      <c r="S140" s="10">
        <f>SUM(S135:S139)</f>
        <v>0.61637500000000012</v>
      </c>
      <c r="T140" s="2"/>
      <c r="U140" s="102"/>
      <c r="V140" s="102"/>
      <c r="W140" s="102"/>
      <c r="X140" s="2"/>
      <c r="Y140" s="2">
        <f>SUM(Y135:Y139)</f>
        <v>0.13</v>
      </c>
      <c r="Z140" s="2"/>
      <c r="AA140" s="36"/>
      <c r="AB140" s="129"/>
      <c r="AC140" s="36"/>
      <c r="AD140" s="36"/>
      <c r="AE140" s="36"/>
      <c r="AF140" s="36"/>
    </row>
    <row r="141" spans="1:33" s="32" customFormat="1" ht="14.1" customHeight="1">
      <c r="A141" s="140">
        <v>22</v>
      </c>
      <c r="B141" s="143">
        <v>44553</v>
      </c>
      <c r="C141" s="146" t="s">
        <v>213</v>
      </c>
      <c r="D141" s="131" t="s">
        <v>216</v>
      </c>
      <c r="E141" s="134" t="s">
        <v>214</v>
      </c>
      <c r="F141" s="92" t="s">
        <v>23</v>
      </c>
      <c r="G141" s="92" t="s">
        <v>62</v>
      </c>
      <c r="H141" s="91">
        <v>1</v>
      </c>
      <c r="I141" s="103" t="s">
        <v>51</v>
      </c>
      <c r="J141" s="33"/>
      <c r="K141" s="29">
        <f>67+5</f>
        <v>72</v>
      </c>
      <c r="L141" s="29">
        <f>95+5</f>
        <v>100</v>
      </c>
      <c r="M141" s="92">
        <v>2.5</v>
      </c>
      <c r="N141" s="39">
        <v>6.15</v>
      </c>
      <c r="O141" s="30">
        <v>3.4</v>
      </c>
      <c r="P141" s="31">
        <f>K141*L141*M141*0.00000785</f>
        <v>0.14129999999999998</v>
      </c>
      <c r="Q141" s="95">
        <v>6.7000000000000004E-2</v>
      </c>
      <c r="R141" s="31">
        <f>P141-Q141</f>
        <v>7.4299999999999977E-2</v>
      </c>
      <c r="S141" s="39">
        <f>(N141*P141-O141*R141)*H141</f>
        <v>0.61637500000000012</v>
      </c>
      <c r="T141" s="119" t="s">
        <v>67</v>
      </c>
      <c r="U141" s="120">
        <v>100</v>
      </c>
      <c r="V141" s="120">
        <v>1</v>
      </c>
      <c r="W141" s="120">
        <v>1</v>
      </c>
      <c r="X141" s="98">
        <v>7.0000000000000007E-2</v>
      </c>
      <c r="Y141" s="119">
        <f>V141*X141/W141</f>
        <v>7.0000000000000007E-2</v>
      </c>
      <c r="Z141" s="137">
        <f>(S146+Y146)*1.2</f>
        <v>0.89565000000000017</v>
      </c>
      <c r="AA141" s="149">
        <f>Z141/1.13</f>
        <v>0.79261061946902678</v>
      </c>
      <c r="AB141" s="129"/>
      <c r="AC141" s="151">
        <v>100000</v>
      </c>
      <c r="AD141" s="152">
        <f>AB135/2/AC141</f>
        <v>0.14499999999999999</v>
      </c>
      <c r="AE141" s="153">
        <f>AA141+AD141</f>
        <v>0.9376106194690268</v>
      </c>
      <c r="AF141" s="124"/>
    </row>
    <row r="142" spans="1:33" s="32" customFormat="1" ht="14.1" customHeight="1">
      <c r="A142" s="141"/>
      <c r="B142" s="144"/>
      <c r="C142" s="147"/>
      <c r="D142" s="132"/>
      <c r="E142" s="135"/>
      <c r="F142" s="92"/>
      <c r="G142" s="92"/>
      <c r="H142" s="91"/>
      <c r="I142" s="103"/>
      <c r="J142" s="33"/>
      <c r="K142" s="33"/>
      <c r="L142" s="33"/>
      <c r="M142" s="33"/>
      <c r="N142" s="39"/>
      <c r="O142" s="30"/>
      <c r="P142" s="31"/>
      <c r="Q142" s="95"/>
      <c r="R142" s="31"/>
      <c r="S142" s="39"/>
      <c r="T142" s="119" t="s">
        <v>44</v>
      </c>
      <c r="U142" s="120">
        <v>40</v>
      </c>
      <c r="V142" s="120">
        <v>1</v>
      </c>
      <c r="W142" s="120">
        <v>1</v>
      </c>
      <c r="X142" s="98">
        <v>0.03</v>
      </c>
      <c r="Y142" s="119">
        <f>V142*X142/W142</f>
        <v>0.03</v>
      </c>
      <c r="Z142" s="138"/>
      <c r="AA142" s="149"/>
      <c r="AB142" s="129"/>
      <c r="AC142" s="151"/>
      <c r="AD142" s="152"/>
      <c r="AE142" s="153"/>
      <c r="AF142" s="124"/>
    </row>
    <row r="143" spans="1:33" s="32" customFormat="1" ht="14.1" customHeight="1">
      <c r="A143" s="141"/>
      <c r="B143" s="144"/>
      <c r="C143" s="147"/>
      <c r="D143" s="132"/>
      <c r="E143" s="135"/>
      <c r="F143" s="92"/>
      <c r="G143" s="92"/>
      <c r="H143" s="91"/>
      <c r="I143" s="103"/>
      <c r="J143" s="33"/>
      <c r="K143" s="33"/>
      <c r="L143" s="33"/>
      <c r="M143" s="33"/>
      <c r="N143" s="39"/>
      <c r="O143" s="30"/>
      <c r="P143" s="31"/>
      <c r="Q143" s="95"/>
      <c r="R143" s="31"/>
      <c r="S143" s="39"/>
      <c r="T143" s="119" t="s">
        <v>43</v>
      </c>
      <c r="U143" s="120">
        <v>25</v>
      </c>
      <c r="V143" s="120">
        <v>1</v>
      </c>
      <c r="W143" s="120">
        <v>1</v>
      </c>
      <c r="X143" s="98">
        <v>0.03</v>
      </c>
      <c r="Y143" s="119">
        <f>V143*X143/W143</f>
        <v>0.03</v>
      </c>
      <c r="Z143" s="138"/>
      <c r="AA143" s="149"/>
      <c r="AB143" s="129"/>
      <c r="AC143" s="151"/>
      <c r="AD143" s="152"/>
      <c r="AE143" s="153"/>
      <c r="AF143" s="124"/>
    </row>
    <row r="144" spans="1:33" s="32" customFormat="1" ht="23.4" customHeight="1">
      <c r="A144" s="141"/>
      <c r="B144" s="144"/>
      <c r="C144" s="147"/>
      <c r="D144" s="132"/>
      <c r="E144" s="135"/>
      <c r="F144" s="92"/>
      <c r="G144" s="92"/>
      <c r="H144" s="91"/>
      <c r="I144" s="103"/>
      <c r="J144" s="33"/>
      <c r="K144" s="92"/>
      <c r="L144" s="92"/>
      <c r="M144" s="92"/>
      <c r="N144" s="34"/>
      <c r="O144" s="30"/>
      <c r="P144" s="31"/>
      <c r="Q144" s="95"/>
      <c r="R144" s="31"/>
      <c r="S144" s="39"/>
      <c r="T144" s="119"/>
      <c r="U144" s="120"/>
      <c r="V144" s="120"/>
      <c r="W144" s="120"/>
      <c r="X144" s="98"/>
      <c r="Y144" s="119"/>
      <c r="Z144" s="138"/>
      <c r="AA144" s="149"/>
      <c r="AB144" s="129"/>
      <c r="AC144" s="151"/>
      <c r="AD144" s="152"/>
      <c r="AE144" s="153"/>
      <c r="AF144" s="124"/>
    </row>
    <row r="145" spans="1:33" s="32" customFormat="1" ht="14.1" customHeight="1">
      <c r="A145" s="141"/>
      <c r="B145" s="144"/>
      <c r="C145" s="147"/>
      <c r="D145" s="132"/>
      <c r="E145" s="135"/>
      <c r="F145" s="91"/>
      <c r="G145" s="91"/>
      <c r="H145" s="91"/>
      <c r="I145" s="104"/>
      <c r="J145" s="52"/>
      <c r="K145" s="35"/>
      <c r="L145" s="35"/>
      <c r="M145" s="35"/>
      <c r="N145" s="35"/>
      <c r="O145" s="35"/>
      <c r="P145" s="35"/>
      <c r="Q145" s="96"/>
      <c r="R145" s="35"/>
      <c r="S145" s="91"/>
      <c r="T145" s="119"/>
      <c r="U145" s="120"/>
      <c r="V145" s="120"/>
      <c r="W145" s="120"/>
      <c r="X145" s="98"/>
      <c r="Y145" s="119"/>
      <c r="Z145" s="139"/>
      <c r="AA145" s="149"/>
      <c r="AB145" s="130"/>
      <c r="AC145" s="151"/>
      <c r="AD145" s="152"/>
      <c r="AE145" s="153"/>
      <c r="AF145" s="124"/>
    </row>
    <row r="146" spans="1:33" s="37" customFormat="1" ht="14.1" customHeight="1">
      <c r="A146" s="142"/>
      <c r="B146" s="145"/>
      <c r="C146" s="148"/>
      <c r="D146" s="133"/>
      <c r="E146" s="136"/>
      <c r="F146" s="125" t="s">
        <v>65</v>
      </c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7"/>
      <c r="S146" s="10">
        <f>SUM(S141:S145)</f>
        <v>0.61637500000000012</v>
      </c>
      <c r="T146" s="2"/>
      <c r="U146" s="102"/>
      <c r="V146" s="102"/>
      <c r="W146" s="102"/>
      <c r="X146" s="2"/>
      <c r="Y146" s="2">
        <f>SUM(Y141:Y145)</f>
        <v>0.13</v>
      </c>
      <c r="Z146" s="2"/>
      <c r="AA146" s="36"/>
      <c r="AB146" s="36"/>
      <c r="AC146" s="36"/>
      <c r="AD146" s="36"/>
      <c r="AE146" s="36"/>
      <c r="AF146" s="36"/>
    </row>
    <row r="147" spans="1:33" s="32" customFormat="1" ht="14.1" customHeight="1">
      <c r="A147" s="140">
        <v>22</v>
      </c>
      <c r="B147" s="143">
        <v>44553</v>
      </c>
      <c r="C147" s="146" t="s">
        <v>211</v>
      </c>
      <c r="D147" s="131" t="s">
        <v>212</v>
      </c>
      <c r="E147" s="134" t="s">
        <v>204</v>
      </c>
      <c r="F147" s="92" t="s">
        <v>23</v>
      </c>
      <c r="G147" s="92" t="s">
        <v>62</v>
      </c>
      <c r="H147" s="91">
        <v>1</v>
      </c>
      <c r="I147" s="103" t="s">
        <v>51</v>
      </c>
      <c r="J147" s="33"/>
      <c r="K147" s="29">
        <f>67+5</f>
        <v>72</v>
      </c>
      <c r="L147" s="29">
        <f>95+5</f>
        <v>100</v>
      </c>
      <c r="M147" s="92">
        <v>2.5</v>
      </c>
      <c r="N147" s="39">
        <v>6.15</v>
      </c>
      <c r="O147" s="30">
        <v>3.4</v>
      </c>
      <c r="P147" s="31">
        <f>K147*L147*M147*0.00000785</f>
        <v>0.14129999999999998</v>
      </c>
      <c r="Q147" s="95">
        <v>6.7000000000000004E-2</v>
      </c>
      <c r="R147" s="31">
        <f>P147-Q147</f>
        <v>7.4299999999999977E-2</v>
      </c>
      <c r="S147" s="39">
        <f>(N147*P147-O147*R147)*H147</f>
        <v>0.61637500000000012</v>
      </c>
      <c r="T147" s="116" t="s">
        <v>67</v>
      </c>
      <c r="U147" s="117">
        <v>100</v>
      </c>
      <c r="V147" s="117">
        <v>1</v>
      </c>
      <c r="W147" s="117">
        <v>1</v>
      </c>
      <c r="X147" s="98">
        <v>7.0000000000000007E-2</v>
      </c>
      <c r="Y147" s="116">
        <f>V147*X147/W147</f>
        <v>7.0000000000000007E-2</v>
      </c>
      <c r="Z147" s="137">
        <f>(S152+Y152)*1.2</f>
        <v>0.89565000000000017</v>
      </c>
      <c r="AA147" s="149">
        <f>Z147/1.13</f>
        <v>0.79261061946902678</v>
      </c>
      <c r="AB147" s="150">
        <v>6300</v>
      </c>
      <c r="AC147" s="151">
        <v>100000</v>
      </c>
      <c r="AD147" s="152">
        <f>AB147/AC147</f>
        <v>6.3E-2</v>
      </c>
      <c r="AE147" s="153">
        <f>AA147+AD147</f>
        <v>0.85561061946902672</v>
      </c>
      <c r="AF147" s="124"/>
    </row>
    <row r="148" spans="1:33" s="32" customFormat="1" ht="14.1" customHeight="1">
      <c r="A148" s="141"/>
      <c r="B148" s="144"/>
      <c r="C148" s="147"/>
      <c r="D148" s="132"/>
      <c r="E148" s="135"/>
      <c r="F148" s="92"/>
      <c r="G148" s="92"/>
      <c r="H148" s="91"/>
      <c r="I148" s="103"/>
      <c r="J148" s="33"/>
      <c r="K148" s="33"/>
      <c r="L148" s="33"/>
      <c r="M148" s="33"/>
      <c r="N148" s="39"/>
      <c r="O148" s="30"/>
      <c r="P148" s="31"/>
      <c r="Q148" s="95"/>
      <c r="R148" s="31"/>
      <c r="S148" s="39"/>
      <c r="T148" s="116" t="s">
        <v>44</v>
      </c>
      <c r="U148" s="117">
        <v>40</v>
      </c>
      <c r="V148" s="117">
        <v>1</v>
      </c>
      <c r="W148" s="117">
        <v>1</v>
      </c>
      <c r="X148" s="98">
        <v>0.03</v>
      </c>
      <c r="Y148" s="116">
        <f>V148*X148/W148</f>
        <v>0.03</v>
      </c>
      <c r="Z148" s="138"/>
      <c r="AA148" s="149"/>
      <c r="AB148" s="150"/>
      <c r="AC148" s="151"/>
      <c r="AD148" s="152"/>
      <c r="AE148" s="153"/>
      <c r="AF148" s="124"/>
      <c r="AG148" s="32" t="s">
        <v>205</v>
      </c>
    </row>
    <row r="149" spans="1:33" s="32" customFormat="1" ht="14.1" customHeight="1">
      <c r="A149" s="141"/>
      <c r="B149" s="144"/>
      <c r="C149" s="147"/>
      <c r="D149" s="132"/>
      <c r="E149" s="135"/>
      <c r="F149" s="92"/>
      <c r="G149" s="92"/>
      <c r="H149" s="91"/>
      <c r="I149" s="103"/>
      <c r="J149" s="33"/>
      <c r="K149" s="33"/>
      <c r="L149" s="33"/>
      <c r="M149" s="33"/>
      <c r="N149" s="39"/>
      <c r="O149" s="30"/>
      <c r="P149" s="31"/>
      <c r="Q149" s="95"/>
      <c r="R149" s="31"/>
      <c r="S149" s="39"/>
      <c r="T149" s="116" t="s">
        <v>43</v>
      </c>
      <c r="U149" s="117">
        <v>25</v>
      </c>
      <c r="V149" s="117">
        <v>1</v>
      </c>
      <c r="W149" s="117">
        <v>1</v>
      </c>
      <c r="X149" s="98">
        <v>0.03</v>
      </c>
      <c r="Y149" s="116">
        <f>V149*X149/W149</f>
        <v>0.03</v>
      </c>
      <c r="Z149" s="138"/>
      <c r="AA149" s="149"/>
      <c r="AB149" s="150"/>
      <c r="AC149" s="151"/>
      <c r="AD149" s="152"/>
      <c r="AE149" s="153"/>
      <c r="AF149" s="124"/>
    </row>
    <row r="150" spans="1:33" s="32" customFormat="1" ht="23.4" customHeight="1">
      <c r="A150" s="141"/>
      <c r="B150" s="144"/>
      <c r="C150" s="147"/>
      <c r="D150" s="132"/>
      <c r="E150" s="135"/>
      <c r="F150" s="92"/>
      <c r="G150" s="92"/>
      <c r="H150" s="91"/>
      <c r="I150" s="103"/>
      <c r="J150" s="33"/>
      <c r="K150" s="92"/>
      <c r="L150" s="92"/>
      <c r="M150" s="92"/>
      <c r="N150" s="34"/>
      <c r="O150" s="30"/>
      <c r="P150" s="31"/>
      <c r="Q150" s="95"/>
      <c r="R150" s="31"/>
      <c r="S150" s="39"/>
      <c r="T150" s="116"/>
      <c r="U150" s="117"/>
      <c r="V150" s="117"/>
      <c r="W150" s="117"/>
      <c r="X150" s="98"/>
      <c r="Y150" s="116"/>
      <c r="Z150" s="138"/>
      <c r="AA150" s="149"/>
      <c r="AB150" s="150"/>
      <c r="AC150" s="151"/>
      <c r="AD150" s="152"/>
      <c r="AE150" s="153"/>
      <c r="AF150" s="124"/>
    </row>
    <row r="151" spans="1:33" s="32" customFormat="1" ht="14.1" customHeight="1">
      <c r="A151" s="141"/>
      <c r="B151" s="144"/>
      <c r="C151" s="147"/>
      <c r="D151" s="132"/>
      <c r="E151" s="135"/>
      <c r="F151" s="91"/>
      <c r="G151" s="91"/>
      <c r="H151" s="91"/>
      <c r="I151" s="104"/>
      <c r="J151" s="52"/>
      <c r="K151" s="35"/>
      <c r="L151" s="35"/>
      <c r="M151" s="35"/>
      <c r="N151" s="35"/>
      <c r="O151" s="35"/>
      <c r="P151" s="35"/>
      <c r="Q151" s="96"/>
      <c r="R151" s="35"/>
      <c r="S151" s="91"/>
      <c r="T151" s="116"/>
      <c r="U151" s="117"/>
      <c r="V151" s="117"/>
      <c r="W151" s="117"/>
      <c r="X151" s="98"/>
      <c r="Y151" s="116"/>
      <c r="Z151" s="139"/>
      <c r="AA151" s="149"/>
      <c r="AB151" s="150"/>
      <c r="AC151" s="151"/>
      <c r="AD151" s="152"/>
      <c r="AE151" s="153"/>
      <c r="AF151" s="124"/>
    </row>
    <row r="152" spans="1:33" s="37" customFormat="1" ht="14.1" customHeight="1">
      <c r="A152" s="142"/>
      <c r="B152" s="145"/>
      <c r="C152" s="148"/>
      <c r="D152" s="133"/>
      <c r="E152" s="136"/>
      <c r="F152" s="125" t="s">
        <v>65</v>
      </c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7"/>
      <c r="S152" s="10">
        <f>SUM(S147:S151)</f>
        <v>0.61637500000000012</v>
      </c>
      <c r="T152" s="2"/>
      <c r="U152" s="102"/>
      <c r="V152" s="102"/>
      <c r="W152" s="102"/>
      <c r="X152" s="2"/>
      <c r="Y152" s="2">
        <f>SUM(Y147:Y151)</f>
        <v>0.13</v>
      </c>
      <c r="Z152" s="2"/>
      <c r="AA152" s="36"/>
      <c r="AB152" s="36"/>
      <c r="AC152" s="36"/>
      <c r="AD152" s="36"/>
      <c r="AE152" s="36"/>
      <c r="AF152" s="36"/>
    </row>
    <row r="153" spans="1:33" s="32" customFormat="1" ht="14.1" customHeight="1">
      <c r="A153" s="140">
        <v>23</v>
      </c>
      <c r="B153" s="143">
        <v>44553</v>
      </c>
      <c r="C153" s="146" t="s">
        <v>155</v>
      </c>
      <c r="D153" s="131" t="s">
        <v>157</v>
      </c>
      <c r="E153" s="134" t="s">
        <v>156</v>
      </c>
      <c r="F153" s="92" t="s">
        <v>23</v>
      </c>
      <c r="G153" s="92" t="s">
        <v>62</v>
      </c>
      <c r="H153" s="91">
        <v>1</v>
      </c>
      <c r="I153" s="103" t="s">
        <v>51</v>
      </c>
      <c r="J153" s="33"/>
      <c r="K153" s="29">
        <v>57</v>
      </c>
      <c r="L153" s="29">
        <v>30</v>
      </c>
      <c r="M153" s="92">
        <v>2.5</v>
      </c>
      <c r="N153" s="39">
        <v>6.15</v>
      </c>
      <c r="O153" s="30">
        <v>3.4</v>
      </c>
      <c r="P153" s="31">
        <f>K153*L153*M153*0.00000785</f>
        <v>3.3558749999999998E-2</v>
      </c>
      <c r="Q153" s="95">
        <v>1.6E-2</v>
      </c>
      <c r="R153" s="31">
        <f>P153-Q153</f>
        <v>1.7558749999999998E-2</v>
      </c>
      <c r="S153" s="39">
        <f>(N153*P153-O153*R153)*H153</f>
        <v>0.14668656250000001</v>
      </c>
      <c r="T153" s="106" t="s">
        <v>67</v>
      </c>
      <c r="U153" s="107">
        <v>80</v>
      </c>
      <c r="V153" s="107">
        <v>1</v>
      </c>
      <c r="W153" s="107">
        <v>1</v>
      </c>
      <c r="X153" s="98">
        <v>0.05</v>
      </c>
      <c r="Y153" s="106">
        <f>V153*X153/W153</f>
        <v>0.05</v>
      </c>
      <c r="Z153" s="137">
        <f>(S158+Y158)*1.2</f>
        <v>0.23602387499999999</v>
      </c>
      <c r="AA153" s="149">
        <f>Z153/1.13</f>
        <v>0.20887068584070798</v>
      </c>
      <c r="AB153" s="150">
        <v>4400</v>
      </c>
      <c r="AC153" s="151">
        <v>100000</v>
      </c>
      <c r="AD153" s="152">
        <f>AB153/AC153</f>
        <v>4.3999999999999997E-2</v>
      </c>
      <c r="AE153" s="153">
        <f>AA153+AD153</f>
        <v>0.25287068584070799</v>
      </c>
      <c r="AF153" s="124"/>
    </row>
    <row r="154" spans="1:33" s="32" customFormat="1" ht="14.1" customHeight="1">
      <c r="A154" s="141"/>
      <c r="B154" s="144"/>
      <c r="C154" s="147"/>
      <c r="D154" s="132"/>
      <c r="E154" s="135"/>
      <c r="F154" s="92"/>
      <c r="G154" s="92"/>
      <c r="H154" s="91"/>
      <c r="I154" s="103"/>
      <c r="J154" s="33"/>
      <c r="K154" s="33"/>
      <c r="L154" s="33"/>
      <c r="M154" s="33"/>
      <c r="N154" s="39"/>
      <c r="O154" s="30"/>
      <c r="P154" s="31"/>
      <c r="Q154" s="95"/>
      <c r="R154" s="31"/>
      <c r="S154" s="39"/>
      <c r="T154" s="106"/>
      <c r="U154" s="107"/>
      <c r="V154" s="107"/>
      <c r="W154" s="107"/>
      <c r="X154" s="98"/>
      <c r="Y154" s="106"/>
      <c r="Z154" s="138"/>
      <c r="AA154" s="149"/>
      <c r="AB154" s="150"/>
      <c r="AC154" s="151"/>
      <c r="AD154" s="152"/>
      <c r="AE154" s="153"/>
      <c r="AF154" s="124"/>
    </row>
    <row r="155" spans="1:33" s="32" customFormat="1" ht="14.1" customHeight="1">
      <c r="A155" s="141"/>
      <c r="B155" s="144"/>
      <c r="C155" s="147"/>
      <c r="D155" s="132"/>
      <c r="E155" s="135"/>
      <c r="F155" s="92"/>
      <c r="G155" s="92"/>
      <c r="H155" s="91"/>
      <c r="I155" s="103"/>
      <c r="J155" s="33"/>
      <c r="K155" s="33"/>
      <c r="L155" s="33"/>
      <c r="M155" s="33"/>
      <c r="N155" s="39"/>
      <c r="O155" s="30"/>
      <c r="P155" s="31"/>
      <c r="Q155" s="95"/>
      <c r="R155" s="31"/>
      <c r="S155" s="39"/>
      <c r="T155" s="106"/>
      <c r="U155" s="107"/>
      <c r="V155" s="107"/>
      <c r="W155" s="107"/>
      <c r="X155" s="98"/>
      <c r="Y155" s="106"/>
      <c r="Z155" s="138"/>
      <c r="AA155" s="149"/>
      <c r="AB155" s="150"/>
      <c r="AC155" s="151"/>
      <c r="AD155" s="152"/>
      <c r="AE155" s="153"/>
      <c r="AF155" s="124"/>
    </row>
    <row r="156" spans="1:33" s="32" customFormat="1" ht="23.4" customHeight="1">
      <c r="A156" s="141"/>
      <c r="B156" s="144"/>
      <c r="C156" s="147"/>
      <c r="D156" s="132"/>
      <c r="E156" s="135"/>
      <c r="F156" s="92"/>
      <c r="G156" s="92"/>
      <c r="H156" s="91"/>
      <c r="I156" s="103"/>
      <c r="J156" s="33"/>
      <c r="K156" s="92"/>
      <c r="L156" s="92"/>
      <c r="M156" s="92"/>
      <c r="N156" s="34"/>
      <c r="O156" s="30"/>
      <c r="P156" s="31"/>
      <c r="Q156" s="95"/>
      <c r="R156" s="31"/>
      <c r="S156" s="39"/>
      <c r="T156" s="106"/>
      <c r="U156" s="107"/>
      <c r="V156" s="107"/>
      <c r="W156" s="107"/>
      <c r="X156" s="98"/>
      <c r="Y156" s="106"/>
      <c r="Z156" s="138"/>
      <c r="AA156" s="149"/>
      <c r="AB156" s="150"/>
      <c r="AC156" s="151"/>
      <c r="AD156" s="152"/>
      <c r="AE156" s="153"/>
      <c r="AF156" s="124"/>
    </row>
    <row r="157" spans="1:33" s="32" customFormat="1" ht="14.1" customHeight="1">
      <c r="A157" s="141"/>
      <c r="B157" s="144"/>
      <c r="C157" s="147"/>
      <c r="D157" s="132"/>
      <c r="E157" s="135"/>
      <c r="F157" s="91"/>
      <c r="G157" s="91"/>
      <c r="H157" s="91"/>
      <c r="I157" s="104"/>
      <c r="J157" s="52"/>
      <c r="K157" s="35"/>
      <c r="L157" s="35"/>
      <c r="M157" s="35"/>
      <c r="N157" s="35"/>
      <c r="O157" s="35"/>
      <c r="P157" s="35"/>
      <c r="Q157" s="96"/>
      <c r="R157" s="35"/>
      <c r="S157" s="91"/>
      <c r="T157" s="106"/>
      <c r="U157" s="107"/>
      <c r="V157" s="107"/>
      <c r="W157" s="107"/>
      <c r="X157" s="98"/>
      <c r="Y157" s="106"/>
      <c r="Z157" s="139"/>
      <c r="AA157" s="149"/>
      <c r="AB157" s="150"/>
      <c r="AC157" s="151"/>
      <c r="AD157" s="152"/>
      <c r="AE157" s="153"/>
      <c r="AF157" s="124"/>
    </row>
    <row r="158" spans="1:33" s="37" customFormat="1" ht="14.1" customHeight="1">
      <c r="A158" s="142"/>
      <c r="B158" s="145"/>
      <c r="C158" s="148"/>
      <c r="D158" s="133"/>
      <c r="E158" s="136"/>
      <c r="F158" s="125" t="s">
        <v>65</v>
      </c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7"/>
      <c r="S158" s="10">
        <f>SUM(S153:S157)</f>
        <v>0.14668656250000001</v>
      </c>
      <c r="T158" s="2"/>
      <c r="U158" s="102"/>
      <c r="V158" s="102"/>
      <c r="W158" s="102"/>
      <c r="X158" s="2"/>
      <c r="Y158" s="2">
        <f>SUM(Y153:Y157)</f>
        <v>0.05</v>
      </c>
      <c r="Z158" s="2"/>
      <c r="AA158" s="36"/>
      <c r="AB158" s="36"/>
      <c r="AC158" s="36"/>
      <c r="AD158" s="36"/>
      <c r="AE158" s="36"/>
      <c r="AF158" s="36"/>
    </row>
    <row r="159" spans="1:33" s="32" customFormat="1" ht="14.1" customHeight="1">
      <c r="A159" s="140">
        <v>24</v>
      </c>
      <c r="B159" s="143">
        <v>44553</v>
      </c>
      <c r="C159" s="146" t="s">
        <v>198</v>
      </c>
      <c r="D159" s="131" t="s">
        <v>161</v>
      </c>
      <c r="E159" s="134" t="s">
        <v>162</v>
      </c>
      <c r="F159" s="92" t="s">
        <v>23</v>
      </c>
      <c r="G159" s="92" t="s">
        <v>62</v>
      </c>
      <c r="H159" s="91">
        <v>1</v>
      </c>
      <c r="I159" s="103" t="s">
        <v>51</v>
      </c>
      <c r="J159" s="33"/>
      <c r="K159" s="29">
        <f>53+4</f>
        <v>57</v>
      </c>
      <c r="L159" s="29">
        <f>14+4</f>
        <v>18</v>
      </c>
      <c r="M159" s="92">
        <v>2</v>
      </c>
      <c r="N159" s="39">
        <v>6.25</v>
      </c>
      <c r="O159" s="30">
        <v>3.4</v>
      </c>
      <c r="P159" s="31">
        <f>K159*L159*M159*0.00000785</f>
        <v>1.61082E-2</v>
      </c>
      <c r="Q159" s="95">
        <v>1.0999999999999999E-2</v>
      </c>
      <c r="R159" s="31">
        <f>P159-Q159</f>
        <v>5.1082000000000002E-3</v>
      </c>
      <c r="S159" s="39">
        <f>(N159*P159-O159*R159)*H159</f>
        <v>8.3308369999999993E-2</v>
      </c>
      <c r="T159" s="106" t="s">
        <v>67</v>
      </c>
      <c r="U159" s="107">
        <v>40</v>
      </c>
      <c r="V159" s="107">
        <v>1</v>
      </c>
      <c r="W159" s="107">
        <v>1</v>
      </c>
      <c r="X159" s="98">
        <v>0.03</v>
      </c>
      <c r="Y159" s="106">
        <f>V159*X159/W159</f>
        <v>0.03</v>
      </c>
      <c r="Z159" s="137">
        <f>(S164+Y164)*1.2</f>
        <v>0.17197004399999999</v>
      </c>
      <c r="AA159" s="149">
        <f>Z159/1.13</f>
        <v>0.15218587964601771</v>
      </c>
      <c r="AB159" s="150">
        <v>4600</v>
      </c>
      <c r="AC159" s="151">
        <v>100000</v>
      </c>
      <c r="AD159" s="152">
        <f>AB159/AC159</f>
        <v>4.5999999999999999E-2</v>
      </c>
      <c r="AE159" s="153">
        <f>AA159+AD159</f>
        <v>0.19818587964601769</v>
      </c>
      <c r="AF159" s="124"/>
    </row>
    <row r="160" spans="1:33" s="32" customFormat="1" ht="14.1" customHeight="1">
      <c r="A160" s="141"/>
      <c r="B160" s="144"/>
      <c r="C160" s="147"/>
      <c r="D160" s="132"/>
      <c r="E160" s="135"/>
      <c r="F160" s="92"/>
      <c r="G160" s="92"/>
      <c r="H160" s="91"/>
      <c r="I160" s="103"/>
      <c r="J160" s="33"/>
      <c r="K160" s="33"/>
      <c r="L160" s="33"/>
      <c r="M160" s="33"/>
      <c r="N160" s="39"/>
      <c r="O160" s="30"/>
      <c r="P160" s="31"/>
      <c r="Q160" s="95"/>
      <c r="R160" s="31"/>
      <c r="S160" s="39"/>
      <c r="T160" s="106" t="s">
        <v>44</v>
      </c>
      <c r="U160" s="107">
        <v>25</v>
      </c>
      <c r="V160" s="107">
        <v>1</v>
      </c>
      <c r="W160" s="107">
        <v>1</v>
      </c>
      <c r="X160" s="98">
        <v>0.03</v>
      </c>
      <c r="Y160" s="106">
        <f>V160*X160/W160</f>
        <v>0.03</v>
      </c>
      <c r="Z160" s="138"/>
      <c r="AA160" s="149"/>
      <c r="AB160" s="150"/>
      <c r="AC160" s="151"/>
      <c r="AD160" s="152"/>
      <c r="AE160" s="153"/>
      <c r="AF160" s="124"/>
    </row>
    <row r="161" spans="1:33" s="32" customFormat="1" ht="14.1" customHeight="1">
      <c r="A161" s="141"/>
      <c r="B161" s="144"/>
      <c r="C161" s="147"/>
      <c r="D161" s="132"/>
      <c r="E161" s="135"/>
      <c r="F161" s="92"/>
      <c r="G161" s="92"/>
      <c r="H161" s="91"/>
      <c r="I161" s="103"/>
      <c r="J161" s="33"/>
      <c r="K161" s="33"/>
      <c r="L161" s="33"/>
      <c r="M161" s="33"/>
      <c r="N161" s="39"/>
      <c r="O161" s="30"/>
      <c r="P161" s="31"/>
      <c r="Q161" s="95"/>
      <c r="R161" s="31"/>
      <c r="S161" s="39"/>
      <c r="T161" s="106"/>
      <c r="U161" s="107"/>
      <c r="V161" s="107"/>
      <c r="W161" s="107"/>
      <c r="X161" s="98"/>
      <c r="Y161" s="106"/>
      <c r="Z161" s="138"/>
      <c r="AA161" s="149"/>
      <c r="AB161" s="150"/>
      <c r="AC161" s="151"/>
      <c r="AD161" s="152"/>
      <c r="AE161" s="153"/>
      <c r="AF161" s="124"/>
    </row>
    <row r="162" spans="1:33" s="32" customFormat="1" ht="23.4" customHeight="1">
      <c r="A162" s="141"/>
      <c r="B162" s="144"/>
      <c r="C162" s="147"/>
      <c r="D162" s="132"/>
      <c r="E162" s="135"/>
      <c r="F162" s="92"/>
      <c r="G162" s="92"/>
      <c r="H162" s="91"/>
      <c r="I162" s="103"/>
      <c r="J162" s="33"/>
      <c r="K162" s="92"/>
      <c r="L162" s="92"/>
      <c r="M162" s="92"/>
      <c r="N162" s="34"/>
      <c r="O162" s="30"/>
      <c r="P162" s="31"/>
      <c r="Q162" s="95"/>
      <c r="R162" s="31"/>
      <c r="S162" s="39"/>
      <c r="T162" s="106"/>
      <c r="U162" s="107"/>
      <c r="V162" s="107"/>
      <c r="W162" s="107"/>
      <c r="X162" s="98"/>
      <c r="Y162" s="106"/>
      <c r="Z162" s="138"/>
      <c r="AA162" s="149"/>
      <c r="AB162" s="150"/>
      <c r="AC162" s="151"/>
      <c r="AD162" s="152"/>
      <c r="AE162" s="153"/>
      <c r="AF162" s="124"/>
    </row>
    <row r="163" spans="1:33" s="32" customFormat="1" ht="14.1" customHeight="1">
      <c r="A163" s="141"/>
      <c r="B163" s="144"/>
      <c r="C163" s="147"/>
      <c r="D163" s="132"/>
      <c r="E163" s="135"/>
      <c r="F163" s="91"/>
      <c r="G163" s="91"/>
      <c r="H163" s="91"/>
      <c r="I163" s="104"/>
      <c r="J163" s="52"/>
      <c r="K163" s="35"/>
      <c r="L163" s="35"/>
      <c r="M163" s="35"/>
      <c r="N163" s="35"/>
      <c r="O163" s="35"/>
      <c r="P163" s="35"/>
      <c r="Q163" s="96"/>
      <c r="R163" s="35"/>
      <c r="S163" s="91"/>
      <c r="T163" s="106"/>
      <c r="U163" s="107"/>
      <c r="V163" s="107"/>
      <c r="W163" s="107"/>
      <c r="X163" s="98"/>
      <c r="Y163" s="106"/>
      <c r="Z163" s="139"/>
      <c r="AA163" s="149"/>
      <c r="AB163" s="150"/>
      <c r="AC163" s="151"/>
      <c r="AD163" s="152"/>
      <c r="AE163" s="153"/>
      <c r="AF163" s="124"/>
    </row>
    <row r="164" spans="1:33" s="37" customFormat="1" ht="14.1" customHeight="1">
      <c r="A164" s="142"/>
      <c r="B164" s="145"/>
      <c r="C164" s="148"/>
      <c r="D164" s="133"/>
      <c r="E164" s="136"/>
      <c r="F164" s="125" t="s">
        <v>65</v>
      </c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7"/>
      <c r="S164" s="10">
        <f>SUM(S159:S163)</f>
        <v>8.3308369999999993E-2</v>
      </c>
      <c r="T164" s="2"/>
      <c r="U164" s="102"/>
      <c r="V164" s="102"/>
      <c r="W164" s="102"/>
      <c r="X164" s="2"/>
      <c r="Y164" s="2">
        <f>SUM(Y159:Y163)</f>
        <v>0.06</v>
      </c>
      <c r="Z164" s="2"/>
      <c r="AA164" s="36"/>
      <c r="AB164" s="36"/>
      <c r="AC164" s="36"/>
      <c r="AD164" s="36"/>
      <c r="AE164" s="36"/>
      <c r="AF164" s="36"/>
    </row>
    <row r="165" spans="1:33" s="32" customFormat="1" ht="14.1" customHeight="1">
      <c r="A165" s="140">
        <v>25</v>
      </c>
      <c r="B165" s="143">
        <v>44553</v>
      </c>
      <c r="C165" s="146" t="s">
        <v>165</v>
      </c>
      <c r="D165" s="131" t="s">
        <v>199</v>
      </c>
      <c r="E165" s="134" t="s">
        <v>166</v>
      </c>
      <c r="F165" s="92" t="s">
        <v>23</v>
      </c>
      <c r="G165" s="92" t="s">
        <v>62</v>
      </c>
      <c r="H165" s="91">
        <v>1</v>
      </c>
      <c r="I165" s="103" t="s">
        <v>51</v>
      </c>
      <c r="J165" s="33"/>
      <c r="K165" s="29">
        <v>74</v>
      </c>
      <c r="L165" s="29">
        <v>65</v>
      </c>
      <c r="M165" s="92">
        <v>2</v>
      </c>
      <c r="N165" s="39">
        <v>6.25</v>
      </c>
      <c r="O165" s="30">
        <v>3.4</v>
      </c>
      <c r="P165" s="31">
        <f>K165*L165*M165*0.00000785</f>
        <v>7.5517000000000001E-2</v>
      </c>
      <c r="Q165" s="95">
        <v>1.0999999999999999E-2</v>
      </c>
      <c r="R165" s="31">
        <f>P165-Q165</f>
        <v>6.4517000000000005E-2</v>
      </c>
      <c r="S165" s="39">
        <f>(N165*P165-O165*R165)*H165</f>
        <v>0.25262344999999997</v>
      </c>
      <c r="T165" s="106" t="s">
        <v>67</v>
      </c>
      <c r="U165" s="107">
        <v>40</v>
      </c>
      <c r="V165" s="107">
        <v>1</v>
      </c>
      <c r="W165" s="107">
        <v>1</v>
      </c>
      <c r="X165" s="98">
        <v>0.03</v>
      </c>
      <c r="Y165" s="106">
        <f>V165*X165/W165</f>
        <v>0.03</v>
      </c>
      <c r="Z165" s="137">
        <f>(S170+Y170)*1.2</f>
        <v>0.41114813999999994</v>
      </c>
      <c r="AA165" s="149">
        <f>Z165/1.13</f>
        <v>0.36384791150442475</v>
      </c>
      <c r="AB165" s="150">
        <f>5500</f>
        <v>5500</v>
      </c>
      <c r="AC165" s="151">
        <v>100000</v>
      </c>
      <c r="AD165" s="152">
        <f>AB165/AC165</f>
        <v>5.5E-2</v>
      </c>
      <c r="AE165" s="153">
        <f>AA165+AD165</f>
        <v>0.41884791150442474</v>
      </c>
      <c r="AF165" s="124"/>
    </row>
    <row r="166" spans="1:33" s="32" customFormat="1" ht="14.1" customHeight="1">
      <c r="A166" s="141"/>
      <c r="B166" s="144"/>
      <c r="C166" s="147"/>
      <c r="D166" s="132"/>
      <c r="E166" s="135"/>
      <c r="F166" s="92"/>
      <c r="G166" s="92"/>
      <c r="H166" s="91"/>
      <c r="I166" s="103"/>
      <c r="J166" s="33"/>
      <c r="K166" s="33"/>
      <c r="L166" s="33"/>
      <c r="M166" s="33"/>
      <c r="N166" s="39"/>
      <c r="O166" s="30"/>
      <c r="P166" s="31"/>
      <c r="Q166" s="95"/>
      <c r="R166" s="31"/>
      <c r="S166" s="39"/>
      <c r="T166" s="106" t="s">
        <v>167</v>
      </c>
      <c r="U166" s="107">
        <v>40</v>
      </c>
      <c r="V166" s="107">
        <v>1</v>
      </c>
      <c r="W166" s="107">
        <v>1</v>
      </c>
      <c r="X166" s="98">
        <v>0.03</v>
      </c>
      <c r="Y166" s="106">
        <f>V166*X166/W166</f>
        <v>0.03</v>
      </c>
      <c r="Z166" s="138"/>
      <c r="AA166" s="149"/>
      <c r="AB166" s="150"/>
      <c r="AC166" s="151"/>
      <c r="AD166" s="152"/>
      <c r="AE166" s="153"/>
      <c r="AF166" s="124"/>
    </row>
    <row r="167" spans="1:33" s="32" customFormat="1" ht="14.1" customHeight="1">
      <c r="A167" s="141"/>
      <c r="B167" s="144"/>
      <c r="C167" s="147"/>
      <c r="D167" s="132"/>
      <c r="E167" s="135"/>
      <c r="F167" s="92"/>
      <c r="G167" s="92"/>
      <c r="H167" s="91"/>
      <c r="I167" s="103"/>
      <c r="J167" s="33"/>
      <c r="K167" s="33"/>
      <c r="L167" s="33"/>
      <c r="M167" s="33"/>
      <c r="N167" s="39"/>
      <c r="O167" s="30"/>
      <c r="P167" s="31"/>
      <c r="Q167" s="95"/>
      <c r="R167" s="31"/>
      <c r="S167" s="39"/>
      <c r="T167" s="106" t="s">
        <v>168</v>
      </c>
      <c r="U167" s="107">
        <v>25</v>
      </c>
      <c r="V167" s="107">
        <v>1</v>
      </c>
      <c r="W167" s="107">
        <v>1</v>
      </c>
      <c r="X167" s="98">
        <v>0.03</v>
      </c>
      <c r="Y167" s="106">
        <f>V167*X167/W167</f>
        <v>0.03</v>
      </c>
      <c r="Z167" s="138"/>
      <c r="AA167" s="149"/>
      <c r="AB167" s="150"/>
      <c r="AC167" s="151"/>
      <c r="AD167" s="152"/>
      <c r="AE167" s="153"/>
      <c r="AF167" s="124"/>
      <c r="AG167" s="32" t="s">
        <v>206</v>
      </c>
    </row>
    <row r="168" spans="1:33" s="32" customFormat="1" ht="23.4" customHeight="1">
      <c r="A168" s="141"/>
      <c r="B168" s="144"/>
      <c r="C168" s="147"/>
      <c r="D168" s="132"/>
      <c r="E168" s="135"/>
      <c r="F168" s="92"/>
      <c r="G168" s="92"/>
      <c r="H168" s="91"/>
      <c r="I168" s="103"/>
      <c r="J168" s="33"/>
      <c r="K168" s="92"/>
      <c r="L168" s="92"/>
      <c r="M168" s="92"/>
      <c r="N168" s="34"/>
      <c r="O168" s="30"/>
      <c r="P168" s="31"/>
      <c r="Q168" s="95"/>
      <c r="R168" s="31"/>
      <c r="S168" s="39"/>
      <c r="T168" s="106"/>
      <c r="U168" s="107"/>
      <c r="V168" s="107"/>
      <c r="W168" s="107"/>
      <c r="X168" s="98"/>
      <c r="Y168" s="106"/>
      <c r="Z168" s="138"/>
      <c r="AA168" s="149"/>
      <c r="AB168" s="150"/>
      <c r="AC168" s="151"/>
      <c r="AD168" s="152"/>
      <c r="AE168" s="153"/>
      <c r="AF168" s="124"/>
    </row>
    <row r="169" spans="1:33" s="32" customFormat="1" ht="14.1" customHeight="1">
      <c r="A169" s="141"/>
      <c r="B169" s="144"/>
      <c r="C169" s="147"/>
      <c r="D169" s="132"/>
      <c r="E169" s="135"/>
      <c r="F169" s="91"/>
      <c r="G169" s="91"/>
      <c r="H169" s="91"/>
      <c r="I169" s="104"/>
      <c r="J169" s="52"/>
      <c r="K169" s="35"/>
      <c r="L169" s="35"/>
      <c r="M169" s="35"/>
      <c r="N169" s="35"/>
      <c r="O169" s="35"/>
      <c r="P169" s="35"/>
      <c r="Q169" s="96"/>
      <c r="R169" s="35"/>
      <c r="S169" s="91"/>
      <c r="T169" s="106"/>
      <c r="U169" s="107"/>
      <c r="V169" s="107"/>
      <c r="W169" s="107"/>
      <c r="X169" s="98"/>
      <c r="Y169" s="106"/>
      <c r="Z169" s="139"/>
      <c r="AA169" s="149"/>
      <c r="AB169" s="150"/>
      <c r="AC169" s="151"/>
      <c r="AD169" s="152"/>
      <c r="AE169" s="153"/>
      <c r="AF169" s="124"/>
    </row>
    <row r="170" spans="1:33" s="37" customFormat="1" ht="14.1" customHeight="1">
      <c r="A170" s="142"/>
      <c r="B170" s="145"/>
      <c r="C170" s="148"/>
      <c r="D170" s="133"/>
      <c r="E170" s="136"/>
      <c r="F170" s="125" t="s">
        <v>65</v>
      </c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7"/>
      <c r="S170" s="10">
        <f>SUM(S165:S169)</f>
        <v>0.25262344999999997</v>
      </c>
      <c r="T170" s="2"/>
      <c r="U170" s="102"/>
      <c r="V170" s="102"/>
      <c r="W170" s="102"/>
      <c r="X170" s="2"/>
      <c r="Y170" s="2">
        <f>SUM(Y165:Y169)</f>
        <v>0.09</v>
      </c>
      <c r="Z170" s="2"/>
      <c r="AA170" s="36"/>
      <c r="AB170" s="36"/>
      <c r="AC170" s="36"/>
      <c r="AD170" s="36"/>
      <c r="AE170" s="36"/>
      <c r="AF170" s="36"/>
    </row>
    <row r="171" spans="1:33" s="32" customFormat="1" ht="14.1" customHeight="1">
      <c r="A171" s="140">
        <v>25</v>
      </c>
      <c r="B171" s="143">
        <v>44553</v>
      </c>
      <c r="C171" s="146" t="s">
        <v>210</v>
      </c>
      <c r="D171" s="131" t="s">
        <v>209</v>
      </c>
      <c r="E171" s="134" t="s">
        <v>208</v>
      </c>
      <c r="F171" s="92" t="s">
        <v>23</v>
      </c>
      <c r="G171" s="92" t="s">
        <v>62</v>
      </c>
      <c r="H171" s="91">
        <v>1</v>
      </c>
      <c r="I171" s="103" t="s">
        <v>51</v>
      </c>
      <c r="J171" s="33"/>
      <c r="K171" s="29">
        <v>74</v>
      </c>
      <c r="L171" s="29">
        <v>65</v>
      </c>
      <c r="M171" s="92">
        <v>2</v>
      </c>
      <c r="N171" s="39">
        <v>6.25</v>
      </c>
      <c r="O171" s="30">
        <v>3.4</v>
      </c>
      <c r="P171" s="31">
        <f>K171*L171*M171*0.00000785</f>
        <v>7.5517000000000001E-2</v>
      </c>
      <c r="Q171" s="95">
        <v>1.0999999999999999E-2</v>
      </c>
      <c r="R171" s="31">
        <f>P171-Q171</f>
        <v>6.4517000000000005E-2</v>
      </c>
      <c r="S171" s="39">
        <f>(N171*P171-O171*R171)*H171</f>
        <v>0.25262344999999997</v>
      </c>
      <c r="T171" s="116" t="s">
        <v>67</v>
      </c>
      <c r="U171" s="117">
        <v>40</v>
      </c>
      <c r="V171" s="117">
        <v>1</v>
      </c>
      <c r="W171" s="117">
        <v>1</v>
      </c>
      <c r="X171" s="98">
        <v>0.03</v>
      </c>
      <c r="Y171" s="116">
        <f>V171*X171/W171</f>
        <v>0.03</v>
      </c>
      <c r="Z171" s="137">
        <f>(S176+Y176)*1.2</f>
        <v>0.41114813999999994</v>
      </c>
      <c r="AA171" s="149">
        <f>Z171/1.13</f>
        <v>0.36384791150442475</v>
      </c>
      <c r="AB171" s="150">
        <v>2000</v>
      </c>
      <c r="AC171" s="151">
        <v>100000</v>
      </c>
      <c r="AD171" s="152">
        <f>AB171/AC171</f>
        <v>0.02</v>
      </c>
      <c r="AE171" s="153">
        <f>AA171+AD171</f>
        <v>0.38384791150442477</v>
      </c>
      <c r="AF171" s="124"/>
    </row>
    <row r="172" spans="1:33" s="32" customFormat="1" ht="14.1" customHeight="1">
      <c r="A172" s="141"/>
      <c r="B172" s="144"/>
      <c r="C172" s="147"/>
      <c r="D172" s="132"/>
      <c r="E172" s="135"/>
      <c r="F172" s="92"/>
      <c r="G172" s="92"/>
      <c r="H172" s="91"/>
      <c r="I172" s="103"/>
      <c r="J172" s="33"/>
      <c r="K172" s="33"/>
      <c r="L172" s="33"/>
      <c r="M172" s="33"/>
      <c r="N172" s="39"/>
      <c r="O172" s="30"/>
      <c r="P172" s="31"/>
      <c r="Q172" s="95"/>
      <c r="R172" s="31"/>
      <c r="S172" s="39"/>
      <c r="T172" s="116" t="s">
        <v>167</v>
      </c>
      <c r="U172" s="117">
        <v>40</v>
      </c>
      <c r="V172" s="117">
        <v>1</v>
      </c>
      <c r="W172" s="117">
        <v>1</v>
      </c>
      <c r="X172" s="98">
        <v>0.03</v>
      </c>
      <c r="Y172" s="116">
        <f>V172*X172/W172</f>
        <v>0.03</v>
      </c>
      <c r="Z172" s="138"/>
      <c r="AA172" s="149"/>
      <c r="AB172" s="150"/>
      <c r="AC172" s="151"/>
      <c r="AD172" s="152"/>
      <c r="AE172" s="153"/>
      <c r="AF172" s="124"/>
      <c r="AG172" s="32" t="s">
        <v>207</v>
      </c>
    </row>
    <row r="173" spans="1:33" s="32" customFormat="1" ht="14.1" customHeight="1">
      <c r="A173" s="141"/>
      <c r="B173" s="144"/>
      <c r="C173" s="147"/>
      <c r="D173" s="132"/>
      <c r="E173" s="135"/>
      <c r="F173" s="92"/>
      <c r="G173" s="92"/>
      <c r="H173" s="91"/>
      <c r="I173" s="103"/>
      <c r="J173" s="33"/>
      <c r="K173" s="33"/>
      <c r="L173" s="33"/>
      <c r="M173" s="33"/>
      <c r="N173" s="39"/>
      <c r="O173" s="30"/>
      <c r="P173" s="31"/>
      <c r="Q173" s="95"/>
      <c r="R173" s="31"/>
      <c r="S173" s="39"/>
      <c r="T173" s="116" t="s">
        <v>168</v>
      </c>
      <c r="U173" s="117">
        <v>25</v>
      </c>
      <c r="V173" s="117">
        <v>1</v>
      </c>
      <c r="W173" s="117">
        <v>1</v>
      </c>
      <c r="X173" s="98">
        <v>0.03</v>
      </c>
      <c r="Y173" s="116">
        <f>V173*X173/W173</f>
        <v>0.03</v>
      </c>
      <c r="Z173" s="138"/>
      <c r="AA173" s="149"/>
      <c r="AB173" s="150"/>
      <c r="AC173" s="151"/>
      <c r="AD173" s="152"/>
      <c r="AE173" s="153"/>
      <c r="AF173" s="124"/>
    </row>
    <row r="174" spans="1:33" s="32" customFormat="1" ht="23.4" customHeight="1">
      <c r="A174" s="141"/>
      <c r="B174" s="144"/>
      <c r="C174" s="147"/>
      <c r="D174" s="132"/>
      <c r="E174" s="135"/>
      <c r="F174" s="92"/>
      <c r="G174" s="92"/>
      <c r="H174" s="91"/>
      <c r="I174" s="103"/>
      <c r="J174" s="33"/>
      <c r="K174" s="92"/>
      <c r="L174" s="92"/>
      <c r="M174" s="92"/>
      <c r="N174" s="34"/>
      <c r="O174" s="30"/>
      <c r="P174" s="31"/>
      <c r="Q174" s="95"/>
      <c r="R174" s="31"/>
      <c r="S174" s="39"/>
      <c r="T174" s="116"/>
      <c r="U174" s="117"/>
      <c r="V174" s="117"/>
      <c r="W174" s="117"/>
      <c r="X174" s="98"/>
      <c r="Y174" s="116"/>
      <c r="Z174" s="138"/>
      <c r="AA174" s="149"/>
      <c r="AB174" s="150"/>
      <c r="AC174" s="151"/>
      <c r="AD174" s="152"/>
      <c r="AE174" s="153"/>
      <c r="AF174" s="124"/>
    </row>
    <row r="175" spans="1:33" s="32" customFormat="1" ht="14.1" customHeight="1">
      <c r="A175" s="141"/>
      <c r="B175" s="144"/>
      <c r="C175" s="147"/>
      <c r="D175" s="132"/>
      <c r="E175" s="135"/>
      <c r="F175" s="91"/>
      <c r="G175" s="91"/>
      <c r="H175" s="91"/>
      <c r="I175" s="104"/>
      <c r="J175" s="52"/>
      <c r="K175" s="35"/>
      <c r="L175" s="35"/>
      <c r="M175" s="35"/>
      <c r="N175" s="35"/>
      <c r="O175" s="35"/>
      <c r="P175" s="35"/>
      <c r="Q175" s="96"/>
      <c r="R175" s="35"/>
      <c r="S175" s="91"/>
      <c r="T175" s="116"/>
      <c r="U175" s="117"/>
      <c r="V175" s="117"/>
      <c r="W175" s="117"/>
      <c r="X175" s="98"/>
      <c r="Y175" s="116"/>
      <c r="Z175" s="139"/>
      <c r="AA175" s="149"/>
      <c r="AB175" s="150"/>
      <c r="AC175" s="151"/>
      <c r="AD175" s="152"/>
      <c r="AE175" s="153"/>
      <c r="AF175" s="124"/>
    </row>
    <row r="176" spans="1:33" s="37" customFormat="1" ht="14.1" customHeight="1">
      <c r="A176" s="142"/>
      <c r="B176" s="145"/>
      <c r="C176" s="148"/>
      <c r="D176" s="133"/>
      <c r="E176" s="136"/>
      <c r="F176" s="125" t="s">
        <v>65</v>
      </c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7"/>
      <c r="S176" s="10">
        <f>SUM(S171:S175)</f>
        <v>0.25262344999999997</v>
      </c>
      <c r="T176" s="2"/>
      <c r="U176" s="102"/>
      <c r="V176" s="102"/>
      <c r="W176" s="102"/>
      <c r="X176" s="2"/>
      <c r="Y176" s="2">
        <f>SUM(Y171:Y175)</f>
        <v>0.09</v>
      </c>
      <c r="Z176" s="2"/>
      <c r="AA176" s="36"/>
      <c r="AB176" s="36"/>
      <c r="AC176" s="36"/>
      <c r="AD176" s="36"/>
      <c r="AE176" s="36"/>
      <c r="AF176" s="36"/>
    </row>
    <row r="177" spans="1:32" s="32" customFormat="1" ht="14.1" customHeight="1">
      <c r="A177" s="140">
        <v>26</v>
      </c>
      <c r="B177" s="143">
        <v>44553</v>
      </c>
      <c r="C177" s="146" t="s">
        <v>200</v>
      </c>
      <c r="D177" s="131" t="s">
        <v>201</v>
      </c>
      <c r="E177" s="134" t="s">
        <v>169</v>
      </c>
      <c r="F177" s="92" t="s">
        <v>23</v>
      </c>
      <c r="G177" s="92" t="s">
        <v>62</v>
      </c>
      <c r="H177" s="91">
        <v>1</v>
      </c>
      <c r="I177" s="103" t="s">
        <v>51</v>
      </c>
      <c r="J177" s="33"/>
      <c r="K177" s="29">
        <v>59</v>
      </c>
      <c r="L177" s="29">
        <f>45+4</f>
        <v>49</v>
      </c>
      <c r="M177" s="92">
        <v>2</v>
      </c>
      <c r="N177" s="39">
        <v>6.25</v>
      </c>
      <c r="O177" s="30">
        <v>3.4</v>
      </c>
      <c r="P177" s="31">
        <f>K177*L177*M177*0.00000785</f>
        <v>4.5388699999999997E-2</v>
      </c>
      <c r="Q177" s="95">
        <v>1.4999999999999999E-2</v>
      </c>
      <c r="R177" s="31">
        <f>P177-Q177</f>
        <v>3.0388699999999998E-2</v>
      </c>
      <c r="S177" s="39">
        <f>(N177*P177-O177*R177)*H177</f>
        <v>0.18035779499999996</v>
      </c>
      <c r="T177" s="106" t="s">
        <v>67</v>
      </c>
      <c r="U177" s="107">
        <v>40</v>
      </c>
      <c r="V177" s="107">
        <v>1</v>
      </c>
      <c r="W177" s="107">
        <v>1</v>
      </c>
      <c r="X177" s="98">
        <v>0.03</v>
      </c>
      <c r="Y177" s="106">
        <f>V177*X177/W177</f>
        <v>0.03</v>
      </c>
      <c r="Z177" s="137">
        <f>(S182+Y182)*1.2</f>
        <v>0.32442935399999995</v>
      </c>
      <c r="AA177" s="149">
        <f>Z177/1.13</f>
        <v>0.28710562300884956</v>
      </c>
      <c r="AB177" s="150">
        <v>5000</v>
      </c>
      <c r="AC177" s="151">
        <v>100000</v>
      </c>
      <c r="AD177" s="152">
        <f>AB177/AC177</f>
        <v>0.05</v>
      </c>
      <c r="AE177" s="153">
        <f>AA177+AD177</f>
        <v>0.33710562300884955</v>
      </c>
      <c r="AF177" s="124"/>
    </row>
    <row r="178" spans="1:32" s="32" customFormat="1" ht="14.1" customHeight="1">
      <c r="A178" s="141"/>
      <c r="B178" s="144"/>
      <c r="C178" s="147"/>
      <c r="D178" s="132"/>
      <c r="E178" s="135"/>
      <c r="F178" s="92"/>
      <c r="G178" s="92"/>
      <c r="H178" s="91"/>
      <c r="I178" s="103"/>
      <c r="J178" s="33"/>
      <c r="K178" s="33"/>
      <c r="L178" s="33"/>
      <c r="M178" s="33"/>
      <c r="N178" s="39"/>
      <c r="O178" s="30"/>
      <c r="P178" s="31"/>
      <c r="Q178" s="95"/>
      <c r="R178" s="31"/>
      <c r="S178" s="39"/>
      <c r="T178" s="106" t="s">
        <v>167</v>
      </c>
      <c r="U178" s="107">
        <v>40</v>
      </c>
      <c r="V178" s="107">
        <v>1</v>
      </c>
      <c r="W178" s="107">
        <v>1</v>
      </c>
      <c r="X178" s="98">
        <v>0.03</v>
      </c>
      <c r="Y178" s="106">
        <f>V178*X178/W178</f>
        <v>0.03</v>
      </c>
      <c r="Z178" s="138"/>
      <c r="AA178" s="149"/>
      <c r="AB178" s="150"/>
      <c r="AC178" s="151"/>
      <c r="AD178" s="152"/>
      <c r="AE178" s="153"/>
      <c r="AF178" s="124"/>
    </row>
    <row r="179" spans="1:32" s="32" customFormat="1" ht="14.1" customHeight="1">
      <c r="A179" s="141"/>
      <c r="B179" s="144"/>
      <c r="C179" s="147"/>
      <c r="D179" s="132"/>
      <c r="E179" s="135"/>
      <c r="F179" s="92"/>
      <c r="G179" s="92"/>
      <c r="H179" s="91"/>
      <c r="I179" s="103"/>
      <c r="J179" s="33"/>
      <c r="K179" s="33"/>
      <c r="L179" s="33"/>
      <c r="M179" s="33"/>
      <c r="N179" s="39"/>
      <c r="O179" s="30"/>
      <c r="P179" s="31"/>
      <c r="Q179" s="95"/>
      <c r="R179" s="31"/>
      <c r="S179" s="39"/>
      <c r="T179" s="106" t="s">
        <v>168</v>
      </c>
      <c r="U179" s="107">
        <v>25</v>
      </c>
      <c r="V179" s="107">
        <v>1</v>
      </c>
      <c r="W179" s="107">
        <v>1</v>
      </c>
      <c r="X179" s="98">
        <v>0.03</v>
      </c>
      <c r="Y179" s="106">
        <f>V179*X179/W179</f>
        <v>0.03</v>
      </c>
      <c r="Z179" s="138"/>
      <c r="AA179" s="149"/>
      <c r="AB179" s="150"/>
      <c r="AC179" s="151"/>
      <c r="AD179" s="152"/>
      <c r="AE179" s="153"/>
      <c r="AF179" s="124"/>
    </row>
    <row r="180" spans="1:32" s="32" customFormat="1" ht="23.4" customHeight="1">
      <c r="A180" s="141"/>
      <c r="B180" s="144"/>
      <c r="C180" s="147"/>
      <c r="D180" s="132"/>
      <c r="E180" s="135"/>
      <c r="F180" s="92"/>
      <c r="G180" s="92"/>
      <c r="H180" s="91"/>
      <c r="I180" s="103"/>
      <c r="J180" s="33"/>
      <c r="K180" s="92"/>
      <c r="L180" s="92"/>
      <c r="M180" s="92"/>
      <c r="N180" s="34"/>
      <c r="O180" s="30"/>
      <c r="P180" s="31"/>
      <c r="Q180" s="95"/>
      <c r="R180" s="31"/>
      <c r="S180" s="39"/>
      <c r="T180" s="106"/>
      <c r="U180" s="107"/>
      <c r="V180" s="107"/>
      <c r="W180" s="107"/>
      <c r="X180" s="98"/>
      <c r="Y180" s="106"/>
      <c r="Z180" s="138"/>
      <c r="AA180" s="149"/>
      <c r="AB180" s="150"/>
      <c r="AC180" s="151"/>
      <c r="AD180" s="152"/>
      <c r="AE180" s="153"/>
      <c r="AF180" s="124"/>
    </row>
    <row r="181" spans="1:32" s="32" customFormat="1" ht="14.1" customHeight="1">
      <c r="A181" s="141"/>
      <c r="B181" s="144"/>
      <c r="C181" s="147"/>
      <c r="D181" s="132"/>
      <c r="E181" s="135"/>
      <c r="F181" s="91"/>
      <c r="G181" s="91"/>
      <c r="H181" s="91"/>
      <c r="I181" s="104"/>
      <c r="J181" s="52"/>
      <c r="K181" s="35"/>
      <c r="L181" s="35"/>
      <c r="M181" s="35"/>
      <c r="N181" s="35"/>
      <c r="O181" s="35"/>
      <c r="P181" s="35"/>
      <c r="Q181" s="96"/>
      <c r="R181" s="35"/>
      <c r="S181" s="91"/>
      <c r="T181" s="106"/>
      <c r="U181" s="107"/>
      <c r="V181" s="107"/>
      <c r="W181" s="107"/>
      <c r="X181" s="98"/>
      <c r="Y181" s="106"/>
      <c r="Z181" s="139"/>
      <c r="AA181" s="149"/>
      <c r="AB181" s="150"/>
      <c r="AC181" s="151"/>
      <c r="AD181" s="152"/>
      <c r="AE181" s="153"/>
      <c r="AF181" s="124"/>
    </row>
    <row r="182" spans="1:32" s="37" customFormat="1" ht="14.1" customHeight="1">
      <c r="A182" s="142"/>
      <c r="B182" s="145"/>
      <c r="C182" s="148"/>
      <c r="D182" s="133"/>
      <c r="E182" s="136"/>
      <c r="F182" s="125" t="s">
        <v>65</v>
      </c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7"/>
      <c r="S182" s="10">
        <f>SUM(S177:S181)</f>
        <v>0.18035779499999996</v>
      </c>
      <c r="T182" s="2"/>
      <c r="U182" s="102"/>
      <c r="V182" s="102"/>
      <c r="W182" s="102"/>
      <c r="X182" s="2"/>
      <c r="Y182" s="2">
        <f>SUM(Y177:Y181)</f>
        <v>0.09</v>
      </c>
      <c r="Z182" s="2"/>
      <c r="AA182" s="36"/>
      <c r="AB182" s="36"/>
      <c r="AC182" s="36"/>
      <c r="AD182" s="36"/>
      <c r="AE182" s="36"/>
      <c r="AF182" s="36"/>
    </row>
    <row r="183" spans="1:32" s="32" customFormat="1" ht="14.1" customHeight="1">
      <c r="A183" s="140">
        <v>27</v>
      </c>
      <c r="B183" s="143">
        <v>44553</v>
      </c>
      <c r="C183" s="146" t="s">
        <v>170</v>
      </c>
      <c r="D183" s="131" t="s">
        <v>173</v>
      </c>
      <c r="E183" s="134" t="s">
        <v>137</v>
      </c>
      <c r="F183" s="92" t="s">
        <v>171</v>
      </c>
      <c r="G183" s="92" t="s">
        <v>62</v>
      </c>
      <c r="H183" s="91">
        <v>1</v>
      </c>
      <c r="I183" s="103" t="s">
        <v>146</v>
      </c>
      <c r="J183" s="33"/>
      <c r="K183" s="29">
        <f>130+5</f>
        <v>135</v>
      </c>
      <c r="L183" s="29">
        <v>39</v>
      </c>
      <c r="M183" s="92">
        <v>2.5</v>
      </c>
      <c r="N183" s="39">
        <v>6.45</v>
      </c>
      <c r="O183" s="30">
        <v>3.4</v>
      </c>
      <c r="P183" s="31">
        <f>K183*L183*M183*0.00000785</f>
        <v>0.10332562499999999</v>
      </c>
      <c r="Q183" s="95">
        <f>0.054-0.005*2</f>
        <v>4.3999999999999997E-2</v>
      </c>
      <c r="R183" s="31">
        <f>P183-Q183</f>
        <v>5.9325624999999993E-2</v>
      </c>
      <c r="S183" s="39">
        <f>(N183*P183-O183*R183)*H183</f>
        <v>0.46474315624999996</v>
      </c>
      <c r="T183" s="106" t="s">
        <v>67</v>
      </c>
      <c r="U183" s="107">
        <v>80</v>
      </c>
      <c r="V183" s="107">
        <v>1</v>
      </c>
      <c r="W183" s="107">
        <v>1</v>
      </c>
      <c r="X183" s="98">
        <v>0.05</v>
      </c>
      <c r="Y183" s="106">
        <f>V183*X183/W183</f>
        <v>0.05</v>
      </c>
      <c r="Z183" s="137">
        <f>(S188+Y188)*1.2</f>
        <v>1.3135693874999996</v>
      </c>
      <c r="AA183" s="149">
        <f>Z183/1.13</f>
        <v>1.1624507853982298</v>
      </c>
      <c r="AB183" s="150">
        <v>16200</v>
      </c>
      <c r="AC183" s="151">
        <v>50000</v>
      </c>
      <c r="AD183" s="152">
        <f>AB183/AC183</f>
        <v>0.32400000000000001</v>
      </c>
      <c r="AE183" s="153">
        <f>AA183+AD183</f>
        <v>1.4864507853982298</v>
      </c>
      <c r="AF183" s="124"/>
    </row>
    <row r="184" spans="1:32" s="32" customFormat="1" ht="14.1" customHeight="1">
      <c r="A184" s="141"/>
      <c r="B184" s="144"/>
      <c r="C184" s="147"/>
      <c r="D184" s="132"/>
      <c r="E184" s="135"/>
      <c r="F184" s="92" t="s">
        <v>172</v>
      </c>
      <c r="G184" s="92"/>
      <c r="H184" s="91">
        <v>2</v>
      </c>
      <c r="I184" s="103"/>
      <c r="J184" s="33"/>
      <c r="K184" s="33"/>
      <c r="L184" s="33"/>
      <c r="M184" s="33"/>
      <c r="N184" s="39"/>
      <c r="O184" s="30"/>
      <c r="P184" s="31"/>
      <c r="Q184" s="95">
        <v>5.0000000000000001E-3</v>
      </c>
      <c r="R184" s="31"/>
      <c r="S184" s="39">
        <f>0.0973*1.13*H184</f>
        <v>0.21989799999999998</v>
      </c>
      <c r="T184" s="106" t="s">
        <v>44</v>
      </c>
      <c r="U184" s="107">
        <v>80</v>
      </c>
      <c r="V184" s="107">
        <v>1</v>
      </c>
      <c r="W184" s="107">
        <v>1</v>
      </c>
      <c r="X184" s="98">
        <v>0.05</v>
      </c>
      <c r="Y184" s="106">
        <f>V184*X184/W184</f>
        <v>0.05</v>
      </c>
      <c r="Z184" s="138"/>
      <c r="AA184" s="149"/>
      <c r="AB184" s="150"/>
      <c r="AC184" s="151"/>
      <c r="AD184" s="152"/>
      <c r="AE184" s="153"/>
      <c r="AF184" s="124"/>
    </row>
    <row r="185" spans="1:32" s="32" customFormat="1" ht="14.1" customHeight="1">
      <c r="A185" s="141"/>
      <c r="B185" s="144"/>
      <c r="C185" s="147"/>
      <c r="D185" s="132"/>
      <c r="E185" s="135"/>
      <c r="F185" s="92"/>
      <c r="G185" s="92"/>
      <c r="H185" s="91"/>
      <c r="I185" s="103"/>
      <c r="J185" s="33"/>
      <c r="K185" s="33"/>
      <c r="L185" s="33"/>
      <c r="M185" s="33"/>
      <c r="N185" s="39"/>
      <c r="O185" s="30"/>
      <c r="P185" s="31"/>
      <c r="Q185" s="95"/>
      <c r="R185" s="31"/>
      <c r="S185" s="39"/>
      <c r="T185" s="106" t="s">
        <v>43</v>
      </c>
      <c r="U185" s="107">
        <v>40</v>
      </c>
      <c r="V185" s="107">
        <v>1</v>
      </c>
      <c r="W185" s="107">
        <v>1</v>
      </c>
      <c r="X185" s="98">
        <v>0.03</v>
      </c>
      <c r="Y185" s="106">
        <f>V185*X185/W185</f>
        <v>0.03</v>
      </c>
      <c r="Z185" s="138"/>
      <c r="AA185" s="149"/>
      <c r="AB185" s="150"/>
      <c r="AC185" s="151"/>
      <c r="AD185" s="152"/>
      <c r="AE185" s="153"/>
      <c r="AF185" s="124"/>
    </row>
    <row r="186" spans="1:32" s="32" customFormat="1" ht="23.4" customHeight="1">
      <c r="A186" s="141"/>
      <c r="B186" s="144"/>
      <c r="C186" s="147"/>
      <c r="D186" s="132"/>
      <c r="E186" s="135"/>
      <c r="F186" s="92"/>
      <c r="G186" s="92"/>
      <c r="H186" s="91"/>
      <c r="I186" s="103"/>
      <c r="J186" s="33"/>
      <c r="K186" s="92"/>
      <c r="L186" s="92"/>
      <c r="M186" s="92"/>
      <c r="N186" s="34"/>
      <c r="O186" s="30"/>
      <c r="P186" s="31"/>
      <c r="Q186" s="95"/>
      <c r="R186" s="31"/>
      <c r="S186" s="39"/>
      <c r="T186" s="106" t="s">
        <v>149</v>
      </c>
      <c r="U186" s="107">
        <v>4</v>
      </c>
      <c r="V186" s="107">
        <v>1</v>
      </c>
      <c r="W186" s="107">
        <v>1</v>
      </c>
      <c r="X186" s="98">
        <v>0.28000000000000003</v>
      </c>
      <c r="Y186" s="106">
        <f>V186*X186/W186</f>
        <v>0.28000000000000003</v>
      </c>
      <c r="Z186" s="138"/>
      <c r="AA186" s="149"/>
      <c r="AB186" s="150"/>
      <c r="AC186" s="151"/>
      <c r="AD186" s="152"/>
      <c r="AE186" s="153"/>
      <c r="AF186" s="124"/>
    </row>
    <row r="187" spans="1:32" s="32" customFormat="1" ht="14.1" customHeight="1">
      <c r="A187" s="141"/>
      <c r="B187" s="144"/>
      <c r="C187" s="147"/>
      <c r="D187" s="132"/>
      <c r="E187" s="135"/>
      <c r="F187" s="91"/>
      <c r="G187" s="91"/>
      <c r="H187" s="91"/>
      <c r="I187" s="104"/>
      <c r="J187" s="52"/>
      <c r="K187" s="35"/>
      <c r="L187" s="35"/>
      <c r="M187" s="35"/>
      <c r="N187" s="35"/>
      <c r="O187" s="35"/>
      <c r="P187" s="35"/>
      <c r="Q187" s="96"/>
      <c r="R187" s="35"/>
      <c r="S187" s="91"/>
      <c r="T187" s="106"/>
      <c r="U187" s="107"/>
      <c r="V187" s="107"/>
      <c r="W187" s="107"/>
      <c r="X187" s="98"/>
      <c r="Y187" s="106"/>
      <c r="Z187" s="139"/>
      <c r="AA187" s="149"/>
      <c r="AB187" s="150"/>
      <c r="AC187" s="151"/>
      <c r="AD187" s="152"/>
      <c r="AE187" s="153"/>
      <c r="AF187" s="124"/>
    </row>
    <row r="188" spans="1:32" s="37" customFormat="1" ht="14.1" customHeight="1">
      <c r="A188" s="142"/>
      <c r="B188" s="145"/>
      <c r="C188" s="148"/>
      <c r="D188" s="133"/>
      <c r="E188" s="136"/>
      <c r="F188" s="125" t="s">
        <v>65</v>
      </c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7"/>
      <c r="S188" s="10">
        <f>SUM(S183:S187)</f>
        <v>0.68464115624999988</v>
      </c>
      <c r="T188" s="2"/>
      <c r="U188" s="102"/>
      <c r="V188" s="102"/>
      <c r="W188" s="102"/>
      <c r="X188" s="2"/>
      <c r="Y188" s="2">
        <f>SUM(Y183:Y187)</f>
        <v>0.41000000000000003</v>
      </c>
      <c r="Z188" s="2"/>
      <c r="AA188" s="36"/>
      <c r="AB188" s="36"/>
      <c r="AC188" s="36"/>
      <c r="AD188" s="36"/>
      <c r="AE188" s="36"/>
      <c r="AF188" s="36"/>
    </row>
    <row r="189" spans="1:32" s="32" customFormat="1" ht="14.1" customHeight="1">
      <c r="A189" s="140">
        <v>28</v>
      </c>
      <c r="B189" s="143">
        <v>44553</v>
      </c>
      <c r="C189" s="146" t="s">
        <v>180</v>
      </c>
      <c r="D189" s="131" t="s">
        <v>181</v>
      </c>
      <c r="E189" s="134" t="s">
        <v>138</v>
      </c>
      <c r="F189" s="92" t="s">
        <v>174</v>
      </c>
      <c r="G189" s="92" t="s">
        <v>62</v>
      </c>
      <c r="H189" s="91">
        <v>1</v>
      </c>
      <c r="I189" s="103" t="s">
        <v>146</v>
      </c>
      <c r="J189" s="33"/>
      <c r="K189" s="29">
        <f>130+5</f>
        <v>135</v>
      </c>
      <c r="L189" s="29">
        <v>39</v>
      </c>
      <c r="M189" s="92">
        <v>2.5</v>
      </c>
      <c r="N189" s="39">
        <v>6.45</v>
      </c>
      <c r="O189" s="30">
        <v>3.4</v>
      </c>
      <c r="P189" s="31">
        <f>K189*L189*M189*0.00000785</f>
        <v>0.10332562499999999</v>
      </c>
      <c r="Q189" s="95">
        <f>0.054-0.005*2</f>
        <v>4.3999999999999997E-2</v>
      </c>
      <c r="R189" s="31">
        <f>P189-Q189</f>
        <v>5.9325624999999993E-2</v>
      </c>
      <c r="S189" s="39">
        <f>(N189*P189-O189*R189)*H189</f>
        <v>0.46474315624999996</v>
      </c>
      <c r="T189" s="106" t="s">
        <v>67</v>
      </c>
      <c r="U189" s="107">
        <v>80</v>
      </c>
      <c r="V189" s="107">
        <v>1</v>
      </c>
      <c r="W189" s="107">
        <v>1</v>
      </c>
      <c r="X189" s="98">
        <v>0.05</v>
      </c>
      <c r="Y189" s="106">
        <f>V189*X189/W189</f>
        <v>0.05</v>
      </c>
      <c r="Z189" s="137">
        <f>(S194+Y194)*1.2</f>
        <v>1.3135693874999996</v>
      </c>
      <c r="AA189" s="149">
        <f>Z189/1.13</f>
        <v>1.1624507853982298</v>
      </c>
      <c r="AB189" s="150">
        <v>8200</v>
      </c>
      <c r="AC189" s="151">
        <v>50000</v>
      </c>
      <c r="AD189" s="152">
        <f>AB189/AC189</f>
        <v>0.16400000000000001</v>
      </c>
      <c r="AE189" s="153">
        <f>AA189+AD189</f>
        <v>1.3264507853982297</v>
      </c>
      <c r="AF189" s="124"/>
    </row>
    <row r="190" spans="1:32" s="32" customFormat="1" ht="14.1" customHeight="1">
      <c r="A190" s="141"/>
      <c r="B190" s="144"/>
      <c r="C190" s="147"/>
      <c r="D190" s="132"/>
      <c r="E190" s="135"/>
      <c r="F190" s="92" t="s">
        <v>172</v>
      </c>
      <c r="G190" s="92"/>
      <c r="H190" s="91">
        <v>2</v>
      </c>
      <c r="I190" s="103"/>
      <c r="J190" s="33"/>
      <c r="K190" s="33"/>
      <c r="L190" s="33"/>
      <c r="M190" s="33"/>
      <c r="N190" s="39"/>
      <c r="O190" s="30"/>
      <c r="P190" s="31"/>
      <c r="Q190" s="95">
        <v>5.0000000000000001E-3</v>
      </c>
      <c r="R190" s="31"/>
      <c r="S190" s="39">
        <f>0.0973*1.13*H190</f>
        <v>0.21989799999999998</v>
      </c>
      <c r="T190" s="106" t="s">
        <v>44</v>
      </c>
      <c r="U190" s="107">
        <v>80</v>
      </c>
      <c r="V190" s="107">
        <v>1</v>
      </c>
      <c r="W190" s="107">
        <v>1</v>
      </c>
      <c r="X190" s="98">
        <v>0.05</v>
      </c>
      <c r="Y190" s="106">
        <f>V190*X190/W190</f>
        <v>0.05</v>
      </c>
      <c r="Z190" s="138"/>
      <c r="AA190" s="149"/>
      <c r="AB190" s="150"/>
      <c r="AC190" s="151"/>
      <c r="AD190" s="152"/>
      <c r="AE190" s="153"/>
      <c r="AF190" s="124"/>
    </row>
    <row r="191" spans="1:32" s="32" customFormat="1" ht="14.1" customHeight="1">
      <c r="A191" s="141"/>
      <c r="B191" s="144"/>
      <c r="C191" s="147"/>
      <c r="D191" s="132"/>
      <c r="E191" s="135"/>
      <c r="F191" s="92"/>
      <c r="G191" s="92"/>
      <c r="H191" s="91"/>
      <c r="I191" s="103"/>
      <c r="J191" s="33"/>
      <c r="K191" s="33"/>
      <c r="L191" s="33"/>
      <c r="M191" s="33"/>
      <c r="N191" s="39"/>
      <c r="O191" s="30"/>
      <c r="P191" s="31"/>
      <c r="Q191" s="95"/>
      <c r="R191" s="31"/>
      <c r="S191" s="39"/>
      <c r="T191" s="106" t="s">
        <v>43</v>
      </c>
      <c r="U191" s="107">
        <v>40</v>
      </c>
      <c r="V191" s="107">
        <v>1</v>
      </c>
      <c r="W191" s="107">
        <v>1</v>
      </c>
      <c r="X191" s="98">
        <v>0.03</v>
      </c>
      <c r="Y191" s="106">
        <f>V191*X191/W191</f>
        <v>0.03</v>
      </c>
      <c r="Z191" s="138"/>
      <c r="AA191" s="149"/>
      <c r="AB191" s="150"/>
      <c r="AC191" s="151"/>
      <c r="AD191" s="152"/>
      <c r="AE191" s="153"/>
      <c r="AF191" s="124"/>
    </row>
    <row r="192" spans="1:32" s="32" customFormat="1" ht="23.4" customHeight="1">
      <c r="A192" s="141"/>
      <c r="B192" s="144"/>
      <c r="C192" s="147"/>
      <c r="D192" s="132"/>
      <c r="E192" s="135"/>
      <c r="F192" s="92"/>
      <c r="G192" s="92"/>
      <c r="H192" s="91"/>
      <c r="I192" s="103"/>
      <c r="J192" s="33"/>
      <c r="K192" s="92"/>
      <c r="L192" s="92"/>
      <c r="M192" s="92"/>
      <c r="N192" s="34"/>
      <c r="O192" s="30"/>
      <c r="P192" s="31"/>
      <c r="Q192" s="95"/>
      <c r="R192" s="31"/>
      <c r="S192" s="39"/>
      <c r="T192" s="109" t="s">
        <v>149</v>
      </c>
      <c r="U192" s="107">
        <v>4</v>
      </c>
      <c r="V192" s="107">
        <v>1</v>
      </c>
      <c r="W192" s="107">
        <v>1</v>
      </c>
      <c r="X192" s="98">
        <v>0.28000000000000003</v>
      </c>
      <c r="Y192" s="106">
        <f>V192*X192/W192</f>
        <v>0.28000000000000003</v>
      </c>
      <c r="Z192" s="138"/>
      <c r="AA192" s="149"/>
      <c r="AB192" s="150"/>
      <c r="AC192" s="151"/>
      <c r="AD192" s="152"/>
      <c r="AE192" s="153"/>
      <c r="AF192" s="124"/>
    </row>
    <row r="193" spans="1:32" s="32" customFormat="1" ht="14.1" customHeight="1">
      <c r="A193" s="141"/>
      <c r="B193" s="144"/>
      <c r="C193" s="147"/>
      <c r="D193" s="132"/>
      <c r="E193" s="135"/>
      <c r="F193" s="91"/>
      <c r="G193" s="91"/>
      <c r="H193" s="91"/>
      <c r="I193" s="104"/>
      <c r="J193" s="52"/>
      <c r="K193" s="35"/>
      <c r="L193" s="35"/>
      <c r="M193" s="35"/>
      <c r="N193" s="35"/>
      <c r="O193" s="35"/>
      <c r="P193" s="35"/>
      <c r="Q193" s="96"/>
      <c r="R193" s="35"/>
      <c r="S193" s="91"/>
      <c r="T193" s="106"/>
      <c r="U193" s="107"/>
      <c r="V193" s="107"/>
      <c r="W193" s="107"/>
      <c r="X193" s="98"/>
      <c r="Y193" s="106"/>
      <c r="Z193" s="139"/>
      <c r="AA193" s="149"/>
      <c r="AB193" s="150"/>
      <c r="AC193" s="151"/>
      <c r="AD193" s="152"/>
      <c r="AE193" s="153"/>
      <c r="AF193" s="124"/>
    </row>
    <row r="194" spans="1:32" s="37" customFormat="1" ht="14.1" customHeight="1">
      <c r="A194" s="142"/>
      <c r="B194" s="145"/>
      <c r="C194" s="148"/>
      <c r="D194" s="133"/>
      <c r="E194" s="136"/>
      <c r="F194" s="125" t="s">
        <v>65</v>
      </c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7"/>
      <c r="S194" s="10">
        <f>SUM(S189:S193)</f>
        <v>0.68464115624999988</v>
      </c>
      <c r="T194" s="2"/>
      <c r="U194" s="102"/>
      <c r="V194" s="102"/>
      <c r="W194" s="102"/>
      <c r="X194" s="2"/>
      <c r="Y194" s="2">
        <f>SUM(Y189:Y193)</f>
        <v>0.41000000000000003</v>
      </c>
      <c r="Z194" s="2"/>
      <c r="AA194" s="36"/>
      <c r="AB194" s="36"/>
      <c r="AC194" s="36"/>
      <c r="AD194" s="36"/>
      <c r="AE194" s="36"/>
      <c r="AF194" s="36"/>
    </row>
    <row r="195" spans="1:32">
      <c r="M195" s="24"/>
      <c r="AB195" s="23"/>
      <c r="AC195" s="23"/>
      <c r="AD195" s="23"/>
      <c r="AE195" s="23"/>
      <c r="AF195" s="48"/>
    </row>
    <row r="196" spans="1:32">
      <c r="M196" s="24"/>
      <c r="AB196" s="23"/>
      <c r="AC196" s="23"/>
      <c r="AD196" s="23"/>
      <c r="AE196" s="23"/>
      <c r="AF196" s="48"/>
    </row>
    <row r="197" spans="1:32">
      <c r="M197" s="24"/>
      <c r="AB197" s="23"/>
      <c r="AC197" s="23"/>
      <c r="AD197" s="23"/>
      <c r="AE197" s="23"/>
      <c r="AF197" s="48"/>
    </row>
    <row r="198" spans="1:32">
      <c r="M198" s="24"/>
      <c r="AB198" s="23"/>
      <c r="AC198" s="23"/>
      <c r="AD198" s="23"/>
      <c r="AE198" s="23"/>
      <c r="AF198" s="48"/>
    </row>
    <row r="199" spans="1:32">
      <c r="M199" s="24"/>
      <c r="AB199" s="23"/>
      <c r="AC199" s="23"/>
      <c r="AD199" s="23"/>
      <c r="AE199" s="23"/>
      <c r="AF199" s="48"/>
    </row>
    <row r="200" spans="1:32">
      <c r="M200" s="24"/>
      <c r="AB200" s="23"/>
      <c r="AC200" s="23"/>
      <c r="AD200" s="23"/>
      <c r="AE200" s="23"/>
      <c r="AF200" s="48"/>
    </row>
    <row r="201" spans="1:32">
      <c r="M201" s="24"/>
      <c r="AB201" s="23"/>
      <c r="AC201" s="23"/>
      <c r="AD201" s="23"/>
      <c r="AE201" s="23"/>
      <c r="AF201" s="48"/>
    </row>
    <row r="202" spans="1:32">
      <c r="M202" s="24"/>
      <c r="AB202" s="23"/>
      <c r="AC202" s="23"/>
      <c r="AD202" s="23"/>
      <c r="AE202" s="23"/>
      <c r="AF202" s="48"/>
    </row>
    <row r="203" spans="1:32">
      <c r="M203" s="24"/>
      <c r="AB203" s="23"/>
      <c r="AC203" s="23"/>
      <c r="AD203" s="23"/>
      <c r="AE203" s="23"/>
      <c r="AF203" s="48"/>
    </row>
    <row r="204" spans="1:32">
      <c r="M204" s="24"/>
      <c r="AB204" s="23"/>
      <c r="AC204" s="23"/>
      <c r="AD204" s="23"/>
      <c r="AE204" s="23"/>
      <c r="AF204" s="48"/>
    </row>
    <row r="205" spans="1:32">
      <c r="M205" s="24"/>
      <c r="AB205" s="23"/>
      <c r="AC205" s="23"/>
      <c r="AD205" s="23"/>
      <c r="AE205" s="23"/>
      <c r="AF205" s="48"/>
    </row>
    <row r="206" spans="1:32">
      <c r="AB206" s="23"/>
      <c r="AC206" s="23"/>
      <c r="AD206" s="23"/>
      <c r="AE206" s="23"/>
    </row>
    <row r="207" spans="1:32">
      <c r="AB207" s="23"/>
      <c r="AC207" s="23"/>
      <c r="AD207" s="23"/>
      <c r="AE207" s="23"/>
    </row>
    <row r="208" spans="1:32">
      <c r="AB208" s="23"/>
      <c r="AC208" s="23"/>
      <c r="AD208" s="23"/>
      <c r="AE208" s="23"/>
    </row>
    <row r="209" spans="28:31">
      <c r="AB209" s="23"/>
      <c r="AC209" s="23"/>
      <c r="AD209" s="23"/>
      <c r="AE209" s="23"/>
    </row>
    <row r="210" spans="28:31">
      <c r="AB210" s="23"/>
      <c r="AC210" s="23"/>
      <c r="AD210" s="23"/>
      <c r="AE210" s="23"/>
    </row>
    <row r="211" spans="28:31">
      <c r="AB211" s="23"/>
      <c r="AC211" s="23"/>
      <c r="AD211" s="23"/>
      <c r="AE211" s="23"/>
    </row>
    <row r="212" spans="28:31">
      <c r="AB212" s="23"/>
      <c r="AC212" s="23"/>
      <c r="AD212" s="23"/>
      <c r="AE212" s="23"/>
    </row>
    <row r="213" spans="28:31">
      <c r="AB213" s="23"/>
      <c r="AC213" s="23"/>
      <c r="AD213" s="23"/>
      <c r="AE213" s="23"/>
    </row>
    <row r="214" spans="28:31">
      <c r="AB214" s="23"/>
      <c r="AC214" s="23"/>
      <c r="AD214" s="23"/>
      <c r="AE214" s="23"/>
    </row>
    <row r="215" spans="28:31">
      <c r="AB215" s="23"/>
      <c r="AC215" s="23"/>
      <c r="AD215" s="23"/>
      <c r="AE215" s="23"/>
    </row>
    <row r="216" spans="28:31">
      <c r="AB216" s="23"/>
      <c r="AC216" s="23"/>
      <c r="AD216" s="23"/>
      <c r="AE216" s="23"/>
    </row>
    <row r="217" spans="28:31">
      <c r="AB217" s="23"/>
      <c r="AC217" s="23"/>
      <c r="AD217" s="23"/>
      <c r="AE217" s="23"/>
    </row>
    <row r="218" spans="28:31">
      <c r="AB218" s="23"/>
      <c r="AC218" s="23"/>
      <c r="AD218" s="23"/>
      <c r="AE218" s="23"/>
    </row>
    <row r="219" spans="28:31">
      <c r="AB219" s="23"/>
      <c r="AC219" s="23"/>
      <c r="AD219" s="23"/>
      <c r="AE219" s="23"/>
    </row>
    <row r="220" spans="28:31">
      <c r="AB220" s="23"/>
      <c r="AC220" s="23"/>
      <c r="AD220" s="23"/>
      <c r="AE220" s="23"/>
    </row>
    <row r="221" spans="28:31">
      <c r="AB221" s="23"/>
      <c r="AC221" s="23"/>
      <c r="AD221" s="23"/>
      <c r="AE221" s="23"/>
    </row>
    <row r="222" spans="28:31">
      <c r="AB222" s="23"/>
      <c r="AC222" s="23"/>
      <c r="AD222" s="23"/>
      <c r="AE222" s="23"/>
    </row>
    <row r="223" spans="28:31">
      <c r="AB223" s="23"/>
      <c r="AC223" s="23"/>
      <c r="AD223" s="23"/>
      <c r="AE223" s="23"/>
    </row>
    <row r="224" spans="28:31">
      <c r="AB224" s="23"/>
      <c r="AC224" s="23"/>
      <c r="AD224" s="23"/>
      <c r="AE224" s="23"/>
    </row>
    <row r="225" spans="28:31">
      <c r="AB225" s="23"/>
      <c r="AC225" s="23"/>
      <c r="AD225" s="23"/>
      <c r="AE225" s="23"/>
    </row>
    <row r="226" spans="28:31">
      <c r="AB226" s="23"/>
      <c r="AC226" s="23"/>
      <c r="AD226" s="23"/>
      <c r="AE226" s="23"/>
    </row>
    <row r="227" spans="28:31">
      <c r="AB227" s="23"/>
      <c r="AC227" s="23"/>
      <c r="AD227" s="23"/>
      <c r="AE227" s="23"/>
    </row>
    <row r="228" spans="28:31">
      <c r="AB228" s="23"/>
      <c r="AC228" s="23"/>
      <c r="AD228" s="23"/>
      <c r="AE228" s="23"/>
    </row>
    <row r="229" spans="28:31">
      <c r="AB229" s="23"/>
      <c r="AC229" s="23"/>
      <c r="AD229" s="23"/>
      <c r="AE229" s="23"/>
    </row>
    <row r="230" spans="28:31">
      <c r="AB230" s="23"/>
      <c r="AC230" s="23"/>
      <c r="AD230" s="23"/>
      <c r="AE230" s="23"/>
    </row>
    <row r="231" spans="28:31">
      <c r="AB231" s="23"/>
      <c r="AC231" s="23"/>
      <c r="AD231" s="23"/>
      <c r="AE231" s="23"/>
    </row>
    <row r="232" spans="28:31">
      <c r="AB232" s="23"/>
      <c r="AC232" s="23"/>
      <c r="AD232" s="23"/>
      <c r="AE232" s="23"/>
    </row>
    <row r="233" spans="28:31">
      <c r="AB233" s="23"/>
      <c r="AC233" s="23"/>
      <c r="AD233" s="23"/>
      <c r="AE233" s="23"/>
    </row>
    <row r="234" spans="28:31">
      <c r="AB234" s="23"/>
      <c r="AC234" s="23"/>
      <c r="AD234" s="23"/>
      <c r="AE234" s="23"/>
    </row>
    <row r="235" spans="28:31">
      <c r="AB235" s="23"/>
      <c r="AC235" s="23"/>
      <c r="AD235" s="23"/>
      <c r="AE235" s="23"/>
    </row>
    <row r="236" spans="28:31">
      <c r="AB236" s="23"/>
      <c r="AC236" s="23"/>
      <c r="AD236" s="23"/>
      <c r="AE236" s="23"/>
    </row>
    <row r="237" spans="28:31">
      <c r="AB237" s="23"/>
      <c r="AC237" s="23"/>
      <c r="AD237" s="23"/>
      <c r="AE237" s="23"/>
    </row>
    <row r="238" spans="28:31">
      <c r="AB238" s="23"/>
      <c r="AC238" s="23"/>
      <c r="AD238" s="23"/>
      <c r="AE238" s="23"/>
    </row>
    <row r="239" spans="28:31">
      <c r="AB239" s="23"/>
      <c r="AC239" s="23"/>
      <c r="AD239" s="23"/>
      <c r="AE239" s="23"/>
    </row>
    <row r="240" spans="28:31">
      <c r="AB240" s="23"/>
      <c r="AC240" s="23"/>
      <c r="AD240" s="23"/>
      <c r="AE240" s="23"/>
    </row>
    <row r="241" spans="28:31">
      <c r="AB241" s="23"/>
      <c r="AC241" s="23"/>
      <c r="AD241" s="23"/>
      <c r="AE241" s="23"/>
    </row>
    <row r="242" spans="28:31">
      <c r="AB242" s="23"/>
      <c r="AC242" s="23"/>
      <c r="AD242" s="23"/>
      <c r="AE242" s="23"/>
    </row>
    <row r="243" spans="28:31">
      <c r="AB243" s="23"/>
      <c r="AC243" s="23"/>
      <c r="AD243" s="23"/>
      <c r="AE243" s="23"/>
    </row>
    <row r="244" spans="28:31">
      <c r="AB244" s="23"/>
      <c r="AC244" s="23"/>
      <c r="AD244" s="23"/>
      <c r="AE244" s="23"/>
    </row>
    <row r="245" spans="28:31">
      <c r="AB245" s="23"/>
      <c r="AC245" s="23"/>
      <c r="AD245" s="23"/>
      <c r="AE245" s="23"/>
    </row>
    <row r="246" spans="28:31">
      <c r="AB246" s="23"/>
      <c r="AC246" s="23"/>
      <c r="AD246" s="23"/>
      <c r="AE246" s="23"/>
    </row>
    <row r="247" spans="28:31">
      <c r="AB247" s="23"/>
      <c r="AC247" s="23"/>
      <c r="AD247" s="23"/>
      <c r="AE247" s="23"/>
    </row>
    <row r="248" spans="28:31">
      <c r="AB248" s="23"/>
      <c r="AC248" s="23"/>
      <c r="AD248" s="23"/>
      <c r="AE248" s="23"/>
    </row>
    <row r="249" spans="28:31">
      <c r="AB249" s="23"/>
      <c r="AC249" s="23"/>
      <c r="AD249" s="23"/>
      <c r="AE249" s="23"/>
    </row>
    <row r="250" spans="28:31">
      <c r="AB250" s="23"/>
      <c r="AC250" s="23"/>
      <c r="AD250" s="23"/>
      <c r="AE250" s="23"/>
    </row>
    <row r="251" spans="28:31">
      <c r="AB251" s="23"/>
      <c r="AC251" s="23"/>
      <c r="AD251" s="23"/>
      <c r="AE251" s="23"/>
    </row>
    <row r="252" spans="28:31">
      <c r="AB252" s="23"/>
      <c r="AC252" s="23"/>
      <c r="AD252" s="23"/>
      <c r="AE252" s="23"/>
    </row>
    <row r="253" spans="28:31">
      <c r="AB253" s="23"/>
      <c r="AC253" s="23"/>
      <c r="AD253" s="23"/>
      <c r="AE253" s="23"/>
    </row>
    <row r="254" spans="28:31">
      <c r="AB254" s="23"/>
      <c r="AC254" s="23"/>
      <c r="AD254" s="23"/>
      <c r="AE254" s="23"/>
    </row>
    <row r="255" spans="28:31">
      <c r="AB255" s="23"/>
      <c r="AC255" s="23"/>
      <c r="AD255" s="23"/>
      <c r="AE255" s="23"/>
    </row>
    <row r="256" spans="28:31">
      <c r="AB256" s="23"/>
      <c r="AC256" s="23"/>
      <c r="AD256" s="23"/>
      <c r="AE256" s="23"/>
    </row>
    <row r="257" spans="28:31">
      <c r="AB257" s="23"/>
      <c r="AC257" s="23"/>
      <c r="AD257" s="23"/>
      <c r="AE257" s="23"/>
    </row>
    <row r="258" spans="28:31">
      <c r="AB258" s="23"/>
      <c r="AC258" s="23"/>
      <c r="AD258" s="23"/>
      <c r="AE258" s="23"/>
    </row>
    <row r="259" spans="28:31">
      <c r="AB259" s="23"/>
      <c r="AC259" s="23"/>
      <c r="AD259" s="23"/>
      <c r="AE259" s="23"/>
    </row>
    <row r="260" spans="28:31">
      <c r="AB260" s="23"/>
      <c r="AC260" s="23"/>
      <c r="AD260" s="23"/>
      <c r="AE260" s="23"/>
    </row>
    <row r="261" spans="28:31">
      <c r="AB261" s="23"/>
      <c r="AC261" s="23"/>
      <c r="AD261" s="23"/>
      <c r="AE261" s="23"/>
    </row>
    <row r="262" spans="28:31">
      <c r="AB262" s="23"/>
      <c r="AC262" s="23"/>
      <c r="AD262" s="23"/>
      <c r="AE262" s="23"/>
    </row>
    <row r="263" spans="28:31">
      <c r="AB263" s="23"/>
      <c r="AC263" s="23"/>
      <c r="AD263" s="23"/>
      <c r="AE263" s="23"/>
    </row>
    <row r="264" spans="28:31">
      <c r="AB264" s="23"/>
      <c r="AC264" s="23"/>
      <c r="AD264" s="23"/>
      <c r="AE264" s="23"/>
    </row>
    <row r="265" spans="28:31">
      <c r="AB265" s="23"/>
      <c r="AC265" s="23"/>
      <c r="AD265" s="23"/>
      <c r="AE265" s="23"/>
    </row>
    <row r="266" spans="28:31">
      <c r="AB266" s="23"/>
      <c r="AC266" s="23"/>
      <c r="AD266" s="23"/>
      <c r="AE266" s="23"/>
    </row>
    <row r="267" spans="28:31">
      <c r="AB267" s="23"/>
      <c r="AC267" s="23"/>
      <c r="AD267" s="23"/>
      <c r="AE267" s="23"/>
    </row>
    <row r="268" spans="28:31">
      <c r="AB268" s="23"/>
      <c r="AC268" s="23"/>
      <c r="AD268" s="23"/>
      <c r="AE268" s="23"/>
    </row>
    <row r="269" spans="28:31">
      <c r="AB269" s="23"/>
      <c r="AC269" s="23"/>
      <c r="AD269" s="23"/>
      <c r="AE269" s="23"/>
    </row>
    <row r="270" spans="28:31">
      <c r="AB270" s="23"/>
      <c r="AC270" s="23"/>
      <c r="AD270" s="23"/>
      <c r="AE270" s="23"/>
    </row>
    <row r="271" spans="28:31">
      <c r="AB271" s="23"/>
      <c r="AC271" s="23"/>
      <c r="AD271" s="23"/>
      <c r="AE271" s="23"/>
    </row>
    <row r="272" spans="28:31">
      <c r="AB272" s="23"/>
      <c r="AC272" s="23"/>
      <c r="AD272" s="23"/>
      <c r="AE272" s="23"/>
    </row>
    <row r="273" spans="28:31">
      <c r="AB273" s="23"/>
      <c r="AC273" s="23"/>
      <c r="AD273" s="23"/>
      <c r="AE273" s="23"/>
    </row>
    <row r="274" spans="28:31">
      <c r="AB274" s="23"/>
      <c r="AC274" s="23"/>
      <c r="AD274" s="23"/>
      <c r="AE274" s="23"/>
    </row>
    <row r="275" spans="28:31">
      <c r="AB275" s="23"/>
      <c r="AC275" s="23"/>
      <c r="AD275" s="23"/>
      <c r="AE275" s="23"/>
    </row>
    <row r="276" spans="28:31">
      <c r="AB276" s="23"/>
      <c r="AC276" s="23"/>
      <c r="AD276" s="23"/>
      <c r="AE276" s="23"/>
    </row>
    <row r="277" spans="28:31">
      <c r="AB277" s="23"/>
      <c r="AC277" s="23"/>
      <c r="AD277" s="23"/>
      <c r="AE277" s="23"/>
    </row>
    <row r="278" spans="28:31">
      <c r="AB278" s="23"/>
      <c r="AC278" s="23"/>
      <c r="AD278" s="23"/>
      <c r="AE278" s="23"/>
    </row>
    <row r="279" spans="28:31">
      <c r="AB279" s="23"/>
      <c r="AC279" s="23"/>
      <c r="AD279" s="23"/>
      <c r="AE279" s="23"/>
    </row>
    <row r="280" spans="28:31">
      <c r="AB280" s="23"/>
      <c r="AC280" s="23"/>
      <c r="AD280" s="23"/>
      <c r="AE280" s="23"/>
    </row>
    <row r="281" spans="28:31">
      <c r="AB281" s="23"/>
      <c r="AC281" s="23"/>
      <c r="AD281" s="23"/>
      <c r="AE281" s="23"/>
    </row>
    <row r="282" spans="28:31">
      <c r="AB282" s="23"/>
      <c r="AC282" s="23"/>
      <c r="AD282" s="23"/>
      <c r="AE282" s="23"/>
    </row>
    <row r="283" spans="28:31">
      <c r="AB283" s="23"/>
      <c r="AC283" s="23"/>
      <c r="AD283" s="23"/>
      <c r="AE283" s="23"/>
    </row>
    <row r="284" spans="28:31">
      <c r="AB284" s="23"/>
      <c r="AC284" s="23"/>
      <c r="AD284" s="23"/>
      <c r="AE284" s="23"/>
    </row>
    <row r="285" spans="28:31">
      <c r="AB285" s="23"/>
      <c r="AC285" s="23"/>
      <c r="AD285" s="23"/>
      <c r="AE285" s="23"/>
    </row>
    <row r="286" spans="28:31">
      <c r="AB286" s="23"/>
      <c r="AC286" s="23"/>
      <c r="AD286" s="23"/>
      <c r="AE286" s="23"/>
    </row>
    <row r="287" spans="28:31">
      <c r="AB287" s="23"/>
      <c r="AC287" s="23"/>
      <c r="AD287" s="23"/>
      <c r="AE287" s="23"/>
    </row>
    <row r="288" spans="28:31">
      <c r="AB288" s="23"/>
      <c r="AC288" s="23"/>
      <c r="AD288" s="23"/>
      <c r="AE288" s="23"/>
    </row>
    <row r="289" spans="28:31">
      <c r="AB289" s="23"/>
      <c r="AC289" s="23"/>
      <c r="AD289" s="23"/>
      <c r="AE289" s="23"/>
    </row>
    <row r="290" spans="28:31">
      <c r="AB290" s="23"/>
      <c r="AC290" s="23"/>
      <c r="AD290" s="23"/>
      <c r="AE290" s="23"/>
    </row>
    <row r="291" spans="28:31">
      <c r="AB291" s="23"/>
      <c r="AC291" s="23"/>
      <c r="AD291" s="23"/>
      <c r="AE291" s="23"/>
    </row>
    <row r="292" spans="28:31">
      <c r="AB292" s="23"/>
      <c r="AC292" s="23"/>
      <c r="AD292" s="23"/>
      <c r="AE292" s="23"/>
    </row>
    <row r="293" spans="28:31">
      <c r="AB293" s="23"/>
      <c r="AC293" s="23"/>
      <c r="AD293" s="23"/>
      <c r="AE293" s="23"/>
    </row>
    <row r="294" spans="28:31">
      <c r="AB294" s="23"/>
      <c r="AC294" s="23"/>
      <c r="AD294" s="23"/>
      <c r="AE294" s="23"/>
    </row>
    <row r="295" spans="28:31">
      <c r="AB295" s="23"/>
      <c r="AC295" s="23"/>
      <c r="AD295" s="23"/>
      <c r="AE295" s="23"/>
    </row>
    <row r="296" spans="28:31">
      <c r="AB296" s="23"/>
      <c r="AC296" s="23"/>
      <c r="AD296" s="23"/>
      <c r="AE296" s="23"/>
    </row>
    <row r="297" spans="28:31">
      <c r="AB297" s="23"/>
      <c r="AC297" s="23"/>
      <c r="AD297" s="23"/>
      <c r="AE297" s="23"/>
    </row>
    <row r="298" spans="28:31">
      <c r="AB298" s="23"/>
      <c r="AC298" s="23"/>
      <c r="AD298" s="23"/>
      <c r="AE298" s="23"/>
    </row>
    <row r="299" spans="28:31">
      <c r="AB299" s="23"/>
      <c r="AC299" s="23"/>
      <c r="AD299" s="23"/>
      <c r="AE299" s="23"/>
    </row>
    <row r="300" spans="28:31">
      <c r="AB300" s="23"/>
      <c r="AC300" s="23"/>
      <c r="AD300" s="23"/>
      <c r="AE300" s="23"/>
    </row>
    <row r="301" spans="28:31">
      <c r="AB301" s="23"/>
      <c r="AC301" s="23"/>
      <c r="AD301" s="23"/>
      <c r="AE301" s="23"/>
    </row>
    <row r="302" spans="28:31">
      <c r="AB302" s="23"/>
      <c r="AC302" s="23"/>
      <c r="AD302" s="23"/>
      <c r="AE302" s="23"/>
    </row>
    <row r="303" spans="28:31">
      <c r="AB303" s="23"/>
      <c r="AC303" s="23"/>
      <c r="AD303" s="23"/>
      <c r="AE303" s="23"/>
    </row>
    <row r="304" spans="28:31">
      <c r="AB304" s="23"/>
      <c r="AC304" s="23"/>
      <c r="AD304" s="23"/>
      <c r="AE304" s="23"/>
    </row>
    <row r="305" spans="28:31">
      <c r="AB305" s="23"/>
      <c r="AC305" s="23"/>
      <c r="AD305" s="23"/>
      <c r="AE305" s="23"/>
    </row>
    <row r="306" spans="28:31">
      <c r="AB306" s="23"/>
      <c r="AC306" s="23"/>
      <c r="AD306" s="23"/>
      <c r="AE306" s="23"/>
    </row>
    <row r="307" spans="28:31">
      <c r="AB307" s="23"/>
      <c r="AC307" s="23"/>
      <c r="AD307" s="23"/>
      <c r="AE307" s="23"/>
    </row>
    <row r="308" spans="28:31">
      <c r="AB308" s="23"/>
      <c r="AC308" s="23"/>
      <c r="AD308" s="23"/>
      <c r="AE308" s="23"/>
    </row>
    <row r="309" spans="28:31">
      <c r="AB309" s="23"/>
      <c r="AC309" s="23"/>
      <c r="AD309" s="23"/>
      <c r="AE309" s="23"/>
    </row>
    <row r="310" spans="28:31">
      <c r="AB310" s="23"/>
      <c r="AC310" s="23"/>
      <c r="AD310" s="23"/>
      <c r="AE310" s="23"/>
    </row>
    <row r="311" spans="28:31">
      <c r="AB311" s="23"/>
      <c r="AC311" s="23"/>
      <c r="AD311" s="23"/>
      <c r="AE311" s="23"/>
    </row>
    <row r="312" spans="28:31">
      <c r="AB312" s="23"/>
      <c r="AC312" s="23"/>
      <c r="AD312" s="23"/>
      <c r="AE312" s="23"/>
    </row>
    <row r="313" spans="28:31">
      <c r="AB313" s="23"/>
      <c r="AC313" s="23"/>
      <c r="AD313" s="23"/>
      <c r="AE313" s="23"/>
    </row>
    <row r="314" spans="28:31">
      <c r="AB314" s="23"/>
      <c r="AC314" s="23"/>
      <c r="AD314" s="23"/>
      <c r="AE314" s="23"/>
    </row>
    <row r="315" spans="28:31">
      <c r="AB315" s="23"/>
      <c r="AC315" s="23"/>
      <c r="AD315" s="23"/>
      <c r="AE315" s="23"/>
    </row>
    <row r="316" spans="28:31">
      <c r="AB316" s="23"/>
      <c r="AC316" s="23"/>
      <c r="AD316" s="23"/>
      <c r="AE316" s="23"/>
    </row>
    <row r="317" spans="28:31">
      <c r="AB317" s="23"/>
      <c r="AC317" s="23"/>
      <c r="AD317" s="23"/>
      <c r="AE317" s="23"/>
    </row>
    <row r="318" spans="28:31">
      <c r="AB318" s="23"/>
      <c r="AC318" s="23"/>
      <c r="AD318" s="23"/>
      <c r="AE318" s="23"/>
    </row>
    <row r="319" spans="28:31">
      <c r="AB319" s="23"/>
      <c r="AC319" s="23"/>
      <c r="AD319" s="23"/>
      <c r="AE319" s="23"/>
    </row>
    <row r="320" spans="28:31">
      <c r="AB320" s="23"/>
      <c r="AC320" s="23"/>
      <c r="AD320" s="23"/>
      <c r="AE320" s="23"/>
    </row>
    <row r="321" spans="28:31">
      <c r="AB321" s="23"/>
      <c r="AC321" s="23"/>
      <c r="AD321" s="23"/>
      <c r="AE321" s="23"/>
    </row>
    <row r="322" spans="28:31">
      <c r="AB322" s="23"/>
      <c r="AC322" s="23"/>
      <c r="AD322" s="23"/>
      <c r="AE322" s="23"/>
    </row>
    <row r="323" spans="28:31">
      <c r="AB323" s="23"/>
      <c r="AC323" s="23"/>
      <c r="AD323" s="23"/>
      <c r="AE323" s="23"/>
    </row>
    <row r="324" spans="28:31">
      <c r="AB324" s="23"/>
      <c r="AC324" s="23"/>
      <c r="AD324" s="23"/>
      <c r="AE324" s="23"/>
    </row>
    <row r="325" spans="28:31">
      <c r="AB325" s="23"/>
      <c r="AC325" s="23"/>
      <c r="AD325" s="23"/>
      <c r="AE325" s="23"/>
    </row>
    <row r="326" spans="28:31">
      <c r="AB326" s="23"/>
      <c r="AC326" s="23"/>
      <c r="AD326" s="23"/>
      <c r="AE326" s="23"/>
    </row>
    <row r="327" spans="28:31">
      <c r="AB327" s="23"/>
      <c r="AC327" s="23"/>
      <c r="AD327" s="23"/>
      <c r="AE327" s="23"/>
    </row>
    <row r="328" spans="28:31">
      <c r="AB328" s="23"/>
      <c r="AC328" s="23"/>
      <c r="AD328" s="23"/>
      <c r="AE328" s="23"/>
    </row>
    <row r="329" spans="28:31">
      <c r="AB329" s="23"/>
      <c r="AC329" s="23"/>
      <c r="AD329" s="23"/>
      <c r="AE329" s="23"/>
    </row>
    <row r="330" spans="28:31">
      <c r="AB330" s="23"/>
      <c r="AC330" s="23"/>
      <c r="AD330" s="23"/>
      <c r="AE330" s="23"/>
    </row>
    <row r="331" spans="28:31">
      <c r="AB331" s="23"/>
      <c r="AC331" s="23"/>
      <c r="AD331" s="23"/>
      <c r="AE331" s="23"/>
    </row>
    <row r="332" spans="28:31">
      <c r="AB332" s="23"/>
      <c r="AC332" s="23"/>
      <c r="AD332" s="23"/>
      <c r="AE332" s="23"/>
    </row>
    <row r="333" spans="28:31">
      <c r="AB333" s="23"/>
      <c r="AC333" s="23"/>
      <c r="AD333" s="23"/>
      <c r="AE333" s="23"/>
    </row>
    <row r="334" spans="28:31">
      <c r="AB334" s="23"/>
      <c r="AC334" s="23"/>
      <c r="AD334" s="23"/>
      <c r="AE334" s="23"/>
    </row>
    <row r="335" spans="28:31">
      <c r="AB335" s="23"/>
      <c r="AC335" s="23"/>
      <c r="AD335" s="23"/>
      <c r="AE335" s="23"/>
    </row>
    <row r="336" spans="28:31">
      <c r="AB336" s="23"/>
      <c r="AC336" s="23"/>
      <c r="AD336" s="23"/>
      <c r="AE336" s="23"/>
    </row>
    <row r="337" spans="28:31">
      <c r="AB337" s="23"/>
      <c r="AC337" s="23"/>
      <c r="AD337" s="23"/>
      <c r="AE337" s="23"/>
    </row>
    <row r="338" spans="28:31">
      <c r="AB338" s="23"/>
      <c r="AC338" s="23"/>
      <c r="AD338" s="23"/>
      <c r="AE338" s="23"/>
    </row>
    <row r="339" spans="28:31">
      <c r="AB339" s="23"/>
      <c r="AC339" s="23"/>
      <c r="AD339" s="23"/>
      <c r="AE339" s="23"/>
    </row>
    <row r="340" spans="28:31">
      <c r="AB340" s="23"/>
      <c r="AC340" s="23"/>
      <c r="AD340" s="23"/>
      <c r="AE340" s="23"/>
    </row>
    <row r="341" spans="28:31">
      <c r="AB341" s="23"/>
      <c r="AC341" s="23"/>
      <c r="AD341" s="23"/>
      <c r="AE341" s="23"/>
    </row>
    <row r="342" spans="28:31">
      <c r="AB342" s="23"/>
      <c r="AC342" s="23"/>
      <c r="AD342" s="23"/>
      <c r="AE342" s="23"/>
    </row>
    <row r="343" spans="28:31">
      <c r="AB343" s="23"/>
      <c r="AC343" s="23"/>
      <c r="AD343" s="23"/>
      <c r="AE343" s="23"/>
    </row>
    <row r="344" spans="28:31">
      <c r="AB344" s="23"/>
      <c r="AC344" s="23"/>
      <c r="AD344" s="23"/>
      <c r="AE344" s="23"/>
    </row>
    <row r="345" spans="28:31">
      <c r="AB345" s="23"/>
      <c r="AC345" s="23"/>
      <c r="AD345" s="23"/>
      <c r="AE345" s="23"/>
    </row>
    <row r="346" spans="28:31">
      <c r="AB346" s="23"/>
      <c r="AC346" s="23"/>
      <c r="AD346" s="23"/>
      <c r="AE346" s="23"/>
    </row>
    <row r="347" spans="28:31">
      <c r="AB347" s="23"/>
      <c r="AC347" s="23"/>
      <c r="AD347" s="23"/>
      <c r="AE347" s="23"/>
    </row>
    <row r="348" spans="28:31">
      <c r="AB348" s="23"/>
      <c r="AC348" s="23"/>
      <c r="AD348" s="23"/>
      <c r="AE348" s="23"/>
    </row>
    <row r="349" spans="28:31">
      <c r="AB349" s="23"/>
      <c r="AC349" s="23"/>
      <c r="AD349" s="23"/>
      <c r="AE349" s="23"/>
    </row>
    <row r="350" spans="28:31">
      <c r="AB350" s="23"/>
      <c r="AC350" s="23"/>
      <c r="AD350" s="23"/>
      <c r="AE350" s="23"/>
    </row>
    <row r="351" spans="28:31">
      <c r="AB351" s="23"/>
      <c r="AC351" s="23"/>
      <c r="AD351" s="23"/>
      <c r="AE351" s="23"/>
    </row>
    <row r="352" spans="28:31">
      <c r="AB352" s="23"/>
      <c r="AC352" s="23"/>
      <c r="AD352" s="23"/>
      <c r="AE352" s="23"/>
    </row>
    <row r="353" spans="28:31">
      <c r="AB353" s="23"/>
      <c r="AC353" s="23"/>
      <c r="AD353" s="23"/>
      <c r="AE353" s="23"/>
    </row>
    <row r="354" spans="28:31">
      <c r="AB354" s="23"/>
      <c r="AC354" s="23"/>
      <c r="AD354" s="23"/>
      <c r="AE354" s="23"/>
    </row>
    <row r="355" spans="28:31">
      <c r="AB355" s="23"/>
      <c r="AC355" s="23"/>
      <c r="AD355" s="23"/>
      <c r="AE355" s="23"/>
    </row>
    <row r="356" spans="28:31">
      <c r="AB356" s="23"/>
      <c r="AC356" s="23"/>
      <c r="AD356" s="23"/>
      <c r="AE356" s="23"/>
    </row>
    <row r="357" spans="28:31">
      <c r="AB357" s="23"/>
      <c r="AC357" s="23"/>
      <c r="AD357" s="23"/>
      <c r="AE357" s="23"/>
    </row>
    <row r="358" spans="28:31">
      <c r="AB358" s="23"/>
      <c r="AC358" s="23"/>
      <c r="AD358" s="23"/>
      <c r="AE358" s="23"/>
    </row>
    <row r="359" spans="28:31">
      <c r="AB359" s="23"/>
      <c r="AC359" s="23"/>
      <c r="AD359" s="23"/>
      <c r="AE359" s="23"/>
    </row>
    <row r="360" spans="28:31">
      <c r="AB360" s="23"/>
      <c r="AC360" s="23"/>
      <c r="AD360" s="23"/>
      <c r="AE360" s="23"/>
    </row>
    <row r="361" spans="28:31">
      <c r="AB361" s="23"/>
      <c r="AC361" s="23"/>
      <c r="AD361" s="23"/>
      <c r="AE361" s="23"/>
    </row>
    <row r="362" spans="28:31">
      <c r="AB362" s="23"/>
      <c r="AC362" s="23"/>
      <c r="AD362" s="23"/>
      <c r="AE362" s="23"/>
    </row>
    <row r="363" spans="28:31">
      <c r="AB363" s="23"/>
      <c r="AC363" s="23"/>
      <c r="AD363" s="23"/>
      <c r="AE363" s="23"/>
    </row>
    <row r="364" spans="28:31">
      <c r="AB364" s="23"/>
      <c r="AC364" s="23"/>
      <c r="AD364" s="23"/>
      <c r="AE364" s="23"/>
    </row>
    <row r="365" spans="28:31">
      <c r="AB365" s="23"/>
      <c r="AC365" s="23"/>
      <c r="AD365" s="23"/>
      <c r="AE365" s="23"/>
    </row>
    <row r="366" spans="28:31">
      <c r="AB366" s="23"/>
      <c r="AC366" s="23"/>
      <c r="AD366" s="23"/>
      <c r="AE366" s="23"/>
    </row>
    <row r="367" spans="28:31">
      <c r="AB367" s="23"/>
      <c r="AC367" s="23"/>
      <c r="AD367" s="23"/>
      <c r="AE367" s="23"/>
    </row>
    <row r="368" spans="28:31">
      <c r="AB368" s="23"/>
      <c r="AC368" s="23"/>
      <c r="AD368" s="23"/>
      <c r="AE368" s="23"/>
    </row>
    <row r="369" spans="28:31">
      <c r="AB369" s="23"/>
      <c r="AC369" s="23"/>
      <c r="AD369" s="23"/>
      <c r="AE369" s="23"/>
    </row>
    <row r="370" spans="28:31">
      <c r="AB370" s="23"/>
      <c r="AC370" s="23"/>
      <c r="AD370" s="23"/>
      <c r="AE370" s="23"/>
    </row>
    <row r="371" spans="28:31">
      <c r="AB371" s="23"/>
      <c r="AC371" s="23"/>
      <c r="AD371" s="23"/>
      <c r="AE371" s="23"/>
    </row>
    <row r="372" spans="28:31">
      <c r="AB372" s="23"/>
      <c r="AC372" s="23"/>
      <c r="AD372" s="23"/>
      <c r="AE372" s="23"/>
    </row>
    <row r="373" spans="28:31">
      <c r="AB373" s="23"/>
      <c r="AC373" s="23"/>
      <c r="AD373" s="23"/>
      <c r="AE373" s="23"/>
    </row>
    <row r="374" spans="28:31">
      <c r="AB374" s="23"/>
      <c r="AC374" s="23"/>
      <c r="AD374" s="23"/>
      <c r="AE374" s="23"/>
    </row>
    <row r="375" spans="28:31">
      <c r="AB375" s="23"/>
      <c r="AC375" s="23"/>
      <c r="AD375" s="23"/>
      <c r="AE375" s="23"/>
    </row>
    <row r="376" spans="28:31">
      <c r="AB376" s="23"/>
      <c r="AC376" s="23"/>
      <c r="AD376" s="23"/>
      <c r="AE376" s="23"/>
    </row>
    <row r="377" spans="28:31">
      <c r="AB377" s="23"/>
      <c r="AC377" s="23"/>
      <c r="AD377" s="23"/>
      <c r="AE377" s="23"/>
    </row>
    <row r="378" spans="28:31">
      <c r="AB378" s="23"/>
      <c r="AC378" s="23"/>
      <c r="AD378" s="23"/>
      <c r="AE378" s="23"/>
    </row>
    <row r="379" spans="28:31">
      <c r="AB379" s="23"/>
      <c r="AC379" s="23"/>
      <c r="AD379" s="23"/>
      <c r="AE379" s="23"/>
    </row>
    <row r="380" spans="28:31">
      <c r="AB380" s="23"/>
      <c r="AC380" s="23"/>
      <c r="AD380" s="23"/>
      <c r="AE380" s="23"/>
    </row>
    <row r="381" spans="28:31">
      <c r="AB381" s="23"/>
      <c r="AC381" s="23"/>
      <c r="AD381" s="23"/>
      <c r="AE381" s="23"/>
    </row>
    <row r="382" spans="28:31">
      <c r="AB382" s="23"/>
      <c r="AC382" s="23"/>
      <c r="AD382" s="23"/>
      <c r="AE382" s="23"/>
    </row>
    <row r="383" spans="28:31">
      <c r="AB383" s="23"/>
      <c r="AC383" s="23"/>
      <c r="AD383" s="23"/>
      <c r="AE383" s="23"/>
    </row>
    <row r="384" spans="28:31">
      <c r="AB384" s="23"/>
      <c r="AC384" s="23"/>
      <c r="AD384" s="23"/>
      <c r="AE384" s="23"/>
    </row>
    <row r="385" spans="28:31">
      <c r="AB385" s="23"/>
      <c r="AC385" s="23"/>
      <c r="AD385" s="23"/>
      <c r="AE385" s="23"/>
    </row>
    <row r="386" spans="28:31">
      <c r="AB386" s="23"/>
      <c r="AC386" s="23"/>
      <c r="AD386" s="23"/>
      <c r="AE386" s="23"/>
    </row>
    <row r="387" spans="28:31">
      <c r="AB387" s="23"/>
      <c r="AC387" s="23"/>
      <c r="AD387" s="23"/>
      <c r="AE387" s="23"/>
    </row>
    <row r="388" spans="28:31">
      <c r="AB388" s="23"/>
      <c r="AC388" s="23"/>
      <c r="AD388" s="23"/>
      <c r="AE388" s="23"/>
    </row>
    <row r="389" spans="28:31">
      <c r="AB389" s="23"/>
      <c r="AC389" s="23"/>
      <c r="AD389" s="23"/>
      <c r="AE389" s="23"/>
    </row>
    <row r="390" spans="28:31">
      <c r="AB390" s="23"/>
      <c r="AC390" s="23"/>
      <c r="AD390" s="23"/>
      <c r="AE390" s="23"/>
    </row>
    <row r="391" spans="28:31">
      <c r="AB391" s="23"/>
      <c r="AC391" s="23"/>
      <c r="AD391" s="23"/>
      <c r="AE391" s="23"/>
    </row>
    <row r="392" spans="28:31">
      <c r="AB392" s="23"/>
      <c r="AC392" s="23"/>
      <c r="AD392" s="23"/>
      <c r="AE392" s="23"/>
    </row>
    <row r="393" spans="28:31">
      <c r="AB393" s="23"/>
      <c r="AC393" s="23"/>
      <c r="AD393" s="23"/>
      <c r="AE393" s="23"/>
    </row>
    <row r="394" spans="28:31">
      <c r="AB394" s="23"/>
      <c r="AC394" s="23"/>
      <c r="AD394" s="23"/>
      <c r="AE394" s="23"/>
    </row>
    <row r="395" spans="28:31">
      <c r="AB395" s="23"/>
      <c r="AC395" s="23"/>
      <c r="AD395" s="23"/>
      <c r="AE395" s="23"/>
    </row>
    <row r="396" spans="28:31">
      <c r="AB396" s="23"/>
      <c r="AC396" s="23"/>
      <c r="AD396" s="23"/>
      <c r="AE396" s="23"/>
    </row>
    <row r="397" spans="28:31">
      <c r="AB397" s="23"/>
      <c r="AC397" s="23"/>
      <c r="AD397" s="23"/>
      <c r="AE397" s="23"/>
    </row>
    <row r="398" spans="28:31">
      <c r="AB398" s="23"/>
      <c r="AC398" s="23"/>
      <c r="AD398" s="23"/>
      <c r="AE398" s="23"/>
    </row>
    <row r="399" spans="28:31">
      <c r="AB399" s="23"/>
      <c r="AC399" s="23"/>
      <c r="AD399" s="23"/>
      <c r="AE399" s="23"/>
    </row>
    <row r="400" spans="28:31">
      <c r="AB400" s="23"/>
      <c r="AC400" s="23"/>
      <c r="AD400" s="23"/>
      <c r="AE400" s="23"/>
    </row>
    <row r="401" spans="28:31">
      <c r="AB401" s="23"/>
      <c r="AC401" s="23"/>
      <c r="AD401" s="23"/>
      <c r="AE401" s="23"/>
    </row>
    <row r="402" spans="28:31">
      <c r="AB402" s="23"/>
      <c r="AC402" s="23"/>
      <c r="AD402" s="23"/>
      <c r="AE402" s="23"/>
    </row>
    <row r="403" spans="28:31">
      <c r="AB403" s="23"/>
      <c r="AC403" s="23"/>
      <c r="AD403" s="23"/>
      <c r="AE403" s="23"/>
    </row>
    <row r="404" spans="28:31">
      <c r="AB404" s="23"/>
      <c r="AC404" s="23"/>
      <c r="AD404" s="23"/>
      <c r="AE404" s="23"/>
    </row>
    <row r="405" spans="28:31">
      <c r="AB405" s="23"/>
      <c r="AC405" s="23"/>
      <c r="AD405" s="23"/>
      <c r="AE405" s="23"/>
    </row>
    <row r="406" spans="28:31">
      <c r="AB406" s="23"/>
      <c r="AC406" s="23"/>
      <c r="AD406" s="23"/>
      <c r="AE406" s="23"/>
    </row>
    <row r="407" spans="28:31">
      <c r="AB407" s="23"/>
      <c r="AC407" s="23"/>
      <c r="AD407" s="23"/>
      <c r="AE407" s="23"/>
    </row>
    <row r="408" spans="28:31">
      <c r="AB408" s="23"/>
      <c r="AC408" s="23"/>
      <c r="AD408" s="23"/>
      <c r="AE408" s="23"/>
    </row>
    <row r="409" spans="28:31">
      <c r="AB409" s="23"/>
      <c r="AC409" s="23"/>
      <c r="AD409" s="23"/>
      <c r="AE409" s="23"/>
    </row>
    <row r="410" spans="28:31">
      <c r="AB410" s="23"/>
      <c r="AC410" s="23"/>
      <c r="AD410" s="23"/>
      <c r="AE410" s="23"/>
    </row>
    <row r="411" spans="28:31">
      <c r="AB411" s="23"/>
      <c r="AC411" s="23"/>
      <c r="AD411" s="23"/>
      <c r="AE411" s="23"/>
    </row>
    <row r="412" spans="28:31">
      <c r="AB412" s="23"/>
      <c r="AC412" s="23"/>
      <c r="AD412" s="23"/>
      <c r="AE412" s="23"/>
    </row>
    <row r="413" spans="28:31">
      <c r="AB413" s="23"/>
      <c r="AC413" s="23"/>
      <c r="AD413" s="23"/>
      <c r="AE413" s="23"/>
    </row>
    <row r="414" spans="28:31">
      <c r="AB414" s="23"/>
      <c r="AC414" s="23"/>
      <c r="AD414" s="23"/>
      <c r="AE414" s="23"/>
    </row>
    <row r="415" spans="28:31">
      <c r="AB415" s="23"/>
      <c r="AC415" s="23"/>
      <c r="AD415" s="23"/>
      <c r="AE415" s="23"/>
    </row>
    <row r="416" spans="28:31">
      <c r="AB416" s="23"/>
      <c r="AC416" s="23"/>
      <c r="AD416" s="23"/>
      <c r="AE416" s="23"/>
    </row>
    <row r="417" spans="28:31">
      <c r="AB417" s="23"/>
      <c r="AC417" s="23"/>
      <c r="AD417" s="23"/>
      <c r="AE417" s="23"/>
    </row>
    <row r="418" spans="28:31">
      <c r="AB418" s="23"/>
      <c r="AC418" s="23"/>
      <c r="AD418" s="23"/>
      <c r="AE418" s="23"/>
    </row>
    <row r="419" spans="28:31">
      <c r="AB419" s="23"/>
      <c r="AC419" s="23"/>
      <c r="AD419" s="23"/>
      <c r="AE419" s="23"/>
    </row>
    <row r="420" spans="28:31">
      <c r="AB420" s="23"/>
      <c r="AC420" s="23"/>
      <c r="AD420" s="23"/>
      <c r="AE420" s="23"/>
    </row>
    <row r="421" spans="28:31">
      <c r="AB421" s="23"/>
      <c r="AC421" s="23"/>
      <c r="AD421" s="23"/>
      <c r="AE421" s="23"/>
    </row>
    <row r="422" spans="28:31">
      <c r="AB422" s="23"/>
      <c r="AC422" s="23"/>
      <c r="AD422" s="23"/>
      <c r="AE422" s="23"/>
    </row>
    <row r="423" spans="28:31">
      <c r="AB423" s="23"/>
      <c r="AC423" s="23"/>
      <c r="AD423" s="23"/>
      <c r="AE423" s="23"/>
    </row>
    <row r="424" spans="28:31">
      <c r="AB424" s="23"/>
      <c r="AC424" s="23"/>
      <c r="AD424" s="23"/>
      <c r="AE424" s="23"/>
    </row>
    <row r="425" spans="28:31">
      <c r="AB425" s="23"/>
      <c r="AC425" s="23"/>
      <c r="AD425" s="23"/>
      <c r="AE425" s="23"/>
    </row>
    <row r="426" spans="28:31">
      <c r="AB426" s="23"/>
      <c r="AC426" s="23"/>
      <c r="AD426" s="23"/>
      <c r="AE426" s="23"/>
    </row>
    <row r="427" spans="28:31">
      <c r="AB427" s="23"/>
      <c r="AC427" s="23"/>
      <c r="AD427" s="23"/>
      <c r="AE427" s="23"/>
    </row>
    <row r="428" spans="28:31">
      <c r="AB428" s="23"/>
      <c r="AC428" s="23"/>
      <c r="AD428" s="23"/>
      <c r="AE428" s="23"/>
    </row>
    <row r="429" spans="28:31">
      <c r="AB429" s="23"/>
      <c r="AC429" s="23"/>
      <c r="AD429" s="23"/>
      <c r="AE429" s="23"/>
    </row>
    <row r="430" spans="28:31">
      <c r="AB430" s="23"/>
      <c r="AC430" s="23"/>
      <c r="AD430" s="23"/>
      <c r="AE430" s="23"/>
    </row>
    <row r="431" spans="28:31">
      <c r="AB431" s="23"/>
      <c r="AC431" s="23"/>
      <c r="AD431" s="23"/>
      <c r="AE431" s="23"/>
    </row>
    <row r="432" spans="28:31">
      <c r="AB432" s="23"/>
      <c r="AC432" s="23"/>
      <c r="AD432" s="23"/>
      <c r="AE432" s="23"/>
    </row>
    <row r="433" spans="28:31">
      <c r="AB433" s="23"/>
      <c r="AC433" s="23"/>
      <c r="AD433" s="23"/>
      <c r="AE433" s="23"/>
    </row>
    <row r="434" spans="28:31">
      <c r="AB434" s="23"/>
      <c r="AC434" s="23"/>
      <c r="AD434" s="23"/>
      <c r="AE434" s="23"/>
    </row>
    <row r="435" spans="28:31">
      <c r="AB435" s="23"/>
      <c r="AC435" s="23"/>
      <c r="AD435" s="23"/>
      <c r="AE435" s="23"/>
    </row>
    <row r="436" spans="28:31">
      <c r="AB436" s="23"/>
      <c r="AC436" s="23"/>
      <c r="AD436" s="23"/>
      <c r="AE436" s="23"/>
    </row>
    <row r="437" spans="28:31">
      <c r="AB437" s="23"/>
      <c r="AC437" s="23"/>
      <c r="AD437" s="23"/>
      <c r="AE437" s="23"/>
    </row>
    <row r="438" spans="28:31">
      <c r="AB438" s="23"/>
      <c r="AC438" s="23"/>
      <c r="AD438" s="23"/>
      <c r="AE438" s="23"/>
    </row>
    <row r="439" spans="28:31">
      <c r="AB439" s="23"/>
      <c r="AC439" s="23"/>
      <c r="AD439" s="23"/>
      <c r="AE439" s="23"/>
    </row>
    <row r="440" spans="28:31">
      <c r="AB440" s="23"/>
      <c r="AC440" s="23"/>
      <c r="AD440" s="23"/>
      <c r="AE440" s="23"/>
    </row>
    <row r="441" spans="28:31">
      <c r="AB441" s="23"/>
      <c r="AC441" s="23"/>
      <c r="AD441" s="23"/>
      <c r="AE441" s="23"/>
    </row>
    <row r="442" spans="28:31">
      <c r="AB442" s="23"/>
      <c r="AC442" s="23"/>
      <c r="AD442" s="23"/>
      <c r="AE442" s="23"/>
    </row>
    <row r="443" spans="28:31">
      <c r="AB443" s="23"/>
      <c r="AC443" s="23"/>
      <c r="AD443" s="23"/>
      <c r="AE443" s="23"/>
    </row>
    <row r="444" spans="28:31">
      <c r="AB444" s="23"/>
      <c r="AC444" s="23"/>
      <c r="AD444" s="23"/>
      <c r="AE444" s="23"/>
    </row>
    <row r="445" spans="28:31">
      <c r="AB445" s="23"/>
      <c r="AC445" s="23"/>
      <c r="AD445" s="23"/>
      <c r="AE445" s="23"/>
    </row>
    <row r="446" spans="28:31">
      <c r="AB446" s="23"/>
      <c r="AC446" s="23"/>
      <c r="AD446" s="23"/>
      <c r="AE446" s="23"/>
    </row>
    <row r="447" spans="28:31">
      <c r="AB447" s="23"/>
      <c r="AC447" s="23"/>
      <c r="AD447" s="23"/>
      <c r="AE447" s="23"/>
    </row>
    <row r="448" spans="28:31">
      <c r="AB448" s="23"/>
      <c r="AC448" s="23"/>
      <c r="AD448" s="23"/>
      <c r="AE448" s="23"/>
    </row>
    <row r="449" spans="28:31">
      <c r="AB449" s="23"/>
      <c r="AC449" s="23"/>
      <c r="AD449" s="23"/>
      <c r="AE449" s="23"/>
    </row>
    <row r="450" spans="28:31">
      <c r="AB450" s="23"/>
      <c r="AC450" s="23"/>
      <c r="AD450" s="23"/>
      <c r="AE450" s="23"/>
    </row>
    <row r="451" spans="28:31">
      <c r="AB451" s="23"/>
      <c r="AC451" s="23"/>
      <c r="AD451" s="23"/>
      <c r="AE451" s="23"/>
    </row>
    <row r="452" spans="28:31">
      <c r="AB452" s="23"/>
      <c r="AC452" s="23"/>
      <c r="AD452" s="23"/>
      <c r="AE452" s="23"/>
    </row>
    <row r="453" spans="28:31">
      <c r="AB453" s="23"/>
      <c r="AC453" s="23"/>
      <c r="AD453" s="23"/>
      <c r="AE453" s="23"/>
    </row>
    <row r="454" spans="28:31">
      <c r="AB454" s="23"/>
      <c r="AC454" s="23"/>
      <c r="AD454" s="23"/>
      <c r="AE454" s="23"/>
    </row>
    <row r="455" spans="28:31">
      <c r="AB455" s="23"/>
      <c r="AC455" s="23"/>
      <c r="AD455" s="23"/>
      <c r="AE455" s="23"/>
    </row>
    <row r="456" spans="28:31">
      <c r="AB456" s="23"/>
      <c r="AC456" s="23"/>
      <c r="AD456" s="23"/>
      <c r="AE456" s="23"/>
    </row>
    <row r="457" spans="28:31">
      <c r="AB457" s="23"/>
      <c r="AC457" s="23"/>
      <c r="AD457" s="23"/>
      <c r="AE457" s="23"/>
    </row>
    <row r="458" spans="28:31">
      <c r="AB458" s="23"/>
      <c r="AC458" s="23"/>
      <c r="AD458" s="23"/>
      <c r="AE458" s="23"/>
    </row>
    <row r="459" spans="28:31">
      <c r="AB459" s="23"/>
      <c r="AC459" s="23"/>
      <c r="AD459" s="23"/>
      <c r="AE459" s="23"/>
    </row>
    <row r="460" spans="28:31">
      <c r="AB460" s="23"/>
      <c r="AC460" s="23"/>
      <c r="AD460" s="23"/>
      <c r="AE460" s="23"/>
    </row>
    <row r="461" spans="28:31">
      <c r="AB461" s="23"/>
      <c r="AC461" s="23"/>
      <c r="AD461" s="23"/>
      <c r="AE461" s="23"/>
    </row>
    <row r="462" spans="28:31">
      <c r="AB462" s="23"/>
      <c r="AC462" s="23"/>
      <c r="AD462" s="23"/>
      <c r="AE462" s="23"/>
    </row>
    <row r="463" spans="28:31">
      <c r="AB463" s="23"/>
      <c r="AC463" s="23"/>
      <c r="AD463" s="23"/>
      <c r="AE463" s="23"/>
    </row>
    <row r="464" spans="28:31">
      <c r="AB464" s="23"/>
      <c r="AC464" s="23"/>
      <c r="AD464" s="23"/>
      <c r="AE464" s="23"/>
    </row>
    <row r="465" spans="28:31">
      <c r="AB465" s="23"/>
      <c r="AC465" s="23"/>
      <c r="AD465" s="23"/>
      <c r="AE465" s="23"/>
    </row>
    <row r="466" spans="28:31">
      <c r="AB466" s="23"/>
      <c r="AC466" s="23"/>
      <c r="AD466" s="23"/>
      <c r="AE466" s="23"/>
    </row>
    <row r="467" spans="28:31">
      <c r="AB467" s="23"/>
      <c r="AC467" s="23"/>
      <c r="AD467" s="23"/>
      <c r="AE467" s="23"/>
    </row>
    <row r="468" spans="28:31">
      <c r="AB468" s="23"/>
      <c r="AC468" s="23"/>
      <c r="AD468" s="23"/>
      <c r="AE468" s="23"/>
    </row>
    <row r="469" spans="28:31">
      <c r="AB469" s="23"/>
      <c r="AC469" s="23"/>
      <c r="AD469" s="23"/>
      <c r="AE469" s="23"/>
    </row>
    <row r="470" spans="28:31">
      <c r="AB470" s="23"/>
      <c r="AC470" s="23"/>
      <c r="AD470" s="23"/>
      <c r="AE470" s="23"/>
    </row>
    <row r="471" spans="28:31">
      <c r="AB471" s="23"/>
      <c r="AC471" s="23"/>
      <c r="AD471" s="23"/>
      <c r="AE471" s="23"/>
    </row>
    <row r="472" spans="28:31">
      <c r="AB472" s="23"/>
      <c r="AC472" s="23"/>
      <c r="AD472" s="23"/>
      <c r="AE472" s="23"/>
    </row>
    <row r="473" spans="28:31">
      <c r="AB473" s="23"/>
      <c r="AC473" s="23"/>
      <c r="AD473" s="23"/>
      <c r="AE473" s="23"/>
    </row>
    <row r="474" spans="28:31">
      <c r="AB474" s="23"/>
      <c r="AC474" s="23"/>
      <c r="AD474" s="23"/>
      <c r="AE474" s="23"/>
    </row>
    <row r="475" spans="28:31">
      <c r="AB475" s="23"/>
      <c r="AC475" s="23"/>
      <c r="AD475" s="23"/>
      <c r="AE475" s="23"/>
    </row>
    <row r="476" spans="28:31">
      <c r="AB476" s="23"/>
      <c r="AC476" s="23"/>
      <c r="AD476" s="23"/>
      <c r="AE476" s="23"/>
    </row>
    <row r="477" spans="28:31">
      <c r="AB477" s="23"/>
      <c r="AC477" s="23"/>
      <c r="AD477" s="23"/>
      <c r="AE477" s="23"/>
    </row>
    <row r="478" spans="28:31">
      <c r="AB478" s="23"/>
      <c r="AC478" s="23"/>
      <c r="AD478" s="23"/>
      <c r="AE478" s="23"/>
    </row>
    <row r="479" spans="28:31">
      <c r="AB479" s="23"/>
      <c r="AC479" s="23"/>
      <c r="AD479" s="23"/>
      <c r="AE479" s="23"/>
    </row>
    <row r="480" spans="28:31">
      <c r="AB480" s="23"/>
      <c r="AC480" s="23"/>
      <c r="AD480" s="23"/>
      <c r="AE480" s="23"/>
    </row>
    <row r="481" spans="28:31">
      <c r="AB481" s="23"/>
      <c r="AC481" s="23"/>
      <c r="AD481" s="23"/>
      <c r="AE481" s="23"/>
    </row>
    <row r="482" spans="28:31">
      <c r="AB482" s="23"/>
      <c r="AC482" s="23"/>
      <c r="AD482" s="23"/>
      <c r="AE482" s="23"/>
    </row>
    <row r="483" spans="28:31">
      <c r="AB483" s="23"/>
      <c r="AC483" s="23"/>
      <c r="AD483" s="23"/>
      <c r="AE483" s="23"/>
    </row>
    <row r="484" spans="28:31">
      <c r="AB484" s="23"/>
      <c r="AC484" s="23"/>
      <c r="AD484" s="23"/>
      <c r="AE484" s="23"/>
    </row>
    <row r="485" spans="28:31">
      <c r="AB485" s="23"/>
      <c r="AC485" s="23"/>
      <c r="AD485" s="23"/>
      <c r="AE485" s="23"/>
    </row>
    <row r="486" spans="28:31">
      <c r="AB486" s="23"/>
      <c r="AC486" s="23"/>
      <c r="AD486" s="23"/>
      <c r="AE486" s="23"/>
    </row>
    <row r="487" spans="28:31">
      <c r="AB487" s="23"/>
      <c r="AC487" s="23"/>
      <c r="AD487" s="23"/>
      <c r="AE487" s="23"/>
    </row>
    <row r="488" spans="28:31">
      <c r="AB488" s="23"/>
      <c r="AC488" s="23"/>
      <c r="AD488" s="23"/>
      <c r="AE488" s="23"/>
    </row>
    <row r="489" spans="28:31">
      <c r="AB489" s="23"/>
      <c r="AC489" s="23"/>
      <c r="AD489" s="23"/>
      <c r="AE489" s="23"/>
    </row>
    <row r="490" spans="28:31">
      <c r="AB490" s="23"/>
      <c r="AC490" s="23"/>
      <c r="AD490" s="23"/>
      <c r="AE490" s="23"/>
    </row>
    <row r="491" spans="28:31">
      <c r="AB491" s="23"/>
      <c r="AC491" s="23"/>
      <c r="AD491" s="23"/>
      <c r="AE491" s="23"/>
    </row>
    <row r="492" spans="28:31">
      <c r="AB492" s="23"/>
      <c r="AC492" s="23"/>
      <c r="AD492" s="23"/>
      <c r="AE492" s="23"/>
    </row>
    <row r="493" spans="28:31">
      <c r="AB493" s="23"/>
      <c r="AC493" s="23"/>
      <c r="AD493" s="23"/>
      <c r="AE493" s="23"/>
    </row>
    <row r="494" spans="28:31">
      <c r="AB494" s="23"/>
      <c r="AC494" s="23"/>
      <c r="AD494" s="23"/>
      <c r="AE494" s="23"/>
    </row>
    <row r="495" spans="28:31">
      <c r="AB495" s="23"/>
      <c r="AC495" s="23"/>
      <c r="AD495" s="23"/>
      <c r="AE495" s="23"/>
    </row>
    <row r="496" spans="28:31">
      <c r="AB496" s="23"/>
      <c r="AC496" s="23"/>
      <c r="AD496" s="23"/>
      <c r="AE496" s="23"/>
    </row>
    <row r="497" spans="28:31">
      <c r="AB497" s="23"/>
      <c r="AC497" s="23"/>
      <c r="AD497" s="23"/>
      <c r="AE497" s="23"/>
    </row>
    <row r="498" spans="28:31">
      <c r="AB498" s="23"/>
      <c r="AC498" s="23"/>
      <c r="AD498" s="23"/>
      <c r="AE498" s="23"/>
    </row>
    <row r="499" spans="28:31">
      <c r="AB499" s="23"/>
      <c r="AC499" s="23"/>
      <c r="AD499" s="23"/>
      <c r="AE499" s="23"/>
    </row>
    <row r="500" spans="28:31">
      <c r="AB500" s="23"/>
      <c r="AC500" s="23"/>
      <c r="AD500" s="23"/>
      <c r="AE500" s="23"/>
    </row>
    <row r="501" spans="28:31">
      <c r="AB501" s="23"/>
      <c r="AC501" s="23"/>
      <c r="AD501" s="23"/>
      <c r="AE501" s="23"/>
    </row>
    <row r="502" spans="28:31">
      <c r="AB502" s="23"/>
      <c r="AC502" s="23"/>
      <c r="AD502" s="23"/>
      <c r="AE502" s="23"/>
    </row>
    <row r="503" spans="28:31">
      <c r="AB503" s="23"/>
      <c r="AC503" s="23"/>
      <c r="AD503" s="23"/>
      <c r="AE503" s="23"/>
    </row>
    <row r="504" spans="28:31">
      <c r="AB504" s="23"/>
      <c r="AC504" s="23"/>
      <c r="AD504" s="23"/>
      <c r="AE504" s="23"/>
    </row>
    <row r="505" spans="28:31">
      <c r="AB505" s="23"/>
      <c r="AC505" s="23"/>
      <c r="AD505" s="23"/>
      <c r="AE505" s="23"/>
    </row>
    <row r="506" spans="28:31">
      <c r="AB506" s="23"/>
      <c r="AC506" s="23"/>
      <c r="AD506" s="23"/>
      <c r="AE506" s="23"/>
    </row>
    <row r="507" spans="28:31">
      <c r="AB507" s="23"/>
      <c r="AC507" s="23"/>
      <c r="AD507" s="23"/>
      <c r="AE507" s="23"/>
    </row>
    <row r="508" spans="28:31">
      <c r="AB508" s="23"/>
      <c r="AC508" s="23"/>
      <c r="AD508" s="23"/>
      <c r="AE508" s="23"/>
    </row>
    <row r="509" spans="28:31">
      <c r="AB509" s="23"/>
      <c r="AC509" s="23"/>
      <c r="AD509" s="23"/>
      <c r="AE509" s="23"/>
    </row>
    <row r="510" spans="28:31">
      <c r="AB510" s="23"/>
      <c r="AC510" s="23"/>
      <c r="AD510" s="23"/>
      <c r="AE510" s="23"/>
    </row>
    <row r="511" spans="28:31">
      <c r="AB511" s="23"/>
      <c r="AC511" s="23"/>
      <c r="AD511" s="23"/>
      <c r="AE511" s="23"/>
    </row>
    <row r="512" spans="28:31">
      <c r="AB512" s="23"/>
      <c r="AC512" s="23"/>
      <c r="AD512" s="23"/>
      <c r="AE512" s="23"/>
    </row>
    <row r="513" spans="28:31">
      <c r="AB513" s="23"/>
      <c r="AC513" s="23"/>
      <c r="AD513" s="23"/>
      <c r="AE513" s="23"/>
    </row>
    <row r="514" spans="28:31">
      <c r="AB514" s="23"/>
      <c r="AC514" s="23"/>
      <c r="AD514" s="23"/>
      <c r="AE514" s="23"/>
    </row>
    <row r="515" spans="28:31">
      <c r="AB515" s="23"/>
      <c r="AC515" s="23"/>
      <c r="AD515" s="23"/>
      <c r="AE515" s="23"/>
    </row>
    <row r="516" spans="28:31">
      <c r="AB516" s="23"/>
      <c r="AC516" s="23"/>
      <c r="AD516" s="23"/>
      <c r="AE516" s="23"/>
    </row>
    <row r="517" spans="28:31">
      <c r="AB517" s="23"/>
      <c r="AC517" s="23"/>
      <c r="AD517" s="23"/>
      <c r="AE517" s="23"/>
    </row>
    <row r="518" spans="28:31">
      <c r="AB518" s="23"/>
      <c r="AC518" s="23"/>
      <c r="AD518" s="23"/>
      <c r="AE518" s="23"/>
    </row>
    <row r="519" spans="28:31">
      <c r="AB519" s="23"/>
      <c r="AC519" s="23"/>
      <c r="AD519" s="23"/>
      <c r="AE519" s="23"/>
    </row>
    <row r="520" spans="28:31">
      <c r="AB520" s="23"/>
      <c r="AC520" s="23"/>
      <c r="AD520" s="23"/>
      <c r="AE520" s="23"/>
    </row>
    <row r="521" spans="28:31">
      <c r="AB521" s="23"/>
      <c r="AC521" s="23"/>
      <c r="AD521" s="23"/>
      <c r="AE521" s="23"/>
    </row>
    <row r="522" spans="28:31">
      <c r="AB522" s="23"/>
      <c r="AC522" s="23"/>
      <c r="AD522" s="23"/>
      <c r="AE522" s="23"/>
    </row>
    <row r="523" spans="28:31">
      <c r="AB523" s="23"/>
      <c r="AC523" s="23"/>
      <c r="AD523" s="23"/>
      <c r="AE523" s="23"/>
    </row>
    <row r="524" spans="28:31">
      <c r="AB524" s="23"/>
      <c r="AC524" s="23"/>
      <c r="AD524" s="23"/>
      <c r="AE524" s="23"/>
    </row>
    <row r="525" spans="28:31">
      <c r="AB525" s="23"/>
      <c r="AC525" s="23"/>
      <c r="AD525" s="23"/>
      <c r="AE525" s="23"/>
    </row>
    <row r="526" spans="28:31">
      <c r="AB526" s="23"/>
      <c r="AC526" s="23"/>
      <c r="AD526" s="23"/>
      <c r="AE526" s="23"/>
    </row>
    <row r="527" spans="28:31">
      <c r="AB527" s="23"/>
      <c r="AC527" s="23"/>
      <c r="AD527" s="23"/>
      <c r="AE527" s="23"/>
    </row>
    <row r="528" spans="28:31">
      <c r="AB528" s="23"/>
      <c r="AC528" s="23"/>
      <c r="AD528" s="23"/>
      <c r="AE528" s="23"/>
    </row>
    <row r="529" spans="28:31">
      <c r="AB529" s="23"/>
      <c r="AC529" s="23"/>
      <c r="AD529" s="23"/>
      <c r="AE529" s="23"/>
    </row>
    <row r="530" spans="28:31">
      <c r="AB530" s="23"/>
      <c r="AC530" s="23"/>
      <c r="AD530" s="23"/>
      <c r="AE530" s="23"/>
    </row>
    <row r="531" spans="28:31">
      <c r="AB531" s="23"/>
      <c r="AC531" s="23"/>
      <c r="AD531" s="23"/>
      <c r="AE531" s="23"/>
    </row>
    <row r="532" spans="28:31">
      <c r="AB532" s="23"/>
      <c r="AC532" s="23"/>
      <c r="AD532" s="23"/>
      <c r="AE532" s="23"/>
    </row>
    <row r="533" spans="28:31">
      <c r="AB533" s="23"/>
      <c r="AC533" s="23"/>
      <c r="AD533" s="23"/>
      <c r="AE533" s="23"/>
    </row>
    <row r="534" spans="28:31">
      <c r="AB534" s="23"/>
      <c r="AC534" s="23"/>
      <c r="AD534" s="23"/>
      <c r="AE534" s="23"/>
    </row>
    <row r="535" spans="28:31">
      <c r="AB535" s="23"/>
      <c r="AC535" s="23"/>
      <c r="AD535" s="23"/>
      <c r="AE535" s="23"/>
    </row>
    <row r="536" spans="28:31">
      <c r="AB536" s="23"/>
      <c r="AC536" s="23"/>
      <c r="AD536" s="23"/>
      <c r="AE536" s="23"/>
    </row>
    <row r="537" spans="28:31">
      <c r="AB537" s="23"/>
      <c r="AC537" s="23"/>
      <c r="AD537" s="23"/>
      <c r="AE537" s="23"/>
    </row>
    <row r="538" spans="28:31">
      <c r="AB538" s="23"/>
      <c r="AC538" s="23"/>
      <c r="AD538" s="23"/>
      <c r="AE538" s="23"/>
    </row>
    <row r="539" spans="28:31">
      <c r="AB539" s="23"/>
      <c r="AC539" s="23"/>
      <c r="AD539" s="23"/>
      <c r="AE539" s="23"/>
    </row>
    <row r="540" spans="28:31">
      <c r="AB540" s="23"/>
      <c r="AC540" s="23"/>
      <c r="AD540" s="23"/>
      <c r="AE540" s="23"/>
    </row>
    <row r="541" spans="28:31">
      <c r="AB541" s="23"/>
      <c r="AC541" s="23"/>
      <c r="AD541" s="23"/>
      <c r="AE541" s="23"/>
    </row>
    <row r="542" spans="28:31">
      <c r="AB542" s="23"/>
      <c r="AC542" s="23"/>
      <c r="AD542" s="23"/>
      <c r="AE542" s="23"/>
    </row>
    <row r="543" spans="28:31">
      <c r="AB543" s="23"/>
      <c r="AC543" s="23"/>
      <c r="AD543" s="23"/>
      <c r="AE543" s="23"/>
    </row>
    <row r="544" spans="28:31">
      <c r="AB544" s="23"/>
      <c r="AC544" s="23"/>
      <c r="AD544" s="23"/>
      <c r="AE544" s="23"/>
    </row>
    <row r="545" spans="28:31">
      <c r="AB545" s="23"/>
      <c r="AC545" s="23"/>
      <c r="AD545" s="23"/>
      <c r="AE545" s="23"/>
    </row>
    <row r="546" spans="28:31">
      <c r="AB546" s="23"/>
      <c r="AC546" s="23"/>
      <c r="AD546" s="23"/>
      <c r="AE546" s="23"/>
    </row>
    <row r="547" spans="28:31">
      <c r="AB547" s="23"/>
      <c r="AC547" s="23"/>
      <c r="AD547" s="23"/>
      <c r="AE547" s="23"/>
    </row>
    <row r="548" spans="28:31">
      <c r="AB548" s="23"/>
      <c r="AC548" s="23"/>
      <c r="AD548" s="23"/>
      <c r="AE548" s="23"/>
    </row>
    <row r="549" spans="28:31">
      <c r="AB549" s="23"/>
      <c r="AC549" s="23"/>
      <c r="AD549" s="23"/>
      <c r="AE549" s="23"/>
    </row>
    <row r="550" spans="28:31">
      <c r="AB550" s="23"/>
      <c r="AC550" s="23"/>
      <c r="AD550" s="23"/>
      <c r="AE550" s="23"/>
    </row>
    <row r="551" spans="28:31">
      <c r="AB551" s="23"/>
      <c r="AC551" s="23"/>
      <c r="AD551" s="23"/>
      <c r="AE551" s="23"/>
    </row>
    <row r="552" spans="28:31">
      <c r="AB552" s="23"/>
      <c r="AC552" s="23"/>
      <c r="AD552" s="23"/>
      <c r="AE552" s="23"/>
    </row>
    <row r="553" spans="28:31">
      <c r="AB553" s="23"/>
      <c r="AC553" s="23"/>
      <c r="AD553" s="23"/>
      <c r="AE553" s="23"/>
    </row>
    <row r="554" spans="28:31">
      <c r="AB554" s="23"/>
      <c r="AC554" s="23"/>
      <c r="AD554" s="23"/>
      <c r="AE554" s="23"/>
    </row>
    <row r="555" spans="28:31">
      <c r="AB555" s="23"/>
      <c r="AC555" s="23"/>
      <c r="AD555" s="23"/>
      <c r="AE555" s="23"/>
    </row>
    <row r="556" spans="28:31">
      <c r="AB556" s="23"/>
      <c r="AC556" s="23"/>
      <c r="AD556" s="23"/>
      <c r="AE556" s="23"/>
    </row>
    <row r="557" spans="28:31">
      <c r="AB557" s="23"/>
      <c r="AC557" s="23"/>
      <c r="AD557" s="23"/>
      <c r="AE557" s="23"/>
    </row>
    <row r="558" spans="28:31">
      <c r="AB558" s="23"/>
      <c r="AC558" s="23"/>
      <c r="AD558" s="23"/>
      <c r="AE558" s="23"/>
    </row>
    <row r="559" spans="28:31">
      <c r="AB559" s="23"/>
      <c r="AC559" s="23"/>
      <c r="AD559" s="23"/>
      <c r="AE559" s="23"/>
    </row>
    <row r="560" spans="28:31">
      <c r="AB560" s="23"/>
      <c r="AC560" s="23"/>
      <c r="AD560" s="23"/>
      <c r="AE560" s="23"/>
    </row>
    <row r="561" spans="28:31">
      <c r="AB561" s="23"/>
      <c r="AC561" s="23"/>
      <c r="AD561" s="23"/>
      <c r="AE561" s="23"/>
    </row>
    <row r="562" spans="28:31">
      <c r="AB562" s="23"/>
      <c r="AC562" s="23"/>
      <c r="AD562" s="23"/>
      <c r="AE562" s="23"/>
    </row>
    <row r="563" spans="28:31">
      <c r="AB563" s="23"/>
      <c r="AC563" s="23"/>
      <c r="AD563" s="23"/>
      <c r="AE563" s="23"/>
    </row>
    <row r="564" spans="28:31">
      <c r="AB564" s="23"/>
      <c r="AC564" s="23"/>
      <c r="AD564" s="23"/>
      <c r="AE564" s="23"/>
    </row>
    <row r="565" spans="28:31">
      <c r="AB565" s="23"/>
      <c r="AC565" s="23"/>
      <c r="AD565" s="23"/>
      <c r="AE565" s="23"/>
    </row>
    <row r="566" spans="28:31">
      <c r="AB566" s="23"/>
      <c r="AC566" s="23"/>
      <c r="AD566" s="23"/>
      <c r="AE566" s="23"/>
    </row>
    <row r="567" spans="28:31">
      <c r="AB567" s="23"/>
      <c r="AC567" s="23"/>
      <c r="AD567" s="23"/>
      <c r="AE567" s="23"/>
    </row>
    <row r="568" spans="28:31">
      <c r="AB568" s="23"/>
      <c r="AC568" s="23"/>
      <c r="AD568" s="23"/>
      <c r="AE568" s="23"/>
    </row>
    <row r="569" spans="28:31">
      <c r="AB569" s="23"/>
      <c r="AC569" s="23"/>
      <c r="AD569" s="23"/>
      <c r="AE569" s="23"/>
    </row>
    <row r="570" spans="28:31">
      <c r="AB570" s="23"/>
      <c r="AC570" s="23"/>
      <c r="AD570" s="23"/>
      <c r="AE570" s="23"/>
    </row>
    <row r="571" spans="28:31">
      <c r="AB571" s="23"/>
      <c r="AC571" s="23"/>
      <c r="AD571" s="23"/>
      <c r="AE571" s="23"/>
    </row>
    <row r="572" spans="28:31">
      <c r="AB572" s="23"/>
      <c r="AC572" s="23"/>
      <c r="AD572" s="23"/>
      <c r="AE572" s="23"/>
    </row>
    <row r="573" spans="28:31">
      <c r="AB573" s="23"/>
      <c r="AC573" s="23"/>
      <c r="AD573" s="23"/>
      <c r="AE573" s="23"/>
    </row>
    <row r="574" spans="28:31">
      <c r="AB574" s="23"/>
      <c r="AC574" s="23"/>
      <c r="AD574" s="23"/>
      <c r="AE574" s="23"/>
    </row>
    <row r="575" spans="28:31">
      <c r="AB575" s="23"/>
      <c r="AC575" s="23"/>
      <c r="AD575" s="23"/>
      <c r="AE575" s="23"/>
    </row>
    <row r="576" spans="28:31">
      <c r="AB576" s="23"/>
      <c r="AC576" s="23"/>
      <c r="AD576" s="23"/>
      <c r="AE576" s="23"/>
    </row>
    <row r="577" spans="28:31">
      <c r="AB577" s="23"/>
      <c r="AC577" s="23"/>
      <c r="AD577" s="23"/>
      <c r="AE577" s="23"/>
    </row>
    <row r="578" spans="28:31">
      <c r="AB578" s="23"/>
      <c r="AC578" s="23"/>
      <c r="AD578" s="23"/>
      <c r="AE578" s="23"/>
    </row>
    <row r="579" spans="28:31">
      <c r="AB579" s="23"/>
      <c r="AC579" s="23"/>
      <c r="AD579" s="23"/>
      <c r="AE579" s="23"/>
    </row>
    <row r="580" spans="28:31">
      <c r="AB580" s="23"/>
      <c r="AC580" s="23"/>
      <c r="AD580" s="23"/>
      <c r="AE580" s="23"/>
    </row>
    <row r="581" spans="28:31">
      <c r="AB581" s="23"/>
      <c r="AC581" s="23"/>
      <c r="AD581" s="23"/>
      <c r="AE581" s="23"/>
    </row>
    <row r="582" spans="28:31">
      <c r="AB582" s="23"/>
      <c r="AC582" s="23"/>
      <c r="AD582" s="23"/>
      <c r="AE582" s="23"/>
    </row>
    <row r="583" spans="28:31">
      <c r="AB583" s="23"/>
      <c r="AC583" s="23"/>
      <c r="AD583" s="23"/>
      <c r="AE583" s="23"/>
    </row>
    <row r="584" spans="28:31">
      <c r="AB584" s="23"/>
      <c r="AC584" s="23"/>
      <c r="AD584" s="23"/>
      <c r="AE584" s="23"/>
    </row>
    <row r="585" spans="28:31">
      <c r="AB585" s="23"/>
      <c r="AC585" s="23"/>
      <c r="AD585" s="23"/>
      <c r="AE585" s="23"/>
    </row>
    <row r="586" spans="28:31">
      <c r="AB586" s="23"/>
      <c r="AC586" s="23"/>
      <c r="AD586" s="23"/>
      <c r="AE586" s="23"/>
    </row>
    <row r="587" spans="28:31">
      <c r="AB587" s="23"/>
      <c r="AC587" s="23"/>
      <c r="AD587" s="23"/>
      <c r="AE587" s="23"/>
    </row>
    <row r="588" spans="28:31">
      <c r="AB588" s="23"/>
      <c r="AC588" s="23"/>
      <c r="AD588" s="23"/>
      <c r="AE588" s="23"/>
    </row>
    <row r="589" spans="28:31">
      <c r="AB589" s="23"/>
      <c r="AC589" s="23"/>
      <c r="AD589" s="23"/>
      <c r="AE589" s="23"/>
    </row>
    <row r="590" spans="28:31">
      <c r="AB590" s="23"/>
      <c r="AC590" s="23"/>
      <c r="AD590" s="23"/>
      <c r="AE590" s="23"/>
    </row>
    <row r="591" spans="28:31">
      <c r="AB591" s="23"/>
      <c r="AC591" s="23"/>
      <c r="AD591" s="23"/>
      <c r="AE591" s="23"/>
    </row>
    <row r="592" spans="28:31">
      <c r="AB592" s="23"/>
      <c r="AC592" s="23"/>
      <c r="AD592" s="23"/>
      <c r="AE592" s="23"/>
    </row>
    <row r="593" spans="28:31">
      <c r="AB593" s="23"/>
      <c r="AC593" s="23"/>
      <c r="AD593" s="23"/>
      <c r="AE593" s="23"/>
    </row>
    <row r="594" spans="28:31">
      <c r="AB594" s="23"/>
      <c r="AC594" s="23"/>
      <c r="AD594" s="23"/>
      <c r="AE594" s="23"/>
    </row>
    <row r="595" spans="28:31">
      <c r="AB595" s="23"/>
      <c r="AC595" s="23"/>
      <c r="AD595" s="23"/>
      <c r="AE595" s="23"/>
    </row>
    <row r="596" spans="28:31">
      <c r="AB596" s="23"/>
      <c r="AC596" s="23"/>
      <c r="AD596" s="23"/>
      <c r="AE596" s="23"/>
    </row>
    <row r="597" spans="28:31">
      <c r="AB597" s="23"/>
      <c r="AC597" s="23"/>
      <c r="AD597" s="23"/>
      <c r="AE597" s="23"/>
    </row>
    <row r="598" spans="28:31">
      <c r="AB598" s="23"/>
      <c r="AC598" s="23"/>
      <c r="AD598" s="23"/>
      <c r="AE598" s="23"/>
    </row>
    <row r="599" spans="28:31">
      <c r="AB599" s="23"/>
      <c r="AC599" s="23"/>
      <c r="AD599" s="23"/>
      <c r="AE599" s="23"/>
    </row>
    <row r="600" spans="28:31">
      <c r="AB600" s="23"/>
      <c r="AC600" s="23"/>
      <c r="AD600" s="23"/>
      <c r="AE600" s="23"/>
    </row>
    <row r="601" spans="28:31">
      <c r="AB601" s="23"/>
      <c r="AC601" s="23"/>
      <c r="AD601" s="23"/>
      <c r="AE601" s="23"/>
    </row>
    <row r="602" spans="28:31">
      <c r="AB602" s="23"/>
      <c r="AC602" s="23"/>
      <c r="AD602" s="23"/>
      <c r="AE602" s="23"/>
    </row>
    <row r="603" spans="28:31">
      <c r="AB603" s="23"/>
      <c r="AC603" s="23"/>
      <c r="AD603" s="23"/>
      <c r="AE603" s="23"/>
    </row>
    <row r="604" spans="28:31">
      <c r="AB604" s="23"/>
      <c r="AC604" s="23"/>
      <c r="AD604" s="23"/>
      <c r="AE604" s="23"/>
    </row>
    <row r="605" spans="28:31">
      <c r="AB605" s="23"/>
      <c r="AC605" s="23"/>
      <c r="AD605" s="23"/>
      <c r="AE605" s="23"/>
    </row>
    <row r="606" spans="28:31">
      <c r="AB606" s="23"/>
      <c r="AC606" s="23"/>
      <c r="AD606" s="23"/>
      <c r="AE606" s="23"/>
    </row>
    <row r="607" spans="28:31">
      <c r="AB607" s="23"/>
      <c r="AC607" s="23"/>
      <c r="AD607" s="23"/>
      <c r="AE607" s="23"/>
    </row>
    <row r="608" spans="28:31">
      <c r="AB608" s="23"/>
      <c r="AC608" s="23"/>
      <c r="AD608" s="23"/>
      <c r="AE608" s="23"/>
    </row>
    <row r="609" spans="28:31">
      <c r="AB609" s="23"/>
      <c r="AC609" s="23"/>
      <c r="AD609" s="23"/>
      <c r="AE609" s="23"/>
    </row>
    <row r="610" spans="28:31">
      <c r="AB610" s="23"/>
      <c r="AC610" s="23"/>
      <c r="AD610" s="23"/>
      <c r="AE610" s="23"/>
    </row>
    <row r="611" spans="28:31">
      <c r="AB611" s="23"/>
      <c r="AC611" s="23"/>
      <c r="AD611" s="23"/>
      <c r="AE611" s="23"/>
    </row>
    <row r="612" spans="28:31">
      <c r="AB612" s="23"/>
      <c r="AC612" s="23"/>
      <c r="AD612" s="23"/>
      <c r="AE612" s="23"/>
    </row>
    <row r="613" spans="28:31">
      <c r="AB613" s="23"/>
      <c r="AC613" s="23"/>
      <c r="AD613" s="23"/>
      <c r="AE613" s="23"/>
    </row>
    <row r="614" spans="28:31">
      <c r="AB614" s="23"/>
      <c r="AC614" s="23"/>
      <c r="AD614" s="23"/>
      <c r="AE614" s="23"/>
    </row>
    <row r="615" spans="28:31">
      <c r="AB615" s="23"/>
      <c r="AC615" s="23"/>
      <c r="AD615" s="23"/>
      <c r="AE615" s="23"/>
    </row>
    <row r="616" spans="28:31">
      <c r="AB616" s="23"/>
      <c r="AC616" s="23"/>
      <c r="AD616" s="23"/>
      <c r="AE616" s="23"/>
    </row>
    <row r="617" spans="28:31">
      <c r="AB617" s="23"/>
      <c r="AC617" s="23"/>
      <c r="AD617" s="23"/>
      <c r="AE617" s="23"/>
    </row>
    <row r="618" spans="28:31">
      <c r="AB618" s="23"/>
      <c r="AC618" s="23"/>
      <c r="AD618" s="23"/>
      <c r="AE618" s="23"/>
    </row>
    <row r="619" spans="28:31">
      <c r="AB619" s="23"/>
      <c r="AC619" s="23"/>
      <c r="AD619" s="23"/>
      <c r="AE619" s="23"/>
    </row>
    <row r="620" spans="28:31">
      <c r="AB620" s="23"/>
      <c r="AC620" s="23"/>
      <c r="AD620" s="23"/>
      <c r="AE620" s="23"/>
    </row>
    <row r="621" spans="28:31">
      <c r="AB621" s="23"/>
      <c r="AC621" s="23"/>
      <c r="AD621" s="23"/>
      <c r="AE621" s="23"/>
    </row>
    <row r="622" spans="28:31">
      <c r="AB622" s="23"/>
      <c r="AC622" s="23"/>
      <c r="AD622" s="23"/>
      <c r="AE622" s="23"/>
    </row>
    <row r="623" spans="28:31">
      <c r="AB623" s="23"/>
      <c r="AC623" s="23"/>
      <c r="AD623" s="23"/>
      <c r="AE623" s="23"/>
    </row>
    <row r="624" spans="28:31">
      <c r="AB624" s="23"/>
      <c r="AC624" s="23"/>
      <c r="AD624" s="23"/>
      <c r="AE624" s="23"/>
    </row>
    <row r="625" spans="28:31">
      <c r="AB625" s="23"/>
      <c r="AC625" s="23"/>
      <c r="AD625" s="23"/>
      <c r="AE625" s="23"/>
    </row>
    <row r="626" spans="28:31">
      <c r="AB626" s="23"/>
      <c r="AC626" s="23"/>
      <c r="AD626" s="23"/>
      <c r="AE626" s="23"/>
    </row>
    <row r="627" spans="28:31">
      <c r="AB627" s="23"/>
      <c r="AC627" s="23"/>
      <c r="AD627" s="23"/>
      <c r="AE627" s="23"/>
    </row>
    <row r="628" spans="28:31">
      <c r="AB628" s="23"/>
      <c r="AC628" s="23"/>
      <c r="AD628" s="23"/>
      <c r="AE628" s="23"/>
    </row>
    <row r="629" spans="28:31">
      <c r="AB629" s="23"/>
      <c r="AC629" s="23"/>
      <c r="AD629" s="23"/>
      <c r="AE629" s="23"/>
    </row>
    <row r="630" spans="28:31">
      <c r="AB630" s="23"/>
      <c r="AC630" s="23"/>
      <c r="AD630" s="23"/>
      <c r="AE630" s="23"/>
    </row>
    <row r="631" spans="28:31">
      <c r="AB631" s="23"/>
      <c r="AC631" s="23"/>
      <c r="AD631" s="23"/>
      <c r="AE631" s="23"/>
    </row>
    <row r="632" spans="28:31">
      <c r="AB632" s="23"/>
      <c r="AC632" s="23"/>
      <c r="AD632" s="23"/>
      <c r="AE632" s="23"/>
    </row>
    <row r="633" spans="28:31">
      <c r="AB633" s="23"/>
      <c r="AC633" s="23"/>
      <c r="AD633" s="23"/>
      <c r="AE633" s="23"/>
    </row>
    <row r="634" spans="28:31">
      <c r="AB634" s="23"/>
      <c r="AC634" s="23"/>
      <c r="AD634" s="23"/>
      <c r="AE634" s="23"/>
    </row>
    <row r="635" spans="28:31">
      <c r="AB635" s="23"/>
      <c r="AC635" s="23"/>
      <c r="AD635" s="23"/>
      <c r="AE635" s="23"/>
    </row>
    <row r="636" spans="28:31">
      <c r="AB636" s="23"/>
      <c r="AC636" s="23"/>
      <c r="AD636" s="23"/>
      <c r="AE636" s="23"/>
    </row>
    <row r="637" spans="28:31">
      <c r="AB637" s="23"/>
      <c r="AC637" s="23"/>
      <c r="AD637" s="23"/>
      <c r="AE637" s="23"/>
    </row>
    <row r="638" spans="28:31">
      <c r="AB638" s="23"/>
      <c r="AC638" s="23"/>
      <c r="AD638" s="23"/>
      <c r="AE638" s="23"/>
    </row>
    <row r="639" spans="28:31">
      <c r="AB639" s="23"/>
      <c r="AC639" s="23"/>
      <c r="AD639" s="23"/>
      <c r="AE639" s="23"/>
    </row>
    <row r="640" spans="28:31">
      <c r="AB640" s="23"/>
      <c r="AC640" s="23"/>
      <c r="AD640" s="23"/>
      <c r="AE640" s="23"/>
    </row>
    <row r="641" spans="28:31">
      <c r="AB641" s="23"/>
      <c r="AC641" s="23"/>
      <c r="AD641" s="23"/>
      <c r="AE641" s="23"/>
    </row>
    <row r="642" spans="28:31">
      <c r="AB642" s="23"/>
      <c r="AC642" s="23"/>
      <c r="AD642" s="23"/>
      <c r="AE642" s="23"/>
    </row>
    <row r="643" spans="28:31">
      <c r="AB643" s="23"/>
      <c r="AC643" s="23"/>
      <c r="AD643" s="23"/>
      <c r="AE643" s="23"/>
    </row>
    <row r="644" spans="28:31">
      <c r="AB644" s="23"/>
      <c r="AC644" s="23"/>
      <c r="AD644" s="23"/>
      <c r="AE644" s="23"/>
    </row>
    <row r="645" spans="28:31">
      <c r="AB645" s="23"/>
      <c r="AC645" s="23"/>
      <c r="AD645" s="23"/>
      <c r="AE645" s="23"/>
    </row>
    <row r="646" spans="28:31">
      <c r="AB646" s="23"/>
      <c r="AC646" s="23"/>
      <c r="AD646" s="23"/>
      <c r="AE646" s="23"/>
    </row>
    <row r="647" spans="28:31">
      <c r="AB647" s="23"/>
      <c r="AC647" s="23"/>
      <c r="AD647" s="23"/>
      <c r="AE647" s="23"/>
    </row>
    <row r="648" spans="28:31">
      <c r="AB648" s="23"/>
      <c r="AC648" s="23"/>
      <c r="AD648" s="23"/>
      <c r="AE648" s="23"/>
    </row>
    <row r="649" spans="28:31">
      <c r="AB649" s="23"/>
      <c r="AC649" s="23"/>
      <c r="AD649" s="23"/>
      <c r="AE649" s="23"/>
    </row>
    <row r="650" spans="28:31">
      <c r="AB650" s="23"/>
      <c r="AC650" s="23"/>
      <c r="AD650" s="23"/>
      <c r="AE650" s="23"/>
    </row>
    <row r="651" spans="28:31">
      <c r="AB651" s="23"/>
      <c r="AC651" s="23"/>
      <c r="AD651" s="23"/>
      <c r="AE651" s="23"/>
    </row>
    <row r="652" spans="28:31">
      <c r="AB652" s="23"/>
      <c r="AC652" s="23"/>
      <c r="AD652" s="23"/>
      <c r="AE652" s="23"/>
    </row>
    <row r="653" spans="28:31">
      <c r="AB653" s="23"/>
      <c r="AC653" s="23"/>
      <c r="AD653" s="23"/>
      <c r="AE653" s="23"/>
    </row>
    <row r="654" spans="28:31">
      <c r="AB654" s="23"/>
      <c r="AC654" s="23"/>
      <c r="AD654" s="23"/>
      <c r="AE654" s="23"/>
    </row>
    <row r="655" spans="28:31">
      <c r="AB655" s="23"/>
      <c r="AC655" s="23"/>
      <c r="AD655" s="23"/>
      <c r="AE655" s="23"/>
    </row>
    <row r="656" spans="28:31">
      <c r="AB656" s="23"/>
      <c r="AC656" s="23"/>
      <c r="AD656" s="23"/>
      <c r="AE656" s="23"/>
    </row>
    <row r="657" spans="28:31">
      <c r="AB657" s="23"/>
      <c r="AC657" s="23"/>
      <c r="AD657" s="23"/>
      <c r="AE657" s="23"/>
    </row>
    <row r="658" spans="28:31">
      <c r="AB658" s="23"/>
      <c r="AC658" s="23"/>
      <c r="AD658" s="23"/>
      <c r="AE658" s="23"/>
    </row>
    <row r="659" spans="28:31">
      <c r="AB659" s="23"/>
      <c r="AC659" s="23"/>
      <c r="AD659" s="23"/>
      <c r="AE659" s="23"/>
    </row>
    <row r="660" spans="28:31">
      <c r="AB660" s="23"/>
      <c r="AC660" s="23"/>
      <c r="AD660" s="23"/>
      <c r="AE660" s="23"/>
    </row>
    <row r="661" spans="28:31">
      <c r="AB661" s="23"/>
      <c r="AC661" s="23"/>
      <c r="AD661" s="23"/>
      <c r="AE661" s="23"/>
    </row>
    <row r="662" spans="28:31">
      <c r="AB662" s="23"/>
      <c r="AC662" s="23"/>
      <c r="AD662" s="23"/>
      <c r="AE662" s="23"/>
    </row>
    <row r="663" spans="28:31">
      <c r="AB663" s="23"/>
      <c r="AC663" s="23"/>
      <c r="AD663" s="23"/>
      <c r="AE663" s="23"/>
    </row>
    <row r="664" spans="28:31">
      <c r="AB664" s="23"/>
      <c r="AC664" s="23"/>
      <c r="AD664" s="23"/>
      <c r="AE664" s="23"/>
    </row>
    <row r="665" spans="28:31">
      <c r="AB665" s="23"/>
      <c r="AC665" s="23"/>
      <c r="AD665" s="23"/>
      <c r="AE665" s="23"/>
    </row>
    <row r="666" spans="28:31">
      <c r="AB666" s="23"/>
      <c r="AC666" s="23"/>
      <c r="AD666" s="23"/>
      <c r="AE666" s="23"/>
    </row>
    <row r="667" spans="28:31">
      <c r="AB667" s="23"/>
      <c r="AC667" s="23"/>
      <c r="AD667" s="23"/>
      <c r="AE667" s="23"/>
    </row>
    <row r="668" spans="28:31">
      <c r="AB668" s="23"/>
      <c r="AC668" s="23"/>
      <c r="AD668" s="23"/>
      <c r="AE668" s="23"/>
    </row>
    <row r="669" spans="28:31">
      <c r="AB669" s="23"/>
      <c r="AC669" s="23"/>
      <c r="AD669" s="23"/>
      <c r="AE669" s="23"/>
    </row>
    <row r="670" spans="28:31">
      <c r="AB670" s="23"/>
      <c r="AC670" s="23"/>
      <c r="AD670" s="23"/>
      <c r="AE670" s="23"/>
    </row>
    <row r="671" spans="28:31">
      <c r="AB671" s="23"/>
      <c r="AC671" s="23"/>
      <c r="AD671" s="23"/>
      <c r="AE671" s="23"/>
    </row>
    <row r="672" spans="28:31">
      <c r="AB672" s="23"/>
      <c r="AC672" s="23"/>
      <c r="AD672" s="23"/>
      <c r="AE672" s="23"/>
    </row>
    <row r="673" spans="28:31">
      <c r="AB673" s="23"/>
      <c r="AC673" s="23"/>
      <c r="AD673" s="23"/>
      <c r="AE673" s="23"/>
    </row>
    <row r="674" spans="28:31">
      <c r="AB674" s="23"/>
      <c r="AC674" s="23"/>
      <c r="AD674" s="23"/>
      <c r="AE674" s="23"/>
    </row>
    <row r="675" spans="28:31">
      <c r="AB675" s="23"/>
      <c r="AC675" s="23"/>
      <c r="AD675" s="23"/>
      <c r="AE675" s="23"/>
    </row>
    <row r="676" spans="28:31">
      <c r="AB676" s="23"/>
      <c r="AC676" s="23"/>
      <c r="AD676" s="23"/>
      <c r="AE676" s="23"/>
    </row>
    <row r="677" spans="28:31">
      <c r="AB677" s="23"/>
      <c r="AC677" s="23"/>
      <c r="AD677" s="23"/>
      <c r="AE677" s="23"/>
    </row>
    <row r="678" spans="28:31">
      <c r="AB678" s="23"/>
      <c r="AC678" s="23"/>
      <c r="AD678" s="23"/>
      <c r="AE678" s="23"/>
    </row>
    <row r="679" spans="28:31">
      <c r="AB679" s="23"/>
      <c r="AC679" s="23"/>
      <c r="AD679" s="23"/>
      <c r="AE679" s="23"/>
    </row>
    <row r="680" spans="28:31">
      <c r="AB680" s="23"/>
      <c r="AC680" s="23"/>
      <c r="AD680" s="23"/>
      <c r="AE680" s="23"/>
    </row>
    <row r="681" spans="28:31">
      <c r="AB681" s="23"/>
      <c r="AC681" s="23"/>
      <c r="AD681" s="23"/>
      <c r="AE681" s="23"/>
    </row>
    <row r="682" spans="28:31">
      <c r="AB682" s="23"/>
      <c r="AC682" s="23"/>
      <c r="AD682" s="23"/>
      <c r="AE682" s="23"/>
    </row>
    <row r="683" spans="28:31">
      <c r="AB683" s="23"/>
      <c r="AC683" s="23"/>
      <c r="AD683" s="23"/>
      <c r="AE683" s="23"/>
    </row>
    <row r="684" spans="28:31">
      <c r="AB684" s="23"/>
      <c r="AC684" s="23"/>
      <c r="AD684" s="23"/>
      <c r="AE684" s="23"/>
    </row>
    <row r="685" spans="28:31">
      <c r="AB685" s="23"/>
      <c r="AC685" s="23"/>
      <c r="AD685" s="23"/>
      <c r="AE685" s="23"/>
    </row>
    <row r="686" spans="28:31">
      <c r="AB686" s="23"/>
      <c r="AC686" s="23"/>
      <c r="AD686" s="23"/>
      <c r="AE686" s="23"/>
    </row>
    <row r="687" spans="28:31">
      <c r="AB687" s="23"/>
      <c r="AC687" s="23"/>
      <c r="AD687" s="23"/>
      <c r="AE687" s="23"/>
    </row>
    <row r="688" spans="28:31">
      <c r="AB688" s="23"/>
      <c r="AC688" s="23"/>
      <c r="AD688" s="23"/>
      <c r="AE688" s="23"/>
    </row>
    <row r="689" spans="28:31">
      <c r="AB689" s="23"/>
      <c r="AC689" s="23"/>
      <c r="AD689" s="23"/>
      <c r="AE689" s="23"/>
    </row>
    <row r="690" spans="28:31">
      <c r="AB690" s="23"/>
      <c r="AC690" s="23"/>
      <c r="AD690" s="23"/>
      <c r="AE690" s="23"/>
    </row>
    <row r="691" spans="28:31">
      <c r="AB691" s="23"/>
      <c r="AC691" s="23"/>
      <c r="AD691" s="23"/>
      <c r="AE691" s="23"/>
    </row>
    <row r="692" spans="28:31">
      <c r="AB692" s="23"/>
      <c r="AC692" s="23"/>
      <c r="AD692" s="23"/>
      <c r="AE692" s="23"/>
    </row>
    <row r="693" spans="28:31">
      <c r="AB693" s="23"/>
      <c r="AC693" s="23"/>
      <c r="AD693" s="23"/>
      <c r="AE693" s="23"/>
    </row>
    <row r="694" spans="28:31">
      <c r="AB694" s="23"/>
      <c r="AC694" s="23"/>
      <c r="AD694" s="23"/>
      <c r="AE694" s="23"/>
    </row>
    <row r="695" spans="28:31">
      <c r="AB695" s="23"/>
      <c r="AC695" s="23"/>
      <c r="AD695" s="23"/>
      <c r="AE695" s="23"/>
    </row>
    <row r="696" spans="28:31">
      <c r="AB696" s="23"/>
      <c r="AC696" s="23"/>
      <c r="AD696" s="23"/>
      <c r="AE696" s="23"/>
    </row>
    <row r="697" spans="28:31">
      <c r="AB697" s="23"/>
      <c r="AC697" s="23"/>
      <c r="AD697" s="23"/>
      <c r="AE697" s="23"/>
    </row>
    <row r="698" spans="28:31">
      <c r="AB698" s="23"/>
      <c r="AC698" s="23"/>
      <c r="AD698" s="23"/>
      <c r="AE698" s="23"/>
    </row>
    <row r="699" spans="28:31">
      <c r="AB699" s="23"/>
      <c r="AC699" s="23"/>
      <c r="AD699" s="23"/>
      <c r="AE699" s="23"/>
    </row>
    <row r="700" spans="28:31">
      <c r="AB700" s="23"/>
      <c r="AC700" s="23"/>
      <c r="AD700" s="23"/>
      <c r="AE700" s="23"/>
    </row>
    <row r="701" spans="28:31">
      <c r="AB701" s="23"/>
      <c r="AC701" s="23"/>
      <c r="AD701" s="23"/>
      <c r="AE701" s="23"/>
    </row>
    <row r="702" spans="28:31">
      <c r="AB702" s="23"/>
      <c r="AC702" s="23"/>
      <c r="AD702" s="23"/>
      <c r="AE702" s="23"/>
    </row>
    <row r="703" spans="28:31">
      <c r="AB703" s="23"/>
      <c r="AC703" s="23"/>
      <c r="AD703" s="23"/>
      <c r="AE703" s="23"/>
    </row>
    <row r="704" spans="28:31">
      <c r="AB704" s="23"/>
      <c r="AC704" s="23"/>
      <c r="AD704" s="23"/>
      <c r="AE704" s="23"/>
    </row>
    <row r="705" spans="28:31">
      <c r="AB705" s="23"/>
      <c r="AC705" s="23"/>
      <c r="AD705" s="23"/>
      <c r="AE705" s="23"/>
    </row>
    <row r="706" spans="28:31">
      <c r="AB706" s="23"/>
      <c r="AC706" s="23"/>
      <c r="AD706" s="23"/>
      <c r="AE706" s="23"/>
    </row>
    <row r="707" spans="28:31">
      <c r="AB707" s="23"/>
      <c r="AC707" s="23"/>
      <c r="AD707" s="23"/>
      <c r="AE707" s="23"/>
    </row>
    <row r="708" spans="28:31">
      <c r="AB708" s="23"/>
      <c r="AC708" s="23"/>
      <c r="AD708" s="23"/>
      <c r="AE708" s="23"/>
    </row>
    <row r="709" spans="28:31">
      <c r="AB709" s="23"/>
      <c r="AC709" s="23"/>
      <c r="AD709" s="23"/>
      <c r="AE709" s="23"/>
    </row>
    <row r="710" spans="28:31">
      <c r="AB710" s="23"/>
      <c r="AC710" s="23"/>
      <c r="AD710" s="23"/>
      <c r="AE710" s="23"/>
    </row>
    <row r="711" spans="28:31">
      <c r="AB711" s="23"/>
      <c r="AC711" s="23"/>
      <c r="AD711" s="23"/>
      <c r="AE711" s="23"/>
    </row>
    <row r="712" spans="28:31">
      <c r="AB712" s="23"/>
      <c r="AC712" s="23"/>
      <c r="AD712" s="23"/>
      <c r="AE712" s="23"/>
    </row>
    <row r="713" spans="28:31">
      <c r="AB713" s="23"/>
      <c r="AC713" s="23"/>
      <c r="AD713" s="23"/>
      <c r="AE713" s="23"/>
    </row>
    <row r="714" spans="28:31">
      <c r="AB714" s="23"/>
      <c r="AC714" s="23"/>
      <c r="AD714" s="23"/>
      <c r="AE714" s="23"/>
    </row>
    <row r="715" spans="28:31">
      <c r="AB715" s="23"/>
      <c r="AC715" s="23"/>
      <c r="AD715" s="23"/>
      <c r="AE715" s="23"/>
    </row>
    <row r="716" spans="28:31">
      <c r="AB716" s="23"/>
      <c r="AC716" s="23"/>
      <c r="AD716" s="23"/>
      <c r="AE716" s="23"/>
    </row>
    <row r="717" spans="28:31">
      <c r="AB717" s="23"/>
      <c r="AC717" s="23"/>
      <c r="AD717" s="23"/>
      <c r="AE717" s="23"/>
    </row>
    <row r="718" spans="28:31">
      <c r="AB718" s="23"/>
      <c r="AC718" s="23"/>
      <c r="AD718" s="23"/>
      <c r="AE718" s="23"/>
    </row>
    <row r="719" spans="28:31">
      <c r="AB719" s="23"/>
      <c r="AC719" s="23"/>
      <c r="AD719" s="23"/>
      <c r="AE719" s="23"/>
    </row>
    <row r="720" spans="28:31">
      <c r="AB720" s="23"/>
      <c r="AC720" s="23"/>
      <c r="AD720" s="23"/>
      <c r="AE720" s="23"/>
    </row>
    <row r="721" spans="28:31">
      <c r="AB721" s="23"/>
      <c r="AC721" s="23"/>
      <c r="AD721" s="23"/>
      <c r="AE721" s="23"/>
    </row>
    <row r="722" spans="28:31">
      <c r="AB722" s="23"/>
      <c r="AC722" s="23"/>
      <c r="AD722" s="23"/>
      <c r="AE722" s="23"/>
    </row>
    <row r="723" spans="28:31">
      <c r="AB723" s="23"/>
      <c r="AC723" s="23"/>
      <c r="AD723" s="23"/>
      <c r="AE723" s="23"/>
    </row>
    <row r="724" spans="28:31">
      <c r="AB724" s="23"/>
      <c r="AC724" s="23"/>
      <c r="AD724" s="23"/>
      <c r="AE724" s="23"/>
    </row>
    <row r="725" spans="28:31">
      <c r="AB725" s="23"/>
      <c r="AC725" s="23"/>
      <c r="AD725" s="23"/>
      <c r="AE725" s="23"/>
    </row>
    <row r="726" spans="28:31">
      <c r="AB726" s="23"/>
      <c r="AC726" s="23"/>
      <c r="AD726" s="23"/>
      <c r="AE726" s="23"/>
    </row>
    <row r="727" spans="28:31">
      <c r="AB727" s="23"/>
      <c r="AC727" s="23"/>
      <c r="AD727" s="23"/>
      <c r="AE727" s="23"/>
    </row>
    <row r="728" spans="28:31">
      <c r="AB728" s="23"/>
      <c r="AC728" s="23"/>
      <c r="AD728" s="23"/>
      <c r="AE728" s="23"/>
    </row>
    <row r="729" spans="28:31">
      <c r="AB729" s="23"/>
      <c r="AC729" s="23"/>
      <c r="AD729" s="23"/>
      <c r="AE729" s="23"/>
    </row>
    <row r="730" spans="28:31">
      <c r="AB730" s="23"/>
      <c r="AC730" s="23"/>
      <c r="AD730" s="23"/>
      <c r="AE730" s="23"/>
    </row>
    <row r="731" spans="28:31">
      <c r="AB731" s="23"/>
      <c r="AC731" s="23"/>
      <c r="AD731" s="23"/>
      <c r="AE731" s="23"/>
    </row>
    <row r="732" spans="28:31">
      <c r="AB732" s="23"/>
      <c r="AC732" s="23"/>
      <c r="AD732" s="23"/>
      <c r="AE732" s="23"/>
    </row>
    <row r="733" spans="28:31">
      <c r="AB733" s="23"/>
      <c r="AC733" s="23"/>
      <c r="AD733" s="23"/>
      <c r="AE733" s="23"/>
    </row>
    <row r="734" spans="28:31">
      <c r="AB734" s="23"/>
      <c r="AC734" s="23"/>
      <c r="AD734" s="23"/>
      <c r="AE734" s="23"/>
    </row>
    <row r="735" spans="28:31">
      <c r="AB735" s="23"/>
      <c r="AC735" s="23"/>
      <c r="AD735" s="23"/>
      <c r="AE735" s="23"/>
    </row>
    <row r="736" spans="28:31">
      <c r="AB736" s="23"/>
      <c r="AC736" s="23"/>
      <c r="AD736" s="23"/>
      <c r="AE736" s="23"/>
    </row>
    <row r="737" spans="28:31">
      <c r="AB737" s="23"/>
      <c r="AC737" s="23"/>
      <c r="AD737" s="23"/>
      <c r="AE737" s="23"/>
    </row>
    <row r="738" spans="28:31">
      <c r="AB738" s="23"/>
      <c r="AC738" s="23"/>
      <c r="AD738" s="23"/>
      <c r="AE738" s="23"/>
    </row>
    <row r="739" spans="28:31">
      <c r="AB739" s="23"/>
      <c r="AC739" s="23"/>
      <c r="AD739" s="23"/>
      <c r="AE739" s="23"/>
    </row>
    <row r="740" spans="28:31">
      <c r="AB740" s="23"/>
      <c r="AC740" s="23"/>
      <c r="AD740" s="23"/>
      <c r="AE740" s="23"/>
    </row>
    <row r="741" spans="28:31">
      <c r="AB741" s="23"/>
      <c r="AC741" s="23"/>
      <c r="AD741" s="23"/>
      <c r="AE741" s="23"/>
    </row>
    <row r="742" spans="28:31">
      <c r="AB742" s="23"/>
      <c r="AC742" s="23"/>
      <c r="AD742" s="23"/>
      <c r="AE742" s="23"/>
    </row>
    <row r="743" spans="28:31">
      <c r="AB743" s="23"/>
      <c r="AC743" s="23"/>
      <c r="AD743" s="23"/>
      <c r="AE743" s="23"/>
    </row>
    <row r="744" spans="28:31">
      <c r="AB744" s="23"/>
      <c r="AC744" s="23"/>
      <c r="AD744" s="23"/>
      <c r="AE744" s="23"/>
    </row>
    <row r="745" spans="28:31">
      <c r="AB745" s="23"/>
      <c r="AC745" s="23"/>
      <c r="AD745" s="23"/>
      <c r="AE745" s="23"/>
    </row>
    <row r="746" spans="28:31">
      <c r="AB746" s="23"/>
      <c r="AC746" s="23"/>
      <c r="AD746" s="23"/>
      <c r="AE746" s="23"/>
    </row>
    <row r="747" spans="28:31">
      <c r="AB747" s="23"/>
      <c r="AC747" s="23"/>
      <c r="AD747" s="23"/>
      <c r="AE747" s="23"/>
    </row>
    <row r="748" spans="28:31">
      <c r="AB748" s="23"/>
      <c r="AC748" s="23"/>
      <c r="AD748" s="23"/>
      <c r="AE748" s="23"/>
    </row>
    <row r="749" spans="28:31">
      <c r="AB749" s="23"/>
      <c r="AC749" s="23"/>
      <c r="AD749" s="23"/>
      <c r="AE749" s="23"/>
    </row>
    <row r="750" spans="28:31">
      <c r="AB750" s="23"/>
      <c r="AC750" s="23"/>
      <c r="AD750" s="23"/>
      <c r="AE750" s="23"/>
    </row>
    <row r="751" spans="28:31">
      <c r="AB751" s="23"/>
      <c r="AC751" s="23"/>
      <c r="AD751" s="23"/>
      <c r="AE751" s="23"/>
    </row>
    <row r="752" spans="28:31">
      <c r="AB752" s="23"/>
      <c r="AC752" s="23"/>
      <c r="AD752" s="23"/>
      <c r="AE752" s="23"/>
    </row>
    <row r="753" spans="28:31">
      <c r="AB753" s="23"/>
      <c r="AC753" s="23"/>
      <c r="AD753" s="23"/>
      <c r="AE753" s="23"/>
    </row>
    <row r="754" spans="28:31">
      <c r="AB754" s="23"/>
      <c r="AC754" s="23"/>
      <c r="AD754" s="23"/>
      <c r="AE754" s="23"/>
    </row>
    <row r="755" spans="28:31">
      <c r="AB755" s="23"/>
      <c r="AC755" s="23"/>
      <c r="AD755" s="23"/>
      <c r="AE755" s="23"/>
    </row>
    <row r="756" spans="28:31">
      <c r="AB756" s="23"/>
      <c r="AC756" s="23"/>
      <c r="AD756" s="23"/>
      <c r="AE756" s="23"/>
    </row>
    <row r="757" spans="28:31">
      <c r="AB757" s="23"/>
      <c r="AC757" s="23"/>
      <c r="AD757" s="23"/>
      <c r="AE757" s="23"/>
    </row>
    <row r="758" spans="28:31">
      <c r="AB758" s="23"/>
      <c r="AC758" s="23"/>
      <c r="AD758" s="23"/>
      <c r="AE758" s="23"/>
    </row>
    <row r="759" spans="28:31">
      <c r="AB759" s="23"/>
      <c r="AC759" s="23"/>
      <c r="AD759" s="23"/>
      <c r="AE759" s="23"/>
    </row>
    <row r="760" spans="28:31">
      <c r="AB760" s="23"/>
      <c r="AC760" s="23"/>
      <c r="AD760" s="23"/>
      <c r="AE760" s="23"/>
    </row>
    <row r="761" spans="28:31">
      <c r="AB761" s="23"/>
      <c r="AC761" s="23"/>
      <c r="AD761" s="23"/>
      <c r="AE761" s="23"/>
    </row>
    <row r="762" spans="28:31">
      <c r="AB762" s="23"/>
      <c r="AC762" s="23"/>
      <c r="AD762" s="23"/>
      <c r="AE762" s="23"/>
    </row>
    <row r="763" spans="28:31">
      <c r="AB763" s="23"/>
      <c r="AC763" s="23"/>
      <c r="AD763" s="23"/>
      <c r="AE763" s="23"/>
    </row>
    <row r="764" spans="28:31">
      <c r="AB764" s="23"/>
      <c r="AC764" s="23"/>
      <c r="AD764" s="23"/>
      <c r="AE764" s="23"/>
    </row>
    <row r="765" spans="28:31">
      <c r="AB765" s="23"/>
      <c r="AC765" s="23"/>
      <c r="AD765" s="23"/>
      <c r="AE765" s="23"/>
    </row>
    <row r="766" spans="28:31">
      <c r="AB766" s="23"/>
      <c r="AC766" s="23"/>
      <c r="AD766" s="23"/>
      <c r="AE766" s="23"/>
    </row>
    <row r="767" spans="28:31">
      <c r="AB767" s="23"/>
      <c r="AC767" s="23"/>
      <c r="AD767" s="23"/>
      <c r="AE767" s="23"/>
    </row>
    <row r="768" spans="28:31">
      <c r="AB768" s="23"/>
      <c r="AC768" s="23"/>
      <c r="AD768" s="23"/>
      <c r="AE768" s="23"/>
    </row>
    <row r="769" spans="28:31">
      <c r="AB769" s="23"/>
      <c r="AC769" s="23"/>
      <c r="AD769" s="23"/>
      <c r="AE769" s="23"/>
    </row>
    <row r="770" spans="28:31">
      <c r="AB770" s="23"/>
      <c r="AC770" s="23"/>
      <c r="AD770" s="23"/>
      <c r="AE770" s="23"/>
    </row>
    <row r="771" spans="28:31">
      <c r="AB771" s="23"/>
      <c r="AC771" s="23"/>
      <c r="AD771" s="23"/>
      <c r="AE771" s="23"/>
    </row>
    <row r="772" spans="28:31">
      <c r="AB772" s="23"/>
      <c r="AC772" s="23"/>
      <c r="AD772" s="23"/>
      <c r="AE772" s="23"/>
    </row>
    <row r="773" spans="28:31">
      <c r="AB773" s="23"/>
      <c r="AC773" s="23"/>
      <c r="AD773" s="23"/>
      <c r="AE773" s="23"/>
    </row>
    <row r="774" spans="28:31">
      <c r="AB774" s="23"/>
      <c r="AC774" s="23"/>
      <c r="AD774" s="23"/>
      <c r="AE774" s="23"/>
    </row>
    <row r="775" spans="28:31">
      <c r="AB775" s="23"/>
      <c r="AC775" s="23"/>
      <c r="AD775" s="23"/>
      <c r="AE775" s="23"/>
    </row>
    <row r="776" spans="28:31">
      <c r="AB776" s="23"/>
      <c r="AC776" s="23"/>
      <c r="AD776" s="23"/>
      <c r="AE776" s="23"/>
    </row>
    <row r="777" spans="28:31">
      <c r="AB777" s="23"/>
      <c r="AC777" s="23"/>
      <c r="AD777" s="23"/>
      <c r="AE777" s="23"/>
    </row>
    <row r="778" spans="28:31">
      <c r="AB778" s="23"/>
      <c r="AC778" s="23"/>
      <c r="AD778" s="23"/>
      <c r="AE778" s="23"/>
    </row>
    <row r="779" spans="28:31">
      <c r="AB779" s="23"/>
      <c r="AC779" s="23"/>
      <c r="AD779" s="23"/>
      <c r="AE779" s="23"/>
    </row>
    <row r="780" spans="28:31">
      <c r="AB780" s="23"/>
      <c r="AC780" s="23"/>
      <c r="AD780" s="23"/>
      <c r="AE780" s="23"/>
    </row>
    <row r="781" spans="28:31">
      <c r="AB781" s="23"/>
      <c r="AC781" s="23"/>
      <c r="AD781" s="23"/>
      <c r="AE781" s="23"/>
    </row>
    <row r="782" spans="28:31">
      <c r="AB782" s="23"/>
      <c r="AC782" s="23"/>
      <c r="AD782" s="23"/>
      <c r="AE782" s="23"/>
    </row>
    <row r="783" spans="28:31">
      <c r="AB783" s="23"/>
      <c r="AC783" s="23"/>
      <c r="AD783" s="23"/>
      <c r="AE783" s="23"/>
    </row>
    <row r="784" spans="28:31">
      <c r="AB784" s="23"/>
      <c r="AC784" s="23"/>
      <c r="AD784" s="23"/>
      <c r="AE784" s="23"/>
    </row>
    <row r="785" spans="28:31">
      <c r="AB785" s="23"/>
      <c r="AC785" s="23"/>
      <c r="AD785" s="23"/>
      <c r="AE785" s="23"/>
    </row>
    <row r="786" spans="28:31">
      <c r="AB786" s="23"/>
      <c r="AC786" s="23"/>
      <c r="AD786" s="23"/>
      <c r="AE786" s="23"/>
    </row>
    <row r="787" spans="28:31">
      <c r="AB787" s="23"/>
      <c r="AC787" s="23"/>
      <c r="AD787" s="23"/>
      <c r="AE787" s="23"/>
    </row>
    <row r="788" spans="28:31">
      <c r="AB788" s="23"/>
      <c r="AC788" s="23"/>
      <c r="AD788" s="23"/>
      <c r="AE788" s="23"/>
    </row>
    <row r="789" spans="28:31">
      <c r="AB789" s="23"/>
      <c r="AC789" s="23"/>
      <c r="AD789" s="23"/>
      <c r="AE789" s="23"/>
    </row>
    <row r="790" spans="28:31">
      <c r="AB790" s="23"/>
      <c r="AC790" s="23"/>
      <c r="AD790" s="23"/>
      <c r="AE790" s="23"/>
    </row>
    <row r="791" spans="28:31">
      <c r="AB791" s="23"/>
      <c r="AC791" s="23"/>
      <c r="AD791" s="23"/>
      <c r="AE791" s="23"/>
    </row>
    <row r="792" spans="28:31">
      <c r="AB792" s="23"/>
      <c r="AC792" s="23"/>
      <c r="AD792" s="23"/>
      <c r="AE792" s="23"/>
    </row>
    <row r="793" spans="28:31">
      <c r="AB793" s="23"/>
      <c r="AC793" s="23"/>
      <c r="AD793" s="23"/>
      <c r="AE793" s="23"/>
    </row>
    <row r="794" spans="28:31">
      <c r="AB794" s="23"/>
      <c r="AC794" s="23"/>
      <c r="AD794" s="23"/>
      <c r="AE794" s="23"/>
    </row>
    <row r="795" spans="28:31">
      <c r="AB795" s="23"/>
      <c r="AC795" s="23"/>
      <c r="AD795" s="23"/>
      <c r="AE795" s="23"/>
    </row>
    <row r="796" spans="28:31">
      <c r="AB796" s="23"/>
      <c r="AC796" s="23"/>
      <c r="AD796" s="23"/>
      <c r="AE796" s="23"/>
    </row>
    <row r="797" spans="28:31">
      <c r="AB797" s="23"/>
      <c r="AC797" s="23"/>
      <c r="AD797" s="23"/>
      <c r="AE797" s="23"/>
    </row>
    <row r="798" spans="28:31">
      <c r="AB798" s="23"/>
      <c r="AC798" s="23"/>
      <c r="AD798" s="23"/>
      <c r="AE798" s="23"/>
    </row>
    <row r="799" spans="28:31">
      <c r="AB799" s="23"/>
      <c r="AC799" s="23"/>
      <c r="AD799" s="23"/>
      <c r="AE799" s="23"/>
    </row>
    <row r="800" spans="28:31">
      <c r="AB800" s="23"/>
      <c r="AC800" s="23"/>
      <c r="AD800" s="23"/>
      <c r="AE800" s="23"/>
    </row>
    <row r="801" spans="28:31">
      <c r="AB801" s="23"/>
      <c r="AC801" s="23"/>
      <c r="AD801" s="23"/>
      <c r="AE801" s="23"/>
    </row>
    <row r="802" spans="28:31">
      <c r="AB802" s="23"/>
      <c r="AC802" s="23"/>
      <c r="AD802" s="23"/>
      <c r="AE802" s="23"/>
    </row>
    <row r="803" spans="28:31">
      <c r="AB803" s="23"/>
      <c r="AC803" s="23"/>
      <c r="AD803" s="23"/>
      <c r="AE803" s="23"/>
    </row>
    <row r="804" spans="28:31">
      <c r="AB804" s="23"/>
      <c r="AC804" s="23"/>
      <c r="AD804" s="23"/>
      <c r="AE804" s="23"/>
    </row>
    <row r="805" spans="28:31">
      <c r="AB805" s="23"/>
      <c r="AC805" s="23"/>
      <c r="AD805" s="23"/>
      <c r="AE805" s="23"/>
    </row>
    <row r="806" spans="28:31">
      <c r="AB806" s="23"/>
      <c r="AC806" s="23"/>
      <c r="AD806" s="23"/>
      <c r="AE806" s="23"/>
    </row>
    <row r="807" spans="28:31">
      <c r="AB807" s="23"/>
      <c r="AC807" s="23"/>
      <c r="AD807" s="23"/>
      <c r="AE807" s="23"/>
    </row>
    <row r="808" spans="28:31">
      <c r="AB808" s="23"/>
      <c r="AC808" s="23"/>
      <c r="AD808" s="23"/>
      <c r="AE808" s="23"/>
    </row>
    <row r="809" spans="28:31">
      <c r="AB809" s="23"/>
      <c r="AC809" s="23"/>
      <c r="AD809" s="23"/>
      <c r="AE809" s="23"/>
    </row>
    <row r="810" spans="28:31">
      <c r="AB810" s="23"/>
      <c r="AC810" s="23"/>
      <c r="AD810" s="23"/>
      <c r="AE810" s="23"/>
    </row>
    <row r="811" spans="28:31">
      <c r="AB811" s="23"/>
      <c r="AC811" s="23"/>
      <c r="AD811" s="23"/>
      <c r="AE811" s="23"/>
    </row>
    <row r="812" spans="28:31">
      <c r="AB812" s="23"/>
      <c r="AC812" s="23"/>
      <c r="AD812" s="23"/>
      <c r="AE812" s="23"/>
    </row>
    <row r="813" spans="28:31">
      <c r="AB813" s="23"/>
      <c r="AC813" s="23"/>
      <c r="AD813" s="23"/>
      <c r="AE813" s="23"/>
    </row>
    <row r="814" spans="28:31">
      <c r="AB814" s="23"/>
      <c r="AC814" s="23"/>
      <c r="AD814" s="23"/>
      <c r="AE814" s="23"/>
    </row>
    <row r="815" spans="28:31">
      <c r="AB815" s="23"/>
      <c r="AC815" s="23"/>
      <c r="AD815" s="23"/>
      <c r="AE815" s="23"/>
    </row>
    <row r="816" spans="28:31">
      <c r="AB816" s="23"/>
      <c r="AC816" s="23"/>
      <c r="AD816" s="23"/>
      <c r="AE816" s="23"/>
    </row>
    <row r="817" spans="28:31">
      <c r="AB817" s="23"/>
      <c r="AC817" s="23"/>
      <c r="AD817" s="23"/>
      <c r="AE817" s="23"/>
    </row>
    <row r="818" spans="28:31">
      <c r="AB818" s="23"/>
      <c r="AC818" s="23"/>
      <c r="AD818" s="23"/>
      <c r="AE818" s="23"/>
    </row>
    <row r="819" spans="28:31">
      <c r="AB819" s="23"/>
      <c r="AC819" s="23"/>
      <c r="AD819" s="23"/>
      <c r="AE819" s="23"/>
    </row>
    <row r="820" spans="28:31">
      <c r="AB820" s="23"/>
      <c r="AC820" s="23"/>
      <c r="AD820" s="23"/>
      <c r="AE820" s="23"/>
    </row>
    <row r="821" spans="28:31">
      <c r="AB821" s="23"/>
      <c r="AC821" s="23"/>
      <c r="AD821" s="23"/>
      <c r="AE821" s="23"/>
    </row>
    <row r="822" spans="28:31">
      <c r="AB822" s="23"/>
      <c r="AC822" s="23"/>
      <c r="AD822" s="23"/>
      <c r="AE822" s="23"/>
    </row>
    <row r="823" spans="28:31">
      <c r="AB823" s="23"/>
      <c r="AC823" s="23"/>
      <c r="AD823" s="23"/>
      <c r="AE823" s="23"/>
    </row>
    <row r="824" spans="28:31">
      <c r="AB824" s="23"/>
      <c r="AC824" s="23"/>
      <c r="AD824" s="23"/>
      <c r="AE824" s="23"/>
    </row>
    <row r="825" spans="28:31">
      <c r="AB825" s="23"/>
      <c r="AC825" s="23"/>
      <c r="AD825" s="23"/>
      <c r="AE825" s="23"/>
    </row>
    <row r="826" spans="28:31">
      <c r="AB826" s="23"/>
      <c r="AC826" s="23"/>
      <c r="AD826" s="23"/>
      <c r="AE826" s="23"/>
    </row>
    <row r="827" spans="28:31">
      <c r="AB827" s="23"/>
      <c r="AC827" s="23"/>
      <c r="AD827" s="23"/>
      <c r="AE827" s="23"/>
    </row>
    <row r="828" spans="28:31">
      <c r="AB828" s="23"/>
      <c r="AC828" s="23"/>
      <c r="AD828" s="23"/>
      <c r="AE828" s="23"/>
    </row>
    <row r="829" spans="28:31">
      <c r="AB829" s="23"/>
      <c r="AC829" s="23"/>
      <c r="AD829" s="23"/>
      <c r="AE829" s="23"/>
    </row>
    <row r="830" spans="28:31">
      <c r="AB830" s="23"/>
      <c r="AC830" s="23"/>
      <c r="AD830" s="23"/>
      <c r="AE830" s="23"/>
    </row>
    <row r="831" spans="28:31">
      <c r="AB831" s="23"/>
      <c r="AC831" s="23"/>
      <c r="AD831" s="23"/>
      <c r="AE831" s="23"/>
    </row>
    <row r="832" spans="28:31">
      <c r="AB832" s="23"/>
      <c r="AC832" s="23"/>
      <c r="AD832" s="23"/>
      <c r="AE832" s="23"/>
    </row>
    <row r="833" spans="28:31">
      <c r="AB833" s="23"/>
      <c r="AC833" s="23"/>
      <c r="AD833" s="23"/>
      <c r="AE833" s="23"/>
    </row>
    <row r="834" spans="28:31">
      <c r="AB834" s="23"/>
      <c r="AC834" s="23"/>
      <c r="AD834" s="23"/>
      <c r="AE834" s="23"/>
    </row>
    <row r="835" spans="28:31">
      <c r="AB835" s="23"/>
      <c r="AC835" s="23"/>
      <c r="AD835" s="23"/>
      <c r="AE835" s="23"/>
    </row>
    <row r="836" spans="28:31">
      <c r="AB836" s="23"/>
      <c r="AC836" s="23"/>
      <c r="AD836" s="23"/>
      <c r="AE836" s="23"/>
    </row>
    <row r="837" spans="28:31">
      <c r="AB837" s="23"/>
      <c r="AC837" s="23"/>
      <c r="AD837" s="23"/>
      <c r="AE837" s="23"/>
    </row>
    <row r="838" spans="28:31">
      <c r="AB838" s="23"/>
      <c r="AC838" s="23"/>
      <c r="AD838" s="23"/>
      <c r="AE838" s="23"/>
    </row>
    <row r="839" spans="28:31">
      <c r="AB839" s="23"/>
      <c r="AC839" s="23"/>
      <c r="AD839" s="23"/>
      <c r="AE839" s="23"/>
    </row>
    <row r="840" spans="28:31">
      <c r="AB840" s="23"/>
      <c r="AC840" s="23"/>
      <c r="AD840" s="23"/>
      <c r="AE840" s="23"/>
    </row>
    <row r="841" spans="28:31">
      <c r="AB841" s="23"/>
      <c r="AC841" s="23"/>
      <c r="AD841" s="23"/>
      <c r="AE841" s="23"/>
    </row>
    <row r="842" spans="28:31">
      <c r="AB842" s="23"/>
      <c r="AC842" s="23"/>
      <c r="AD842" s="23"/>
      <c r="AE842" s="23"/>
    </row>
    <row r="843" spans="28:31">
      <c r="AB843" s="23"/>
      <c r="AC843" s="23"/>
      <c r="AD843" s="23"/>
      <c r="AE843" s="23"/>
    </row>
    <row r="844" spans="28:31">
      <c r="AB844" s="23"/>
      <c r="AC844" s="23"/>
      <c r="AD844" s="23"/>
      <c r="AE844" s="23"/>
    </row>
    <row r="845" spans="28:31">
      <c r="AB845" s="23"/>
      <c r="AC845" s="23"/>
      <c r="AD845" s="23"/>
      <c r="AE845" s="23"/>
    </row>
    <row r="846" spans="28:31">
      <c r="AB846" s="23"/>
      <c r="AC846" s="23"/>
      <c r="AD846" s="23"/>
      <c r="AE846" s="23"/>
    </row>
    <row r="847" spans="28:31">
      <c r="AB847" s="23"/>
      <c r="AC847" s="23"/>
      <c r="AD847" s="23"/>
      <c r="AE847" s="23"/>
    </row>
    <row r="848" spans="28:31">
      <c r="AB848" s="23"/>
      <c r="AC848" s="23"/>
      <c r="AD848" s="23"/>
      <c r="AE848" s="23"/>
    </row>
    <row r="849" spans="28:31">
      <c r="AB849" s="23"/>
      <c r="AC849" s="23"/>
      <c r="AD849" s="23"/>
      <c r="AE849" s="23"/>
    </row>
    <row r="850" spans="28:31">
      <c r="AB850" s="23"/>
      <c r="AC850" s="23"/>
      <c r="AD850" s="23"/>
      <c r="AE850" s="23"/>
    </row>
    <row r="851" spans="28:31">
      <c r="AB851" s="23"/>
      <c r="AC851" s="23"/>
      <c r="AD851" s="23"/>
      <c r="AE851" s="23"/>
    </row>
    <row r="852" spans="28:31">
      <c r="AB852" s="23"/>
      <c r="AC852" s="23"/>
      <c r="AD852" s="23"/>
      <c r="AE852" s="23"/>
    </row>
    <row r="853" spans="28:31">
      <c r="AB853" s="23"/>
      <c r="AC853" s="23"/>
      <c r="AD853" s="23"/>
      <c r="AE853" s="23"/>
    </row>
    <row r="854" spans="28:31">
      <c r="AB854" s="23"/>
      <c r="AC854" s="23"/>
      <c r="AD854" s="23"/>
      <c r="AE854" s="23"/>
    </row>
    <row r="855" spans="28:31">
      <c r="AB855" s="23"/>
      <c r="AC855" s="23"/>
      <c r="AD855" s="23"/>
      <c r="AE855" s="23"/>
    </row>
    <row r="856" spans="28:31">
      <c r="AB856" s="23"/>
      <c r="AC856" s="23"/>
      <c r="AD856" s="23"/>
      <c r="AE856" s="23"/>
    </row>
    <row r="857" spans="28:31">
      <c r="AB857" s="23"/>
      <c r="AC857" s="23"/>
      <c r="AD857" s="23"/>
      <c r="AE857" s="23"/>
    </row>
    <row r="858" spans="28:31">
      <c r="AB858" s="23"/>
      <c r="AC858" s="23"/>
      <c r="AD858" s="23"/>
      <c r="AE858" s="23"/>
    </row>
    <row r="859" spans="28:31">
      <c r="AB859" s="23"/>
      <c r="AC859" s="23"/>
      <c r="AD859" s="23"/>
      <c r="AE859" s="23"/>
    </row>
    <row r="860" spans="28:31">
      <c r="AB860" s="23"/>
      <c r="AC860" s="23"/>
      <c r="AD860" s="23"/>
      <c r="AE860" s="23"/>
    </row>
    <row r="861" spans="28:31">
      <c r="AB861" s="23"/>
      <c r="AC861" s="23"/>
      <c r="AD861" s="23"/>
      <c r="AE861" s="23"/>
    </row>
    <row r="862" spans="28:31">
      <c r="AB862" s="23"/>
      <c r="AC862" s="23"/>
      <c r="AD862" s="23"/>
      <c r="AE862" s="23"/>
    </row>
    <row r="863" spans="28:31">
      <c r="AB863" s="23"/>
      <c r="AC863" s="23"/>
      <c r="AD863" s="23"/>
      <c r="AE863" s="23"/>
    </row>
    <row r="864" spans="28:31">
      <c r="AB864" s="23"/>
      <c r="AC864" s="23"/>
      <c r="AD864" s="23"/>
      <c r="AE864" s="23"/>
    </row>
    <row r="865" spans="28:31">
      <c r="AB865" s="23"/>
      <c r="AC865" s="23"/>
      <c r="AD865" s="23"/>
      <c r="AE865" s="23"/>
    </row>
    <row r="866" spans="28:31">
      <c r="AB866" s="23"/>
      <c r="AC866" s="23"/>
      <c r="AD866" s="23"/>
      <c r="AE866" s="23"/>
    </row>
    <row r="867" spans="28:31">
      <c r="AB867" s="23"/>
      <c r="AC867" s="23"/>
      <c r="AD867" s="23"/>
      <c r="AE867" s="23"/>
    </row>
    <row r="868" spans="28:31">
      <c r="AB868" s="23"/>
      <c r="AC868" s="23"/>
      <c r="AD868" s="23"/>
      <c r="AE868" s="23"/>
    </row>
    <row r="869" spans="28:31">
      <c r="AB869" s="23"/>
      <c r="AC869" s="23"/>
      <c r="AD869" s="23"/>
      <c r="AE869" s="23"/>
    </row>
    <row r="870" spans="28:31">
      <c r="AB870" s="23"/>
      <c r="AC870" s="23"/>
      <c r="AD870" s="23"/>
      <c r="AE870" s="23"/>
    </row>
    <row r="871" spans="28:31">
      <c r="AB871" s="23"/>
      <c r="AC871" s="23"/>
      <c r="AD871" s="23"/>
      <c r="AE871" s="23"/>
    </row>
    <row r="872" spans="28:31">
      <c r="AB872" s="23"/>
      <c r="AC872" s="23"/>
      <c r="AD872" s="23"/>
      <c r="AE872" s="23"/>
    </row>
    <row r="873" spans="28:31">
      <c r="AB873" s="23"/>
      <c r="AC873" s="23"/>
      <c r="AD873" s="23"/>
      <c r="AE873" s="23"/>
    </row>
    <row r="874" spans="28:31">
      <c r="AB874" s="23"/>
      <c r="AC874" s="23"/>
      <c r="AD874" s="23"/>
      <c r="AE874" s="23"/>
    </row>
    <row r="875" spans="28:31">
      <c r="AB875" s="23"/>
      <c r="AC875" s="23"/>
      <c r="AD875" s="23"/>
      <c r="AE875" s="23"/>
    </row>
    <row r="876" spans="28:31">
      <c r="AB876" s="23"/>
      <c r="AC876" s="23"/>
      <c r="AD876" s="23"/>
      <c r="AE876" s="23"/>
    </row>
    <row r="877" spans="28:31">
      <c r="AB877" s="23"/>
      <c r="AC877" s="23"/>
      <c r="AD877" s="23"/>
      <c r="AE877" s="23"/>
    </row>
    <row r="878" spans="28:31">
      <c r="AB878" s="23"/>
      <c r="AC878" s="23"/>
      <c r="AD878" s="23"/>
      <c r="AE878" s="23"/>
    </row>
    <row r="879" spans="28:31">
      <c r="AB879" s="23"/>
      <c r="AC879" s="23"/>
      <c r="AD879" s="23"/>
      <c r="AE879" s="23"/>
    </row>
    <row r="880" spans="28:31">
      <c r="AB880" s="23"/>
      <c r="AC880" s="23"/>
      <c r="AD880" s="23"/>
      <c r="AE880" s="23"/>
    </row>
    <row r="881" spans="28:31">
      <c r="AB881" s="23"/>
      <c r="AC881" s="23"/>
      <c r="AD881" s="23"/>
      <c r="AE881" s="23"/>
    </row>
    <row r="882" spans="28:31">
      <c r="AB882" s="23"/>
      <c r="AC882" s="23"/>
      <c r="AD882" s="23"/>
      <c r="AE882" s="23"/>
    </row>
    <row r="883" spans="28:31">
      <c r="AB883" s="23"/>
      <c r="AC883" s="23"/>
      <c r="AD883" s="23"/>
      <c r="AE883" s="23"/>
    </row>
    <row r="884" spans="28:31">
      <c r="AB884" s="23"/>
      <c r="AC884" s="23"/>
      <c r="AD884" s="23"/>
      <c r="AE884" s="23"/>
    </row>
    <row r="885" spans="28:31">
      <c r="AB885" s="23"/>
      <c r="AC885" s="23"/>
      <c r="AD885" s="23"/>
      <c r="AE885" s="23"/>
    </row>
    <row r="886" spans="28:31">
      <c r="AB886" s="23"/>
      <c r="AC886" s="23"/>
      <c r="AD886" s="23"/>
      <c r="AE886" s="23"/>
    </row>
    <row r="887" spans="28:31">
      <c r="AB887" s="23"/>
      <c r="AC887" s="23"/>
      <c r="AD887" s="23"/>
      <c r="AE887" s="23"/>
    </row>
    <row r="888" spans="28:31">
      <c r="AB888" s="23"/>
      <c r="AC888" s="23"/>
      <c r="AD888" s="23"/>
      <c r="AE888" s="23"/>
    </row>
    <row r="889" spans="28:31">
      <c r="AB889" s="23"/>
      <c r="AC889" s="23"/>
      <c r="AD889" s="23"/>
      <c r="AE889" s="23"/>
    </row>
    <row r="890" spans="28:31">
      <c r="AB890" s="23"/>
      <c r="AC890" s="23"/>
      <c r="AD890" s="23"/>
      <c r="AE890" s="23"/>
    </row>
    <row r="891" spans="28:31">
      <c r="AB891" s="23"/>
      <c r="AC891" s="23"/>
      <c r="AD891" s="23"/>
      <c r="AE891" s="23"/>
    </row>
    <row r="892" spans="28:31">
      <c r="AB892" s="23"/>
      <c r="AC892" s="23"/>
      <c r="AD892" s="23"/>
      <c r="AE892" s="23"/>
    </row>
    <row r="893" spans="28:31">
      <c r="AB893" s="23"/>
      <c r="AC893" s="23"/>
      <c r="AD893" s="23"/>
      <c r="AE893" s="23"/>
    </row>
    <row r="894" spans="28:31">
      <c r="AB894" s="23"/>
      <c r="AC894" s="23"/>
      <c r="AD894" s="23"/>
      <c r="AE894" s="23"/>
    </row>
    <row r="895" spans="28:31">
      <c r="AB895" s="23"/>
      <c r="AC895" s="23"/>
      <c r="AD895" s="23"/>
      <c r="AE895" s="23"/>
    </row>
    <row r="896" spans="28:31">
      <c r="AB896" s="23"/>
      <c r="AC896" s="23"/>
      <c r="AD896" s="23"/>
      <c r="AE896" s="23"/>
    </row>
    <row r="897" spans="28:31">
      <c r="AB897" s="23"/>
      <c r="AC897" s="23"/>
      <c r="AD897" s="23"/>
      <c r="AE897" s="23"/>
    </row>
    <row r="898" spans="28:31">
      <c r="AB898" s="23"/>
      <c r="AC898" s="23"/>
      <c r="AD898" s="23"/>
      <c r="AE898" s="23"/>
    </row>
    <row r="899" spans="28:31">
      <c r="AB899" s="23"/>
      <c r="AC899" s="23"/>
      <c r="AD899" s="23"/>
      <c r="AE899" s="23"/>
    </row>
    <row r="900" spans="28:31">
      <c r="AB900" s="23"/>
      <c r="AC900" s="23"/>
      <c r="AD900" s="23"/>
      <c r="AE900" s="23"/>
    </row>
    <row r="901" spans="28:31">
      <c r="AB901" s="23"/>
      <c r="AC901" s="23"/>
      <c r="AD901" s="23"/>
      <c r="AE901" s="23"/>
    </row>
    <row r="902" spans="28:31">
      <c r="AB902" s="23"/>
      <c r="AC902" s="23"/>
      <c r="AD902" s="23"/>
      <c r="AE902" s="23"/>
    </row>
    <row r="903" spans="28:31">
      <c r="AB903" s="23"/>
      <c r="AC903" s="23"/>
      <c r="AD903" s="23"/>
      <c r="AE903" s="23"/>
    </row>
    <row r="904" spans="28:31">
      <c r="AB904" s="23"/>
      <c r="AC904" s="23"/>
      <c r="AD904" s="23"/>
      <c r="AE904" s="23"/>
    </row>
    <row r="905" spans="28:31">
      <c r="AB905" s="23"/>
      <c r="AC905" s="23"/>
      <c r="AD905" s="23"/>
      <c r="AE905" s="23"/>
    </row>
    <row r="906" spans="28:31">
      <c r="AB906" s="23"/>
      <c r="AC906" s="23"/>
      <c r="AD906" s="23"/>
      <c r="AE906" s="23"/>
    </row>
    <row r="907" spans="28:31">
      <c r="AB907" s="23"/>
      <c r="AC907" s="23"/>
      <c r="AD907" s="23"/>
      <c r="AE907" s="23"/>
    </row>
    <row r="908" spans="28:31">
      <c r="AB908" s="23"/>
      <c r="AC908" s="23"/>
      <c r="AD908" s="23"/>
      <c r="AE908" s="23"/>
    </row>
    <row r="909" spans="28:31">
      <c r="AB909" s="23"/>
      <c r="AC909" s="23"/>
      <c r="AD909" s="23"/>
      <c r="AE909" s="23"/>
    </row>
    <row r="910" spans="28:31">
      <c r="AB910" s="23"/>
      <c r="AC910" s="23"/>
      <c r="AD910" s="23"/>
      <c r="AE910" s="23"/>
    </row>
  </sheetData>
  <autoFilter ref="A3:AF205" xr:uid="{082BE641-11E8-4D8F-BFCF-50CC5E44059A}"/>
  <mergeCells count="410">
    <mergeCell ref="AE93:AE97"/>
    <mergeCell ref="AE111:AE115"/>
    <mergeCell ref="AD123:AD127"/>
    <mergeCell ref="AB93:AB97"/>
    <mergeCell ref="AC93:AC97"/>
    <mergeCell ref="AD177:AD181"/>
    <mergeCell ref="AB4:AB8"/>
    <mergeCell ref="AC4:AC8"/>
    <mergeCell ref="AD135:AD139"/>
    <mergeCell ref="AB177:AB181"/>
    <mergeCell ref="AC177:AC181"/>
    <mergeCell ref="AD16:AD20"/>
    <mergeCell ref="AE22:AE26"/>
    <mergeCell ref="AE123:AE127"/>
    <mergeCell ref="AE99:AE103"/>
    <mergeCell ref="AE177:AE181"/>
    <mergeCell ref="AE171:AE175"/>
    <mergeCell ref="AB22:AB26"/>
    <mergeCell ref="AC22:AC26"/>
    <mergeCell ref="AD22:AD26"/>
    <mergeCell ref="AE141:AE145"/>
    <mergeCell ref="AD189:AD193"/>
    <mergeCell ref="AC99:AC103"/>
    <mergeCell ref="AB129:AB133"/>
    <mergeCell ref="AC129:AC133"/>
    <mergeCell ref="AD34:AD39"/>
    <mergeCell ref="AD41:AD45"/>
    <mergeCell ref="AD65:AD74"/>
    <mergeCell ref="AD93:AD97"/>
    <mergeCell ref="AD111:AD115"/>
    <mergeCell ref="AD117:AD121"/>
    <mergeCell ref="AD129:AD133"/>
    <mergeCell ref="AD99:AD103"/>
    <mergeCell ref="AC189:AC193"/>
    <mergeCell ref="AD171:AD175"/>
    <mergeCell ref="AC153:AC157"/>
    <mergeCell ref="AC141:AC145"/>
    <mergeCell ref="AD141:AD145"/>
    <mergeCell ref="A16:A21"/>
    <mergeCell ref="B16:B21"/>
    <mergeCell ref="C16:C21"/>
    <mergeCell ref="AB111:AB115"/>
    <mergeCell ref="AC111:AC115"/>
    <mergeCell ref="AB117:AB121"/>
    <mergeCell ref="AC117:AC121"/>
    <mergeCell ref="AC123:AC127"/>
    <mergeCell ref="AD153:AD157"/>
    <mergeCell ref="A53:A58"/>
    <mergeCell ref="B53:B58"/>
    <mergeCell ref="A65:A75"/>
    <mergeCell ref="B65:B75"/>
    <mergeCell ref="C65:C75"/>
    <mergeCell ref="D65:D75"/>
    <mergeCell ref="E65:E75"/>
    <mergeCell ref="Z65:Z74"/>
    <mergeCell ref="C28:C33"/>
    <mergeCell ref="D28:D33"/>
    <mergeCell ref="A34:A40"/>
    <mergeCell ref="B34:B40"/>
    <mergeCell ref="C34:C40"/>
    <mergeCell ref="D34:D40"/>
    <mergeCell ref="A93:A98"/>
    <mergeCell ref="B93:B98"/>
    <mergeCell ref="C93:C98"/>
    <mergeCell ref="D93:D98"/>
    <mergeCell ref="E93:E98"/>
    <mergeCell ref="Z93:Z97"/>
    <mergeCell ref="B4:B9"/>
    <mergeCell ref="A4:A9"/>
    <mergeCell ref="C4:C9"/>
    <mergeCell ref="E4:E9"/>
    <mergeCell ref="F9:R9"/>
    <mergeCell ref="A10:A15"/>
    <mergeCell ref="B10:B15"/>
    <mergeCell ref="C10:C15"/>
    <mergeCell ref="D10:D15"/>
    <mergeCell ref="D4:D9"/>
    <mergeCell ref="E10:E15"/>
    <mergeCell ref="F15:R15"/>
    <mergeCell ref="A22:A27"/>
    <mergeCell ref="B22:B27"/>
    <mergeCell ref="C22:C27"/>
    <mergeCell ref="D22:D27"/>
    <mergeCell ref="A28:A33"/>
    <mergeCell ref="B28:B33"/>
    <mergeCell ref="E22:E27"/>
    <mergeCell ref="A1:Z1"/>
    <mergeCell ref="C2:C3"/>
    <mergeCell ref="E2:E3"/>
    <mergeCell ref="F2:F3"/>
    <mergeCell ref="H2:H3"/>
    <mergeCell ref="I2:I3"/>
    <mergeCell ref="J2:J3"/>
    <mergeCell ref="N2:O2"/>
    <mergeCell ref="P2:R2"/>
    <mergeCell ref="S2:S3"/>
    <mergeCell ref="K2:K3"/>
    <mergeCell ref="L2:L3"/>
    <mergeCell ref="M2:M3"/>
    <mergeCell ref="T2:Y2"/>
    <mergeCell ref="G2:G3"/>
    <mergeCell ref="D2:D3"/>
    <mergeCell ref="B2:B3"/>
    <mergeCell ref="D16:D21"/>
    <mergeCell ref="E16:E21"/>
    <mergeCell ref="Z16:Z20"/>
    <mergeCell ref="AA16:AA20"/>
    <mergeCell ref="AB16:AB20"/>
    <mergeCell ref="AC16:AC20"/>
    <mergeCell ref="F21:R21"/>
    <mergeCell ref="AF22:AF26"/>
    <mergeCell ref="F27:R27"/>
    <mergeCell ref="AF16:AF20"/>
    <mergeCell ref="AE16:AE20"/>
    <mergeCell ref="Z22:Z26"/>
    <mergeCell ref="AA22:AA26"/>
    <mergeCell ref="AF2:AF3"/>
    <mergeCell ref="Z10:Z14"/>
    <mergeCell ref="AD2:AD3"/>
    <mergeCell ref="AD4:AD8"/>
    <mergeCell ref="AD10:AD14"/>
    <mergeCell ref="AE10:AE14"/>
    <mergeCell ref="AF10:AF14"/>
    <mergeCell ref="AB2:AB3"/>
    <mergeCell ref="AC2:AC3"/>
    <mergeCell ref="AA2:AA3"/>
    <mergeCell ref="Z4:Z8"/>
    <mergeCell ref="AA4:AA8"/>
    <mergeCell ref="AF4:AF8"/>
    <mergeCell ref="AA10:AA14"/>
    <mergeCell ref="AB10:AB14"/>
    <mergeCell ref="AC10:AC14"/>
    <mergeCell ref="AE2:AE3"/>
    <mergeCell ref="AE4:AE8"/>
    <mergeCell ref="AF34:AF39"/>
    <mergeCell ref="F40:R40"/>
    <mergeCell ref="Z34:Z39"/>
    <mergeCell ref="AA34:AA39"/>
    <mergeCell ref="AB34:AB39"/>
    <mergeCell ref="AC34:AC39"/>
    <mergeCell ref="E34:E40"/>
    <mergeCell ref="E28:E33"/>
    <mergeCell ref="Z28:Z32"/>
    <mergeCell ref="AA28:AA32"/>
    <mergeCell ref="AB28:AB32"/>
    <mergeCell ref="AC28:AC32"/>
    <mergeCell ref="AD28:AD32"/>
    <mergeCell ref="AE28:AE32"/>
    <mergeCell ref="AF28:AF32"/>
    <mergeCell ref="F33:R33"/>
    <mergeCell ref="AE34:AE39"/>
    <mergeCell ref="AF41:AF45"/>
    <mergeCell ref="F46:R46"/>
    <mergeCell ref="A47:A52"/>
    <mergeCell ref="B47:B52"/>
    <mergeCell ref="C47:C52"/>
    <mergeCell ref="D47:D52"/>
    <mergeCell ref="E47:E52"/>
    <mergeCell ref="Z47:Z51"/>
    <mergeCell ref="AA47:AA51"/>
    <mergeCell ref="AC47:AC51"/>
    <mergeCell ref="AD47:AD51"/>
    <mergeCell ref="AE47:AE51"/>
    <mergeCell ref="AF47:AF51"/>
    <mergeCell ref="F52:R52"/>
    <mergeCell ref="A41:A46"/>
    <mergeCell ref="B41:B46"/>
    <mergeCell ref="C41:C46"/>
    <mergeCell ref="D41:D46"/>
    <mergeCell ref="E41:E46"/>
    <mergeCell ref="Z41:Z45"/>
    <mergeCell ref="AA41:AA45"/>
    <mergeCell ref="AC41:AC45"/>
    <mergeCell ref="AE41:AE45"/>
    <mergeCell ref="AF53:AF57"/>
    <mergeCell ref="F58:R58"/>
    <mergeCell ref="A59:A64"/>
    <mergeCell ref="B59:B64"/>
    <mergeCell ref="C59:C64"/>
    <mergeCell ref="D59:D64"/>
    <mergeCell ref="E59:E64"/>
    <mergeCell ref="Z59:Z63"/>
    <mergeCell ref="AA59:AA63"/>
    <mergeCell ref="AC59:AC63"/>
    <mergeCell ref="AD59:AD63"/>
    <mergeCell ref="AE59:AE63"/>
    <mergeCell ref="AF59:AF63"/>
    <mergeCell ref="F64:R64"/>
    <mergeCell ref="C53:C58"/>
    <mergeCell ref="D53:D58"/>
    <mergeCell ref="E53:E58"/>
    <mergeCell ref="Z53:Z57"/>
    <mergeCell ref="AA53:AA57"/>
    <mergeCell ref="AC53:AC57"/>
    <mergeCell ref="AD53:AD57"/>
    <mergeCell ref="AE53:AE57"/>
    <mergeCell ref="AF65:AF74"/>
    <mergeCell ref="F75:R75"/>
    <mergeCell ref="A87:A92"/>
    <mergeCell ref="B87:B92"/>
    <mergeCell ref="C87:C92"/>
    <mergeCell ref="D87:D92"/>
    <mergeCell ref="E87:E92"/>
    <mergeCell ref="Z87:Z91"/>
    <mergeCell ref="AA87:AA91"/>
    <mergeCell ref="AB87:AB91"/>
    <mergeCell ref="AC87:AC91"/>
    <mergeCell ref="AD87:AD91"/>
    <mergeCell ref="AE87:AE91"/>
    <mergeCell ref="AF87:AF91"/>
    <mergeCell ref="F92:R92"/>
    <mergeCell ref="AA65:AA74"/>
    <mergeCell ref="AB65:AB74"/>
    <mergeCell ref="AC65:AC74"/>
    <mergeCell ref="AE65:AE74"/>
    <mergeCell ref="AF93:AF97"/>
    <mergeCell ref="F98:R98"/>
    <mergeCell ref="A105:A110"/>
    <mergeCell ref="B105:B110"/>
    <mergeCell ref="C105:C110"/>
    <mergeCell ref="D105:D110"/>
    <mergeCell ref="E105:E110"/>
    <mergeCell ref="Z105:Z109"/>
    <mergeCell ref="AA105:AA109"/>
    <mergeCell ref="AB105:AB109"/>
    <mergeCell ref="AC105:AC109"/>
    <mergeCell ref="AD105:AD109"/>
    <mergeCell ref="AE105:AE109"/>
    <mergeCell ref="AF105:AF109"/>
    <mergeCell ref="F110:R110"/>
    <mergeCell ref="A99:A104"/>
    <mergeCell ref="B99:B104"/>
    <mergeCell ref="C99:C104"/>
    <mergeCell ref="D99:D104"/>
    <mergeCell ref="E99:E104"/>
    <mergeCell ref="Z99:Z103"/>
    <mergeCell ref="AA99:AA103"/>
    <mergeCell ref="AB99:AB103"/>
    <mergeCell ref="AA93:AA97"/>
    <mergeCell ref="AF111:AF115"/>
    <mergeCell ref="F116:R116"/>
    <mergeCell ref="A111:A116"/>
    <mergeCell ref="B111:B116"/>
    <mergeCell ref="C111:C116"/>
    <mergeCell ref="D111:D116"/>
    <mergeCell ref="E111:E116"/>
    <mergeCell ref="Z111:Z115"/>
    <mergeCell ref="AE117:AE121"/>
    <mergeCell ref="AF117:AF121"/>
    <mergeCell ref="AA111:AA115"/>
    <mergeCell ref="AA117:AA121"/>
    <mergeCell ref="AA135:AA139"/>
    <mergeCell ref="AC135:AC139"/>
    <mergeCell ref="F152:R152"/>
    <mergeCell ref="AF135:AF139"/>
    <mergeCell ref="AF123:AF127"/>
    <mergeCell ref="F128:R128"/>
    <mergeCell ref="A117:A122"/>
    <mergeCell ref="B117:B122"/>
    <mergeCell ref="C117:C122"/>
    <mergeCell ref="D117:D122"/>
    <mergeCell ref="E117:E122"/>
    <mergeCell ref="Z117:Z121"/>
    <mergeCell ref="F122:R122"/>
    <mergeCell ref="A123:A128"/>
    <mergeCell ref="B123:B128"/>
    <mergeCell ref="C123:C128"/>
    <mergeCell ref="D123:D128"/>
    <mergeCell ref="E123:E128"/>
    <mergeCell ref="Z123:Z127"/>
    <mergeCell ref="AA123:AA127"/>
    <mergeCell ref="AB123:AB127"/>
    <mergeCell ref="AE129:AE133"/>
    <mergeCell ref="AF129:AF133"/>
    <mergeCell ref="F134:R134"/>
    <mergeCell ref="A129:A134"/>
    <mergeCell ref="B129:B134"/>
    <mergeCell ref="C129:C134"/>
    <mergeCell ref="D129:D134"/>
    <mergeCell ref="E129:E134"/>
    <mergeCell ref="Z129:Z133"/>
    <mergeCell ref="AA129:AA133"/>
    <mergeCell ref="AE135:AE139"/>
    <mergeCell ref="F140:R140"/>
    <mergeCell ref="AA147:AA151"/>
    <mergeCell ref="AB147:AB151"/>
    <mergeCell ref="AC147:AC151"/>
    <mergeCell ref="AD147:AD151"/>
    <mergeCell ref="AE147:AE151"/>
    <mergeCell ref="Z147:Z151"/>
    <mergeCell ref="A141:A146"/>
    <mergeCell ref="B141:B146"/>
    <mergeCell ref="C141:C146"/>
    <mergeCell ref="D141:D146"/>
    <mergeCell ref="E141:E146"/>
    <mergeCell ref="Z141:Z145"/>
    <mergeCell ref="AA141:AA145"/>
    <mergeCell ref="C147:C152"/>
    <mergeCell ref="D147:D152"/>
    <mergeCell ref="E147:E152"/>
    <mergeCell ref="A135:A140"/>
    <mergeCell ref="B135:B140"/>
    <mergeCell ref="C135:C140"/>
    <mergeCell ref="D135:D140"/>
    <mergeCell ref="E135:E140"/>
    <mergeCell ref="Z135:Z139"/>
    <mergeCell ref="AF153:AF157"/>
    <mergeCell ref="F158:R158"/>
    <mergeCell ref="A159:A164"/>
    <mergeCell ref="B159:B164"/>
    <mergeCell ref="C159:C164"/>
    <mergeCell ref="A147:A152"/>
    <mergeCell ref="B147:B152"/>
    <mergeCell ref="A153:A158"/>
    <mergeCell ref="B153:B158"/>
    <mergeCell ref="C153:C158"/>
    <mergeCell ref="D153:D158"/>
    <mergeCell ref="E153:E158"/>
    <mergeCell ref="Z153:Z157"/>
    <mergeCell ref="AA153:AA157"/>
    <mergeCell ref="AB153:AB157"/>
    <mergeCell ref="A165:A170"/>
    <mergeCell ref="B165:B170"/>
    <mergeCell ref="C165:C170"/>
    <mergeCell ref="D165:D170"/>
    <mergeCell ref="E165:E170"/>
    <mergeCell ref="Z165:Z169"/>
    <mergeCell ref="AA165:AA169"/>
    <mergeCell ref="AB165:AB169"/>
    <mergeCell ref="AC165:AC169"/>
    <mergeCell ref="F170:R170"/>
    <mergeCell ref="AF177:AF181"/>
    <mergeCell ref="F182:R182"/>
    <mergeCell ref="A183:A188"/>
    <mergeCell ref="B183:B188"/>
    <mergeCell ref="C183:C188"/>
    <mergeCell ref="D183:D188"/>
    <mergeCell ref="E183:E188"/>
    <mergeCell ref="Z183:Z187"/>
    <mergeCell ref="AA183:AA187"/>
    <mergeCell ref="AB183:AB187"/>
    <mergeCell ref="AC183:AC187"/>
    <mergeCell ref="AD183:AD187"/>
    <mergeCell ref="AE183:AE187"/>
    <mergeCell ref="AF183:AF187"/>
    <mergeCell ref="F188:R188"/>
    <mergeCell ref="A177:A182"/>
    <mergeCell ref="B177:B182"/>
    <mergeCell ref="C177:C182"/>
    <mergeCell ref="D177:D182"/>
    <mergeCell ref="E177:E182"/>
    <mergeCell ref="Z177:Z181"/>
    <mergeCell ref="AA177:AA181"/>
    <mergeCell ref="AE189:AE193"/>
    <mergeCell ref="AF189:AF193"/>
    <mergeCell ref="F194:R194"/>
    <mergeCell ref="A76:A86"/>
    <mergeCell ref="B76:B86"/>
    <mergeCell ref="C76:C86"/>
    <mergeCell ref="D76:D86"/>
    <mergeCell ref="E76:E86"/>
    <mergeCell ref="Z76:Z85"/>
    <mergeCell ref="AA76:AA85"/>
    <mergeCell ref="AB76:AB85"/>
    <mergeCell ref="AC76:AC85"/>
    <mergeCell ref="AD76:AD85"/>
    <mergeCell ref="AE76:AE85"/>
    <mergeCell ref="AF76:AF85"/>
    <mergeCell ref="F86:R86"/>
    <mergeCell ref="A189:A194"/>
    <mergeCell ref="B189:B194"/>
    <mergeCell ref="C189:C194"/>
    <mergeCell ref="D189:D194"/>
    <mergeCell ref="E189:E194"/>
    <mergeCell ref="Z189:Z193"/>
    <mergeCell ref="AA189:AA193"/>
    <mergeCell ref="AB189:AB193"/>
    <mergeCell ref="A171:A176"/>
    <mergeCell ref="B171:B176"/>
    <mergeCell ref="C171:C176"/>
    <mergeCell ref="D171:D176"/>
    <mergeCell ref="E171:E176"/>
    <mergeCell ref="Z171:Z175"/>
    <mergeCell ref="AA171:AA175"/>
    <mergeCell ref="AB171:AB175"/>
    <mergeCell ref="AC171:AC175"/>
    <mergeCell ref="AF141:AF145"/>
    <mergeCell ref="F146:R146"/>
    <mergeCell ref="AB41:AB51"/>
    <mergeCell ref="AB53:AB63"/>
    <mergeCell ref="AB135:AB145"/>
    <mergeCell ref="AF171:AF175"/>
    <mergeCell ref="F176:R176"/>
    <mergeCell ref="D159:D164"/>
    <mergeCell ref="E159:E164"/>
    <mergeCell ref="Z159:Z163"/>
    <mergeCell ref="AA159:AA163"/>
    <mergeCell ref="AB159:AB163"/>
    <mergeCell ref="AC159:AC163"/>
    <mergeCell ref="AD159:AD163"/>
    <mergeCell ref="AE159:AE163"/>
    <mergeCell ref="AF159:AF163"/>
    <mergeCell ref="F164:R164"/>
    <mergeCell ref="AF147:AF151"/>
    <mergeCell ref="AF99:AF103"/>
    <mergeCell ref="F104:R104"/>
    <mergeCell ref="AD165:AD169"/>
    <mergeCell ref="AE165:AE169"/>
    <mergeCell ref="AF165:AF169"/>
    <mergeCell ref="AE153:AE157"/>
  </mergeCells>
  <phoneticPr fontId="2" type="noConversion"/>
  <conditionalFormatting sqref="C255:D1048576 C1:D1 C2:C4">
    <cfRule type="duplicateValues" dxfId="82" priority="165"/>
  </conditionalFormatting>
  <conditionalFormatting sqref="D2:D4">
    <cfRule type="duplicateValues" dxfId="81" priority="75"/>
  </conditionalFormatting>
  <conditionalFormatting sqref="C10">
    <cfRule type="duplicateValues" dxfId="80" priority="74"/>
  </conditionalFormatting>
  <conditionalFormatting sqref="D10">
    <cfRule type="duplicateValues" dxfId="79" priority="73"/>
  </conditionalFormatting>
  <conditionalFormatting sqref="C16">
    <cfRule type="duplicateValues" dxfId="78" priority="72"/>
  </conditionalFormatting>
  <conditionalFormatting sqref="D16">
    <cfRule type="duplicateValues" dxfId="77" priority="71"/>
  </conditionalFormatting>
  <conditionalFormatting sqref="C22">
    <cfRule type="duplicateValues" dxfId="76" priority="70"/>
  </conditionalFormatting>
  <conditionalFormatting sqref="D22">
    <cfRule type="duplicateValues" dxfId="75" priority="69"/>
  </conditionalFormatting>
  <conditionalFormatting sqref="C28">
    <cfRule type="duplicateValues" dxfId="74" priority="68"/>
  </conditionalFormatting>
  <conditionalFormatting sqref="D28">
    <cfRule type="duplicateValues" dxfId="73" priority="67"/>
  </conditionalFormatting>
  <conditionalFormatting sqref="C34">
    <cfRule type="duplicateValues" dxfId="72" priority="66"/>
  </conditionalFormatting>
  <conditionalFormatting sqref="D34">
    <cfRule type="duplicateValues" dxfId="71" priority="65"/>
  </conditionalFormatting>
  <conditionalFormatting sqref="C41">
    <cfRule type="duplicateValues" dxfId="70" priority="62"/>
  </conditionalFormatting>
  <conditionalFormatting sqref="D41">
    <cfRule type="duplicateValues" dxfId="69" priority="61"/>
  </conditionalFormatting>
  <conditionalFormatting sqref="C47">
    <cfRule type="duplicateValues" dxfId="68" priority="60"/>
  </conditionalFormatting>
  <conditionalFormatting sqref="D47">
    <cfRule type="duplicateValues" dxfId="67" priority="59"/>
  </conditionalFormatting>
  <conditionalFormatting sqref="C53">
    <cfRule type="duplicateValues" dxfId="66" priority="58"/>
  </conditionalFormatting>
  <conditionalFormatting sqref="D53">
    <cfRule type="duplicateValues" dxfId="65" priority="57"/>
  </conditionalFormatting>
  <conditionalFormatting sqref="C59">
    <cfRule type="duplicateValues" dxfId="64" priority="56"/>
  </conditionalFormatting>
  <conditionalFormatting sqref="D59">
    <cfRule type="duplicateValues" dxfId="63" priority="55"/>
  </conditionalFormatting>
  <conditionalFormatting sqref="C65">
    <cfRule type="duplicateValues" dxfId="62" priority="54"/>
  </conditionalFormatting>
  <conditionalFormatting sqref="D65">
    <cfRule type="duplicateValues" dxfId="61" priority="53"/>
  </conditionalFormatting>
  <conditionalFormatting sqref="C87">
    <cfRule type="duplicateValues" dxfId="60" priority="52"/>
  </conditionalFormatting>
  <conditionalFormatting sqref="D87">
    <cfRule type="duplicateValues" dxfId="59" priority="51"/>
  </conditionalFormatting>
  <conditionalFormatting sqref="C93">
    <cfRule type="duplicateValues" dxfId="58" priority="50"/>
  </conditionalFormatting>
  <conditionalFormatting sqref="D93">
    <cfRule type="duplicateValues" dxfId="57" priority="49"/>
  </conditionalFormatting>
  <conditionalFormatting sqref="C105">
    <cfRule type="duplicateValues" dxfId="56" priority="48"/>
  </conditionalFormatting>
  <conditionalFormatting sqref="D105">
    <cfRule type="duplicateValues" dxfId="55" priority="47"/>
  </conditionalFormatting>
  <conditionalFormatting sqref="C111">
    <cfRule type="duplicateValues" dxfId="54" priority="46"/>
  </conditionalFormatting>
  <conditionalFormatting sqref="D111">
    <cfRule type="duplicateValues" dxfId="53" priority="45"/>
  </conditionalFormatting>
  <conditionalFormatting sqref="C117">
    <cfRule type="duplicateValues" dxfId="52" priority="42"/>
  </conditionalFormatting>
  <conditionalFormatting sqref="D117">
    <cfRule type="duplicateValues" dxfId="51" priority="41"/>
  </conditionalFormatting>
  <conditionalFormatting sqref="C123">
    <cfRule type="duplicateValues" dxfId="50" priority="40"/>
  </conditionalFormatting>
  <conditionalFormatting sqref="D123">
    <cfRule type="duplicateValues" dxfId="49" priority="39"/>
  </conditionalFormatting>
  <conditionalFormatting sqref="C129">
    <cfRule type="duplicateValues" dxfId="48" priority="38"/>
  </conditionalFormatting>
  <conditionalFormatting sqref="D129">
    <cfRule type="duplicateValues" dxfId="47" priority="37"/>
  </conditionalFormatting>
  <conditionalFormatting sqref="C135">
    <cfRule type="duplicateValues" dxfId="46" priority="24"/>
  </conditionalFormatting>
  <conditionalFormatting sqref="D135">
    <cfRule type="duplicateValues" dxfId="45" priority="23"/>
  </conditionalFormatting>
  <conditionalFormatting sqref="C153">
    <cfRule type="duplicateValues" dxfId="44" priority="22"/>
  </conditionalFormatting>
  <conditionalFormatting sqref="D153">
    <cfRule type="duplicateValues" dxfId="43" priority="21"/>
  </conditionalFormatting>
  <conditionalFormatting sqref="C159">
    <cfRule type="duplicateValues" dxfId="42" priority="20"/>
  </conditionalFormatting>
  <conditionalFormatting sqref="D159">
    <cfRule type="duplicateValues" dxfId="41" priority="19"/>
  </conditionalFormatting>
  <conditionalFormatting sqref="C99">
    <cfRule type="duplicateValues" dxfId="40" priority="18"/>
  </conditionalFormatting>
  <conditionalFormatting sqref="D99">
    <cfRule type="duplicateValues" dxfId="39" priority="17"/>
  </conditionalFormatting>
  <conditionalFormatting sqref="C165">
    <cfRule type="duplicateValues" dxfId="38" priority="16"/>
  </conditionalFormatting>
  <conditionalFormatting sqref="D165">
    <cfRule type="duplicateValues" dxfId="37" priority="15"/>
  </conditionalFormatting>
  <conditionalFormatting sqref="C177">
    <cfRule type="duplicateValues" dxfId="36" priority="14"/>
  </conditionalFormatting>
  <conditionalFormatting sqref="D177">
    <cfRule type="duplicateValues" dxfId="35" priority="13"/>
  </conditionalFormatting>
  <conditionalFormatting sqref="C183">
    <cfRule type="duplicateValues" dxfId="34" priority="12"/>
  </conditionalFormatting>
  <conditionalFormatting sqref="D183">
    <cfRule type="duplicateValues" dxfId="33" priority="11"/>
  </conditionalFormatting>
  <conditionalFormatting sqref="C189">
    <cfRule type="duplicateValues" dxfId="32" priority="10"/>
  </conditionalFormatting>
  <conditionalFormatting sqref="D189">
    <cfRule type="duplicateValues" dxfId="31" priority="9"/>
  </conditionalFormatting>
  <conditionalFormatting sqref="C76">
    <cfRule type="duplicateValues" dxfId="30" priority="8"/>
  </conditionalFormatting>
  <conditionalFormatting sqref="D76">
    <cfRule type="duplicateValues" dxfId="29" priority="7"/>
  </conditionalFormatting>
  <conditionalFormatting sqref="C147">
    <cfRule type="duplicateValues" dxfId="28" priority="6"/>
  </conditionalFormatting>
  <conditionalFormatting sqref="D147">
    <cfRule type="duplicateValues" dxfId="27" priority="5"/>
  </conditionalFormatting>
  <conditionalFormatting sqref="C171">
    <cfRule type="duplicateValues" dxfId="26" priority="4"/>
  </conditionalFormatting>
  <conditionalFormatting sqref="D171">
    <cfRule type="duplicateValues" dxfId="25" priority="3"/>
  </conditionalFormatting>
  <conditionalFormatting sqref="C141">
    <cfRule type="duplicateValues" dxfId="24" priority="2"/>
  </conditionalFormatting>
  <conditionalFormatting sqref="D141">
    <cfRule type="duplicateValues" dxfId="23" priority="1"/>
  </conditionalFormatting>
  <pageMargins left="0.27500000000000002" right="0.118055555555556" top="0.27500000000000002" bottom="0.43263888888888902" header="0.27500000000000002" footer="0.31458333333333299"/>
  <pageSetup paperSize="9" scale="5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E06F0-1D20-4849-80FE-2CB38098EA5D}">
  <dimension ref="A1:AI72"/>
  <sheetViews>
    <sheetView topLeftCell="M1" workbookViewId="0">
      <selection activeCell="AE8" sqref="AE8:AE11"/>
    </sheetView>
  </sheetViews>
  <sheetFormatPr defaultRowHeight="14.4"/>
  <cols>
    <col min="29" max="29" width="13.88671875" bestFit="1" customWidth="1"/>
    <col min="30" max="30" width="12.77734375" bestFit="1" customWidth="1"/>
  </cols>
  <sheetData>
    <row r="1" spans="1:35" s="24" customFormat="1" ht="18" customHeight="1">
      <c r="A1" s="166" t="s">
        <v>101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8"/>
      <c r="O1" s="168"/>
      <c r="P1" s="169"/>
      <c r="Q1" s="169"/>
      <c r="R1" s="169"/>
      <c r="S1" s="168"/>
      <c r="T1" s="168"/>
      <c r="U1" s="168"/>
      <c r="V1" s="168"/>
      <c r="W1" s="168"/>
      <c r="X1" s="168"/>
      <c r="Y1" s="168"/>
      <c r="Z1" s="168"/>
      <c r="AA1" s="168"/>
      <c r="AB1" s="68"/>
      <c r="AC1" s="23"/>
      <c r="AD1" s="23"/>
      <c r="AE1" s="23"/>
      <c r="AF1" s="23"/>
    </row>
    <row r="2" spans="1:35" s="24" customFormat="1" ht="15.9" customHeight="1">
      <c r="A2" s="25" t="s">
        <v>0</v>
      </c>
      <c r="B2" s="180" t="s">
        <v>16</v>
      </c>
      <c r="C2" s="170" t="s">
        <v>1</v>
      </c>
      <c r="D2" s="170" t="s">
        <v>2</v>
      </c>
      <c r="E2" s="170" t="s">
        <v>17</v>
      </c>
      <c r="F2" s="178" t="s">
        <v>61</v>
      </c>
      <c r="G2" s="170" t="s">
        <v>18</v>
      </c>
      <c r="H2" s="170" t="s">
        <v>3</v>
      </c>
      <c r="I2" s="171" t="s">
        <v>77</v>
      </c>
      <c r="J2" s="175" t="s">
        <v>57</v>
      </c>
      <c r="K2" s="175" t="s">
        <v>58</v>
      </c>
      <c r="L2" s="175" t="s">
        <v>59</v>
      </c>
      <c r="M2" s="178" t="s">
        <v>56</v>
      </c>
      <c r="N2" s="172" t="s">
        <v>4</v>
      </c>
      <c r="O2" s="172"/>
      <c r="P2" s="173" t="s">
        <v>5</v>
      </c>
      <c r="Q2" s="173"/>
      <c r="R2" s="173"/>
      <c r="S2" s="174" t="s">
        <v>6</v>
      </c>
      <c r="T2" s="177" t="s">
        <v>7</v>
      </c>
      <c r="U2" s="177"/>
      <c r="V2" s="177"/>
      <c r="W2" s="177"/>
      <c r="X2" s="177"/>
      <c r="Y2" s="177"/>
      <c r="Z2" s="177" t="s">
        <v>19</v>
      </c>
      <c r="AA2" s="177"/>
      <c r="AB2" s="189" t="s">
        <v>20</v>
      </c>
      <c r="AC2" s="164" t="s">
        <v>97</v>
      </c>
      <c r="AD2" s="162" t="s">
        <v>96</v>
      </c>
      <c r="AE2" s="162" t="s">
        <v>98</v>
      </c>
      <c r="AF2" s="162" t="s">
        <v>99</v>
      </c>
      <c r="AG2" s="161" t="s">
        <v>60</v>
      </c>
    </row>
    <row r="3" spans="1:35" s="24" customFormat="1" ht="30.6" customHeight="1">
      <c r="A3" s="25" t="s">
        <v>8</v>
      </c>
      <c r="B3" s="181"/>
      <c r="C3" s="170"/>
      <c r="D3" s="170"/>
      <c r="E3" s="170"/>
      <c r="F3" s="179"/>
      <c r="G3" s="170"/>
      <c r="H3" s="170"/>
      <c r="I3" s="171"/>
      <c r="J3" s="176"/>
      <c r="K3" s="176"/>
      <c r="L3" s="176"/>
      <c r="M3" s="179"/>
      <c r="N3" s="26" t="s">
        <v>9</v>
      </c>
      <c r="O3" s="26" t="s">
        <v>10</v>
      </c>
      <c r="P3" s="27" t="s">
        <v>11</v>
      </c>
      <c r="Q3" s="27" t="s">
        <v>12</v>
      </c>
      <c r="R3" s="27" t="s">
        <v>10</v>
      </c>
      <c r="S3" s="174"/>
      <c r="T3" s="21" t="s">
        <v>13</v>
      </c>
      <c r="U3" s="22" t="s">
        <v>14</v>
      </c>
      <c r="V3" s="22" t="s">
        <v>64</v>
      </c>
      <c r="W3" s="22" t="s">
        <v>95</v>
      </c>
      <c r="X3" s="22" t="s">
        <v>15</v>
      </c>
      <c r="Y3" s="70" t="s">
        <v>100</v>
      </c>
      <c r="Z3" s="22" t="s">
        <v>21</v>
      </c>
      <c r="AA3" s="22" t="s">
        <v>22</v>
      </c>
      <c r="AB3" s="189"/>
      <c r="AC3" s="165"/>
      <c r="AD3" s="163"/>
      <c r="AE3" s="163"/>
      <c r="AF3" s="163"/>
      <c r="AG3" s="161"/>
    </row>
    <row r="4" spans="1:35" s="41" customFormat="1" ht="12.6" customHeight="1">
      <c r="A4" s="185">
        <v>21</v>
      </c>
      <c r="B4" s="186"/>
      <c r="C4" s="186" t="s">
        <v>33</v>
      </c>
      <c r="D4" s="186" t="s">
        <v>34</v>
      </c>
      <c r="E4" s="40"/>
      <c r="F4" s="40"/>
      <c r="G4" s="40"/>
      <c r="H4" s="186" t="s">
        <v>31</v>
      </c>
      <c r="I4" s="187" t="s">
        <v>35</v>
      </c>
      <c r="J4" s="187"/>
      <c r="K4" s="187"/>
      <c r="L4" s="187"/>
      <c r="M4" s="187"/>
      <c r="N4" s="184">
        <v>6.1</v>
      </c>
      <c r="O4" s="184">
        <v>3</v>
      </c>
      <c r="P4" s="186">
        <f>247*185*3*7.85/1000000</f>
        <v>1.07611725</v>
      </c>
      <c r="Q4" s="186">
        <v>0.88</v>
      </c>
      <c r="R4" s="186">
        <f>P4-Q4</f>
        <v>0.19611725000000002</v>
      </c>
      <c r="S4" s="184">
        <f>N4*P4-O4*R4</f>
        <v>5.9759634749999995</v>
      </c>
      <c r="T4" s="14" t="s">
        <v>24</v>
      </c>
      <c r="U4" s="14" t="s">
        <v>36</v>
      </c>
      <c r="V4" s="14"/>
      <c r="W4" s="14"/>
      <c r="X4" s="14">
        <v>0.2</v>
      </c>
      <c r="Y4" s="14"/>
      <c r="Z4" s="188">
        <v>10.44</v>
      </c>
      <c r="AA4" s="188" t="e">
        <f>(S4+#REF!+S6)*1.2+S7</f>
        <v>#REF!</v>
      </c>
      <c r="AB4" s="189" t="e">
        <f>AA4/1.13</f>
        <v>#REF!</v>
      </c>
      <c r="AC4" s="183">
        <v>23000</v>
      </c>
      <c r="AD4" s="183">
        <v>50000</v>
      </c>
      <c r="AE4" s="183">
        <f>AC4/AD4</f>
        <v>0.46</v>
      </c>
      <c r="AF4" s="183"/>
      <c r="AG4" s="183" t="s">
        <v>66</v>
      </c>
    </row>
    <row r="5" spans="1:35" s="41" customFormat="1" ht="12" customHeight="1">
      <c r="A5" s="185"/>
      <c r="B5" s="186"/>
      <c r="C5" s="186"/>
      <c r="D5" s="186"/>
      <c r="E5" s="40"/>
      <c r="F5" s="40"/>
      <c r="G5" s="40"/>
      <c r="H5" s="186"/>
      <c r="I5" s="187"/>
      <c r="J5" s="187"/>
      <c r="K5" s="187"/>
      <c r="L5" s="187"/>
      <c r="M5" s="187"/>
      <c r="N5" s="184"/>
      <c r="O5" s="184"/>
      <c r="P5" s="186"/>
      <c r="Q5" s="186"/>
      <c r="R5" s="186"/>
      <c r="S5" s="184"/>
      <c r="T5" s="14" t="s">
        <v>28</v>
      </c>
      <c r="U5" s="14" t="s">
        <v>29</v>
      </c>
      <c r="V5" s="14"/>
      <c r="W5" s="14"/>
      <c r="X5" s="14">
        <v>0.25</v>
      </c>
      <c r="Y5" s="14"/>
      <c r="Z5" s="188"/>
      <c r="AA5" s="188"/>
      <c r="AB5" s="189"/>
      <c r="AC5" s="183"/>
      <c r="AD5" s="183"/>
      <c r="AE5" s="183"/>
      <c r="AF5" s="183"/>
      <c r="AG5" s="183"/>
    </row>
    <row r="6" spans="1:35" s="41" customFormat="1" ht="12" customHeight="1">
      <c r="A6" s="185"/>
      <c r="B6" s="186"/>
      <c r="C6" s="186"/>
      <c r="D6" s="186"/>
      <c r="E6" s="40"/>
      <c r="F6" s="40"/>
      <c r="G6" s="40"/>
      <c r="H6" s="42" t="s">
        <v>37</v>
      </c>
      <c r="I6" s="40">
        <v>4</v>
      </c>
      <c r="J6" s="43"/>
      <c r="K6" s="43"/>
      <c r="L6" s="43"/>
      <c r="M6" s="43"/>
      <c r="N6" s="44">
        <v>0.48</v>
      </c>
      <c r="O6" s="45"/>
      <c r="P6" s="46"/>
      <c r="Q6" s="46"/>
      <c r="R6" s="46"/>
      <c r="S6" s="44">
        <f>I6*N6</f>
        <v>1.92</v>
      </c>
      <c r="T6" s="14" t="s">
        <v>30</v>
      </c>
      <c r="U6" s="14" t="s">
        <v>38</v>
      </c>
      <c r="V6" s="14"/>
      <c r="W6" s="14"/>
      <c r="X6" s="14">
        <v>0.56000000000000005</v>
      </c>
      <c r="Y6" s="14"/>
      <c r="Z6" s="188"/>
      <c r="AA6" s="188"/>
      <c r="AB6" s="189"/>
      <c r="AC6" s="183"/>
      <c r="AD6" s="183"/>
      <c r="AE6" s="183"/>
      <c r="AF6" s="183"/>
      <c r="AG6" s="183"/>
    </row>
    <row r="7" spans="1:35" s="41" customFormat="1" ht="12" customHeight="1">
      <c r="A7" s="185"/>
      <c r="B7" s="186"/>
      <c r="C7" s="186"/>
      <c r="D7" s="186"/>
      <c r="E7" s="40"/>
      <c r="F7" s="40"/>
      <c r="G7" s="40"/>
      <c r="H7" s="42" t="s">
        <v>39</v>
      </c>
      <c r="I7" s="40">
        <v>50000</v>
      </c>
      <c r="J7" s="43"/>
      <c r="K7" s="43"/>
      <c r="L7" s="43"/>
      <c r="M7" s="43"/>
      <c r="N7" s="47">
        <v>23000</v>
      </c>
      <c r="O7" s="45"/>
      <c r="P7" s="46"/>
      <c r="Q7" s="46"/>
      <c r="R7" s="46"/>
      <c r="S7" s="44">
        <f>N7/I7</f>
        <v>0.46</v>
      </c>
      <c r="T7" s="14" t="s">
        <v>26</v>
      </c>
      <c r="U7" s="14" t="s">
        <v>25</v>
      </c>
      <c r="V7" s="14"/>
      <c r="W7" s="14"/>
      <c r="X7" s="14">
        <v>0.1</v>
      </c>
      <c r="Y7" s="14"/>
      <c r="Z7" s="188"/>
      <c r="AA7" s="188"/>
      <c r="AB7" s="189"/>
      <c r="AC7" s="183"/>
      <c r="AD7" s="183"/>
      <c r="AE7" s="183"/>
      <c r="AF7" s="183"/>
      <c r="AG7" s="183"/>
    </row>
    <row r="8" spans="1:35" s="51" customFormat="1" ht="12.9" customHeight="1">
      <c r="A8" s="191">
        <v>28</v>
      </c>
      <c r="B8" s="192"/>
      <c r="C8" s="192" t="s">
        <v>49</v>
      </c>
      <c r="D8" s="192" t="s">
        <v>50</v>
      </c>
      <c r="E8" s="191"/>
      <c r="F8" s="8"/>
      <c r="G8" s="8"/>
      <c r="H8" s="8" t="s">
        <v>51</v>
      </c>
      <c r="I8" s="8" t="s">
        <v>47</v>
      </c>
      <c r="J8" s="49"/>
      <c r="K8" s="49"/>
      <c r="L8" s="49">
        <v>3</v>
      </c>
      <c r="M8" s="49"/>
      <c r="N8" s="50">
        <v>5.7</v>
      </c>
      <c r="O8" s="50">
        <v>3</v>
      </c>
      <c r="P8" s="49">
        <f>85*40*4*7.85/1000000</f>
        <v>0.10675999999999999</v>
      </c>
      <c r="Q8" s="49">
        <v>2.3E-2</v>
      </c>
      <c r="R8" s="49">
        <f t="shared" ref="R8" si="0">P8-Q8</f>
        <v>8.3760000000000001E-2</v>
      </c>
      <c r="S8" s="3">
        <f>N8*P8-O8*R8</f>
        <v>0.35725199999999996</v>
      </c>
      <c r="T8" s="11" t="s">
        <v>24</v>
      </c>
      <c r="U8" s="11" t="s">
        <v>25</v>
      </c>
      <c r="V8" s="11"/>
      <c r="W8" s="6"/>
      <c r="X8" s="6"/>
      <c r="Y8" s="6"/>
      <c r="Z8" s="193"/>
      <c r="AA8" s="194" t="e">
        <f>(S8+#REF!)*1.2</f>
        <v>#REF!</v>
      </c>
      <c r="AB8" s="189" t="e">
        <f>AA8/1.13</f>
        <v>#REF!</v>
      </c>
      <c r="AC8" s="153"/>
      <c r="AD8" s="153"/>
      <c r="AE8" s="153"/>
      <c r="AF8" s="153"/>
      <c r="AG8" s="153"/>
      <c r="AI8" s="51" t="s">
        <v>68</v>
      </c>
    </row>
    <row r="9" spans="1:35" s="51" customFormat="1" ht="12.9" customHeight="1">
      <c r="A9" s="191"/>
      <c r="B9" s="192"/>
      <c r="C9" s="192"/>
      <c r="D9" s="192"/>
      <c r="E9" s="191"/>
      <c r="F9" s="8"/>
      <c r="G9" s="8"/>
      <c r="H9" s="8"/>
      <c r="I9" s="8"/>
      <c r="J9" s="49"/>
      <c r="K9" s="49"/>
      <c r="L9" s="49"/>
      <c r="M9" s="49"/>
      <c r="N9" s="50"/>
      <c r="O9" s="50"/>
      <c r="P9" s="49"/>
      <c r="Q9" s="49"/>
      <c r="R9" s="49"/>
      <c r="S9" s="3"/>
      <c r="T9" s="11" t="s">
        <v>46</v>
      </c>
      <c r="U9" s="11" t="s">
        <v>32</v>
      </c>
      <c r="V9" s="11"/>
      <c r="W9" s="6"/>
      <c r="X9" s="6"/>
      <c r="Y9" s="6"/>
      <c r="Z9" s="193"/>
      <c r="AA9" s="194"/>
      <c r="AB9" s="189"/>
      <c r="AC9" s="153"/>
      <c r="AD9" s="153"/>
      <c r="AE9" s="153"/>
      <c r="AF9" s="153"/>
      <c r="AG9" s="153"/>
    </row>
    <row r="10" spans="1:35" s="51" customFormat="1" ht="12.9" customHeight="1">
      <c r="A10" s="191"/>
      <c r="B10" s="192"/>
      <c r="C10" s="192"/>
      <c r="D10" s="192"/>
      <c r="E10" s="191"/>
      <c r="F10" s="8"/>
      <c r="G10" s="8"/>
      <c r="H10" s="8"/>
      <c r="I10" s="8"/>
      <c r="J10" s="49"/>
      <c r="K10" s="49"/>
      <c r="L10" s="49"/>
      <c r="M10" s="49"/>
      <c r="N10" s="50"/>
      <c r="O10" s="50"/>
      <c r="P10" s="49"/>
      <c r="Q10" s="49"/>
      <c r="R10" s="49"/>
      <c r="S10" s="3"/>
      <c r="T10" s="12" t="s">
        <v>48</v>
      </c>
      <c r="U10" s="11" t="s">
        <v>32</v>
      </c>
      <c r="V10" s="11"/>
      <c r="W10" s="6"/>
      <c r="X10" s="6"/>
      <c r="Y10" s="6"/>
      <c r="Z10" s="193"/>
      <c r="AA10" s="194"/>
      <c r="AB10" s="189"/>
      <c r="AC10" s="153"/>
      <c r="AD10" s="153"/>
      <c r="AE10" s="153"/>
      <c r="AF10" s="153"/>
      <c r="AG10" s="153"/>
    </row>
    <row r="11" spans="1:35" s="51" customFormat="1" ht="12.9" customHeight="1">
      <c r="A11" s="191"/>
      <c r="B11" s="192"/>
      <c r="C11" s="192"/>
      <c r="D11" s="192"/>
      <c r="E11" s="191"/>
      <c r="F11" s="8"/>
      <c r="G11" s="8"/>
      <c r="H11" s="8"/>
      <c r="I11" s="8"/>
      <c r="J11" s="49"/>
      <c r="K11" s="49"/>
      <c r="L11" s="49"/>
      <c r="M11" s="49"/>
      <c r="N11" s="50"/>
      <c r="O11" s="50"/>
      <c r="P11" s="49"/>
      <c r="Q11" s="49"/>
      <c r="R11" s="49"/>
      <c r="S11" s="3"/>
      <c r="T11" s="8"/>
      <c r="U11" s="8"/>
      <c r="V11" s="8"/>
      <c r="W11" s="6"/>
      <c r="X11" s="6"/>
      <c r="Y11" s="6"/>
      <c r="Z11" s="193"/>
      <c r="AA11" s="194"/>
      <c r="AB11" s="189"/>
      <c r="AC11" s="153"/>
      <c r="AD11" s="153"/>
      <c r="AE11" s="153"/>
      <c r="AF11" s="153"/>
      <c r="AG11" s="153"/>
    </row>
    <row r="12" spans="1:35" s="37" customFormat="1" ht="12.9" customHeight="1">
      <c r="A12" s="9"/>
      <c r="B12" s="38"/>
      <c r="C12" s="38"/>
      <c r="D12" s="38"/>
      <c r="E12" s="9"/>
      <c r="F12" s="9"/>
      <c r="G12" s="9"/>
      <c r="H12" s="9"/>
      <c r="I12" s="9"/>
      <c r="J12" s="9"/>
      <c r="K12" s="9"/>
      <c r="L12" s="9"/>
      <c r="M12" s="9"/>
      <c r="N12" s="2"/>
      <c r="O12" s="2"/>
      <c r="P12" s="9"/>
      <c r="Q12" s="9"/>
      <c r="R12" s="9"/>
      <c r="S12" s="2"/>
      <c r="T12" s="9"/>
      <c r="U12" s="9"/>
      <c r="V12" s="9"/>
      <c r="W12" s="10"/>
      <c r="X12" s="6"/>
      <c r="Y12" s="10"/>
      <c r="Z12" s="2"/>
      <c r="AA12" s="10"/>
      <c r="AB12" s="69"/>
      <c r="AC12" s="36"/>
      <c r="AD12" s="36"/>
      <c r="AE12" s="36"/>
      <c r="AF12" s="36"/>
      <c r="AG12" s="36"/>
    </row>
    <row r="13" spans="1:35" s="78" customFormat="1" ht="12.9" customHeight="1">
      <c r="A13" s="195">
        <v>28</v>
      </c>
      <c r="B13" s="196"/>
      <c r="C13" s="196" t="s">
        <v>53</v>
      </c>
      <c r="D13" s="196" t="s">
        <v>54</v>
      </c>
      <c r="E13" s="71" t="s">
        <v>55</v>
      </c>
      <c r="F13" s="71"/>
      <c r="G13" s="71"/>
      <c r="H13" s="71"/>
      <c r="I13" s="71"/>
      <c r="J13" s="72"/>
      <c r="K13" s="72"/>
      <c r="L13" s="72"/>
      <c r="M13" s="72"/>
      <c r="N13" s="73"/>
      <c r="O13" s="73"/>
      <c r="P13" s="72"/>
      <c r="Q13" s="94"/>
      <c r="R13" s="72"/>
      <c r="S13" s="74"/>
      <c r="T13" s="75"/>
      <c r="U13" s="75"/>
      <c r="V13" s="76"/>
      <c r="W13" s="77"/>
      <c r="X13" s="77"/>
      <c r="Y13" s="77"/>
      <c r="Z13" s="197"/>
      <c r="AA13" s="200" t="e">
        <f>(S13+#REF!+S14)*1.2</f>
        <v>#REF!</v>
      </c>
      <c r="AB13" s="190" t="e">
        <f>AA13/1.13</f>
        <v>#REF!</v>
      </c>
      <c r="AC13" s="190"/>
      <c r="AD13" s="190"/>
      <c r="AE13" s="190"/>
      <c r="AF13" s="190"/>
      <c r="AG13" s="190"/>
      <c r="AI13" s="51" t="s">
        <v>68</v>
      </c>
    </row>
    <row r="14" spans="1:35" s="78" customFormat="1" ht="12.9" customHeight="1">
      <c r="A14" s="195"/>
      <c r="B14" s="196"/>
      <c r="C14" s="196"/>
      <c r="D14" s="196"/>
      <c r="E14" s="79"/>
      <c r="F14" s="79"/>
      <c r="G14" s="71"/>
      <c r="H14" s="71"/>
      <c r="I14" s="71"/>
      <c r="J14" s="72"/>
      <c r="K14" s="72"/>
      <c r="L14" s="72"/>
      <c r="M14" s="72"/>
      <c r="N14" s="73"/>
      <c r="O14" s="73"/>
      <c r="P14" s="72"/>
      <c r="Q14" s="94"/>
      <c r="R14" s="72"/>
      <c r="S14" s="74"/>
      <c r="T14" s="75"/>
      <c r="U14" s="75"/>
      <c r="V14" s="76"/>
      <c r="W14" s="77"/>
      <c r="X14" s="77"/>
      <c r="Y14" s="77"/>
      <c r="Z14" s="198"/>
      <c r="AA14" s="200"/>
      <c r="AB14" s="190"/>
      <c r="AC14" s="190"/>
      <c r="AD14" s="190"/>
      <c r="AE14" s="190"/>
      <c r="AF14" s="190"/>
      <c r="AG14" s="190"/>
    </row>
    <row r="15" spans="1:35" s="78" customFormat="1" ht="12.9" customHeight="1">
      <c r="A15" s="195"/>
      <c r="B15" s="196"/>
      <c r="C15" s="196"/>
      <c r="D15" s="196"/>
      <c r="E15" s="71"/>
      <c r="F15" s="71"/>
      <c r="G15" s="71"/>
      <c r="H15" s="71"/>
      <c r="I15" s="71"/>
      <c r="J15" s="72"/>
      <c r="K15" s="72"/>
      <c r="L15" s="72"/>
      <c r="M15" s="72"/>
      <c r="N15" s="73"/>
      <c r="O15" s="73"/>
      <c r="P15" s="72"/>
      <c r="Q15" s="94"/>
      <c r="R15" s="72"/>
      <c r="S15" s="74"/>
      <c r="T15" s="76"/>
      <c r="U15" s="75"/>
      <c r="V15" s="76"/>
      <c r="W15" s="77"/>
      <c r="X15" s="77"/>
      <c r="Y15" s="77"/>
      <c r="Z15" s="198"/>
      <c r="AA15" s="200"/>
      <c r="AB15" s="190"/>
      <c r="AC15" s="190"/>
      <c r="AD15" s="190"/>
      <c r="AE15" s="190"/>
      <c r="AF15" s="190"/>
      <c r="AG15" s="190"/>
    </row>
    <row r="16" spans="1:35" s="78" customFormat="1" ht="12.9" customHeight="1">
      <c r="A16" s="195"/>
      <c r="B16" s="196"/>
      <c r="C16" s="196"/>
      <c r="D16" s="196"/>
      <c r="E16" s="71"/>
      <c r="F16" s="71"/>
      <c r="G16" s="71"/>
      <c r="H16" s="71"/>
      <c r="I16" s="71"/>
      <c r="J16" s="72"/>
      <c r="K16" s="72"/>
      <c r="L16" s="72"/>
      <c r="M16" s="72"/>
      <c r="N16" s="73"/>
      <c r="O16" s="73"/>
      <c r="P16" s="72"/>
      <c r="Q16" s="94"/>
      <c r="R16" s="72"/>
      <c r="S16" s="74"/>
      <c r="T16" s="76"/>
      <c r="U16" s="76"/>
      <c r="V16" s="76"/>
      <c r="W16" s="77"/>
      <c r="X16" s="77"/>
      <c r="Y16" s="77"/>
      <c r="Z16" s="198"/>
      <c r="AA16" s="200"/>
      <c r="AB16" s="190"/>
      <c r="AC16" s="190"/>
      <c r="AD16" s="190"/>
      <c r="AE16" s="190"/>
      <c r="AF16" s="190"/>
      <c r="AG16" s="190"/>
    </row>
    <row r="17" spans="1:35" s="78" customFormat="1" ht="12.9" customHeight="1">
      <c r="A17" s="195"/>
      <c r="B17" s="196"/>
      <c r="C17" s="196"/>
      <c r="D17" s="196"/>
      <c r="E17" s="71"/>
      <c r="F17" s="71"/>
      <c r="G17" s="71"/>
      <c r="H17" s="71"/>
      <c r="I17" s="71"/>
      <c r="J17" s="72"/>
      <c r="K17" s="72"/>
      <c r="L17" s="72"/>
      <c r="M17" s="72"/>
      <c r="N17" s="73"/>
      <c r="O17" s="73"/>
      <c r="P17" s="72"/>
      <c r="Q17" s="94"/>
      <c r="R17" s="72"/>
      <c r="S17" s="74"/>
      <c r="T17" s="76"/>
      <c r="U17" s="76"/>
      <c r="V17" s="76"/>
      <c r="W17" s="77"/>
      <c r="X17" s="77"/>
      <c r="Y17" s="77"/>
      <c r="Z17" s="198"/>
      <c r="AA17" s="200"/>
      <c r="AB17" s="190"/>
      <c r="AC17" s="190"/>
      <c r="AD17" s="190"/>
      <c r="AE17" s="190"/>
      <c r="AF17" s="190"/>
      <c r="AG17" s="190"/>
    </row>
    <row r="18" spans="1:35" s="78" customFormat="1" ht="12.9" customHeight="1">
      <c r="A18" s="195"/>
      <c r="B18" s="196"/>
      <c r="C18" s="196"/>
      <c r="D18" s="196"/>
      <c r="E18" s="71"/>
      <c r="F18" s="71"/>
      <c r="G18" s="71"/>
      <c r="H18" s="71"/>
      <c r="I18" s="71"/>
      <c r="J18" s="72"/>
      <c r="K18" s="72"/>
      <c r="L18" s="72"/>
      <c r="M18" s="72"/>
      <c r="N18" s="73"/>
      <c r="O18" s="73"/>
      <c r="P18" s="72"/>
      <c r="Q18" s="94"/>
      <c r="R18" s="72"/>
      <c r="S18" s="74"/>
      <c r="T18" s="76"/>
      <c r="U18" s="76"/>
      <c r="V18" s="76"/>
      <c r="W18" s="77"/>
      <c r="X18" s="77"/>
      <c r="Y18" s="77"/>
      <c r="Z18" s="198"/>
      <c r="AA18" s="200"/>
      <c r="AB18" s="190"/>
      <c r="AC18" s="190"/>
      <c r="AD18" s="190"/>
      <c r="AE18" s="190"/>
      <c r="AF18" s="190"/>
      <c r="AG18" s="190"/>
    </row>
    <row r="19" spans="1:35" s="78" customFormat="1" ht="12.9" customHeight="1">
      <c r="A19" s="195"/>
      <c r="B19" s="196"/>
      <c r="C19" s="196"/>
      <c r="D19" s="196"/>
      <c r="E19" s="71"/>
      <c r="F19" s="71"/>
      <c r="G19" s="71"/>
      <c r="H19" s="71"/>
      <c r="I19" s="71"/>
      <c r="J19" s="72"/>
      <c r="K19" s="72"/>
      <c r="L19" s="72"/>
      <c r="M19" s="72"/>
      <c r="N19" s="73"/>
      <c r="O19" s="73"/>
      <c r="P19" s="72"/>
      <c r="Q19" s="94"/>
      <c r="R19" s="72"/>
      <c r="S19" s="74"/>
      <c r="T19" s="76"/>
      <c r="U19" s="76"/>
      <c r="V19" s="76"/>
      <c r="W19" s="77"/>
      <c r="X19" s="77"/>
      <c r="Y19" s="77"/>
      <c r="Z19" s="198"/>
      <c r="AA19" s="200"/>
      <c r="AB19" s="190"/>
      <c r="AC19" s="190"/>
      <c r="AD19" s="190"/>
      <c r="AE19" s="190"/>
      <c r="AF19" s="190"/>
      <c r="AG19" s="190"/>
    </row>
    <row r="20" spans="1:35" s="78" customFormat="1" ht="12.9" customHeight="1">
      <c r="A20" s="195"/>
      <c r="B20" s="196"/>
      <c r="C20" s="196"/>
      <c r="D20" s="196"/>
      <c r="E20" s="71"/>
      <c r="F20" s="71"/>
      <c r="G20" s="71"/>
      <c r="H20" s="71"/>
      <c r="I20" s="71"/>
      <c r="J20" s="72"/>
      <c r="K20" s="72"/>
      <c r="L20" s="72"/>
      <c r="M20" s="72"/>
      <c r="N20" s="73"/>
      <c r="O20" s="73"/>
      <c r="P20" s="72"/>
      <c r="Q20" s="94"/>
      <c r="R20" s="72"/>
      <c r="S20" s="74"/>
      <c r="T20" s="76"/>
      <c r="U20" s="76"/>
      <c r="V20" s="76"/>
      <c r="W20" s="77"/>
      <c r="X20" s="77"/>
      <c r="Y20" s="77"/>
      <c r="Z20" s="198"/>
      <c r="AA20" s="200"/>
      <c r="AB20" s="190"/>
      <c r="AC20" s="190"/>
      <c r="AD20" s="190"/>
      <c r="AE20" s="190"/>
      <c r="AF20" s="190"/>
      <c r="AG20" s="190"/>
    </row>
    <row r="21" spans="1:35" s="78" customFormat="1" ht="12.9" customHeight="1">
      <c r="A21" s="195"/>
      <c r="B21" s="196"/>
      <c r="C21" s="196"/>
      <c r="D21" s="196"/>
      <c r="E21" s="71"/>
      <c r="F21" s="71"/>
      <c r="G21" s="71"/>
      <c r="H21" s="71"/>
      <c r="I21" s="71"/>
      <c r="J21" s="72"/>
      <c r="K21" s="72"/>
      <c r="L21" s="72"/>
      <c r="M21" s="72"/>
      <c r="N21" s="73"/>
      <c r="O21" s="73"/>
      <c r="P21" s="72"/>
      <c r="Q21" s="94"/>
      <c r="R21" s="72"/>
      <c r="S21" s="74"/>
      <c r="T21" s="76"/>
      <c r="U21" s="76"/>
      <c r="V21" s="76"/>
      <c r="W21" s="77"/>
      <c r="X21" s="77"/>
      <c r="Y21" s="77"/>
      <c r="Z21" s="198"/>
      <c r="AA21" s="200"/>
      <c r="AB21" s="190"/>
      <c r="AC21" s="190"/>
      <c r="AD21" s="190"/>
      <c r="AE21" s="190"/>
      <c r="AF21" s="190"/>
      <c r="AG21" s="190"/>
    </row>
    <row r="22" spans="1:35" s="78" customFormat="1" ht="12.9" customHeight="1">
      <c r="A22" s="195"/>
      <c r="B22" s="196"/>
      <c r="C22" s="196"/>
      <c r="D22" s="196"/>
      <c r="E22" s="71"/>
      <c r="F22" s="71"/>
      <c r="G22" s="71"/>
      <c r="H22" s="71"/>
      <c r="I22" s="71"/>
      <c r="J22" s="72"/>
      <c r="K22" s="72"/>
      <c r="L22" s="72"/>
      <c r="M22" s="72"/>
      <c r="N22" s="73"/>
      <c r="O22" s="73"/>
      <c r="P22" s="72"/>
      <c r="Q22" s="94"/>
      <c r="R22" s="72"/>
      <c r="S22" s="74"/>
      <c r="T22" s="76"/>
      <c r="U22" s="76"/>
      <c r="V22" s="76"/>
      <c r="W22" s="77"/>
      <c r="X22" s="77"/>
      <c r="Y22" s="77"/>
      <c r="Z22" s="198"/>
      <c r="AA22" s="200"/>
      <c r="AB22" s="190"/>
      <c r="AC22" s="190"/>
      <c r="AD22" s="190"/>
      <c r="AE22" s="190"/>
      <c r="AF22" s="190"/>
      <c r="AG22" s="190"/>
    </row>
    <row r="23" spans="1:35" s="78" customFormat="1" ht="24.6" customHeight="1">
      <c r="A23" s="195"/>
      <c r="B23" s="196"/>
      <c r="C23" s="196"/>
      <c r="D23" s="196"/>
      <c r="E23" s="71"/>
      <c r="F23" s="71"/>
      <c r="G23" s="71"/>
      <c r="H23" s="71"/>
      <c r="I23" s="71"/>
      <c r="J23" s="72"/>
      <c r="K23" s="72"/>
      <c r="L23" s="72"/>
      <c r="M23" s="72"/>
      <c r="N23" s="73"/>
      <c r="O23" s="73"/>
      <c r="P23" s="72"/>
      <c r="Q23" s="94"/>
      <c r="R23" s="72"/>
      <c r="S23" s="74"/>
      <c r="T23" s="80"/>
      <c r="U23" s="76"/>
      <c r="V23" s="76"/>
      <c r="W23" s="77"/>
      <c r="X23" s="77"/>
      <c r="Y23" s="77"/>
      <c r="Z23" s="199"/>
      <c r="AA23" s="200"/>
      <c r="AB23" s="190"/>
      <c r="AC23" s="190"/>
      <c r="AD23" s="190"/>
      <c r="AE23" s="190"/>
      <c r="AF23" s="190"/>
      <c r="AG23" s="190">
        <f>5000/26/8/3600*16</f>
        <v>0.10683760683760685</v>
      </c>
    </row>
    <row r="24" spans="1:35" s="37" customFormat="1" ht="12">
      <c r="C24" s="53"/>
      <c r="D24" s="53"/>
      <c r="E24" s="54"/>
      <c r="F24" s="54"/>
      <c r="G24" s="54"/>
      <c r="H24" s="55"/>
      <c r="I24" s="54"/>
      <c r="N24" s="56"/>
      <c r="O24" s="57"/>
      <c r="P24" s="58"/>
      <c r="Q24" s="66"/>
      <c r="R24" s="58"/>
      <c r="S24" s="56"/>
      <c r="T24" s="13"/>
      <c r="U24" s="13"/>
      <c r="V24" s="13"/>
      <c r="W24" s="2"/>
      <c r="X24" s="2"/>
      <c r="Y24" s="2"/>
      <c r="Z24" s="59"/>
      <c r="AA24" s="59"/>
      <c r="AB24" s="68"/>
      <c r="AC24" s="60"/>
      <c r="AD24" s="60"/>
      <c r="AE24" s="60"/>
      <c r="AF24" s="60"/>
    </row>
    <row r="25" spans="1:35" s="78" customFormat="1" ht="12.9" customHeight="1">
      <c r="A25" s="195">
        <v>28</v>
      </c>
      <c r="B25" s="196"/>
      <c r="C25" s="196" t="s">
        <v>70</v>
      </c>
      <c r="D25" s="196" t="s">
        <v>69</v>
      </c>
      <c r="E25" s="71"/>
      <c r="F25" s="71"/>
      <c r="G25" s="71"/>
      <c r="H25" s="71"/>
      <c r="I25" s="71"/>
      <c r="J25" s="72"/>
      <c r="K25" s="72"/>
      <c r="L25" s="72"/>
      <c r="M25" s="72"/>
      <c r="N25" s="73"/>
      <c r="O25" s="73"/>
      <c r="P25" s="72"/>
      <c r="Q25" s="94"/>
      <c r="R25" s="72"/>
      <c r="S25" s="74"/>
      <c r="T25" s="75"/>
      <c r="U25" s="75"/>
      <c r="V25" s="76"/>
      <c r="W25" s="77"/>
      <c r="X25" s="77"/>
      <c r="Y25" s="77"/>
      <c r="Z25" s="197"/>
      <c r="AA25" s="200" t="e">
        <f>(S25+#REF!+S26)*1.2</f>
        <v>#REF!</v>
      </c>
      <c r="AB25" s="190" t="e">
        <f>AA25/1.13</f>
        <v>#REF!</v>
      </c>
      <c r="AC25" s="190"/>
      <c r="AD25" s="190"/>
      <c r="AE25" s="190"/>
      <c r="AF25" s="190"/>
      <c r="AG25" s="190"/>
      <c r="AI25" s="51" t="s">
        <v>68</v>
      </c>
    </row>
    <row r="26" spans="1:35" s="78" customFormat="1" ht="12.9" customHeight="1">
      <c r="A26" s="195"/>
      <c r="B26" s="196"/>
      <c r="C26" s="196"/>
      <c r="D26" s="196"/>
      <c r="E26" s="79"/>
      <c r="F26" s="79"/>
      <c r="G26" s="71"/>
      <c r="H26" s="71"/>
      <c r="I26" s="71"/>
      <c r="J26" s="72"/>
      <c r="K26" s="72"/>
      <c r="L26" s="72"/>
      <c r="M26" s="72"/>
      <c r="N26" s="73"/>
      <c r="O26" s="73"/>
      <c r="P26" s="72"/>
      <c r="Q26" s="94"/>
      <c r="R26" s="72"/>
      <c r="S26" s="74"/>
      <c r="T26" s="75"/>
      <c r="U26" s="75"/>
      <c r="V26" s="76"/>
      <c r="W26" s="77"/>
      <c r="X26" s="77"/>
      <c r="Y26" s="77"/>
      <c r="Z26" s="198"/>
      <c r="AA26" s="200"/>
      <c r="AB26" s="190"/>
      <c r="AC26" s="190"/>
      <c r="AD26" s="190"/>
      <c r="AE26" s="190"/>
      <c r="AF26" s="190"/>
      <c r="AG26" s="190"/>
    </row>
    <row r="27" spans="1:35" s="78" customFormat="1" ht="12.9" customHeight="1">
      <c r="A27" s="195"/>
      <c r="B27" s="196"/>
      <c r="C27" s="196"/>
      <c r="D27" s="196"/>
      <c r="E27" s="71"/>
      <c r="F27" s="71"/>
      <c r="G27" s="71"/>
      <c r="H27" s="71"/>
      <c r="I27" s="71"/>
      <c r="J27" s="72"/>
      <c r="K27" s="72"/>
      <c r="L27" s="72"/>
      <c r="M27" s="72"/>
      <c r="N27" s="73"/>
      <c r="O27" s="73"/>
      <c r="P27" s="72"/>
      <c r="Q27" s="94"/>
      <c r="R27" s="72"/>
      <c r="S27" s="74"/>
      <c r="T27" s="76"/>
      <c r="U27" s="75"/>
      <c r="V27" s="76"/>
      <c r="W27" s="77"/>
      <c r="X27" s="77"/>
      <c r="Y27" s="77"/>
      <c r="Z27" s="198"/>
      <c r="AA27" s="200"/>
      <c r="AB27" s="190"/>
      <c r="AC27" s="190"/>
      <c r="AD27" s="190"/>
      <c r="AE27" s="190"/>
      <c r="AF27" s="190"/>
      <c r="AG27" s="190"/>
    </row>
    <row r="28" spans="1:35" s="78" customFormat="1" ht="12.9" customHeight="1">
      <c r="A28" s="195"/>
      <c r="B28" s="196"/>
      <c r="C28" s="196"/>
      <c r="D28" s="196"/>
      <c r="E28" s="71"/>
      <c r="F28" s="71"/>
      <c r="G28" s="71"/>
      <c r="H28" s="71"/>
      <c r="I28" s="71"/>
      <c r="J28" s="72"/>
      <c r="K28" s="72"/>
      <c r="L28" s="72"/>
      <c r="M28" s="72"/>
      <c r="N28" s="73"/>
      <c r="O28" s="73"/>
      <c r="P28" s="72"/>
      <c r="Q28" s="94"/>
      <c r="R28" s="72"/>
      <c r="S28" s="74"/>
      <c r="T28" s="76"/>
      <c r="U28" s="76"/>
      <c r="V28" s="76"/>
      <c r="W28" s="77"/>
      <c r="X28" s="77"/>
      <c r="Y28" s="77"/>
      <c r="Z28" s="198"/>
      <c r="AA28" s="200"/>
      <c r="AB28" s="190"/>
      <c r="AC28" s="190"/>
      <c r="AD28" s="190"/>
      <c r="AE28" s="190"/>
      <c r="AF28" s="190"/>
      <c r="AG28" s="190"/>
    </row>
    <row r="29" spans="1:35" s="78" customFormat="1" ht="12.9" customHeight="1">
      <c r="A29" s="195"/>
      <c r="B29" s="196"/>
      <c r="C29" s="196"/>
      <c r="D29" s="196"/>
      <c r="E29" s="71"/>
      <c r="F29" s="71"/>
      <c r="G29" s="71"/>
      <c r="H29" s="71"/>
      <c r="I29" s="71"/>
      <c r="J29" s="72"/>
      <c r="K29" s="72"/>
      <c r="L29" s="72"/>
      <c r="M29" s="72"/>
      <c r="N29" s="73"/>
      <c r="O29" s="73"/>
      <c r="P29" s="72"/>
      <c r="Q29" s="94"/>
      <c r="R29" s="72"/>
      <c r="S29" s="74"/>
      <c r="T29" s="76"/>
      <c r="U29" s="76"/>
      <c r="V29" s="76"/>
      <c r="W29" s="77"/>
      <c r="X29" s="77"/>
      <c r="Y29" s="77"/>
      <c r="Z29" s="198"/>
      <c r="AA29" s="200"/>
      <c r="AB29" s="190"/>
      <c r="AC29" s="190"/>
      <c r="AD29" s="190"/>
      <c r="AE29" s="190"/>
      <c r="AF29" s="190"/>
      <c r="AG29" s="190"/>
    </row>
    <row r="30" spans="1:35" s="78" customFormat="1" ht="12.9" customHeight="1">
      <c r="A30" s="195"/>
      <c r="B30" s="196"/>
      <c r="C30" s="196"/>
      <c r="D30" s="196"/>
      <c r="E30" s="71"/>
      <c r="F30" s="71"/>
      <c r="G30" s="71"/>
      <c r="H30" s="71"/>
      <c r="I30" s="71"/>
      <c r="J30" s="72"/>
      <c r="K30" s="72"/>
      <c r="L30" s="72"/>
      <c r="M30" s="72"/>
      <c r="N30" s="73"/>
      <c r="O30" s="73"/>
      <c r="P30" s="72"/>
      <c r="Q30" s="94"/>
      <c r="R30" s="72"/>
      <c r="S30" s="74"/>
      <c r="T30" s="76"/>
      <c r="U30" s="76"/>
      <c r="V30" s="76"/>
      <c r="W30" s="77"/>
      <c r="X30" s="77"/>
      <c r="Y30" s="77"/>
      <c r="Z30" s="198"/>
      <c r="AA30" s="200"/>
      <c r="AB30" s="190"/>
      <c r="AC30" s="190"/>
      <c r="AD30" s="190"/>
      <c r="AE30" s="190"/>
      <c r="AF30" s="190"/>
      <c r="AG30" s="190"/>
    </row>
    <row r="31" spans="1:35" s="78" customFormat="1" ht="12.9" customHeight="1">
      <c r="A31" s="195"/>
      <c r="B31" s="196"/>
      <c r="C31" s="196"/>
      <c r="D31" s="196"/>
      <c r="E31" s="71"/>
      <c r="F31" s="71"/>
      <c r="G31" s="71"/>
      <c r="H31" s="71"/>
      <c r="I31" s="71"/>
      <c r="J31" s="72"/>
      <c r="K31" s="72"/>
      <c r="L31" s="72"/>
      <c r="M31" s="72"/>
      <c r="N31" s="73"/>
      <c r="O31" s="73"/>
      <c r="P31" s="72"/>
      <c r="Q31" s="94"/>
      <c r="R31" s="72"/>
      <c r="S31" s="74"/>
      <c r="T31" s="76"/>
      <c r="U31" s="76"/>
      <c r="V31" s="76"/>
      <c r="W31" s="77"/>
      <c r="X31" s="77"/>
      <c r="Y31" s="77"/>
      <c r="Z31" s="198"/>
      <c r="AA31" s="200"/>
      <c r="AB31" s="190"/>
      <c r="AC31" s="190"/>
      <c r="AD31" s="190"/>
      <c r="AE31" s="190"/>
      <c r="AF31" s="190"/>
      <c r="AG31" s="190"/>
    </row>
    <row r="32" spans="1:35" s="78" customFormat="1" ht="12.9" customHeight="1">
      <c r="A32" s="195"/>
      <c r="B32" s="196"/>
      <c r="C32" s="196"/>
      <c r="D32" s="196"/>
      <c r="E32" s="71"/>
      <c r="F32" s="71"/>
      <c r="G32" s="71"/>
      <c r="H32" s="71"/>
      <c r="I32" s="71"/>
      <c r="J32" s="72"/>
      <c r="K32" s="72"/>
      <c r="L32" s="72"/>
      <c r="M32" s="72"/>
      <c r="N32" s="73"/>
      <c r="O32" s="73"/>
      <c r="P32" s="72"/>
      <c r="Q32" s="94"/>
      <c r="R32" s="72"/>
      <c r="S32" s="74"/>
      <c r="T32" s="76"/>
      <c r="U32" s="76"/>
      <c r="V32" s="76"/>
      <c r="W32" s="77"/>
      <c r="X32" s="77"/>
      <c r="Y32" s="77"/>
      <c r="Z32" s="198"/>
      <c r="AA32" s="200"/>
      <c r="AB32" s="190"/>
      <c r="AC32" s="190"/>
      <c r="AD32" s="190"/>
      <c r="AE32" s="190"/>
      <c r="AF32" s="190"/>
      <c r="AG32" s="190"/>
    </row>
    <row r="33" spans="1:35" s="78" customFormat="1" ht="12.9" customHeight="1">
      <c r="A33" s="195"/>
      <c r="B33" s="196"/>
      <c r="C33" s="196"/>
      <c r="D33" s="196"/>
      <c r="E33" s="71"/>
      <c r="F33" s="71"/>
      <c r="G33" s="71"/>
      <c r="H33" s="71"/>
      <c r="I33" s="71"/>
      <c r="J33" s="72"/>
      <c r="K33" s="72"/>
      <c r="L33" s="72"/>
      <c r="M33" s="72"/>
      <c r="N33" s="73"/>
      <c r="O33" s="73"/>
      <c r="P33" s="72"/>
      <c r="Q33" s="94"/>
      <c r="R33" s="72"/>
      <c r="S33" s="74"/>
      <c r="T33" s="76"/>
      <c r="U33" s="76"/>
      <c r="V33" s="76"/>
      <c r="W33" s="77"/>
      <c r="X33" s="77"/>
      <c r="Y33" s="77"/>
      <c r="Z33" s="198"/>
      <c r="AA33" s="200"/>
      <c r="AB33" s="190"/>
      <c r="AC33" s="190"/>
      <c r="AD33" s="190"/>
      <c r="AE33" s="190"/>
      <c r="AF33" s="190"/>
      <c r="AG33" s="190"/>
    </row>
    <row r="34" spans="1:35" s="78" customFormat="1" ht="12.9" customHeight="1">
      <c r="A34" s="195"/>
      <c r="B34" s="196"/>
      <c r="C34" s="196"/>
      <c r="D34" s="196"/>
      <c r="E34" s="71"/>
      <c r="F34" s="71"/>
      <c r="G34" s="71"/>
      <c r="H34" s="71"/>
      <c r="I34" s="71"/>
      <c r="J34" s="72"/>
      <c r="K34" s="72"/>
      <c r="L34" s="72"/>
      <c r="M34" s="72"/>
      <c r="N34" s="73"/>
      <c r="O34" s="73"/>
      <c r="P34" s="72"/>
      <c r="Q34" s="94"/>
      <c r="R34" s="72"/>
      <c r="S34" s="74"/>
      <c r="T34" s="76"/>
      <c r="U34" s="76"/>
      <c r="V34" s="76"/>
      <c r="W34" s="77"/>
      <c r="X34" s="77"/>
      <c r="Y34" s="77"/>
      <c r="Z34" s="198"/>
      <c r="AA34" s="200"/>
      <c r="AB34" s="190"/>
      <c r="AC34" s="190"/>
      <c r="AD34" s="190"/>
      <c r="AE34" s="190"/>
      <c r="AF34" s="190"/>
      <c r="AG34" s="190"/>
    </row>
    <row r="35" spans="1:35" s="78" customFormat="1" ht="24.6" customHeight="1">
      <c r="A35" s="195"/>
      <c r="B35" s="196"/>
      <c r="C35" s="196"/>
      <c r="D35" s="196"/>
      <c r="E35" s="71"/>
      <c r="F35" s="71"/>
      <c r="G35" s="71"/>
      <c r="H35" s="71"/>
      <c r="I35" s="71"/>
      <c r="J35" s="72"/>
      <c r="K35" s="72"/>
      <c r="L35" s="72"/>
      <c r="M35" s="72"/>
      <c r="N35" s="73"/>
      <c r="O35" s="73"/>
      <c r="P35" s="72"/>
      <c r="Q35" s="94"/>
      <c r="R35" s="72"/>
      <c r="S35" s="74"/>
      <c r="T35" s="80"/>
      <c r="U35" s="76"/>
      <c r="V35" s="76"/>
      <c r="W35" s="77"/>
      <c r="X35" s="77"/>
      <c r="Y35" s="77"/>
      <c r="Z35" s="199"/>
      <c r="AA35" s="200"/>
      <c r="AB35" s="190"/>
      <c r="AC35" s="190"/>
      <c r="AD35" s="190"/>
      <c r="AE35" s="190"/>
      <c r="AF35" s="190"/>
      <c r="AG35" s="190">
        <f>5000/26/8/3600*16</f>
        <v>0.10683760683760685</v>
      </c>
    </row>
    <row r="36" spans="1:35" s="78" customFormat="1" ht="12">
      <c r="C36" s="81"/>
      <c r="D36" s="81"/>
      <c r="E36" s="82"/>
      <c r="F36" s="82"/>
      <c r="G36" s="82"/>
      <c r="H36" s="83"/>
      <c r="I36" s="82"/>
      <c r="N36" s="84"/>
      <c r="O36" s="85"/>
      <c r="P36" s="86"/>
      <c r="Q36" s="66"/>
      <c r="R36" s="86"/>
      <c r="S36" s="84"/>
      <c r="T36" s="87"/>
      <c r="U36" s="87"/>
      <c r="V36" s="87"/>
      <c r="W36" s="74"/>
      <c r="X36" s="74"/>
      <c r="Y36" s="74"/>
      <c r="Z36" s="88"/>
      <c r="AA36" s="88"/>
      <c r="AB36" s="89"/>
      <c r="AC36" s="89"/>
      <c r="AD36" s="89"/>
      <c r="AE36" s="89"/>
      <c r="AF36" s="89"/>
    </row>
    <row r="37" spans="1:35" s="78" customFormat="1" ht="12.9" customHeight="1">
      <c r="A37" s="195">
        <v>28</v>
      </c>
      <c r="B37" s="196"/>
      <c r="C37" s="196" t="s">
        <v>71</v>
      </c>
      <c r="D37" s="196" t="s">
        <v>72</v>
      </c>
      <c r="E37" s="71"/>
      <c r="F37" s="71"/>
      <c r="G37" s="71"/>
      <c r="H37" s="71"/>
      <c r="I37" s="71"/>
      <c r="J37" s="72"/>
      <c r="K37" s="72"/>
      <c r="L37" s="72"/>
      <c r="M37" s="72"/>
      <c r="N37" s="73"/>
      <c r="O37" s="73"/>
      <c r="P37" s="72"/>
      <c r="Q37" s="94"/>
      <c r="R37" s="72"/>
      <c r="S37" s="74"/>
      <c r="T37" s="75"/>
      <c r="U37" s="75"/>
      <c r="V37" s="76"/>
      <c r="W37" s="77"/>
      <c r="X37" s="77"/>
      <c r="Y37" s="77"/>
      <c r="Z37" s="197"/>
      <c r="AA37" s="200" t="e">
        <f>(S37+#REF!+S38)*1.2</f>
        <v>#REF!</v>
      </c>
      <c r="AB37" s="190" t="e">
        <f>AA37/1.13</f>
        <v>#REF!</v>
      </c>
      <c r="AC37" s="190"/>
      <c r="AD37" s="190"/>
      <c r="AE37" s="190"/>
      <c r="AF37" s="190"/>
      <c r="AG37" s="190"/>
      <c r="AI37" s="51" t="s">
        <v>68</v>
      </c>
    </row>
    <row r="38" spans="1:35" s="78" customFormat="1" ht="12.9" customHeight="1">
      <c r="A38" s="195"/>
      <c r="B38" s="196"/>
      <c r="C38" s="196"/>
      <c r="D38" s="196"/>
      <c r="E38" s="79"/>
      <c r="F38" s="79"/>
      <c r="G38" s="71"/>
      <c r="H38" s="71"/>
      <c r="I38" s="71"/>
      <c r="J38" s="72"/>
      <c r="K38" s="72"/>
      <c r="L38" s="72"/>
      <c r="M38" s="72"/>
      <c r="N38" s="73"/>
      <c r="O38" s="73"/>
      <c r="P38" s="72"/>
      <c r="Q38" s="94"/>
      <c r="R38" s="72"/>
      <c r="S38" s="74"/>
      <c r="T38" s="75"/>
      <c r="U38" s="75"/>
      <c r="V38" s="76"/>
      <c r="W38" s="77"/>
      <c r="X38" s="77"/>
      <c r="Y38" s="77"/>
      <c r="Z38" s="198"/>
      <c r="AA38" s="200"/>
      <c r="AB38" s="190"/>
      <c r="AC38" s="190"/>
      <c r="AD38" s="190"/>
      <c r="AE38" s="190"/>
      <c r="AF38" s="190"/>
      <c r="AG38" s="190"/>
    </row>
    <row r="39" spans="1:35" s="78" customFormat="1" ht="12.9" customHeight="1">
      <c r="A39" s="195"/>
      <c r="B39" s="196"/>
      <c r="C39" s="196"/>
      <c r="D39" s="196"/>
      <c r="E39" s="71"/>
      <c r="F39" s="71"/>
      <c r="G39" s="71"/>
      <c r="H39" s="71"/>
      <c r="I39" s="71"/>
      <c r="J39" s="72"/>
      <c r="K39" s="72"/>
      <c r="L39" s="72"/>
      <c r="M39" s="72"/>
      <c r="N39" s="73"/>
      <c r="O39" s="73"/>
      <c r="P39" s="72"/>
      <c r="Q39" s="94"/>
      <c r="R39" s="72"/>
      <c r="S39" s="74"/>
      <c r="T39" s="76"/>
      <c r="U39" s="75"/>
      <c r="V39" s="76"/>
      <c r="W39" s="77"/>
      <c r="X39" s="77"/>
      <c r="Y39" s="77"/>
      <c r="Z39" s="198"/>
      <c r="AA39" s="200"/>
      <c r="AB39" s="190"/>
      <c r="AC39" s="190"/>
      <c r="AD39" s="190"/>
      <c r="AE39" s="190"/>
      <c r="AF39" s="190"/>
      <c r="AG39" s="190"/>
    </row>
    <row r="40" spans="1:35" s="78" customFormat="1" ht="12.9" customHeight="1">
      <c r="A40" s="195"/>
      <c r="B40" s="196"/>
      <c r="C40" s="196"/>
      <c r="D40" s="196"/>
      <c r="E40" s="71"/>
      <c r="F40" s="71"/>
      <c r="G40" s="71"/>
      <c r="H40" s="71"/>
      <c r="I40" s="71"/>
      <c r="J40" s="72"/>
      <c r="K40" s="72"/>
      <c r="L40" s="72"/>
      <c r="M40" s="72"/>
      <c r="N40" s="73"/>
      <c r="O40" s="73"/>
      <c r="P40" s="72"/>
      <c r="Q40" s="94"/>
      <c r="R40" s="72"/>
      <c r="S40" s="74"/>
      <c r="T40" s="76"/>
      <c r="U40" s="76"/>
      <c r="V40" s="76"/>
      <c r="W40" s="77"/>
      <c r="X40" s="77"/>
      <c r="Y40" s="77"/>
      <c r="Z40" s="198"/>
      <c r="AA40" s="200"/>
      <c r="AB40" s="190"/>
      <c r="AC40" s="190"/>
      <c r="AD40" s="190"/>
      <c r="AE40" s="190"/>
      <c r="AF40" s="190"/>
      <c r="AG40" s="190"/>
    </row>
    <row r="41" spans="1:35" s="78" customFormat="1" ht="12.9" customHeight="1">
      <c r="A41" s="195"/>
      <c r="B41" s="196"/>
      <c r="C41" s="196"/>
      <c r="D41" s="196"/>
      <c r="E41" s="71"/>
      <c r="F41" s="71"/>
      <c r="G41" s="71"/>
      <c r="H41" s="71"/>
      <c r="I41" s="71"/>
      <c r="J41" s="72"/>
      <c r="K41" s="72"/>
      <c r="L41" s="72"/>
      <c r="M41" s="72"/>
      <c r="N41" s="73"/>
      <c r="O41" s="73"/>
      <c r="P41" s="72"/>
      <c r="Q41" s="94"/>
      <c r="R41" s="72"/>
      <c r="S41" s="74"/>
      <c r="T41" s="76"/>
      <c r="U41" s="76"/>
      <c r="V41" s="76"/>
      <c r="W41" s="77"/>
      <c r="X41" s="77"/>
      <c r="Y41" s="77"/>
      <c r="Z41" s="198"/>
      <c r="AA41" s="200"/>
      <c r="AB41" s="190"/>
      <c r="AC41" s="190"/>
      <c r="AD41" s="190"/>
      <c r="AE41" s="190"/>
      <c r="AF41" s="190"/>
      <c r="AG41" s="190"/>
    </row>
    <row r="42" spans="1:35" s="78" customFormat="1" ht="12.9" customHeight="1">
      <c r="A42" s="195"/>
      <c r="B42" s="196"/>
      <c r="C42" s="196"/>
      <c r="D42" s="196"/>
      <c r="E42" s="71"/>
      <c r="F42" s="71"/>
      <c r="G42" s="71"/>
      <c r="H42" s="71"/>
      <c r="I42" s="71"/>
      <c r="J42" s="72"/>
      <c r="K42" s="72"/>
      <c r="L42" s="72"/>
      <c r="M42" s="72"/>
      <c r="N42" s="73"/>
      <c r="O42" s="73"/>
      <c r="P42" s="72"/>
      <c r="Q42" s="94"/>
      <c r="R42" s="72"/>
      <c r="S42" s="74"/>
      <c r="T42" s="76"/>
      <c r="U42" s="76"/>
      <c r="V42" s="76"/>
      <c r="W42" s="77"/>
      <c r="X42" s="77"/>
      <c r="Y42" s="77"/>
      <c r="Z42" s="198"/>
      <c r="AA42" s="200"/>
      <c r="AB42" s="190"/>
      <c r="AC42" s="190"/>
      <c r="AD42" s="190"/>
      <c r="AE42" s="190"/>
      <c r="AF42" s="190"/>
      <c r="AG42" s="190"/>
    </row>
    <row r="43" spans="1:35" s="78" customFormat="1" ht="12.9" customHeight="1">
      <c r="A43" s="195"/>
      <c r="B43" s="196"/>
      <c r="C43" s="196"/>
      <c r="D43" s="196"/>
      <c r="E43" s="71"/>
      <c r="F43" s="71"/>
      <c r="G43" s="71"/>
      <c r="H43" s="71"/>
      <c r="I43" s="71"/>
      <c r="J43" s="72"/>
      <c r="K43" s="72"/>
      <c r="L43" s="72"/>
      <c r="M43" s="72"/>
      <c r="N43" s="73"/>
      <c r="O43" s="73"/>
      <c r="P43" s="72"/>
      <c r="Q43" s="94"/>
      <c r="R43" s="72"/>
      <c r="S43" s="74"/>
      <c r="T43" s="76"/>
      <c r="U43" s="76"/>
      <c r="V43" s="76"/>
      <c r="W43" s="77"/>
      <c r="X43" s="77"/>
      <c r="Y43" s="77"/>
      <c r="Z43" s="198"/>
      <c r="AA43" s="200"/>
      <c r="AB43" s="190"/>
      <c r="AC43" s="190"/>
      <c r="AD43" s="190"/>
      <c r="AE43" s="190"/>
      <c r="AF43" s="190"/>
      <c r="AG43" s="190"/>
    </row>
    <row r="44" spans="1:35" s="78" customFormat="1" ht="12.9" customHeight="1">
      <c r="A44" s="195"/>
      <c r="B44" s="196"/>
      <c r="C44" s="196"/>
      <c r="D44" s="196"/>
      <c r="E44" s="71"/>
      <c r="F44" s="71"/>
      <c r="G44" s="71"/>
      <c r="H44" s="71"/>
      <c r="I44" s="71"/>
      <c r="J44" s="72"/>
      <c r="K44" s="72"/>
      <c r="L44" s="72"/>
      <c r="M44" s="72"/>
      <c r="N44" s="73"/>
      <c r="O44" s="73"/>
      <c r="P44" s="72"/>
      <c r="Q44" s="94"/>
      <c r="R44" s="72"/>
      <c r="S44" s="74"/>
      <c r="T44" s="76"/>
      <c r="U44" s="76"/>
      <c r="V44" s="76"/>
      <c r="W44" s="77"/>
      <c r="X44" s="77"/>
      <c r="Y44" s="77"/>
      <c r="Z44" s="198"/>
      <c r="AA44" s="200"/>
      <c r="AB44" s="190"/>
      <c r="AC44" s="190"/>
      <c r="AD44" s="190"/>
      <c r="AE44" s="190"/>
      <c r="AF44" s="190"/>
      <c r="AG44" s="190"/>
    </row>
    <row r="45" spans="1:35" s="78" customFormat="1" ht="12.9" customHeight="1">
      <c r="A45" s="195"/>
      <c r="B45" s="196"/>
      <c r="C45" s="196"/>
      <c r="D45" s="196"/>
      <c r="E45" s="71"/>
      <c r="F45" s="71"/>
      <c r="G45" s="71"/>
      <c r="H45" s="71"/>
      <c r="I45" s="71"/>
      <c r="J45" s="72"/>
      <c r="K45" s="72"/>
      <c r="L45" s="72"/>
      <c r="M45" s="72"/>
      <c r="N45" s="73"/>
      <c r="O45" s="73"/>
      <c r="P45" s="72"/>
      <c r="Q45" s="94"/>
      <c r="R45" s="72"/>
      <c r="S45" s="74"/>
      <c r="T45" s="76"/>
      <c r="U45" s="76"/>
      <c r="V45" s="76"/>
      <c r="W45" s="77"/>
      <c r="X45" s="77"/>
      <c r="Y45" s="77"/>
      <c r="Z45" s="198"/>
      <c r="AA45" s="200"/>
      <c r="AB45" s="190"/>
      <c r="AC45" s="190"/>
      <c r="AD45" s="190"/>
      <c r="AE45" s="190"/>
      <c r="AF45" s="190"/>
      <c r="AG45" s="190"/>
    </row>
    <row r="46" spans="1:35" s="78" customFormat="1" ht="12.9" customHeight="1">
      <c r="A46" s="195"/>
      <c r="B46" s="196"/>
      <c r="C46" s="196"/>
      <c r="D46" s="196"/>
      <c r="E46" s="71"/>
      <c r="F46" s="71"/>
      <c r="G46" s="71"/>
      <c r="H46" s="71"/>
      <c r="I46" s="71"/>
      <c r="J46" s="72"/>
      <c r="K46" s="72"/>
      <c r="L46" s="72"/>
      <c r="M46" s="72"/>
      <c r="N46" s="73"/>
      <c r="O46" s="73"/>
      <c r="P46" s="72"/>
      <c r="Q46" s="94"/>
      <c r="R46" s="72"/>
      <c r="S46" s="74"/>
      <c r="T46" s="76"/>
      <c r="U46" s="76"/>
      <c r="V46" s="76"/>
      <c r="W46" s="77"/>
      <c r="X46" s="77"/>
      <c r="Y46" s="77"/>
      <c r="Z46" s="198"/>
      <c r="AA46" s="200"/>
      <c r="AB46" s="190"/>
      <c r="AC46" s="190"/>
      <c r="AD46" s="190"/>
      <c r="AE46" s="190"/>
      <c r="AF46" s="190"/>
      <c r="AG46" s="190"/>
    </row>
    <row r="47" spans="1:35" s="78" customFormat="1" ht="24.6" customHeight="1">
      <c r="A47" s="195"/>
      <c r="B47" s="196"/>
      <c r="C47" s="196"/>
      <c r="D47" s="196"/>
      <c r="E47" s="71"/>
      <c r="F47" s="71"/>
      <c r="G47" s="71"/>
      <c r="H47" s="71"/>
      <c r="I47" s="71"/>
      <c r="J47" s="72"/>
      <c r="K47" s="72"/>
      <c r="L47" s="72"/>
      <c r="M47" s="72"/>
      <c r="N47" s="73"/>
      <c r="O47" s="73"/>
      <c r="P47" s="72"/>
      <c r="Q47" s="94"/>
      <c r="R47" s="72"/>
      <c r="S47" s="74"/>
      <c r="T47" s="80"/>
      <c r="U47" s="76"/>
      <c r="V47" s="76"/>
      <c r="W47" s="77"/>
      <c r="X47" s="77"/>
      <c r="Y47" s="77"/>
      <c r="Z47" s="199"/>
      <c r="AA47" s="200"/>
      <c r="AB47" s="190"/>
      <c r="AC47" s="190"/>
      <c r="AD47" s="190"/>
      <c r="AE47" s="190"/>
      <c r="AF47" s="190"/>
      <c r="AG47" s="190">
        <f>5000/26/8/3600*16</f>
        <v>0.10683760683760685</v>
      </c>
    </row>
    <row r="48" spans="1:35" s="78" customFormat="1" ht="12">
      <c r="C48" s="81"/>
      <c r="D48" s="81"/>
      <c r="E48" s="82"/>
      <c r="F48" s="82"/>
      <c r="G48" s="82"/>
      <c r="H48" s="83"/>
      <c r="I48" s="82"/>
      <c r="N48" s="84"/>
      <c r="O48" s="85"/>
      <c r="P48" s="86"/>
      <c r="Q48" s="66"/>
      <c r="R48" s="86"/>
      <c r="S48" s="84"/>
      <c r="T48" s="87"/>
      <c r="U48" s="87"/>
      <c r="V48" s="87"/>
      <c r="W48" s="74"/>
      <c r="X48" s="74"/>
      <c r="Y48" s="74"/>
      <c r="Z48" s="88"/>
      <c r="AA48" s="88"/>
      <c r="AB48" s="89"/>
      <c r="AC48" s="89"/>
      <c r="AD48" s="89"/>
      <c r="AE48" s="89"/>
      <c r="AF48" s="89"/>
    </row>
    <row r="49" spans="1:33" s="78" customFormat="1" ht="12.9" customHeight="1">
      <c r="A49" s="195">
        <v>28</v>
      </c>
      <c r="B49" s="196"/>
      <c r="C49" s="196" t="s">
        <v>73</v>
      </c>
      <c r="D49" s="196" t="s">
        <v>74</v>
      </c>
      <c r="E49" s="71"/>
      <c r="F49" s="71"/>
      <c r="G49" s="71"/>
      <c r="H49" s="71"/>
      <c r="I49" s="71"/>
      <c r="J49" s="72"/>
      <c r="K49" s="72"/>
      <c r="L49" s="72"/>
      <c r="M49" s="72"/>
      <c r="N49" s="73"/>
      <c r="O49" s="73"/>
      <c r="P49" s="72"/>
      <c r="Q49" s="94"/>
      <c r="R49" s="72"/>
      <c r="S49" s="74"/>
      <c r="T49" s="75"/>
      <c r="U49" s="75"/>
      <c r="V49" s="76"/>
      <c r="W49" s="77"/>
      <c r="X49" s="77"/>
      <c r="Y49" s="77"/>
      <c r="Z49" s="197"/>
      <c r="AA49" s="200" t="e">
        <f>(S49+#REF!+S50)*1.2</f>
        <v>#REF!</v>
      </c>
      <c r="AB49" s="190" t="e">
        <f>AA49/1.13</f>
        <v>#REF!</v>
      </c>
      <c r="AC49" s="190"/>
      <c r="AD49" s="190"/>
      <c r="AE49" s="190"/>
      <c r="AF49" s="190"/>
      <c r="AG49" s="190"/>
    </row>
    <row r="50" spans="1:33" s="78" customFormat="1" ht="12.9" customHeight="1">
      <c r="A50" s="195"/>
      <c r="B50" s="196"/>
      <c r="C50" s="196"/>
      <c r="D50" s="196"/>
      <c r="E50" s="79"/>
      <c r="F50" s="79"/>
      <c r="G50" s="71"/>
      <c r="H50" s="71"/>
      <c r="I50" s="71"/>
      <c r="J50" s="72"/>
      <c r="K50" s="72"/>
      <c r="L50" s="72"/>
      <c r="M50" s="72"/>
      <c r="N50" s="73"/>
      <c r="O50" s="73"/>
      <c r="P50" s="72"/>
      <c r="Q50" s="94"/>
      <c r="R50" s="72"/>
      <c r="S50" s="74"/>
      <c r="T50" s="75"/>
      <c r="U50" s="75"/>
      <c r="V50" s="76"/>
      <c r="W50" s="77"/>
      <c r="X50" s="77"/>
      <c r="Y50" s="77"/>
      <c r="Z50" s="198"/>
      <c r="AA50" s="200"/>
      <c r="AB50" s="190"/>
      <c r="AC50" s="190"/>
      <c r="AD50" s="190"/>
      <c r="AE50" s="190"/>
      <c r="AF50" s="190"/>
      <c r="AG50" s="190"/>
    </row>
    <row r="51" spans="1:33" s="78" customFormat="1" ht="12.9" customHeight="1">
      <c r="A51" s="195"/>
      <c r="B51" s="196"/>
      <c r="C51" s="196"/>
      <c r="D51" s="196"/>
      <c r="E51" s="71"/>
      <c r="F51" s="71"/>
      <c r="G51" s="71"/>
      <c r="H51" s="71"/>
      <c r="I51" s="71"/>
      <c r="J51" s="72"/>
      <c r="K51" s="72"/>
      <c r="L51" s="72"/>
      <c r="M51" s="72"/>
      <c r="N51" s="73"/>
      <c r="O51" s="73"/>
      <c r="P51" s="72"/>
      <c r="Q51" s="94"/>
      <c r="R51" s="72"/>
      <c r="S51" s="74"/>
      <c r="T51" s="76"/>
      <c r="U51" s="75"/>
      <c r="V51" s="76"/>
      <c r="W51" s="77"/>
      <c r="X51" s="77"/>
      <c r="Y51" s="77"/>
      <c r="Z51" s="198"/>
      <c r="AA51" s="200"/>
      <c r="AB51" s="190"/>
      <c r="AC51" s="190"/>
      <c r="AD51" s="190"/>
      <c r="AE51" s="190"/>
      <c r="AF51" s="190"/>
      <c r="AG51" s="190"/>
    </row>
    <row r="52" spans="1:33" s="78" customFormat="1" ht="12.9" customHeight="1">
      <c r="A52" s="195"/>
      <c r="B52" s="196"/>
      <c r="C52" s="196"/>
      <c r="D52" s="196"/>
      <c r="E52" s="71"/>
      <c r="F52" s="71"/>
      <c r="G52" s="71"/>
      <c r="H52" s="71"/>
      <c r="I52" s="71"/>
      <c r="J52" s="72"/>
      <c r="K52" s="72"/>
      <c r="L52" s="72"/>
      <c r="M52" s="72"/>
      <c r="N52" s="73"/>
      <c r="O52" s="73"/>
      <c r="P52" s="72"/>
      <c r="Q52" s="94"/>
      <c r="R52" s="72"/>
      <c r="S52" s="74"/>
      <c r="T52" s="76"/>
      <c r="U52" s="76"/>
      <c r="V52" s="76"/>
      <c r="W52" s="77"/>
      <c r="X52" s="77"/>
      <c r="Y52" s="77"/>
      <c r="Z52" s="198"/>
      <c r="AA52" s="200"/>
      <c r="AB52" s="190"/>
      <c r="AC52" s="190"/>
      <c r="AD52" s="190"/>
      <c r="AE52" s="190"/>
      <c r="AF52" s="190"/>
      <c r="AG52" s="190"/>
    </row>
    <row r="53" spans="1:33" s="78" customFormat="1" ht="12.9" customHeight="1">
      <c r="A53" s="195"/>
      <c r="B53" s="196"/>
      <c r="C53" s="196"/>
      <c r="D53" s="196"/>
      <c r="E53" s="71"/>
      <c r="F53" s="71"/>
      <c r="G53" s="71"/>
      <c r="H53" s="71"/>
      <c r="I53" s="71"/>
      <c r="J53" s="72"/>
      <c r="K53" s="72"/>
      <c r="L53" s="72"/>
      <c r="M53" s="72"/>
      <c r="N53" s="73"/>
      <c r="O53" s="73"/>
      <c r="P53" s="72"/>
      <c r="Q53" s="94"/>
      <c r="R53" s="72"/>
      <c r="S53" s="74"/>
      <c r="T53" s="76"/>
      <c r="U53" s="76"/>
      <c r="V53" s="76"/>
      <c r="W53" s="77"/>
      <c r="X53" s="77"/>
      <c r="Y53" s="77"/>
      <c r="Z53" s="198"/>
      <c r="AA53" s="200"/>
      <c r="AB53" s="190"/>
      <c r="AC53" s="190"/>
      <c r="AD53" s="190"/>
      <c r="AE53" s="190"/>
      <c r="AF53" s="190"/>
      <c r="AG53" s="190"/>
    </row>
    <row r="54" spans="1:33" s="78" customFormat="1" ht="12.9" customHeight="1">
      <c r="A54" s="195"/>
      <c r="B54" s="196"/>
      <c r="C54" s="196"/>
      <c r="D54" s="196"/>
      <c r="E54" s="71"/>
      <c r="F54" s="71"/>
      <c r="G54" s="71"/>
      <c r="H54" s="71"/>
      <c r="I54" s="71"/>
      <c r="J54" s="72"/>
      <c r="K54" s="72"/>
      <c r="L54" s="72"/>
      <c r="M54" s="72"/>
      <c r="N54" s="73"/>
      <c r="O54" s="73"/>
      <c r="P54" s="72"/>
      <c r="Q54" s="94"/>
      <c r="R54" s="72"/>
      <c r="S54" s="74"/>
      <c r="T54" s="76"/>
      <c r="U54" s="76"/>
      <c r="V54" s="76"/>
      <c r="W54" s="77"/>
      <c r="X54" s="77"/>
      <c r="Y54" s="77"/>
      <c r="Z54" s="198"/>
      <c r="AA54" s="200"/>
      <c r="AB54" s="190"/>
      <c r="AC54" s="190"/>
      <c r="AD54" s="190"/>
      <c r="AE54" s="190"/>
      <c r="AF54" s="190"/>
      <c r="AG54" s="190"/>
    </row>
    <row r="55" spans="1:33" s="78" customFormat="1" ht="12.9" customHeight="1">
      <c r="A55" s="195"/>
      <c r="B55" s="196"/>
      <c r="C55" s="196"/>
      <c r="D55" s="196"/>
      <c r="E55" s="71"/>
      <c r="F55" s="71"/>
      <c r="G55" s="71"/>
      <c r="H55" s="71"/>
      <c r="I55" s="71"/>
      <c r="J55" s="72"/>
      <c r="K55" s="72"/>
      <c r="L55" s="72"/>
      <c r="M55" s="72"/>
      <c r="N55" s="73"/>
      <c r="O55" s="73"/>
      <c r="P55" s="72"/>
      <c r="Q55" s="94"/>
      <c r="R55" s="72"/>
      <c r="S55" s="74"/>
      <c r="T55" s="76"/>
      <c r="U55" s="76"/>
      <c r="V55" s="76"/>
      <c r="W55" s="77"/>
      <c r="X55" s="77"/>
      <c r="Y55" s="77"/>
      <c r="Z55" s="198"/>
      <c r="AA55" s="200"/>
      <c r="AB55" s="190"/>
      <c r="AC55" s="190"/>
      <c r="AD55" s="190"/>
      <c r="AE55" s="190"/>
      <c r="AF55" s="190"/>
      <c r="AG55" s="190"/>
    </row>
    <row r="56" spans="1:33" s="78" customFormat="1" ht="12.9" customHeight="1">
      <c r="A56" s="195"/>
      <c r="B56" s="196"/>
      <c r="C56" s="196"/>
      <c r="D56" s="196"/>
      <c r="E56" s="71"/>
      <c r="F56" s="71"/>
      <c r="G56" s="71"/>
      <c r="H56" s="71"/>
      <c r="I56" s="71"/>
      <c r="J56" s="72"/>
      <c r="K56" s="72"/>
      <c r="L56" s="72"/>
      <c r="M56" s="72"/>
      <c r="N56" s="73"/>
      <c r="O56" s="73"/>
      <c r="P56" s="72"/>
      <c r="Q56" s="94"/>
      <c r="R56" s="72"/>
      <c r="S56" s="74"/>
      <c r="T56" s="76"/>
      <c r="U56" s="76"/>
      <c r="V56" s="76"/>
      <c r="W56" s="77"/>
      <c r="X56" s="77"/>
      <c r="Y56" s="77"/>
      <c r="Z56" s="198"/>
      <c r="AA56" s="200"/>
      <c r="AB56" s="190"/>
      <c r="AC56" s="190"/>
      <c r="AD56" s="190"/>
      <c r="AE56" s="190"/>
      <c r="AF56" s="190"/>
      <c r="AG56" s="190"/>
    </row>
    <row r="57" spans="1:33" s="78" customFormat="1" ht="12.9" customHeight="1">
      <c r="A57" s="195"/>
      <c r="B57" s="196"/>
      <c r="C57" s="196"/>
      <c r="D57" s="196"/>
      <c r="E57" s="71"/>
      <c r="F57" s="71"/>
      <c r="G57" s="71"/>
      <c r="H57" s="71"/>
      <c r="I57" s="71"/>
      <c r="J57" s="72"/>
      <c r="K57" s="72"/>
      <c r="L57" s="72"/>
      <c r="M57" s="72"/>
      <c r="N57" s="73"/>
      <c r="O57" s="73"/>
      <c r="P57" s="72"/>
      <c r="Q57" s="94"/>
      <c r="R57" s="72"/>
      <c r="S57" s="74"/>
      <c r="T57" s="76"/>
      <c r="U57" s="76"/>
      <c r="V57" s="76"/>
      <c r="W57" s="77"/>
      <c r="X57" s="77"/>
      <c r="Y57" s="77"/>
      <c r="Z57" s="198"/>
      <c r="AA57" s="200"/>
      <c r="AB57" s="190"/>
      <c r="AC57" s="190"/>
      <c r="AD57" s="190"/>
      <c r="AE57" s="190"/>
      <c r="AF57" s="190"/>
      <c r="AG57" s="190"/>
    </row>
    <row r="58" spans="1:33" s="78" customFormat="1" ht="12.9" customHeight="1">
      <c r="A58" s="195"/>
      <c r="B58" s="196"/>
      <c r="C58" s="196"/>
      <c r="D58" s="196"/>
      <c r="E58" s="71"/>
      <c r="F58" s="71"/>
      <c r="G58" s="71"/>
      <c r="H58" s="71"/>
      <c r="I58" s="71"/>
      <c r="J58" s="72"/>
      <c r="K58" s="72"/>
      <c r="L58" s="72"/>
      <c r="M58" s="72"/>
      <c r="N58" s="73"/>
      <c r="O58" s="73"/>
      <c r="P58" s="72"/>
      <c r="Q58" s="94"/>
      <c r="R58" s="72"/>
      <c r="S58" s="74"/>
      <c r="T58" s="76"/>
      <c r="U58" s="76"/>
      <c r="V58" s="76"/>
      <c r="W58" s="77"/>
      <c r="X58" s="77"/>
      <c r="Y58" s="77"/>
      <c r="Z58" s="198"/>
      <c r="AA58" s="200"/>
      <c r="AB58" s="190"/>
      <c r="AC58" s="190"/>
      <c r="AD58" s="190"/>
      <c r="AE58" s="190"/>
      <c r="AF58" s="190"/>
      <c r="AG58" s="190"/>
    </row>
    <row r="59" spans="1:33" s="78" customFormat="1" ht="24.6" customHeight="1">
      <c r="A59" s="195"/>
      <c r="B59" s="196"/>
      <c r="C59" s="196"/>
      <c r="D59" s="196"/>
      <c r="E59" s="71"/>
      <c r="F59" s="71"/>
      <c r="G59" s="71"/>
      <c r="H59" s="71"/>
      <c r="I59" s="71"/>
      <c r="J59" s="72"/>
      <c r="K59" s="72"/>
      <c r="L59" s="72"/>
      <c r="M59" s="72"/>
      <c r="N59" s="73"/>
      <c r="O59" s="73"/>
      <c r="P59" s="72"/>
      <c r="Q59" s="94"/>
      <c r="R59" s="72"/>
      <c r="S59" s="74"/>
      <c r="T59" s="80"/>
      <c r="U59" s="76"/>
      <c r="V59" s="76"/>
      <c r="W59" s="77"/>
      <c r="X59" s="77"/>
      <c r="Y59" s="77"/>
      <c r="Z59" s="199"/>
      <c r="AA59" s="200"/>
      <c r="AB59" s="190"/>
      <c r="AC59" s="190"/>
      <c r="AD59" s="190"/>
      <c r="AE59" s="190"/>
      <c r="AF59" s="190"/>
      <c r="AG59" s="190">
        <f>5000/26/8/3600*16</f>
        <v>0.10683760683760685</v>
      </c>
    </row>
    <row r="60" spans="1:33" s="78" customFormat="1" ht="12">
      <c r="C60" s="81"/>
      <c r="D60" s="81"/>
      <c r="E60" s="82"/>
      <c r="F60" s="82"/>
      <c r="G60" s="82"/>
      <c r="H60" s="83"/>
      <c r="I60" s="82"/>
      <c r="N60" s="84"/>
      <c r="O60" s="85"/>
      <c r="P60" s="86"/>
      <c r="Q60" s="66"/>
      <c r="R60" s="86"/>
      <c r="S60" s="84"/>
      <c r="T60" s="87"/>
      <c r="U60" s="87"/>
      <c r="V60" s="87"/>
      <c r="W60" s="74"/>
      <c r="X60" s="74"/>
      <c r="Y60" s="74"/>
      <c r="Z60" s="88"/>
      <c r="AA60" s="88"/>
      <c r="AB60" s="89"/>
      <c r="AC60" s="89"/>
      <c r="AD60" s="89"/>
      <c r="AE60" s="89"/>
      <c r="AF60" s="89"/>
    </row>
    <row r="61" spans="1:33" s="78" customFormat="1" ht="12.9" customHeight="1">
      <c r="A61" s="195">
        <v>28</v>
      </c>
      <c r="B61" s="196"/>
      <c r="C61" s="196" t="s">
        <v>75</v>
      </c>
      <c r="D61" s="196" t="s">
        <v>76</v>
      </c>
      <c r="E61" s="71"/>
      <c r="F61" s="71"/>
      <c r="G61" s="71"/>
      <c r="H61" s="71"/>
      <c r="I61" s="71"/>
      <c r="J61" s="72"/>
      <c r="K61" s="72"/>
      <c r="L61" s="72"/>
      <c r="M61" s="72"/>
      <c r="N61" s="73"/>
      <c r="O61" s="73"/>
      <c r="P61" s="72"/>
      <c r="Q61" s="94"/>
      <c r="R61" s="72"/>
      <c r="S61" s="74"/>
      <c r="T61" s="75"/>
      <c r="U61" s="75"/>
      <c r="V61" s="76"/>
      <c r="W61" s="77"/>
      <c r="X61" s="77"/>
      <c r="Y61" s="77"/>
      <c r="Z61" s="197"/>
      <c r="AA61" s="200" t="e">
        <f>(S61+#REF!+S62)*1.2</f>
        <v>#REF!</v>
      </c>
      <c r="AB61" s="190" t="e">
        <f>AA61/1.13</f>
        <v>#REF!</v>
      </c>
      <c r="AC61" s="190"/>
      <c r="AD61" s="190"/>
      <c r="AE61" s="190"/>
      <c r="AF61" s="190"/>
      <c r="AG61" s="190"/>
    </row>
    <row r="62" spans="1:33" s="78" customFormat="1" ht="12.9" customHeight="1">
      <c r="A62" s="195"/>
      <c r="B62" s="196"/>
      <c r="C62" s="196"/>
      <c r="D62" s="196"/>
      <c r="E62" s="79"/>
      <c r="F62" s="79"/>
      <c r="G62" s="71"/>
      <c r="H62" s="71"/>
      <c r="I62" s="71"/>
      <c r="J62" s="72"/>
      <c r="K62" s="72"/>
      <c r="L62" s="72"/>
      <c r="M62" s="72"/>
      <c r="N62" s="73"/>
      <c r="O62" s="73"/>
      <c r="P62" s="72"/>
      <c r="Q62" s="94"/>
      <c r="R62" s="72"/>
      <c r="S62" s="74"/>
      <c r="T62" s="75"/>
      <c r="U62" s="75"/>
      <c r="V62" s="76"/>
      <c r="W62" s="77"/>
      <c r="X62" s="77"/>
      <c r="Y62" s="77"/>
      <c r="Z62" s="198"/>
      <c r="AA62" s="200"/>
      <c r="AB62" s="190"/>
      <c r="AC62" s="190"/>
      <c r="AD62" s="190"/>
      <c r="AE62" s="190"/>
      <c r="AF62" s="190"/>
      <c r="AG62" s="190"/>
    </row>
    <row r="63" spans="1:33" s="78" customFormat="1" ht="12.9" customHeight="1">
      <c r="A63" s="195"/>
      <c r="B63" s="196"/>
      <c r="C63" s="196"/>
      <c r="D63" s="196"/>
      <c r="E63" s="71"/>
      <c r="F63" s="71"/>
      <c r="G63" s="71"/>
      <c r="H63" s="71"/>
      <c r="I63" s="71"/>
      <c r="J63" s="72"/>
      <c r="K63" s="72"/>
      <c r="L63" s="72"/>
      <c r="M63" s="72"/>
      <c r="N63" s="73"/>
      <c r="O63" s="73"/>
      <c r="P63" s="72"/>
      <c r="Q63" s="94"/>
      <c r="R63" s="72"/>
      <c r="S63" s="74"/>
      <c r="T63" s="76"/>
      <c r="U63" s="75"/>
      <c r="V63" s="76"/>
      <c r="W63" s="77"/>
      <c r="X63" s="77"/>
      <c r="Y63" s="77"/>
      <c r="Z63" s="198"/>
      <c r="AA63" s="200"/>
      <c r="AB63" s="190"/>
      <c r="AC63" s="190"/>
      <c r="AD63" s="190"/>
      <c r="AE63" s="190"/>
      <c r="AF63" s="190"/>
      <c r="AG63" s="190"/>
    </row>
    <row r="64" spans="1:33" s="78" customFormat="1" ht="12.9" customHeight="1">
      <c r="A64" s="195"/>
      <c r="B64" s="196"/>
      <c r="C64" s="196"/>
      <c r="D64" s="196"/>
      <c r="E64" s="71"/>
      <c r="F64" s="71"/>
      <c r="G64" s="71"/>
      <c r="H64" s="71"/>
      <c r="I64" s="71"/>
      <c r="J64" s="72"/>
      <c r="K64" s="72"/>
      <c r="L64" s="72"/>
      <c r="M64" s="72"/>
      <c r="N64" s="73"/>
      <c r="O64" s="73"/>
      <c r="P64" s="72"/>
      <c r="Q64" s="94"/>
      <c r="R64" s="72"/>
      <c r="S64" s="74"/>
      <c r="T64" s="76"/>
      <c r="U64" s="76"/>
      <c r="V64" s="76"/>
      <c r="W64" s="77"/>
      <c r="X64" s="77"/>
      <c r="Y64" s="77"/>
      <c r="Z64" s="198"/>
      <c r="AA64" s="200"/>
      <c r="AB64" s="190"/>
      <c r="AC64" s="190"/>
      <c r="AD64" s="190"/>
      <c r="AE64" s="190"/>
      <c r="AF64" s="190"/>
      <c r="AG64" s="190"/>
    </row>
    <row r="65" spans="1:33" s="78" customFormat="1" ht="12.9" customHeight="1">
      <c r="A65" s="195"/>
      <c r="B65" s="196"/>
      <c r="C65" s="196"/>
      <c r="D65" s="196"/>
      <c r="E65" s="71"/>
      <c r="F65" s="71"/>
      <c r="G65" s="71"/>
      <c r="H65" s="71"/>
      <c r="I65" s="71"/>
      <c r="J65" s="72"/>
      <c r="K65" s="72"/>
      <c r="L65" s="72"/>
      <c r="M65" s="72"/>
      <c r="N65" s="73"/>
      <c r="O65" s="73"/>
      <c r="P65" s="72"/>
      <c r="Q65" s="94"/>
      <c r="R65" s="72"/>
      <c r="S65" s="74"/>
      <c r="T65" s="76"/>
      <c r="U65" s="76"/>
      <c r="V65" s="76"/>
      <c r="W65" s="77"/>
      <c r="X65" s="77"/>
      <c r="Y65" s="77"/>
      <c r="Z65" s="198"/>
      <c r="AA65" s="200"/>
      <c r="AB65" s="190"/>
      <c r="AC65" s="190"/>
      <c r="AD65" s="190"/>
      <c r="AE65" s="190"/>
      <c r="AF65" s="190"/>
      <c r="AG65" s="190"/>
    </row>
    <row r="66" spans="1:33" s="78" customFormat="1" ht="12.9" customHeight="1">
      <c r="A66" s="195"/>
      <c r="B66" s="196"/>
      <c r="C66" s="196"/>
      <c r="D66" s="196"/>
      <c r="E66" s="71"/>
      <c r="F66" s="71"/>
      <c r="G66" s="71"/>
      <c r="H66" s="71"/>
      <c r="I66" s="71"/>
      <c r="J66" s="72"/>
      <c r="K66" s="72"/>
      <c r="L66" s="72"/>
      <c r="M66" s="72"/>
      <c r="N66" s="73"/>
      <c r="O66" s="73"/>
      <c r="P66" s="72"/>
      <c r="Q66" s="94"/>
      <c r="R66" s="72"/>
      <c r="S66" s="74"/>
      <c r="T66" s="76"/>
      <c r="U66" s="76"/>
      <c r="V66" s="76"/>
      <c r="W66" s="77"/>
      <c r="X66" s="77"/>
      <c r="Y66" s="77"/>
      <c r="Z66" s="198"/>
      <c r="AA66" s="200"/>
      <c r="AB66" s="190"/>
      <c r="AC66" s="190"/>
      <c r="AD66" s="190"/>
      <c r="AE66" s="190"/>
      <c r="AF66" s="190"/>
      <c r="AG66" s="190"/>
    </row>
    <row r="67" spans="1:33" s="78" customFormat="1" ht="12.9" customHeight="1">
      <c r="A67" s="195"/>
      <c r="B67" s="196"/>
      <c r="C67" s="196"/>
      <c r="D67" s="196"/>
      <c r="E67" s="71"/>
      <c r="F67" s="71"/>
      <c r="G67" s="71"/>
      <c r="H67" s="71"/>
      <c r="I67" s="71"/>
      <c r="J67" s="72"/>
      <c r="K67" s="72"/>
      <c r="L67" s="72"/>
      <c r="M67" s="72"/>
      <c r="N67" s="73"/>
      <c r="O67" s="73"/>
      <c r="P67" s="72"/>
      <c r="Q67" s="94"/>
      <c r="R67" s="72"/>
      <c r="S67" s="74"/>
      <c r="T67" s="76"/>
      <c r="U67" s="76"/>
      <c r="V67" s="76"/>
      <c r="W67" s="77"/>
      <c r="X67" s="77"/>
      <c r="Y67" s="77"/>
      <c r="Z67" s="198"/>
      <c r="AA67" s="200"/>
      <c r="AB67" s="190"/>
      <c r="AC67" s="190"/>
      <c r="AD67" s="190"/>
      <c r="AE67" s="190"/>
      <c r="AF67" s="190"/>
      <c r="AG67" s="190"/>
    </row>
    <row r="68" spans="1:33" s="78" customFormat="1" ht="12.9" customHeight="1">
      <c r="A68" s="195"/>
      <c r="B68" s="196"/>
      <c r="C68" s="196"/>
      <c r="D68" s="196"/>
      <c r="E68" s="71"/>
      <c r="F68" s="71"/>
      <c r="G68" s="71"/>
      <c r="H68" s="71"/>
      <c r="I68" s="71"/>
      <c r="J68" s="72"/>
      <c r="K68" s="72"/>
      <c r="L68" s="72"/>
      <c r="M68" s="72"/>
      <c r="N68" s="73"/>
      <c r="O68" s="73"/>
      <c r="P68" s="72"/>
      <c r="Q68" s="94"/>
      <c r="R68" s="72"/>
      <c r="S68" s="74"/>
      <c r="T68" s="76"/>
      <c r="U68" s="76"/>
      <c r="V68" s="76"/>
      <c r="W68" s="77"/>
      <c r="X68" s="77"/>
      <c r="Y68" s="77"/>
      <c r="Z68" s="198"/>
      <c r="AA68" s="200"/>
      <c r="AB68" s="190"/>
      <c r="AC68" s="190"/>
      <c r="AD68" s="190"/>
      <c r="AE68" s="190"/>
      <c r="AF68" s="190"/>
      <c r="AG68" s="190"/>
    </row>
    <row r="69" spans="1:33" s="78" customFormat="1" ht="12.9" customHeight="1">
      <c r="A69" s="195"/>
      <c r="B69" s="196"/>
      <c r="C69" s="196"/>
      <c r="D69" s="196"/>
      <c r="E69" s="71"/>
      <c r="F69" s="71"/>
      <c r="G69" s="71"/>
      <c r="H69" s="71"/>
      <c r="I69" s="71"/>
      <c r="J69" s="72"/>
      <c r="K69" s="72"/>
      <c r="L69" s="72"/>
      <c r="M69" s="72"/>
      <c r="N69" s="73"/>
      <c r="O69" s="73"/>
      <c r="P69" s="72"/>
      <c r="Q69" s="94"/>
      <c r="R69" s="72"/>
      <c r="S69" s="74"/>
      <c r="T69" s="76"/>
      <c r="U69" s="76"/>
      <c r="V69" s="76"/>
      <c r="W69" s="77"/>
      <c r="X69" s="77"/>
      <c r="Y69" s="77"/>
      <c r="Z69" s="198"/>
      <c r="AA69" s="200"/>
      <c r="AB69" s="190"/>
      <c r="AC69" s="190"/>
      <c r="AD69" s="190"/>
      <c r="AE69" s="190"/>
      <c r="AF69" s="190"/>
      <c r="AG69" s="190"/>
    </row>
    <row r="70" spans="1:33" s="78" customFormat="1" ht="12.9" customHeight="1">
      <c r="A70" s="195"/>
      <c r="B70" s="196"/>
      <c r="C70" s="196"/>
      <c r="D70" s="196"/>
      <c r="E70" s="71"/>
      <c r="F70" s="71"/>
      <c r="G70" s="71"/>
      <c r="H70" s="71"/>
      <c r="I70" s="71"/>
      <c r="J70" s="72"/>
      <c r="K70" s="72"/>
      <c r="L70" s="72"/>
      <c r="M70" s="72"/>
      <c r="N70" s="73"/>
      <c r="O70" s="73"/>
      <c r="P70" s="72"/>
      <c r="Q70" s="94"/>
      <c r="R70" s="72"/>
      <c r="S70" s="74"/>
      <c r="T70" s="76"/>
      <c r="U70" s="76"/>
      <c r="V70" s="76"/>
      <c r="W70" s="77"/>
      <c r="X70" s="77"/>
      <c r="Y70" s="77"/>
      <c r="Z70" s="198"/>
      <c r="AA70" s="200"/>
      <c r="AB70" s="190"/>
      <c r="AC70" s="190"/>
      <c r="AD70" s="190"/>
      <c r="AE70" s="190"/>
      <c r="AF70" s="190"/>
      <c r="AG70" s="190"/>
    </row>
    <row r="71" spans="1:33" s="78" customFormat="1" ht="24.6" customHeight="1">
      <c r="A71" s="195"/>
      <c r="B71" s="196"/>
      <c r="C71" s="196"/>
      <c r="D71" s="196"/>
      <c r="E71" s="71"/>
      <c r="F71" s="71"/>
      <c r="G71" s="71"/>
      <c r="H71" s="71"/>
      <c r="I71" s="71"/>
      <c r="J71" s="72"/>
      <c r="K71" s="72"/>
      <c r="L71" s="72"/>
      <c r="M71" s="72"/>
      <c r="N71" s="73"/>
      <c r="O71" s="73"/>
      <c r="P71" s="72"/>
      <c r="Q71" s="94"/>
      <c r="R71" s="72"/>
      <c r="S71" s="74"/>
      <c r="T71" s="80"/>
      <c r="U71" s="76"/>
      <c r="V71" s="76"/>
      <c r="W71" s="77"/>
      <c r="X71" s="77"/>
      <c r="Y71" s="77"/>
      <c r="Z71" s="199"/>
      <c r="AA71" s="200"/>
      <c r="AB71" s="190"/>
      <c r="AC71" s="190"/>
      <c r="AD71" s="190"/>
      <c r="AE71" s="190"/>
      <c r="AF71" s="190"/>
      <c r="AG71" s="190">
        <f>5000/26/8/3600*16</f>
        <v>0.10683760683760685</v>
      </c>
    </row>
    <row r="72" spans="1:33" s="78" customFormat="1" ht="12">
      <c r="C72" s="81"/>
      <c r="D72" s="81"/>
      <c r="E72" s="82"/>
      <c r="F72" s="82"/>
      <c r="G72" s="82"/>
      <c r="H72" s="83"/>
      <c r="I72" s="82"/>
      <c r="N72" s="84"/>
      <c r="O72" s="85"/>
      <c r="P72" s="86"/>
      <c r="Q72" s="66"/>
      <c r="R72" s="86"/>
      <c r="S72" s="84"/>
      <c r="T72" s="87"/>
      <c r="U72" s="87"/>
      <c r="V72" s="87"/>
      <c r="W72" s="74"/>
      <c r="X72" s="74"/>
      <c r="Y72" s="74"/>
      <c r="Z72" s="88"/>
      <c r="AA72" s="88"/>
      <c r="AB72" s="89"/>
      <c r="AC72" s="89"/>
      <c r="AD72" s="89"/>
      <c r="AE72" s="89"/>
      <c r="AF72" s="89"/>
    </row>
  </sheetData>
  <mergeCells count="121">
    <mergeCell ref="Z13:Z23"/>
    <mergeCell ref="AA13:AA23"/>
    <mergeCell ref="AB13:AB23"/>
    <mergeCell ref="B13:B23"/>
    <mergeCell ref="AG13:AG23"/>
    <mergeCell ref="A37:A47"/>
    <mergeCell ref="B37:B47"/>
    <mergeCell ref="C37:C47"/>
    <mergeCell ref="D37:D47"/>
    <mergeCell ref="A13:A23"/>
    <mergeCell ref="C13:C23"/>
    <mergeCell ref="D13:D23"/>
    <mergeCell ref="AA25:AA35"/>
    <mergeCell ref="AB25:AB35"/>
    <mergeCell ref="AG25:AG35"/>
    <mergeCell ref="AD25:AD35"/>
    <mergeCell ref="AE25:AE35"/>
    <mergeCell ref="A25:A35"/>
    <mergeCell ref="B25:B35"/>
    <mergeCell ref="C25:C35"/>
    <mergeCell ref="D25:D35"/>
    <mergeCell ref="Z25:Z35"/>
    <mergeCell ref="Z37:Z47"/>
    <mergeCell ref="AA37:AA47"/>
    <mergeCell ref="AG37:AG47"/>
    <mergeCell ref="AD37:AD47"/>
    <mergeCell ref="AE37:AE47"/>
    <mergeCell ref="AG49:AG59"/>
    <mergeCell ref="AD49:AD59"/>
    <mergeCell ref="AE49:AE59"/>
    <mergeCell ref="A61:A71"/>
    <mergeCell ref="B61:B71"/>
    <mergeCell ref="C61:C71"/>
    <mergeCell ref="D61:D71"/>
    <mergeCell ref="Z61:Z71"/>
    <mergeCell ref="AA61:AA71"/>
    <mergeCell ref="AB61:AB71"/>
    <mergeCell ref="AG61:AG71"/>
    <mergeCell ref="AD61:AD71"/>
    <mergeCell ref="AE61:AE71"/>
    <mergeCell ref="AC49:AC59"/>
    <mergeCell ref="AC61:AC71"/>
    <mergeCell ref="A49:A59"/>
    <mergeCell ref="B49:B59"/>
    <mergeCell ref="C49:C59"/>
    <mergeCell ref="D49:D59"/>
    <mergeCell ref="Z49:Z59"/>
    <mergeCell ref="AA49:AA59"/>
    <mergeCell ref="AB49:AB59"/>
    <mergeCell ref="AD13:AD23"/>
    <mergeCell ref="AE13:AE23"/>
    <mergeCell ref="AC13:AC23"/>
    <mergeCell ref="AC25:AC35"/>
    <mergeCell ref="AC37:AC47"/>
    <mergeCell ref="AF13:AF23"/>
    <mergeCell ref="AF25:AF35"/>
    <mergeCell ref="AF37:AF47"/>
    <mergeCell ref="AF49:AF59"/>
    <mergeCell ref="AB37:AB47"/>
    <mergeCell ref="AF61:AF71"/>
    <mergeCell ref="AC8:AC11"/>
    <mergeCell ref="AD8:AD11"/>
    <mergeCell ref="AE8:AE11"/>
    <mergeCell ref="AF8:AF11"/>
    <mergeCell ref="AG8:AG11"/>
    <mergeCell ref="AF2:AF3"/>
    <mergeCell ref="AG2:AG3"/>
    <mergeCell ref="A8:A11"/>
    <mergeCell ref="B8:B11"/>
    <mergeCell ref="C8:C11"/>
    <mergeCell ref="D8:D11"/>
    <mergeCell ref="E8:E11"/>
    <mergeCell ref="Z8:Z11"/>
    <mergeCell ref="AA8:AA11"/>
    <mergeCell ref="AB8:AB11"/>
    <mergeCell ref="T2:Y2"/>
    <mergeCell ref="Z2:AA2"/>
    <mergeCell ref="AB2:AB3"/>
    <mergeCell ref="AC2:AC3"/>
    <mergeCell ref="AD2:AD3"/>
    <mergeCell ref="AE2:AE3"/>
    <mergeCell ref="S2:S3"/>
    <mergeCell ref="AG4:AG7"/>
    <mergeCell ref="A1:AA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O2"/>
    <mergeCell ref="P2:R2"/>
    <mergeCell ref="AE4:AE7"/>
    <mergeCell ref="AF4:AF7"/>
    <mergeCell ref="O4:O5"/>
    <mergeCell ref="A4:A7"/>
    <mergeCell ref="B4:B7"/>
    <mergeCell ref="C4:C7"/>
    <mergeCell ref="D4:D7"/>
    <mergeCell ref="H4:H5"/>
    <mergeCell ref="I4:I5"/>
    <mergeCell ref="J4:J5"/>
    <mergeCell ref="K4:K5"/>
    <mergeCell ref="L4:L5"/>
    <mergeCell ref="M4:M5"/>
    <mergeCell ref="N4:N5"/>
    <mergeCell ref="P4:P5"/>
    <mergeCell ref="Q4:Q5"/>
    <mergeCell ref="R4:R5"/>
    <mergeCell ref="S4:S5"/>
    <mergeCell ref="Z4:Z7"/>
    <mergeCell ref="AA4:AA7"/>
    <mergeCell ref="AB4:AB7"/>
    <mergeCell ref="AC4:AC7"/>
    <mergeCell ref="AD4:AD7"/>
  </mergeCells>
  <phoneticPr fontId="2" type="noConversion"/>
  <conditionalFormatting sqref="C4:C7">
    <cfRule type="duplicateValues" dxfId="22" priority="23"/>
  </conditionalFormatting>
  <conditionalFormatting sqref="B4:B7">
    <cfRule type="duplicateValues" dxfId="21" priority="22"/>
  </conditionalFormatting>
  <conditionalFormatting sqref="C1:C3">
    <cfRule type="duplicateValues" dxfId="20" priority="21"/>
  </conditionalFormatting>
  <conditionalFormatting sqref="B2:B3">
    <cfRule type="duplicateValues" dxfId="19" priority="20"/>
  </conditionalFormatting>
  <conditionalFormatting sqref="C8:C11">
    <cfRule type="duplicateValues" dxfId="18" priority="19"/>
  </conditionalFormatting>
  <conditionalFormatting sqref="B8:B11">
    <cfRule type="duplicateValues" dxfId="17" priority="18"/>
  </conditionalFormatting>
  <conditionalFormatting sqref="C12">
    <cfRule type="duplicateValues" dxfId="16" priority="17"/>
  </conditionalFormatting>
  <conditionalFormatting sqref="B12">
    <cfRule type="duplicateValues" dxfId="15" priority="16"/>
  </conditionalFormatting>
  <conditionalFormatting sqref="C24">
    <cfRule type="duplicateValues" dxfId="14" priority="15"/>
  </conditionalFormatting>
  <conditionalFormatting sqref="C13:C23">
    <cfRule type="duplicateValues" dxfId="13" priority="14"/>
  </conditionalFormatting>
  <conditionalFormatting sqref="B13:B23">
    <cfRule type="duplicateValues" dxfId="12" priority="13"/>
  </conditionalFormatting>
  <conditionalFormatting sqref="C25:C35">
    <cfRule type="duplicateValues" dxfId="11" priority="12"/>
  </conditionalFormatting>
  <conditionalFormatting sqref="B25:B35">
    <cfRule type="duplicateValues" dxfId="10" priority="11"/>
  </conditionalFormatting>
  <conditionalFormatting sqref="C36">
    <cfRule type="duplicateValues" dxfId="9" priority="10"/>
  </conditionalFormatting>
  <conditionalFormatting sqref="C37:C47">
    <cfRule type="duplicateValues" dxfId="8" priority="9"/>
  </conditionalFormatting>
  <conditionalFormatting sqref="B37:B47">
    <cfRule type="duplicateValues" dxfId="7" priority="8"/>
  </conditionalFormatting>
  <conditionalFormatting sqref="C48">
    <cfRule type="duplicateValues" dxfId="6" priority="7"/>
  </conditionalFormatting>
  <conditionalFormatting sqref="C49:C59">
    <cfRule type="duplicateValues" dxfId="5" priority="6"/>
  </conditionalFormatting>
  <conditionalFormatting sqref="B49:B59">
    <cfRule type="duplicateValues" dxfId="4" priority="5"/>
  </conditionalFormatting>
  <conditionalFormatting sqref="C60">
    <cfRule type="duplicateValues" dxfId="3" priority="4"/>
  </conditionalFormatting>
  <conditionalFormatting sqref="C61:C71">
    <cfRule type="duplicateValues" dxfId="2" priority="3"/>
  </conditionalFormatting>
  <conditionalFormatting sqref="B61:B71">
    <cfRule type="duplicateValues" dxfId="1" priority="2"/>
  </conditionalFormatting>
  <conditionalFormatting sqref="C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冲压工序费</vt:lpstr>
      <vt:lpstr>2021.8</vt:lpstr>
      <vt:lpstr>Sheet3</vt:lpstr>
      <vt:lpstr>'2021.8'!Print_Area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2021-07-20T09:47:51Z</cp:lastPrinted>
  <dcterms:created xsi:type="dcterms:W3CDTF">2020-10-23T02:57:00Z</dcterms:created>
  <dcterms:modified xsi:type="dcterms:W3CDTF">2022-01-20T02:25:10Z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