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firstSheet="2" activeTab="2"/>
  </bookViews>
  <sheets>
    <sheet name="总清单" sheetId="1" state="hidden" r:id="rId1"/>
    <sheet name="驾驶员首页" sheetId="4" state="hidden" r:id="rId2"/>
    <sheet name="驾驶员座椅总成EBOM清单 " sheetId="7" r:id="rId3"/>
    <sheet name="副驾驶员首页" sheetId="6" state="hidden" r:id="rId4"/>
    <sheet name="副驾驶员座总成EBOM清单" sheetId="5" r:id="rId5"/>
  </sheets>
  <definedNames>
    <definedName name="_xlnm._FilterDatabase" localSheetId="2" hidden="1">'驾驶员座椅总成EBOM清单 '!$A$8:$AR$128</definedName>
    <definedName name="_xlnm._FilterDatabase" localSheetId="4" hidden="1">副驾驶员座总成EBOM清单!$A$8:$AR$117</definedName>
    <definedName name="_xlnm.Print_Area" localSheetId="4">副驾驶员座总成EBOM清单!$A$1:$AR$117</definedName>
    <definedName name="_xlnm.Print_Area" localSheetId="1">驾驶员首页!$A$1:$AB$41</definedName>
    <definedName name="_xlnm.Print_Area" localSheetId="2">'驾驶员座椅总成EBOM清单 '!$A$1:$AR$128</definedName>
    <definedName name="_xlnm.Print_Area" localSheetId="0">总清单!$A$1:$D$4</definedName>
    <definedName name="_xlnm.Print_Titles" localSheetId="4">副驾驶员座总成EBOM清单!$7:$8</definedName>
    <definedName name="_xlnm.Print_Titles" localSheetId="2">'驾驶员座椅总成EBOM清单 '!$7:$8</definedName>
  </definedNames>
  <calcPr calcId="144525"/>
</workbook>
</file>

<file path=xl/comments1.xml><?xml version="1.0" encoding="utf-8"?>
<comments xmlns="http://schemas.openxmlformats.org/spreadsheetml/2006/main">
  <authors>
    <author>wangyangguang</author>
  </authors>
  <commentList>
    <comment ref="M97" authorId="0">
      <text>
        <r>
          <rPr>
            <sz val="9"/>
            <rFont val="宋体"/>
            <charset val="134"/>
          </rPr>
          <t xml:space="preserve">不通风
</t>
        </r>
      </text>
    </comment>
  </commentList>
</comments>
</file>

<file path=xl/comments2.xml><?xml version="1.0" encoding="utf-8"?>
<comments xmlns="http://schemas.openxmlformats.org/spreadsheetml/2006/main">
  <authors>
    <author>wangyangguang</author>
  </authors>
  <commentList>
    <comment ref="M88" authorId="0">
      <text>
        <r>
          <rPr>
            <sz val="9"/>
            <rFont val="宋体"/>
            <charset val="134"/>
          </rPr>
          <t xml:space="preserve">不通风
</t>
        </r>
      </text>
    </comment>
  </commentList>
</comments>
</file>

<file path=xl/sharedStrings.xml><?xml version="1.0" encoding="utf-8"?>
<sst xmlns="http://schemas.openxmlformats.org/spreadsheetml/2006/main" count="4098" uniqueCount="609">
  <si>
    <t>EVC3-奥杰项目座椅</t>
  </si>
  <si>
    <t>序号</t>
  </si>
  <si>
    <t>零件号</t>
  </si>
  <si>
    <t>零部件名称</t>
  </si>
  <si>
    <t>配置</t>
  </si>
  <si>
    <t>X168100000004
SBS0010125</t>
  </si>
  <si>
    <t>驾驶员座总成</t>
  </si>
  <si>
    <t>标配</t>
  </si>
  <si>
    <t>X168100000003
SBS0010126</t>
  </si>
  <si>
    <t>副驾驶员座总成</t>
  </si>
  <si>
    <t xml:space="preserve">版本：A
</t>
  </si>
  <si>
    <t>编号：GR-21-01-23</t>
  </si>
  <si>
    <t xml:space="preserve">    </t>
  </si>
  <si>
    <t>车型</t>
  </si>
  <si>
    <t>EVC3-奥杰</t>
  </si>
  <si>
    <t>驾驶员座椅总成EBOM清单(首页 )</t>
  </si>
  <si>
    <t>编制</t>
  </si>
  <si>
    <t>审核</t>
  </si>
  <si>
    <t>标准化</t>
  </si>
  <si>
    <t>批准</t>
  </si>
  <si>
    <t>页次</t>
  </si>
  <si>
    <t>日 期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</si>
  <si>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</si>
  <si>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</si>
  <si>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</si>
  <si>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</si>
  <si>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</si>
  <si>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</si>
  <si>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</si>
  <si>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</si>
  <si>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</si>
  <si>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座椅总成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</si>
  <si>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</si>
  <si>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</si>
  <si>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</si>
  <si>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</si>
  <si>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</si>
  <si>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</si>
  <si>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</si>
  <si>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</si>
  <si>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</si>
  <si>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2021.6.22</t>
  </si>
  <si>
    <t>A</t>
  </si>
  <si>
    <t>初次下发</t>
  </si>
  <si>
    <r>
      <rPr>
        <b/>
        <sz val="14"/>
        <color theme="1" tint="0.0499893185216834"/>
        <rFont val="宋体"/>
        <charset val="134"/>
      </rPr>
      <t>设计</t>
    </r>
    <r>
      <rPr>
        <b/>
        <sz val="14"/>
        <color theme="1" tint="0.0499893185216834"/>
        <rFont val="Arial"/>
        <charset val="134"/>
      </rPr>
      <t>:</t>
    </r>
  </si>
  <si>
    <t>校核：</t>
  </si>
  <si>
    <t>标准化：</t>
  </si>
  <si>
    <t>EVC3-奥杰驾驶员座椅总成EBOM清单</t>
  </si>
  <si>
    <t>会签：</t>
  </si>
  <si>
    <t>中文名称</t>
  </si>
  <si>
    <r>
      <rPr>
        <b/>
        <sz val="14"/>
        <color theme="1" tint="0.0499893185216834"/>
        <rFont val="宋体"/>
        <charset val="134"/>
      </rPr>
      <t>批准</t>
    </r>
    <r>
      <rPr>
        <b/>
        <sz val="14"/>
        <color theme="1" tint="0.0499893185216834"/>
        <rFont val="Arial"/>
        <charset val="134"/>
      </rPr>
      <t xml:space="preserve">: </t>
    </r>
  </si>
  <si>
    <t>日期：2021.6.22</t>
  </si>
  <si>
    <t>规格型号</t>
  </si>
  <si>
    <t>版本：A</t>
  </si>
  <si>
    <t>说明：初次下发</t>
  </si>
  <si>
    <t>重量</t>
  </si>
  <si>
    <t>价格</t>
  </si>
  <si>
    <t>装配等级</t>
  </si>
  <si>
    <t>QAD号</t>
  </si>
  <si>
    <t>零件描述</t>
  </si>
  <si>
    <t>重要度</t>
  </si>
  <si>
    <t>单位</t>
  </si>
  <si>
    <t>数据版本</t>
  </si>
  <si>
    <t>图纸号</t>
  </si>
  <si>
    <r>
      <rPr>
        <sz val="11"/>
        <color theme="1" tint="0.0499893185216834"/>
        <rFont val="宋体"/>
        <charset val="134"/>
      </rPr>
      <t>图纸版本</t>
    </r>
  </si>
  <si>
    <t>是否申请新零件号</t>
  </si>
  <si>
    <r>
      <rPr>
        <sz val="11"/>
        <color theme="1" tint="0.0499893185216834"/>
        <rFont val="宋体"/>
        <charset val="134"/>
      </rPr>
      <t>沿用件</t>
    </r>
    <r>
      <rPr>
        <sz val="11"/>
        <color theme="1" tint="0.0499893185216834"/>
        <rFont val="Arial"/>
        <charset val="134"/>
      </rPr>
      <t xml:space="preserve">            Y/N</t>
    </r>
  </si>
  <si>
    <r>
      <rPr>
        <sz val="11"/>
        <color theme="1" tint="0.0499893185216834"/>
        <rFont val="宋体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</si>
  <si>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</si>
  <si>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</si>
  <si>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</si>
  <si>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</si>
  <si>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</si>
  <si>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</si>
  <si>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</si>
  <si>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工艺用量(kg)</t>
  </si>
  <si>
    <t>材料利用率</t>
  </si>
  <si>
    <t>焊接长度(cm)</t>
  </si>
  <si>
    <t>涂装面积(㎡)</t>
  </si>
  <si>
    <t>工时</t>
  </si>
  <si>
    <t>人数</t>
  </si>
  <si>
    <t>外购/自制</t>
  </si>
  <si>
    <t>供应商/工序</t>
  </si>
  <si>
    <r>
      <rPr>
        <sz val="11"/>
        <color theme="1" tint="0.0499893185216834"/>
        <rFont val="宋体"/>
        <charset val="134"/>
      </rPr>
      <t>备注</t>
    </r>
  </si>
  <si>
    <t>用量</t>
  </si>
  <si>
    <t>长</t>
  </si>
  <si>
    <t>宽</t>
  </si>
  <si>
    <t>高</t>
  </si>
  <si>
    <t>SBS0010125</t>
  </si>
  <si>
    <t>X168100000004</t>
  </si>
  <si>
    <t>驾驶员座椅总成</t>
  </si>
  <si>
    <t>座椅总成新开</t>
  </si>
  <si>
    <t>个</t>
  </si>
  <si>
    <t>Y</t>
  </si>
  <si>
    <t>N</t>
  </si>
  <si>
    <t>总成件</t>
  </si>
  <si>
    <t>ASSY</t>
  </si>
  <si>
    <t>— —</t>
  </si>
  <si>
    <t>组装</t>
  </si>
  <si>
    <t>河北自制</t>
  </si>
  <si>
    <t>座椅组装车间</t>
  </si>
  <si>
    <t>SBS0010127</t>
  </si>
  <si>
    <t>驾驶员座椅靠背总成</t>
  </si>
  <si>
    <t>驾驶员座椅靠背总成新开</t>
  </si>
  <si>
    <t>N/A</t>
  </si>
  <si>
    <t>过程虚拟件</t>
  </si>
  <si>
    <t>SBS0010129</t>
  </si>
  <si>
    <t>驾驶员靠背泡沫及护面总成</t>
  </si>
  <si>
    <t>驾驶员靠背泡沫及护面总成新开</t>
  </si>
  <si>
    <t>SBS0010259</t>
  </si>
  <si>
    <t>驾驶员靠背泡沫总成</t>
  </si>
  <si>
    <t>借用AA95</t>
  </si>
  <si>
    <t>分总成</t>
  </si>
  <si>
    <t>发泡</t>
  </si>
  <si>
    <t>发泡车间</t>
  </si>
  <si>
    <t>SBS0010261</t>
  </si>
  <si>
    <t>驾驶员靠背泡沫本体</t>
  </si>
  <si>
    <t>B</t>
  </si>
  <si>
    <t>PUR 60kg/㎥</t>
  </si>
  <si>
    <t>60kg/㎥</t>
  </si>
  <si>
    <t>SLT0001092</t>
  </si>
  <si>
    <t>钢丝2.5*220</t>
  </si>
  <si>
    <t>钢丝</t>
  </si>
  <si>
    <t>60 Φ2.5</t>
  </si>
  <si>
    <t>GB/T 342
GB/T 699</t>
  </si>
  <si>
    <t>2.5*220</t>
  </si>
  <si>
    <t>折弯</t>
  </si>
  <si>
    <t>河北外购</t>
  </si>
  <si>
    <t>黄骅泰行</t>
  </si>
  <si>
    <t>SLT0001093</t>
  </si>
  <si>
    <t>钢丝2.5*270</t>
  </si>
  <si>
    <t>2.5*270</t>
  </si>
  <si>
    <t>SLT0000264</t>
  </si>
  <si>
    <t>钢丝2.5*320</t>
  </si>
  <si>
    <t>2.5*320</t>
  </si>
  <si>
    <t>SLT0002492</t>
  </si>
  <si>
    <t>6805328X2001A</t>
  </si>
  <si>
    <t>驾驶员靠背泡沫无纺布</t>
  </si>
  <si>
    <t>无纺布</t>
  </si>
  <si>
    <t>100g/㎡</t>
  </si>
  <si>
    <t>实际生产不使用</t>
  </si>
  <si>
    <t>SBS0010121</t>
  </si>
  <si>
    <t>驾驶员靠背护面总成</t>
  </si>
  <si>
    <t>靠背护面新开</t>
  </si>
  <si>
    <t>C</t>
  </si>
  <si>
    <t>缝纫</t>
  </si>
  <si>
    <t>缝纫车间</t>
  </si>
  <si>
    <t>BFA0000001</t>
  </si>
  <si>
    <t>GHRC00001</t>
  </si>
  <si>
    <t>C型钉</t>
  </si>
  <si>
    <t>崇文晟源</t>
  </si>
  <si>
    <t>SBS0010130</t>
  </si>
  <si>
    <t>驾驶员靠背骨架总成</t>
  </si>
  <si>
    <t>骨架新开</t>
  </si>
  <si>
    <t>SLT0002180</t>
  </si>
  <si>
    <t>6801610X2001A</t>
  </si>
  <si>
    <t>驾驶员靠背上骨架焊接总成</t>
  </si>
  <si>
    <t>焊接</t>
  </si>
  <si>
    <t>焊接车间</t>
  </si>
  <si>
    <t>靠背焊接一序</t>
  </si>
  <si>
    <t>EA</t>
  </si>
  <si>
    <t>焊接总成件</t>
  </si>
  <si>
    <t>SLT0002561</t>
  </si>
  <si>
    <t>6801640X2001A</t>
  </si>
  <si>
    <t>驾驶员靠背弯管总成</t>
  </si>
  <si>
    <t>弯管</t>
  </si>
  <si>
    <t>弯管车间</t>
  </si>
  <si>
    <t>6801641X2001A</t>
  </si>
  <si>
    <t>驾驶员靠背弯管</t>
  </si>
  <si>
    <t>管材</t>
  </si>
  <si>
    <t>B340LA φ25×2.0</t>
  </si>
  <si>
    <t>Q/BQB 401
Q/BQB 419</t>
  </si>
  <si>
    <t>174.5*405*725.5</t>
  </si>
  <si>
    <t>6801642X2001A</t>
  </si>
  <si>
    <t>驾驶员靠背弯管加强管</t>
  </si>
  <si>
    <t>借用BA95</t>
  </si>
  <si>
    <t>Q195 φ20×1.5</t>
  </si>
  <si>
    <t>74*20.5*180</t>
  </si>
  <si>
    <t>SLT0002552</t>
  </si>
  <si>
    <t>6801611X2001A</t>
  </si>
  <si>
    <t>驾驶员靠背下弯管</t>
  </si>
  <si>
    <t>Q235 φ20×1.5</t>
  </si>
  <si>
    <t>GB/T 708
GB/T 700</t>
  </si>
  <si>
    <t>54*361*138</t>
  </si>
  <si>
    <t>6801723X2001A</t>
  </si>
  <si>
    <t>驾驶员调角器上连接板总成</t>
  </si>
  <si>
    <t>SLT0002537</t>
  </si>
  <si>
    <t>6801621X2001A</t>
  </si>
  <si>
    <t>驾驶员调角器上连接板</t>
  </si>
  <si>
    <t>钣金件</t>
  </si>
  <si>
    <t>QStE500TM 2.5</t>
  </si>
  <si>
    <t>Q/BQB 301
Q/BQB 310</t>
  </si>
  <si>
    <t>116.5*15.5*270.5</t>
  </si>
  <si>
    <t>冲压</t>
  </si>
  <si>
    <t>强宇</t>
  </si>
  <si>
    <t>SLT0002538</t>
  </si>
  <si>
    <t>6801622X2001A</t>
  </si>
  <si>
    <t>前排靠背复位卷簧限位支架</t>
  </si>
  <si>
    <t>SPFH590 3.0</t>
  </si>
  <si>
    <t>19.5*30.5*13</t>
  </si>
  <si>
    <t>成卓</t>
  </si>
  <si>
    <t>SLT0002560</t>
  </si>
  <si>
    <t>6801633X2001A</t>
  </si>
  <si>
    <t>调角器限位支架</t>
  </si>
  <si>
    <t>35*11*33.5</t>
  </si>
  <si>
    <t>文安恒德</t>
  </si>
  <si>
    <t>SLT0002545</t>
  </si>
  <si>
    <t>6804520X2001A</t>
  </si>
  <si>
    <t>左侧手动调角器总成（含芯轴）</t>
  </si>
  <si>
    <t>力乐</t>
  </si>
  <si>
    <t>SLT0002564</t>
  </si>
  <si>
    <t>6801655X2001A</t>
  </si>
  <si>
    <t>驾驶员靠背支撑钢丝总成</t>
  </si>
  <si>
    <t>海兴中盛</t>
  </si>
  <si>
    <t>6801661X2001A</t>
  </si>
  <si>
    <t>驾驶员靠背支撑钢丝A</t>
  </si>
  <si>
    <t>线材</t>
  </si>
  <si>
    <t>Q235 φ5</t>
  </si>
  <si>
    <t>GB/T 342
GB/T 700</t>
  </si>
  <si>
    <t>8.5*370*37</t>
  </si>
  <si>
    <t>6801662X2001A</t>
  </si>
  <si>
    <t>驾驶员靠背支撑钢丝B</t>
  </si>
  <si>
    <t>12*380*27</t>
  </si>
  <si>
    <t>6801663X2001A</t>
  </si>
  <si>
    <t>驾驶员靠背支撑钢丝C</t>
  </si>
  <si>
    <t>160*21.5*542</t>
  </si>
  <si>
    <t>6801664X2001A</t>
  </si>
  <si>
    <t>驾驶员靠背支撑钢丝D</t>
  </si>
  <si>
    <t>5*156*5</t>
  </si>
  <si>
    <t>6801665X2001A</t>
  </si>
  <si>
    <t>驾驶员靠背支撑钢丝E</t>
  </si>
  <si>
    <t>SLT0002563</t>
  </si>
  <si>
    <t>6801671X2001A</t>
  </si>
  <si>
    <t>驾驶员头枕支撑杆</t>
  </si>
  <si>
    <t>Q235 φ8</t>
  </si>
  <si>
    <t>160*100*30</t>
  </si>
  <si>
    <t>SLT0002562</t>
  </si>
  <si>
    <t>6801613X2001A</t>
  </si>
  <si>
    <t>驾驶员头枕加强钢丝</t>
  </si>
  <si>
    <t>200*80*80</t>
  </si>
  <si>
    <t>SHT0002676</t>
  </si>
  <si>
    <t>靠背下连接板总成电泳</t>
  </si>
  <si>
    <t>电泳总成件</t>
  </si>
  <si>
    <t>电泳</t>
  </si>
  <si>
    <t>电泳车间</t>
  </si>
  <si>
    <t>SHT0002677</t>
  </si>
  <si>
    <t>靠背下连接板总成</t>
  </si>
  <si>
    <t>6801630X2001A</t>
  </si>
  <si>
    <t>驾驶员调角器下连接板总成</t>
  </si>
  <si>
    <t>SLT0002211</t>
  </si>
  <si>
    <t>6801631X2001A</t>
  </si>
  <si>
    <t>驾驶员调角器下连接板</t>
  </si>
  <si>
    <t>QStE500TM 3.5</t>
  </si>
  <si>
    <t>190*50*195.5</t>
  </si>
  <si>
    <t>鑫昌</t>
  </si>
  <si>
    <t>SLT0002542</t>
  </si>
  <si>
    <t>6801634X2001A</t>
  </si>
  <si>
    <t>前排靠背复位卷簧安装支架</t>
  </si>
  <si>
    <t>SAPH440 4.0</t>
  </si>
  <si>
    <t>26*54*6</t>
  </si>
  <si>
    <t>SLT0002543</t>
  </si>
  <si>
    <t>6801635X2001A</t>
  </si>
  <si>
    <t>调角器下连接板上加强板</t>
  </si>
  <si>
    <t>89*12*71</t>
  </si>
  <si>
    <t>SLT0002544</t>
  </si>
  <si>
    <t>6801637X2001A</t>
  </si>
  <si>
    <t>调角器下连接板下加强板</t>
  </si>
  <si>
    <t>59*36*5.5</t>
  </si>
  <si>
    <t>SLT0002550</t>
  </si>
  <si>
    <t>6801110X2001A</t>
  </si>
  <si>
    <t>驾驶员座垫右侧安装板总成</t>
  </si>
  <si>
    <t>冲压车间</t>
  </si>
  <si>
    <t>BAS0000017</t>
  </si>
  <si>
    <t>321721801400</t>
  </si>
  <si>
    <t>中排独立软带轴承</t>
  </si>
  <si>
    <t>借用M60</t>
  </si>
  <si>
    <t>DC01 0.5</t>
  </si>
  <si>
    <t>20*3.5*20</t>
  </si>
  <si>
    <t>汉升</t>
  </si>
  <si>
    <t>SLT0002551</t>
  </si>
  <si>
    <t>6801111X2001A</t>
  </si>
  <si>
    <t>驾驶员座垫右侧安装板</t>
  </si>
  <si>
    <t>190*60.5*195</t>
  </si>
  <si>
    <t>BFA0000400</t>
  </si>
  <si>
    <t>QC /T712</t>
  </si>
  <si>
    <t>7/16'螺母</t>
  </si>
  <si>
    <t>标准件</t>
  </si>
  <si>
    <t>上锐</t>
  </si>
  <si>
    <t>6801150X200A</t>
  </si>
  <si>
    <t>驾驶员座垫后横梁总成</t>
  </si>
  <si>
    <t>SLT0002559</t>
  </si>
  <si>
    <t>6801151X2001A</t>
  </si>
  <si>
    <t>驾驶员座垫后横梁</t>
  </si>
  <si>
    <t>Q235 φ22×1.5</t>
  </si>
  <si>
    <t>GB/T 13793
GB/T 700</t>
  </si>
  <si>
    <t>25*434*45</t>
  </si>
  <si>
    <t>SLT0002535</t>
  </si>
  <si>
    <t>6801103X2001A</t>
  </si>
  <si>
    <t>驾驶员座垫固定支架</t>
  </si>
  <si>
    <t>QStE420TM 2.0</t>
  </si>
  <si>
    <t>65*32*22</t>
  </si>
  <si>
    <t>佳祥</t>
  </si>
  <si>
    <t>SLT0010193</t>
  </si>
  <si>
    <t>气管接线头固定钢丝</t>
  </si>
  <si>
    <t>BFA0000775</t>
  </si>
  <si>
    <t>1B180-6805009</t>
  </si>
  <si>
    <t>司机背右旋转阶梯螺栓</t>
  </si>
  <si>
    <t>借用M4-2060</t>
  </si>
  <si>
    <t>紧固件</t>
  </si>
  <si>
    <t>φ20 45</t>
  </si>
  <si>
    <t>20*21*20</t>
  </si>
  <si>
    <t>冷镦</t>
  </si>
  <si>
    <t>津华</t>
  </si>
  <si>
    <t>BFA0000007</t>
  </si>
  <si>
    <t>Q40208</t>
  </si>
  <si>
    <t>大垫圈</t>
  </si>
  <si>
    <t>8</t>
  </si>
  <si>
    <t>24*2*24</t>
  </si>
  <si>
    <t>北京三浦/苏州苏宁</t>
  </si>
  <si>
    <t>BFA0000019</t>
  </si>
  <si>
    <t>Q395B08</t>
  </si>
  <si>
    <t>盖型螺母</t>
  </si>
  <si>
    <t>M8</t>
  </si>
  <si>
    <t>15*15*13</t>
  </si>
  <si>
    <t>SLT0002555</t>
  </si>
  <si>
    <t>6801614X2001A</t>
  </si>
  <si>
    <t>驾驶员左侧侧翼支撑钢丝</t>
  </si>
  <si>
    <t>Q235 φ6</t>
  </si>
  <si>
    <t>112.5*46*193</t>
  </si>
  <si>
    <t>SLT0002556</t>
  </si>
  <si>
    <t>6801615X2001A</t>
  </si>
  <si>
    <t>驾驶员右侧侧翼支撑钢丝</t>
  </si>
  <si>
    <t>115*46.5*203.5</t>
  </si>
  <si>
    <t>SLT0002546</t>
  </si>
  <si>
    <t>6801636X2001A</t>
  </si>
  <si>
    <t>靠背调角器涡簧</t>
  </si>
  <si>
    <t>曲簧</t>
  </si>
  <si>
    <t>65Mn</t>
  </si>
  <si>
    <t>GB/T1222</t>
  </si>
  <si>
    <t>68.5*8*84</t>
  </si>
  <si>
    <t>溧阳万金</t>
  </si>
  <si>
    <t>SBS0010124</t>
  </si>
  <si>
    <t>驾驶员滑轨总成</t>
  </si>
  <si>
    <t>移除AA95地脚</t>
  </si>
  <si>
    <t>江苏力乐</t>
  </si>
  <si>
    <t>SLT0002124</t>
  </si>
  <si>
    <t>6801101X2001A</t>
  </si>
  <si>
    <t>驾驶员U型把手</t>
  </si>
  <si>
    <t>Q235 φ10</t>
  </si>
  <si>
    <t>141*379*11</t>
  </si>
  <si>
    <t>SLT0002125</t>
  </si>
  <si>
    <t>驾驶员座垫前横梁总成电泳</t>
  </si>
  <si>
    <t>SLT0002532</t>
  </si>
  <si>
    <t>6801140X2001A</t>
  </si>
  <si>
    <t>驾驶员座垫前横梁总成</t>
  </si>
  <si>
    <t>SLT0002533</t>
  </si>
  <si>
    <t>6801141X2001A</t>
  </si>
  <si>
    <t>驾驶员座垫前横管</t>
  </si>
  <si>
    <t xml:space="preserve">Q235 φ22×1.5
</t>
  </si>
  <si>
    <t>25*347*25</t>
  </si>
  <si>
    <t>SLT0002208</t>
  </si>
  <si>
    <t>6801142X2001A</t>
  </si>
  <si>
    <t>驾驶员座垫滑轨前搭接支架</t>
  </si>
  <si>
    <t xml:space="preserve"> QStE420TM 2.5</t>
  </si>
  <si>
    <t>85*45.5*33</t>
  </si>
  <si>
    <t>SLT0002212</t>
  </si>
  <si>
    <t>6801104X2001A</t>
  </si>
  <si>
    <t>驾驶员旁侧板固定支架</t>
  </si>
  <si>
    <t>Q195 2.0</t>
  </si>
  <si>
    <t>60*60*25</t>
  </si>
  <si>
    <t>再兴</t>
  </si>
  <si>
    <t>SHT0002680</t>
  </si>
  <si>
    <t>主驾支腿焊接总成电泳</t>
  </si>
  <si>
    <t>新开</t>
  </si>
  <si>
    <t>SBS0010136</t>
  </si>
  <si>
    <t>喷涂</t>
  </si>
  <si>
    <t>河北航凌</t>
  </si>
  <si>
    <t>主驾支腿焊接总成</t>
  </si>
  <si>
    <t>SBS0010099</t>
  </si>
  <si>
    <t>主驾驶左支腿焊接总成</t>
  </si>
  <si>
    <t>SBS0010102</t>
  </si>
  <si>
    <t>主驾驶支腿上支撑管</t>
  </si>
  <si>
    <t>Q235 40*20*3.0</t>
  </si>
  <si>
    <t>410*40*20</t>
  </si>
  <si>
    <t>切断</t>
  </si>
  <si>
    <t>SBS0010103</t>
  </si>
  <si>
    <t>主驾驶U型支腿</t>
  </si>
  <si>
    <t>433.6*40*188.5</t>
  </si>
  <si>
    <t>SBS0010106</t>
  </si>
  <si>
    <t>主驾驶支腿加强管</t>
  </si>
  <si>
    <t>120.4*40*168.5</t>
  </si>
  <si>
    <t>SBS0010115</t>
  </si>
  <si>
    <t>支腿上固定轴套</t>
  </si>
  <si>
    <t>新开，机加件</t>
  </si>
  <si>
    <t>机加件</t>
  </si>
  <si>
    <t>35#</t>
  </si>
  <si>
    <t>16*16*28</t>
  </si>
  <si>
    <t>机加</t>
  </si>
  <si>
    <t>创和五金</t>
  </si>
  <si>
    <t>SBS0010116</t>
  </si>
  <si>
    <t>主驾左支腿前轴套</t>
  </si>
  <si>
    <t>28*28*36</t>
  </si>
  <si>
    <t>SBS0010133</t>
  </si>
  <si>
    <t>主驾支腿后轴套</t>
  </si>
  <si>
    <t>SBS0010257</t>
  </si>
  <si>
    <t>胎压钣金焊接总成</t>
  </si>
  <si>
    <t>焊接件</t>
  </si>
  <si>
    <t>目前实际生产不体现</t>
  </si>
  <si>
    <t>SBS0010258</t>
  </si>
  <si>
    <t>胎压钣金总成</t>
  </si>
  <si>
    <t>Q37106</t>
  </si>
  <si>
    <t>焊接方螺母</t>
  </si>
  <si>
    <t>M6</t>
  </si>
  <si>
    <t>SBS0010119</t>
  </si>
  <si>
    <t>主驾右支腿焊接总成</t>
  </si>
  <si>
    <t>SBS0010134</t>
  </si>
  <si>
    <t>主驾右支腿前轴套</t>
  </si>
  <si>
    <t>SBS0010144</t>
  </si>
  <si>
    <t>支腿固定连接方管</t>
  </si>
  <si>
    <t>SBS0010138</t>
  </si>
  <si>
    <t>Q235 20*10*1.5</t>
  </si>
  <si>
    <t>5*385*5</t>
  </si>
  <si>
    <t>BFA0000012</t>
  </si>
  <si>
    <t>六角头螺栓</t>
  </si>
  <si>
    <t>座框安装螺栓</t>
  </si>
  <si>
    <t>M8*25</t>
  </si>
  <si>
    <t>发黑</t>
  </si>
  <si>
    <t>北京三浦</t>
  </si>
  <si>
    <t>Q40108</t>
  </si>
  <si>
    <t>平垫圈</t>
  </si>
  <si>
    <t>座框安装垫片</t>
  </si>
  <si>
    <t>SBS0010132</t>
  </si>
  <si>
    <t>驾驶员座椅座垫总成</t>
  </si>
  <si>
    <t>SBS0010131</t>
  </si>
  <si>
    <t>驾驶员座垫泡沫及护面总成</t>
  </si>
  <si>
    <t>SBS0010260</t>
  </si>
  <si>
    <t>驾驶员座垫泡沫总成</t>
  </si>
  <si>
    <t>SBS0010262</t>
  </si>
  <si>
    <t>驾驶员座垫泡沫本体</t>
  </si>
  <si>
    <t>泡沫</t>
  </si>
  <si>
    <t>PUR,65kg/m³</t>
  </si>
  <si>
    <t>65kg/m³</t>
  </si>
  <si>
    <t>SLT0000740</t>
  </si>
  <si>
    <t>钢丝2.5*160</t>
  </si>
  <si>
    <t>60 φ2.5</t>
  </si>
  <si>
    <t>2.5*160</t>
  </si>
  <si>
    <t>SLT0002495</t>
  </si>
  <si>
    <t>6803225X2001A</t>
  </si>
  <si>
    <t>驾驶员座垫泡沫无纺布</t>
  </si>
  <si>
    <t>SBS0010122</t>
  </si>
  <si>
    <t>驾驶员座垫护面总成</t>
  </si>
  <si>
    <t>护面新开</t>
  </si>
  <si>
    <t>SLT0002415</t>
  </si>
  <si>
    <t>6801130X2001A</t>
  </si>
  <si>
    <t>驾驶员座垫框架总成</t>
  </si>
  <si>
    <t>6801131X2001A</t>
  </si>
  <si>
    <t>驾驶员座垫框架左侧钢丝</t>
  </si>
  <si>
    <t>423.5*426*91.5</t>
  </si>
  <si>
    <t>6801139X2001A</t>
  </si>
  <si>
    <t>驾驶员座垫框架右侧钢丝</t>
  </si>
  <si>
    <t>6801132X2001A</t>
  </si>
  <si>
    <t>驾驶员座垫框架前支撑钢丝</t>
  </si>
  <si>
    <t>34*425.5*38</t>
  </si>
  <si>
    <t>6801133X2001A</t>
  </si>
  <si>
    <t>驾驶员座垫框架侧翼钢丝</t>
  </si>
  <si>
    <t>65*402.5*79</t>
  </si>
  <si>
    <t>6801134X2001A</t>
  </si>
  <si>
    <t>驾驶员座垫合棉支撑钢丝</t>
  </si>
  <si>
    <t>76*388*31</t>
  </si>
  <si>
    <t>6801136X2001A</t>
  </si>
  <si>
    <t>驾驶员座垫框架左侧座垫钢丝</t>
  </si>
  <si>
    <t>267*27.5*54</t>
  </si>
  <si>
    <t>6801137X2001A</t>
  </si>
  <si>
    <t>驾驶员座垫框架右侧座垫钢丝</t>
  </si>
  <si>
    <t>6801231X2001A</t>
  </si>
  <si>
    <t>驾驶员座垫面套前固定钢丝</t>
  </si>
  <si>
    <t>260*76</t>
  </si>
  <si>
    <t>6801232X2001A</t>
  </si>
  <si>
    <t>驾驶员座垫面套后固定钢丝</t>
  </si>
  <si>
    <t>120*25</t>
  </si>
  <si>
    <t>6801105X2001A</t>
  </si>
  <si>
    <t>驾驶员座垫框架支架总成</t>
  </si>
  <si>
    <t>6801102X2001A</t>
  </si>
  <si>
    <t>驾驶员座垫框架支架</t>
  </si>
  <si>
    <t>32*27*12</t>
  </si>
  <si>
    <t>Q1980820F</t>
  </si>
  <si>
    <t>承面凸焊螺栓</t>
  </si>
  <si>
    <t>SLT0002131</t>
  </si>
  <si>
    <t>6801107X2001A</t>
  </si>
  <si>
    <t>驾驶员旁侧板固定钢丝</t>
  </si>
  <si>
    <t>244*30.5*55</t>
  </si>
  <si>
    <t>SLT0002133</t>
  </si>
  <si>
    <t>6803232X2001A</t>
  </si>
  <si>
    <t>驾驶员左侧护板</t>
  </si>
  <si>
    <t>塑料件</t>
  </si>
  <si>
    <t>2.5
PP-TP15</t>
  </si>
  <si>
    <t>注塑</t>
  </si>
  <si>
    <t>4%损耗</t>
  </si>
  <si>
    <t>黄骅隆润</t>
  </si>
  <si>
    <t>SLT0002134</t>
  </si>
  <si>
    <t>6803201X2001A</t>
  </si>
  <si>
    <t>驾驶员右侧护板</t>
  </si>
  <si>
    <t>BFA0000760</t>
  </si>
  <si>
    <t>Q12618</t>
  </si>
  <si>
    <t>不锈钢开口型抽芯铆钉</t>
  </si>
  <si>
    <t>主驾驶旁侧板固定钢丝固定</t>
  </si>
  <si>
    <t>M3*12</t>
  </si>
  <si>
    <t>BFA0000096</t>
  </si>
  <si>
    <t>Q2724295</t>
  </si>
  <si>
    <t>十字槽盘头自攻螺钉</t>
  </si>
  <si>
    <t>旁侧板固定</t>
  </si>
  <si>
    <t>ST4.2*9.5</t>
  </si>
  <si>
    <t>镀黑锌</t>
  </si>
  <si>
    <t>BFA0000047</t>
  </si>
  <si>
    <t>BQB40-6807121</t>
  </si>
  <si>
    <t>弹簧钢丝</t>
  </si>
  <si>
    <t>借用B40</t>
  </si>
  <si>
    <t>SLT0002135</t>
  </si>
  <si>
    <t>6803202X2001A</t>
  </si>
  <si>
    <t>驾驶员调角器手柄</t>
  </si>
  <si>
    <t>2.5
PA6+GF30</t>
  </si>
  <si>
    <t>BFA0000110</t>
  </si>
  <si>
    <t>Q33008F31</t>
  </si>
  <si>
    <t>全金属六角法兰面锁紧螺母</t>
  </si>
  <si>
    <t>座框安装螺母</t>
  </si>
  <si>
    <t>SLT0000340</t>
  </si>
  <si>
    <t>k1司机座包装膜窄车</t>
  </si>
  <si>
    <t>PE袋</t>
  </si>
  <si>
    <t>黄骅建昌</t>
  </si>
  <si>
    <t>SLT0000341</t>
  </si>
  <si>
    <t>SHT0002650</t>
  </si>
  <si>
    <t>亮白PET标签</t>
  </si>
  <si>
    <t>合肥光码</t>
  </si>
  <si>
    <t>SBS0010248</t>
  </si>
  <si>
    <t>E型卡扣</t>
  </si>
  <si>
    <t>SBS0010249</t>
  </si>
  <si>
    <t>主驾遮蔽护板总成</t>
  </si>
  <si>
    <t>SBS0010253</t>
  </si>
  <si>
    <t>主驾支腿遮蔽PP板</t>
  </si>
  <si>
    <t>PP</t>
  </si>
  <si>
    <t>SBS0010255</t>
  </si>
  <si>
    <t>主驾遮蔽护板表皮总成</t>
  </si>
  <si>
    <t>副驾驶员座椅总成EBOM清单(首页 )</t>
  </si>
  <si>
    <t>副驾驶员座椅总成</t>
  </si>
  <si>
    <t>EVC3-奥杰副驾驶员座椅总成EBOM清单</t>
  </si>
  <si>
    <t>说明：1.初次下发</t>
  </si>
  <si>
    <t>SBS0010126</t>
  </si>
  <si>
    <t>X168100000003</t>
  </si>
  <si>
    <t>X16800000003
SBS0010126</t>
  </si>
  <si>
    <t>SBS0010135</t>
  </si>
  <si>
    <t>副驾驶员座椅靠背总成</t>
  </si>
  <si>
    <t>副驾驶员靠背泡沫及护面总成</t>
  </si>
  <si>
    <t>副驾驶员靠背护面总成</t>
  </si>
  <si>
    <t>靠背护面新开，</t>
  </si>
  <si>
    <t>SBS0010123</t>
  </si>
  <si>
    <t>副驾驶员靠背骨架总成</t>
  </si>
  <si>
    <t>SBS0010142</t>
  </si>
  <si>
    <t>副驾驶员靠背上骨架焊接总成</t>
  </si>
  <si>
    <t>副驾靠背焊接一序</t>
  </si>
  <si>
    <t>SBS0010140</t>
  </si>
  <si>
    <t>副驾驶员调角器上连接板总成</t>
  </si>
  <si>
    <t>SBS0010246</t>
  </si>
  <si>
    <t>左侧手动调角器总成（不含芯轴）</t>
  </si>
  <si>
    <t>SHT0002678</t>
  </si>
  <si>
    <t>副驾靠背下连接板总成电泳</t>
  </si>
  <si>
    <t>SHT0002679</t>
  </si>
  <si>
    <t>副驾靠背下连接板总成</t>
  </si>
  <si>
    <t>SBS0010143</t>
  </si>
  <si>
    <t>副驾驶员调角器下连接板总成-左侧</t>
  </si>
  <si>
    <t>驾驶员调角器下连接板-左侧</t>
  </si>
  <si>
    <t>SBS0010112</t>
  </si>
  <si>
    <t>副驾驶员座垫右侧安装板总成</t>
  </si>
  <si>
    <t>点焊</t>
  </si>
  <si>
    <t>SBS0010111</t>
  </si>
  <si>
    <t>副驾驶员座垫右侧安装板</t>
  </si>
  <si>
    <t>SHT0002681</t>
  </si>
  <si>
    <t>副驾支腿焊接总成电泳</t>
  </si>
  <si>
    <t>SBS0010137</t>
  </si>
  <si>
    <t>副驾支腿焊接总成</t>
  </si>
  <si>
    <t>SBS0010100</t>
  </si>
  <si>
    <t>副驾左支腿焊接总成</t>
  </si>
  <si>
    <t>SBS0010104</t>
  </si>
  <si>
    <t>副驾驶支腿上支撑管</t>
  </si>
  <si>
    <t>420*40*20</t>
  </si>
  <si>
    <t>SBS0010105</t>
  </si>
  <si>
    <t>副驾驶U型支腿</t>
  </si>
  <si>
    <t>501.5*40*220.5</t>
  </si>
  <si>
    <t>SBS0010107</t>
  </si>
  <si>
    <t>副驾驶支腿加强管</t>
  </si>
  <si>
    <t>138.9*40*200.5</t>
  </si>
  <si>
    <t>借用主驾轴套</t>
  </si>
  <si>
    <t>SBS0010120</t>
  </si>
  <si>
    <t>副驾右支腿焊接总成</t>
  </si>
  <si>
    <t>副驾驶员座椅座垫总成</t>
  </si>
  <si>
    <t>副驾驶员座垫泡沫及护面总成</t>
  </si>
  <si>
    <t>SLT0002182</t>
  </si>
  <si>
    <t>6803250X2001A</t>
  </si>
  <si>
    <t>6803228X2001A</t>
  </si>
  <si>
    <t>副驾驶员座垫护面总成</t>
  </si>
  <si>
    <t>SBS0010139</t>
  </si>
  <si>
    <t>副驾驶员左侧护板</t>
  </si>
  <si>
    <t>Q2724295十字槽盘头自攻螺钉</t>
  </si>
  <si>
    <t>ST4.2*13</t>
  </si>
  <si>
    <t>SBS0010250</t>
  </si>
  <si>
    <t>副驾支腿遮蔽护板总成</t>
  </si>
  <si>
    <t>SBS0010254</t>
  </si>
  <si>
    <t>副驾遮蔽PP板</t>
  </si>
  <si>
    <t>SBS0010256</t>
  </si>
  <si>
    <t>副驾护板表皮总成</t>
  </si>
</sst>
</file>

<file path=xl/styles.xml><?xml version="1.0" encoding="utf-8"?>
<styleSheet xmlns="http://schemas.openxmlformats.org/spreadsheetml/2006/main">
  <numFmts count="10">
    <numFmt numFmtId="176" formatCode="_ * #,##0.00_ ;_ * \-#,##0.00_ ;_ * &quot;-&quot;??_ ;_ @_ "/>
    <numFmt numFmtId="177" formatCode="_ * #,##0_ ;_ * \-#,##0_ ;_ * &quot;-&quot;_ ;_ @_ "/>
    <numFmt numFmtId="178" formatCode="0_);[Red]\(0\)"/>
    <numFmt numFmtId="179" formatCode="_ &quot;￥&quot;* #,##0_ ;_ &quot;￥&quot;* \-#,##0_ ;_ &quot;￥&quot;* &quot;-&quot;_ ;_ @_ "/>
    <numFmt numFmtId="180" formatCode="_ &quot;￥&quot;* #,##0.00_ ;_ &quot;￥&quot;* \-#,##0.00_ ;_ &quot;￥&quot;* &quot;-&quot;??_ ;_ @_ "/>
    <numFmt numFmtId="181" formatCode="0.0000_);[Red]\(0.0000\)"/>
    <numFmt numFmtId="182" formatCode="0.0_);[Red]\(0.0\)"/>
    <numFmt numFmtId="183" formatCode="0.00_);[Red]\(0.00\)"/>
    <numFmt numFmtId="184" formatCode="0.000_);[Red]\(0.000\)"/>
    <numFmt numFmtId="185" formatCode="0.0_ "/>
  </numFmts>
  <fonts count="82">
    <font>
      <sz val="11"/>
      <color theme="1"/>
      <name val="宋体"/>
      <charset val="134"/>
      <scheme val="minor"/>
    </font>
    <font>
      <sz val="11"/>
      <color theme="1" tint="0.0499893185216834"/>
      <name val="Arial"/>
      <charset val="134"/>
    </font>
    <font>
      <sz val="11"/>
      <color theme="1" tint="0.0499893185216834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Arial"/>
      <charset val="134"/>
    </font>
    <font>
      <sz val="11"/>
      <color theme="1" tint="0.0499893185216834"/>
      <name val="宋体"/>
      <charset val="134"/>
      <scheme val="minor"/>
    </font>
    <font>
      <strike/>
      <sz val="11"/>
      <color theme="1" tint="0.0499893185216834"/>
      <name val="Arial"/>
      <charset val="134"/>
    </font>
    <font>
      <sz val="11"/>
      <name val="Arial"/>
      <charset val="134"/>
    </font>
    <font>
      <sz val="11"/>
      <color theme="1" tint="0.0499893185216834"/>
      <name val="微软雅黑"/>
      <charset val="134"/>
    </font>
    <font>
      <b/>
      <sz val="14"/>
      <color theme="1" tint="0.0499893185216834"/>
      <name val="Arial"/>
      <charset val="134"/>
    </font>
    <font>
      <b/>
      <sz val="14"/>
      <color theme="1" tint="0.0499893185216834"/>
      <name val="宋体"/>
      <charset val="134"/>
    </font>
    <font>
      <sz val="10"/>
      <color theme="1" tint="0.0499893185216834"/>
      <name val="宋体"/>
      <charset val="134"/>
      <scheme val="minor"/>
    </font>
    <font>
      <sz val="10"/>
      <color theme="1" tint="0.0499893185216834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ajor"/>
    </font>
    <font>
      <strike/>
      <sz val="10"/>
      <color theme="1" tint="0.0499893185216834"/>
      <name val="宋体"/>
      <charset val="134"/>
      <scheme val="minor"/>
    </font>
    <font>
      <strike/>
      <sz val="10"/>
      <color theme="1" tint="0.0499893185216834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b/>
      <sz val="14"/>
      <color theme="1" tint="0.0499893185216834"/>
      <name val="微软雅黑"/>
      <charset val="134"/>
    </font>
    <font>
      <b/>
      <sz val="20"/>
      <color theme="1" tint="0.0499893185216834"/>
      <name val="微软雅黑"/>
      <charset val="134"/>
    </font>
    <font>
      <b/>
      <sz val="20"/>
      <color theme="1" tint="0.0499893185216834"/>
      <name val="宋体"/>
      <charset val="134"/>
    </font>
    <font>
      <sz val="10"/>
      <color theme="1" tint="0.0499893185216834"/>
      <name val="微软雅黑"/>
      <charset val="134"/>
    </font>
    <font>
      <sz val="10"/>
      <color rgb="FFFF0000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0"/>
      <name val="微软雅黑"/>
      <charset val="134"/>
    </font>
    <font>
      <sz val="10"/>
      <color theme="1" tint="0.0499893185216834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9"/>
      <color rgb="FFFF0000"/>
      <name val="微软雅黑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  <scheme val="major"/>
    </font>
    <font>
      <sz val="11"/>
      <name val="宋体"/>
      <charset val="134"/>
      <scheme val="minor"/>
    </font>
    <font>
      <sz val="9"/>
      <color theme="1" tint="0.0499893185216834"/>
      <name val="微软雅黑"/>
      <charset val="134"/>
    </font>
    <font>
      <b/>
      <sz val="10"/>
      <color theme="1" tint="0.0499893185216834"/>
      <name val="微软雅黑"/>
      <charset val="134"/>
    </font>
    <font>
      <sz val="10.5"/>
      <color rgb="FF000000"/>
      <name val="微软雅黑"/>
      <charset val="134"/>
    </font>
    <font>
      <sz val="10.5"/>
      <color theme="1"/>
      <name val="微软雅黑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sz val="18"/>
      <name val="微软雅黑"/>
      <charset val="134"/>
    </font>
    <font>
      <b/>
      <sz val="24"/>
      <name val="微软雅黑"/>
      <charset val="134"/>
    </font>
    <font>
      <sz val="15"/>
      <name val="微软雅黑"/>
      <charset val="134"/>
    </font>
    <font>
      <sz val="12"/>
      <name val="宋体"/>
      <charset val="134"/>
      <scheme val="minor"/>
    </font>
    <font>
      <b/>
      <sz val="16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sz val="11"/>
      <name val="微软雅黑"/>
      <charset val="134"/>
    </font>
    <font>
      <sz val="10.5"/>
      <name val="微软雅黑"/>
      <charset val="134"/>
    </font>
    <font>
      <sz val="9"/>
      <color rgb="FF000000"/>
      <name val="微软雅黑"/>
      <charset val="134"/>
    </font>
    <font>
      <sz val="12"/>
      <name val="宋体"/>
      <charset val="134"/>
    </font>
    <font>
      <sz val="26"/>
      <color theme="1"/>
      <name val="微软雅黑"/>
      <charset val="134"/>
    </font>
    <font>
      <sz val="22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63" fillId="14" borderId="17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4" fillId="0" borderId="0"/>
    <xf numFmtId="177" fontId="0" fillId="0" borderId="0" applyFont="0" applyFill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5" fillId="0" borderId="4" applyNumberFormat="0" applyFill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4" fillId="0" borderId="0"/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76" fillId="34" borderId="21" applyNumberFormat="0" applyAlignment="0" applyProtection="0">
      <alignment vertical="center"/>
    </xf>
    <xf numFmtId="0" fontId="77" fillId="34" borderId="17" applyNumberFormat="0" applyAlignment="0" applyProtection="0">
      <alignment vertical="center"/>
    </xf>
    <xf numFmtId="0" fontId="78" fillId="35" borderId="22" applyNumberFormat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80" fillId="0" borderId="23" applyNumberFormat="0" applyFill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65" fillId="0" borderId="4" applyNumberFormat="0" applyFill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54" fillId="0" borderId="0"/>
    <xf numFmtId="0" fontId="58" fillId="37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54" fillId="0" borderId="0"/>
    <xf numFmtId="0" fontId="58" fillId="18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9" fillId="0" borderId="0"/>
    <xf numFmtId="0" fontId="65" fillId="0" borderId="4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0"/>
  </cellStyleXfs>
  <cellXfs count="462">
    <xf numFmtId="0" fontId="0" fillId="0" borderId="0" xfId="0">
      <alignment vertical="center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1" fillId="2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6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6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4" fillId="3" borderId="0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1" fillId="4" borderId="0" xfId="60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6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1" fillId="6" borderId="0" xfId="60" applyNumberFormat="1" applyFont="1" applyFill="1" applyAlignment="1" applyProtection="1">
      <alignment horizontal="center" vertical="center" wrapText="1"/>
      <protection locked="0"/>
    </xf>
    <xf numFmtId="0" fontId="1" fillId="7" borderId="0" xfId="6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60" applyNumberFormat="1" applyFont="1" applyFill="1" applyBorder="1" applyAlignment="1" applyProtection="1">
      <alignment horizontal="center" vertical="center" wrapText="1"/>
      <protection locked="0"/>
    </xf>
    <xf numFmtId="0" fontId="1" fillId="8" borderId="0" xfId="60" applyNumberFormat="1" applyFont="1" applyFill="1" applyAlignment="1" applyProtection="1">
      <alignment horizontal="center" vertical="center" wrapText="1"/>
      <protection locked="0"/>
    </xf>
    <xf numFmtId="0" fontId="1" fillId="8" borderId="0" xfId="6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0" applyNumberFormat="1" applyFont="1" applyFill="1" applyAlignment="1" applyProtection="1">
      <alignment horizontal="center" vertical="center" wrapText="1"/>
      <protection locked="0"/>
    </xf>
    <xf numFmtId="0" fontId="1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0" applyNumberFormat="1" applyFont="1" applyFill="1" applyBorder="1" applyAlignment="1" applyProtection="1">
      <alignment horizontal="left" vertical="center" wrapText="1"/>
      <protection locked="0"/>
    </xf>
    <xf numFmtId="0" fontId="1" fillId="9" borderId="0" xfId="6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0" applyFont="1" applyFill="1" applyBorder="1" applyAlignment="1" applyProtection="1">
      <alignment horizontal="center" vertical="center" wrapText="1"/>
      <protection locked="0"/>
    </xf>
    <xf numFmtId="0" fontId="8" fillId="3" borderId="0" xfId="6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60" applyNumberFormat="1" applyFont="1" applyFill="1" applyBorder="1" applyAlignment="1" applyProtection="1">
      <alignment horizontal="center" vertical="center" wrapText="1"/>
      <protection locked="0"/>
    </xf>
    <xf numFmtId="181" fontId="8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0" applyFont="1" applyFill="1" applyBorder="1" applyAlignment="1" applyProtection="1">
      <alignment horizontal="left" vertical="center"/>
      <protection locked="0"/>
    </xf>
    <xf numFmtId="0" fontId="9" fillId="0" borderId="2" xfId="60" applyFont="1" applyFill="1" applyBorder="1" applyAlignment="1" applyProtection="1">
      <alignment horizontal="left" vertical="center"/>
      <protection locked="0"/>
    </xf>
    <xf numFmtId="0" fontId="9" fillId="0" borderId="3" xfId="60" applyFont="1" applyFill="1" applyBorder="1" applyAlignment="1" applyProtection="1">
      <alignment horizontal="left" vertical="center"/>
      <protection locked="0"/>
    </xf>
    <xf numFmtId="0" fontId="10" fillId="0" borderId="1" xfId="60" applyFont="1" applyFill="1" applyBorder="1" applyAlignment="1" applyProtection="1">
      <alignment horizontal="left" vertical="center"/>
      <protection locked="0"/>
    </xf>
    <xf numFmtId="0" fontId="10" fillId="0" borderId="2" xfId="60" applyFont="1" applyFill="1" applyBorder="1" applyAlignment="1" applyProtection="1">
      <alignment horizontal="left" vertical="center"/>
      <protection locked="0"/>
    </xf>
    <xf numFmtId="0" fontId="10" fillId="0" borderId="4" xfId="60" applyFont="1" applyFill="1" applyBorder="1" applyAlignment="1" applyProtection="1">
      <alignment horizontal="left" vertical="center"/>
      <protection locked="0"/>
    </xf>
    <xf numFmtId="0" fontId="9" fillId="0" borderId="4" xfId="60" applyFont="1" applyFill="1" applyBorder="1" applyAlignment="1" applyProtection="1">
      <alignment horizontal="left" vertical="center" wrapText="1"/>
      <protection locked="0"/>
    </xf>
    <xf numFmtId="0" fontId="10" fillId="0" borderId="4" xfId="60" applyFont="1" applyFill="1" applyBorder="1" applyAlignment="1" applyProtection="1">
      <alignment horizontal="left" vertical="center" wrapText="1"/>
      <protection locked="0"/>
    </xf>
    <xf numFmtId="0" fontId="10" fillId="0" borderId="5" xfId="60" applyFont="1" applyFill="1" applyBorder="1" applyAlignment="1" applyProtection="1">
      <alignment horizontal="left" vertical="top" wrapText="1"/>
      <protection locked="0"/>
    </xf>
    <xf numFmtId="0" fontId="10" fillId="0" borderId="6" xfId="60" applyFont="1" applyFill="1" applyBorder="1" applyAlignment="1" applyProtection="1">
      <alignment horizontal="left" vertical="top" wrapText="1"/>
      <protection locked="0"/>
    </xf>
    <xf numFmtId="0" fontId="10" fillId="0" borderId="7" xfId="60" applyFont="1" applyFill="1" applyBorder="1" applyAlignment="1" applyProtection="1">
      <alignment horizontal="left" vertical="top" wrapText="1"/>
      <protection locked="0"/>
    </xf>
    <xf numFmtId="0" fontId="10" fillId="0" borderId="8" xfId="60" applyFont="1" applyFill="1" applyBorder="1" applyAlignment="1" applyProtection="1">
      <alignment horizontal="left" vertical="top" wrapText="1"/>
      <protection locked="0"/>
    </xf>
    <xf numFmtId="0" fontId="2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0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4" xfId="6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>
      <alignment horizontal="center" vertical="center" wrapText="1"/>
    </xf>
    <xf numFmtId="0" fontId="11" fillId="3" borderId="4" xfId="6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5" fillId="0" borderId="4" xfId="6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6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0" fillId="0" borderId="3" xfId="60" applyFont="1" applyFill="1" applyBorder="1" applyAlignment="1" applyProtection="1">
      <alignment horizontal="left" vertical="center"/>
      <protection locked="0"/>
    </xf>
    <xf numFmtId="0" fontId="10" fillId="0" borderId="3" xfId="60" applyFont="1" applyFill="1" applyBorder="1" applyAlignment="1" applyProtection="1">
      <alignment horizontal="center" vertical="center"/>
      <protection locked="0"/>
    </xf>
    <xf numFmtId="0" fontId="19" fillId="0" borderId="4" xfId="60" applyFont="1" applyFill="1" applyBorder="1" applyAlignment="1" applyProtection="1">
      <alignment horizontal="left" vertical="center" wrapText="1"/>
      <protection locked="0"/>
    </xf>
    <xf numFmtId="0" fontId="20" fillId="0" borderId="5" xfId="6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6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60" applyFont="1" applyFill="1" applyBorder="1" applyAlignment="1" applyProtection="1">
      <alignment horizontal="center" vertical="center"/>
      <protection locked="0"/>
    </xf>
    <xf numFmtId="0" fontId="19" fillId="0" borderId="4" xfId="60" applyFont="1" applyFill="1" applyBorder="1" applyAlignment="1" applyProtection="1">
      <alignment horizontal="left" vertical="center"/>
      <protection locked="0"/>
    </xf>
    <xf numFmtId="0" fontId="20" fillId="0" borderId="11" xfId="6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60" applyFont="1" applyFill="1" applyBorder="1" applyAlignment="1" applyProtection="1">
      <alignment horizontal="center" vertical="center" wrapText="1"/>
      <protection locked="0"/>
    </xf>
    <xf numFmtId="0" fontId="10" fillId="0" borderId="4" xfId="60" applyFont="1" applyFill="1" applyBorder="1" applyAlignment="1" applyProtection="1">
      <alignment horizontal="center" vertical="center" wrapText="1"/>
      <protection locked="0"/>
    </xf>
    <xf numFmtId="0" fontId="10" fillId="0" borderId="6" xfId="60" applyFont="1" applyFill="1" applyBorder="1" applyAlignment="1" applyProtection="1">
      <alignment horizontal="center" vertical="top" wrapText="1"/>
      <protection locked="0"/>
    </xf>
    <xf numFmtId="0" fontId="19" fillId="0" borderId="6" xfId="60" applyFont="1" applyFill="1" applyBorder="1" applyAlignment="1" applyProtection="1">
      <alignment horizontal="left" vertical="top" wrapText="1"/>
      <protection locked="0"/>
    </xf>
    <xf numFmtId="0" fontId="19" fillId="0" borderId="12" xfId="60" applyFont="1" applyFill="1" applyBorder="1" applyAlignment="1" applyProtection="1">
      <alignment horizontal="left" vertical="top" wrapText="1"/>
      <protection locked="0"/>
    </xf>
    <xf numFmtId="0" fontId="10" fillId="0" borderId="8" xfId="60" applyFont="1" applyFill="1" applyBorder="1" applyAlignment="1" applyProtection="1">
      <alignment horizontal="center" vertical="top" wrapText="1"/>
      <protection locked="0"/>
    </xf>
    <xf numFmtId="0" fontId="19" fillId="0" borderId="8" xfId="60" applyFont="1" applyFill="1" applyBorder="1" applyAlignment="1" applyProtection="1">
      <alignment horizontal="left" vertical="top" wrapText="1"/>
      <protection locked="0"/>
    </xf>
    <xf numFmtId="0" fontId="19" fillId="0" borderId="13" xfId="60" applyFont="1" applyFill="1" applyBorder="1" applyAlignment="1" applyProtection="1">
      <alignment horizontal="left" vertical="top" wrapText="1"/>
      <protection locked="0"/>
    </xf>
    <xf numFmtId="0" fontId="20" fillId="0" borderId="7" xfId="60" applyNumberFormat="1" applyFont="1" applyFill="1" applyBorder="1" applyAlignment="1" applyProtection="1">
      <alignment horizontal="center" vertical="center" wrapText="1"/>
      <protection locked="0"/>
    </xf>
    <xf numFmtId="0" fontId="21" fillId="0" borderId="8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60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60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6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60" applyNumberFormat="1" applyFont="1" applyFill="1" applyBorder="1" applyAlignment="1" applyProtection="1">
      <alignment horizontal="center" vertical="center" wrapText="1"/>
      <protection locked="0"/>
    </xf>
    <xf numFmtId="178" fontId="22" fillId="0" borderId="4" xfId="0" applyNumberFormat="1" applyFont="1" applyFill="1" applyBorder="1" applyAlignment="1">
      <alignment horizontal="center" vertical="center" wrapText="1"/>
    </xf>
    <xf numFmtId="0" fontId="22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10" applyNumberFormat="1" applyFont="1" applyFill="1" applyBorder="1" applyAlignment="1" applyProtection="1">
      <alignment horizontal="left" vertical="center" wrapText="1"/>
      <protection locked="0"/>
    </xf>
    <xf numFmtId="0" fontId="22" fillId="0" borderId="4" xfId="0" applyFont="1" applyFill="1" applyBorder="1" applyAlignment="1">
      <alignment horizontal="center" vertical="center" wrapText="1"/>
    </xf>
    <xf numFmtId="0" fontId="22" fillId="0" borderId="10" xfId="10" applyFont="1" applyFill="1" applyBorder="1" applyAlignment="1" applyProtection="1">
      <alignment horizontal="left" vertical="center" wrapText="1" shrinkToFit="1"/>
      <protection locked="0"/>
    </xf>
    <xf numFmtId="178" fontId="22" fillId="2" borderId="4" xfId="0" applyNumberFormat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0" xfId="10" applyFont="1" applyFill="1" applyBorder="1" applyAlignment="1" applyProtection="1">
      <alignment horizontal="left" vertical="center" wrapText="1" shrinkToFit="1"/>
      <protection locked="0"/>
    </xf>
    <xf numFmtId="0" fontId="11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10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53" applyNumberFormat="1" applyFont="1" applyFill="1" applyBorder="1" applyAlignment="1">
      <alignment horizontal="center" vertical="center" wrapText="1"/>
    </xf>
    <xf numFmtId="0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0" applyNumberFormat="1" applyFont="1" applyFill="1" applyBorder="1" applyAlignment="1" applyProtection="1">
      <alignment horizontal="left" vertical="center" wrapText="1"/>
      <protection locked="0"/>
    </xf>
    <xf numFmtId="178" fontId="23" fillId="0" borderId="4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23" fillId="0" borderId="10" xfId="10" applyFont="1" applyFill="1" applyBorder="1" applyAlignment="1" applyProtection="1">
      <alignment horizontal="left" vertical="center" wrapText="1" shrinkToFit="1"/>
      <protection locked="0"/>
    </xf>
    <xf numFmtId="0" fontId="13" fillId="0" borderId="4" xfId="53" applyNumberFormat="1" applyFont="1" applyFill="1" applyBorder="1" applyAlignment="1">
      <alignment horizontal="center" vertical="center" wrapText="1"/>
    </xf>
    <xf numFmtId="0" fontId="13" fillId="0" borderId="4" xfId="60" applyNumberFormat="1" applyFont="1" applyFill="1" applyBorder="1" applyAlignment="1" applyProtection="1">
      <alignment horizontal="left" vertical="center" wrapText="1"/>
      <protection locked="0"/>
    </xf>
    <xf numFmtId="0" fontId="23" fillId="0" borderId="4" xfId="0" applyFont="1" applyFill="1" applyBorder="1" applyAlignment="1">
      <alignment horizontal="center" vertical="center" wrapText="1"/>
    </xf>
    <xf numFmtId="0" fontId="11" fillId="0" borderId="4" xfId="60" applyNumberFormat="1" applyFont="1" applyFill="1" applyBorder="1" applyAlignment="1" applyProtection="1">
      <alignment horizontal="left" vertical="center" wrapText="1"/>
      <protection locked="0"/>
    </xf>
    <xf numFmtId="49" fontId="22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22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NumberFormat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/>
    </xf>
    <xf numFmtId="0" fontId="11" fillId="3" borderId="4" xfId="6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60" applyNumberFormat="1" applyFont="1" applyFill="1" applyBorder="1" applyAlignment="1" applyProtection="1">
      <alignment horizontal="left" vertical="center" wrapText="1"/>
      <protection locked="0"/>
    </xf>
    <xf numFmtId="0" fontId="22" fillId="2" borderId="4" xfId="0" applyNumberFormat="1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25" fillId="0" borderId="4" xfId="60" applyNumberFormat="1" applyFont="1" applyFill="1" applyBorder="1" applyAlignment="1" applyProtection="1">
      <alignment horizontal="center" vertical="center" wrapText="1"/>
      <protection locked="0"/>
    </xf>
    <xf numFmtId="178" fontId="25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10" xfId="10" applyFont="1" applyFill="1" applyBorder="1" applyAlignment="1" applyProtection="1">
      <alignment horizontal="left" vertical="center" wrapText="1" shrinkToFit="1"/>
      <protection locked="0"/>
    </xf>
    <xf numFmtId="0" fontId="25" fillId="0" borderId="4" xfId="0" applyFont="1" applyFill="1" applyBorder="1" applyAlignment="1">
      <alignment horizontal="center" vertical="center"/>
    </xf>
    <xf numFmtId="0" fontId="17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26" fillId="0" borderId="4" xfId="0" applyFont="1" applyFill="1" applyBorder="1" applyAlignment="1">
      <alignment horizontal="center" vertical="center" wrapText="1"/>
    </xf>
    <xf numFmtId="0" fontId="17" fillId="0" borderId="4" xfId="60" applyNumberFormat="1" applyFont="1" applyFill="1" applyBorder="1" applyAlignment="1" applyProtection="1">
      <alignment horizontal="left" vertical="center" wrapText="1"/>
      <protection locked="0"/>
    </xf>
    <xf numFmtId="178" fontId="26" fillId="0" borderId="4" xfId="0" applyNumberFormat="1" applyFont="1" applyFill="1" applyBorder="1" applyAlignment="1">
      <alignment horizontal="center" vertical="center" wrapText="1"/>
    </xf>
    <xf numFmtId="0" fontId="26" fillId="0" borderId="10" xfId="10" applyFont="1" applyFill="1" applyBorder="1" applyAlignment="1" applyProtection="1">
      <alignment horizontal="left" vertical="center" wrapText="1" shrinkToFit="1"/>
      <protection locked="0"/>
    </xf>
    <xf numFmtId="0" fontId="17" fillId="0" borderId="4" xfId="0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 wrapText="1"/>
    </xf>
    <xf numFmtId="0" fontId="26" fillId="0" borderId="4" xfId="0" applyNumberFormat="1" applyFont="1" applyFill="1" applyBorder="1" applyAlignment="1">
      <alignment horizontal="left" vertical="center" wrapText="1"/>
    </xf>
    <xf numFmtId="0" fontId="11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22" fillId="0" borderId="10" xfId="0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 wrapText="1"/>
    </xf>
    <xf numFmtId="0" fontId="24" fillId="0" borderId="4" xfId="10" applyFont="1" applyFill="1" applyBorder="1" applyAlignment="1" applyProtection="1">
      <alignment horizontal="left" vertical="center" wrapText="1" shrinkToFit="1"/>
      <protection locked="0"/>
    </xf>
    <xf numFmtId="0" fontId="24" fillId="0" borderId="4" xfId="53" applyNumberFormat="1" applyFont="1" applyFill="1" applyBorder="1" applyAlignment="1">
      <alignment horizontal="center" vertical="center" wrapText="1"/>
    </xf>
    <xf numFmtId="0" fontId="22" fillId="0" borderId="4" xfId="10" applyFont="1" applyFill="1" applyBorder="1" applyAlignment="1" applyProtection="1">
      <alignment horizontal="left" vertical="center" wrapText="1" shrinkToFit="1"/>
      <protection locked="0"/>
    </xf>
    <xf numFmtId="0" fontId="20" fillId="0" borderId="6" xfId="6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6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60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60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10" applyFont="1" applyFill="1" applyBorder="1" applyAlignment="1" applyProtection="1">
      <alignment horizontal="center" vertical="center" wrapText="1"/>
      <protection locked="0"/>
    </xf>
    <xf numFmtId="49" fontId="11" fillId="0" borderId="4" xfId="10" applyNumberFormat="1" applyFont="1" applyFill="1" applyBorder="1" applyAlignment="1" applyProtection="1">
      <alignment horizontal="center" vertical="center" wrapText="1"/>
      <protection locked="0"/>
    </xf>
    <xf numFmtId="49" fontId="27" fillId="0" borderId="4" xfId="1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4" xfId="6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10" applyFont="1" applyFill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Fill="1" applyBorder="1" applyAlignment="1">
      <alignment horizontal="center" vertical="center" wrapText="1"/>
    </xf>
    <xf numFmtId="49" fontId="29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>
      <alignment horizontal="center" vertical="center"/>
    </xf>
    <xf numFmtId="49" fontId="11" fillId="0" borderId="4" xfId="56" applyNumberFormat="1" applyFont="1" applyFill="1" applyBorder="1" applyAlignment="1">
      <alignment horizontal="center" vertical="center" wrapText="1"/>
    </xf>
    <xf numFmtId="0" fontId="24" fillId="0" borderId="4" xfId="60" applyFont="1" applyFill="1" applyBorder="1" applyAlignment="1" applyProtection="1">
      <alignment horizontal="center" vertical="center" wrapText="1"/>
      <protection locked="0"/>
    </xf>
    <xf numFmtId="49" fontId="24" fillId="0" borderId="4" xfId="56" applyNumberFormat="1" applyFont="1" applyFill="1" applyBorder="1" applyAlignment="1">
      <alignment horizontal="center" vertical="center" wrapText="1"/>
    </xf>
    <xf numFmtId="0" fontId="24" fillId="0" borderId="4" xfId="10" applyFont="1" applyFill="1" applyBorder="1" applyAlignment="1" applyProtection="1">
      <alignment horizontal="center" vertical="center" wrapText="1"/>
      <protection locked="0"/>
    </xf>
    <xf numFmtId="178" fontId="24" fillId="0" borderId="4" xfId="0" applyNumberFormat="1" applyFont="1" applyFill="1" applyBorder="1" applyAlignment="1">
      <alignment horizontal="center" vertical="center" wrapText="1"/>
    </xf>
    <xf numFmtId="49" fontId="24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25" fillId="0" borderId="4" xfId="1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56" applyNumberFormat="1" applyFont="1" applyFill="1" applyBorder="1" applyAlignment="1">
      <alignment horizontal="center" vertical="center" wrapText="1"/>
    </xf>
    <xf numFmtId="49" fontId="27" fillId="3" borderId="4" xfId="60" applyNumberFormat="1" applyFont="1" applyFill="1" applyBorder="1" applyAlignment="1" applyProtection="1">
      <alignment horizontal="center" vertical="center" wrapText="1"/>
      <protection locked="0"/>
    </xf>
    <xf numFmtId="49" fontId="22" fillId="3" borderId="4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2" fillId="3" borderId="10" xfId="6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1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56" applyNumberFormat="1" applyFont="1" applyFill="1" applyBorder="1" applyAlignment="1">
      <alignment horizontal="center" vertical="center" wrapText="1"/>
    </xf>
    <xf numFmtId="0" fontId="25" fillId="0" borderId="4" xfId="60" applyFont="1" applyFill="1" applyBorder="1" applyAlignment="1" applyProtection="1">
      <alignment horizontal="center" vertical="center" wrapText="1"/>
      <protection locked="0"/>
    </xf>
    <xf numFmtId="49" fontId="25" fillId="0" borderId="4" xfId="56" applyNumberFormat="1" applyFont="1" applyFill="1" applyBorder="1" applyAlignment="1">
      <alignment horizontal="center" vertical="center" wrapText="1"/>
    </xf>
    <xf numFmtId="0" fontId="25" fillId="0" borderId="4" xfId="10" applyFont="1" applyFill="1" applyBorder="1" applyAlignment="1" applyProtection="1">
      <alignment horizontal="center" vertical="center" wrapText="1"/>
      <protection locked="0"/>
    </xf>
    <xf numFmtId="49" fontId="25" fillId="0" borderId="4" xfId="0" applyNumberFormat="1" applyFont="1" applyFill="1" applyBorder="1" applyAlignment="1">
      <alignment horizontal="center" vertical="center" wrapText="1"/>
    </xf>
    <xf numFmtId="49" fontId="25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27" fillId="0" borderId="4" xfId="6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56" applyNumberFormat="1" applyFont="1" applyFill="1" applyBorder="1" applyAlignment="1">
      <alignment horizontal="center" vertical="center" wrapText="1"/>
    </xf>
    <xf numFmtId="0" fontId="30" fillId="0" borderId="4" xfId="10" applyFont="1" applyFill="1" applyBorder="1" applyAlignment="1" applyProtection="1">
      <alignment horizontal="center" vertical="center" wrapText="1"/>
      <protection locked="0"/>
    </xf>
    <xf numFmtId="49" fontId="26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4" xfId="10" applyNumberFormat="1" applyFont="1" applyFill="1" applyBorder="1" applyAlignment="1" applyProtection="1">
      <alignment horizontal="center" vertical="center" wrapText="1"/>
      <protection locked="0"/>
    </xf>
    <xf numFmtId="49" fontId="24" fillId="0" borderId="4" xfId="6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60" applyFont="1" applyFill="1" applyBorder="1" applyAlignment="1" applyProtection="1">
      <alignment horizontal="center" vertical="center" wrapText="1"/>
      <protection locked="0"/>
    </xf>
    <xf numFmtId="49" fontId="11" fillId="0" borderId="10" xfId="56" applyNumberFormat="1" applyFont="1" applyFill="1" applyBorder="1" applyAlignment="1">
      <alignment horizontal="center" vertical="center" wrapText="1"/>
    </xf>
    <xf numFmtId="49" fontId="24" fillId="0" borderId="4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10" applyNumberFormat="1" applyFont="1" applyFill="1" applyBorder="1" applyAlignment="1" applyProtection="1">
      <alignment horizontal="center" vertical="center" wrapText="1"/>
      <protection locked="0"/>
    </xf>
    <xf numFmtId="181" fontId="8" fillId="0" borderId="9" xfId="60" applyNumberFormat="1" applyFont="1" applyFill="1" applyBorder="1" applyAlignment="1" applyProtection="1">
      <alignment horizontal="center" vertical="center" wrapText="1"/>
      <protection locked="0"/>
    </xf>
    <xf numFmtId="183" fontId="24" fillId="8" borderId="9" xfId="59" applyNumberFormat="1" applyFont="1" applyFill="1" applyBorder="1" applyAlignment="1">
      <alignment horizontal="center" vertical="center" wrapText="1"/>
    </xf>
    <xf numFmtId="182" fontId="24" fillId="8" borderId="5" xfId="59" applyNumberFormat="1" applyFont="1" applyFill="1" applyBorder="1" applyAlignment="1">
      <alignment horizontal="center" vertical="center" wrapText="1"/>
    </xf>
    <xf numFmtId="182" fontId="24" fillId="8" borderId="6" xfId="59" applyNumberFormat="1" applyFont="1" applyFill="1" applyBorder="1" applyAlignment="1">
      <alignment horizontal="center" vertical="center" wrapText="1"/>
    </xf>
    <xf numFmtId="49" fontId="2" fillId="0" borderId="10" xfId="10" applyNumberFormat="1" applyFont="1" applyFill="1" applyBorder="1" applyAlignment="1" applyProtection="1">
      <alignment horizontal="center" vertical="center" wrapText="1"/>
      <protection locked="0"/>
    </xf>
    <xf numFmtId="181" fontId="8" fillId="0" borderId="10" xfId="60" applyNumberFormat="1" applyFont="1" applyFill="1" applyBorder="1" applyAlignment="1" applyProtection="1">
      <alignment horizontal="center" vertical="center" wrapText="1"/>
      <protection locked="0"/>
    </xf>
    <xf numFmtId="183" fontId="24" fillId="8" borderId="10" xfId="59" applyNumberFormat="1" applyFont="1" applyFill="1" applyBorder="1" applyAlignment="1">
      <alignment horizontal="center" vertical="center" wrapText="1"/>
    </xf>
    <xf numFmtId="182" fontId="24" fillId="8" borderId="4" xfId="59" applyNumberFormat="1" applyFont="1" applyFill="1" applyBorder="1" applyAlignment="1">
      <alignment horizontal="center" vertical="center" wrapText="1"/>
    </xf>
    <xf numFmtId="49" fontId="27" fillId="0" borderId="10" xfId="10" applyNumberFormat="1" applyFont="1" applyFill="1" applyBorder="1" applyAlignment="1" applyProtection="1">
      <alignment horizontal="center" vertical="center" wrapText="1"/>
      <protection locked="0"/>
    </xf>
    <xf numFmtId="181" fontId="22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25" fillId="8" borderId="10" xfId="0" applyFont="1" applyFill="1" applyBorder="1" applyAlignment="1">
      <alignment horizontal="center" vertical="center" wrapText="1"/>
    </xf>
    <xf numFmtId="182" fontId="25" fillId="8" borderId="10" xfId="0" applyNumberFormat="1" applyFont="1" applyFill="1" applyBorder="1" applyAlignment="1">
      <alignment horizontal="center" vertical="center" wrapText="1"/>
    </xf>
    <xf numFmtId="0" fontId="22" fillId="0" borderId="4" xfId="10" applyNumberFormat="1" applyFont="1" applyFill="1" applyBorder="1" applyAlignment="1" applyProtection="1">
      <alignment horizontal="center" vertical="center" wrapText="1"/>
      <protection locked="0"/>
    </xf>
    <xf numFmtId="181" fontId="22" fillId="0" borderId="4" xfId="0" applyNumberFormat="1" applyFont="1" applyFill="1" applyBorder="1" applyAlignment="1">
      <alignment horizontal="center" vertical="center" wrapText="1"/>
    </xf>
    <xf numFmtId="0" fontId="25" fillId="8" borderId="4" xfId="10" applyNumberFormat="1" applyFont="1" applyFill="1" applyBorder="1" applyAlignment="1" applyProtection="1">
      <alignment horizontal="center" vertical="center" wrapText="1"/>
      <protection locked="0"/>
    </xf>
    <xf numFmtId="182" fontId="25" fillId="8" borderId="4" xfId="10" applyNumberFormat="1" applyFont="1" applyFill="1" applyBorder="1" applyAlignment="1" applyProtection="1">
      <alignment horizontal="center" vertical="center" wrapText="1"/>
      <protection locked="0"/>
    </xf>
    <xf numFmtId="181" fontId="22" fillId="0" borderId="4" xfId="0" applyNumberFormat="1" applyFont="1" applyFill="1" applyBorder="1" applyAlignment="1">
      <alignment horizontal="center" vertical="center"/>
    </xf>
    <xf numFmtId="0" fontId="25" fillId="8" borderId="4" xfId="60" applyFont="1" applyFill="1" applyBorder="1" applyAlignment="1" applyProtection="1">
      <alignment horizontal="center" vertical="center" wrapText="1"/>
      <protection locked="0"/>
    </xf>
    <xf numFmtId="0" fontId="22" fillId="0" borderId="4" xfId="60" applyFont="1" applyFill="1" applyBorder="1" applyAlignment="1" applyProtection="1">
      <alignment horizontal="center" vertical="center" wrapText="1"/>
      <protection locked="0"/>
    </xf>
    <xf numFmtId="182" fontId="25" fillId="8" borderId="4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>
      <alignment horizontal="center" vertical="center" wrapText="1"/>
    </xf>
    <xf numFmtId="0" fontId="23" fillId="0" borderId="4" xfId="60" applyFont="1" applyFill="1" applyBorder="1" applyAlignment="1" applyProtection="1">
      <alignment horizontal="center" vertical="center" wrapText="1"/>
      <protection locked="0"/>
    </xf>
    <xf numFmtId="181" fontId="23" fillId="0" borderId="4" xfId="0" applyNumberFormat="1" applyFont="1" applyFill="1" applyBorder="1" applyAlignment="1">
      <alignment horizontal="center" vertical="center" wrapText="1"/>
    </xf>
    <xf numFmtId="0" fontId="28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31" fillId="8" borderId="4" xfId="60" applyNumberFormat="1" applyFont="1" applyFill="1" applyBorder="1" applyAlignment="1" applyProtection="1">
      <alignment horizontal="center" vertical="center" wrapText="1"/>
      <protection locked="0"/>
    </xf>
    <xf numFmtId="182" fontId="32" fillId="8" borderId="4" xfId="58" applyNumberFormat="1" applyFont="1" applyFill="1" applyBorder="1" applyAlignment="1" applyProtection="1">
      <alignment horizontal="center" vertical="center" wrapText="1"/>
      <protection locked="0"/>
    </xf>
    <xf numFmtId="0" fontId="33" fillId="8" borderId="4" xfId="60" applyFont="1" applyFill="1" applyBorder="1" applyAlignment="1" applyProtection="1">
      <alignment horizontal="center" vertical="center" wrapText="1"/>
      <protection locked="0"/>
    </xf>
    <xf numFmtId="182" fontId="33" fillId="8" borderId="4" xfId="60" applyNumberFormat="1" applyFont="1" applyFill="1" applyBorder="1" applyAlignment="1" applyProtection="1">
      <alignment horizontal="center" vertical="center" wrapText="1"/>
      <protection locked="0"/>
    </xf>
    <xf numFmtId="0" fontId="27" fillId="8" borderId="10" xfId="60" applyNumberFormat="1" applyFont="1" applyFill="1" applyBorder="1" applyAlignment="1" applyProtection="1">
      <alignment horizontal="center" vertical="center" wrapText="1"/>
      <protection locked="0"/>
    </xf>
    <xf numFmtId="0" fontId="25" fillId="8" borderId="4" xfId="60" applyNumberFormat="1" applyFont="1" applyFill="1" applyBorder="1" applyAlignment="1" applyProtection="1">
      <alignment horizontal="center" vertical="center" wrapText="1"/>
      <protection locked="0"/>
    </xf>
    <xf numFmtId="181" fontId="24" fillId="0" borderId="4" xfId="0" applyNumberFormat="1" applyFont="1" applyFill="1" applyBorder="1" applyAlignment="1">
      <alignment horizontal="center" vertical="center" wrapText="1"/>
    </xf>
    <xf numFmtId="0" fontId="24" fillId="8" borderId="4" xfId="60" applyNumberFormat="1" applyFont="1" applyFill="1" applyBorder="1" applyAlignment="1" applyProtection="1">
      <alignment horizontal="center" vertical="center" wrapText="1"/>
      <protection locked="0"/>
    </xf>
    <xf numFmtId="182" fontId="24" fillId="8" borderId="4" xfId="6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22" fillId="3" borderId="4" xfId="60" applyFont="1" applyFill="1" applyBorder="1" applyAlignment="1" applyProtection="1">
      <alignment horizontal="center" vertical="center" wrapText="1"/>
      <protection locked="0"/>
    </xf>
    <xf numFmtId="181" fontId="22" fillId="3" borderId="4" xfId="0" applyNumberFormat="1" applyFont="1" applyFill="1" applyBorder="1" applyAlignment="1">
      <alignment horizontal="center" vertical="center" wrapText="1"/>
    </xf>
    <xf numFmtId="0" fontId="27" fillId="3" borderId="10" xfId="60" applyNumberFormat="1" applyFont="1" applyFill="1" applyBorder="1" applyAlignment="1" applyProtection="1">
      <alignment horizontal="center" vertical="center" wrapText="1"/>
      <protection locked="0"/>
    </xf>
    <xf numFmtId="181" fontId="25" fillId="0" borderId="4" xfId="0" applyNumberFormat="1" applyFont="1" applyFill="1" applyBorder="1" applyAlignment="1">
      <alignment horizontal="center" vertical="center" wrapText="1"/>
    </xf>
    <xf numFmtId="0" fontId="25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>
      <alignment horizontal="center" vertical="center" wrapText="1"/>
    </xf>
    <xf numFmtId="0" fontId="26" fillId="0" borderId="4" xfId="60" applyFont="1" applyFill="1" applyBorder="1" applyAlignment="1" applyProtection="1">
      <alignment horizontal="center" vertical="center" wrapText="1"/>
      <protection locked="0"/>
    </xf>
    <xf numFmtId="181" fontId="26" fillId="0" borderId="4" xfId="0" applyNumberFormat="1" applyFont="1" applyFill="1" applyBorder="1" applyAlignment="1">
      <alignment horizontal="center" vertical="center" wrapText="1"/>
    </xf>
    <xf numFmtId="0" fontId="30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27" fillId="8" borderId="4" xfId="60" applyNumberFormat="1" applyFont="1" applyFill="1" applyBorder="1" applyAlignment="1" applyProtection="1">
      <alignment horizontal="center" vertical="center" wrapText="1"/>
      <protection locked="0"/>
    </xf>
    <xf numFmtId="0" fontId="30" fillId="8" borderId="10" xfId="6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22" fillId="0" borderId="10" xfId="10" applyNumberFormat="1" applyFont="1" applyFill="1" applyBorder="1" applyAlignment="1" applyProtection="1">
      <alignment horizontal="center" vertical="center" wrapText="1"/>
      <protection locked="0"/>
    </xf>
    <xf numFmtId="181" fontId="22" fillId="0" borderId="10" xfId="0" applyNumberFormat="1" applyFont="1" applyFill="1" applyBorder="1" applyAlignment="1">
      <alignment horizontal="center" vertical="center" wrapText="1"/>
    </xf>
    <xf numFmtId="0" fontId="24" fillId="8" borderId="10" xfId="60" applyNumberFormat="1" applyFont="1" applyFill="1" applyBorder="1" applyAlignment="1" applyProtection="1">
      <alignment horizontal="center" vertical="center" wrapText="1"/>
      <protection locked="0"/>
    </xf>
    <xf numFmtId="182" fontId="24" fillId="8" borderId="10" xfId="6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>
      <alignment horizontal="center" vertical="center"/>
    </xf>
    <xf numFmtId="0" fontId="24" fillId="0" borderId="4" xfId="60" applyNumberFormat="1" applyFont="1" applyFill="1" applyBorder="1" applyAlignment="1" applyProtection="1">
      <alignment horizontal="center" vertical="center" wrapText="1"/>
      <protection locked="0"/>
    </xf>
    <xf numFmtId="49" fontId="25" fillId="8" borderId="4" xfId="10" applyNumberFormat="1" applyFont="1" applyFill="1" applyBorder="1" applyAlignment="1" applyProtection="1">
      <alignment horizontal="center" vertical="center" wrapText="1"/>
      <protection locked="0"/>
    </xf>
    <xf numFmtId="182" fontId="24" fillId="8" borderId="12" xfId="59" applyNumberFormat="1" applyFont="1" applyFill="1" applyBorder="1" applyAlignment="1">
      <alignment horizontal="center" vertical="center" wrapText="1"/>
    </xf>
    <xf numFmtId="181" fontId="24" fillId="8" borderId="9" xfId="59" applyNumberFormat="1" applyFont="1" applyFill="1" applyBorder="1" applyAlignment="1">
      <alignment horizontal="center" vertical="center" wrapText="1"/>
    </xf>
    <xf numFmtId="10" fontId="24" fillId="8" borderId="9" xfId="59" applyNumberFormat="1" applyFont="1" applyFill="1" applyBorder="1" applyAlignment="1">
      <alignment horizontal="center" vertical="center" wrapText="1"/>
    </xf>
    <xf numFmtId="182" fontId="24" fillId="8" borderId="9" xfId="59" applyNumberFormat="1" applyFont="1" applyFill="1" applyBorder="1" applyAlignment="1">
      <alignment horizontal="center" vertical="center" wrapText="1"/>
    </xf>
    <xf numFmtId="0" fontId="34" fillId="10" borderId="4" xfId="60" applyFont="1" applyFill="1" applyBorder="1" applyAlignment="1" applyProtection="1">
      <alignment horizontal="center" vertical="center" wrapText="1"/>
      <protection locked="0"/>
    </xf>
    <xf numFmtId="181" fontId="24" fillId="8" borderId="10" xfId="59" applyNumberFormat="1" applyFont="1" applyFill="1" applyBorder="1" applyAlignment="1">
      <alignment horizontal="center" vertical="center" wrapText="1"/>
    </xf>
    <xf numFmtId="10" fontId="24" fillId="8" borderId="10" xfId="59" applyNumberFormat="1" applyFont="1" applyFill="1" applyBorder="1" applyAlignment="1">
      <alignment horizontal="center" vertical="center" wrapText="1"/>
    </xf>
    <xf numFmtId="182" fontId="24" fillId="8" borderId="10" xfId="59" applyNumberFormat="1" applyFont="1" applyFill="1" applyBorder="1" applyAlignment="1">
      <alignment horizontal="center" vertical="center" wrapText="1"/>
    </xf>
    <xf numFmtId="181" fontId="25" fillId="8" borderId="10" xfId="0" applyNumberFormat="1" applyFont="1" applyFill="1" applyBorder="1" applyAlignment="1">
      <alignment horizontal="center" vertical="center" wrapText="1"/>
    </xf>
    <xf numFmtId="10" fontId="25" fillId="8" borderId="10" xfId="0" applyNumberFormat="1" applyFont="1" applyFill="1" applyBorder="1" applyAlignment="1">
      <alignment horizontal="center" vertical="center" wrapText="1"/>
    </xf>
    <xf numFmtId="183" fontId="25" fillId="8" borderId="10" xfId="0" applyNumberFormat="1" applyFont="1" applyFill="1" applyBorder="1" applyAlignment="1">
      <alignment horizontal="center" vertical="center" wrapText="1"/>
    </xf>
    <xf numFmtId="178" fontId="25" fillId="8" borderId="10" xfId="0" applyNumberFormat="1" applyFont="1" applyFill="1" applyBorder="1" applyAlignment="1">
      <alignment horizontal="center" vertical="center" wrapText="1"/>
    </xf>
    <xf numFmtId="0" fontId="25" fillId="10" borderId="10" xfId="60" applyFont="1" applyFill="1" applyBorder="1" applyAlignment="1" applyProtection="1">
      <alignment horizontal="center" vertical="center" wrapText="1"/>
      <protection locked="0"/>
    </xf>
    <xf numFmtId="181" fontId="25" fillId="8" borderId="4" xfId="10" applyNumberFormat="1" applyFont="1" applyFill="1" applyBorder="1" applyAlignment="1" applyProtection="1">
      <alignment horizontal="center" vertical="center" wrapText="1"/>
      <protection locked="0"/>
    </xf>
    <xf numFmtId="10" fontId="25" fillId="8" borderId="4" xfId="10" applyNumberFormat="1" applyFont="1" applyFill="1" applyBorder="1" applyAlignment="1" applyProtection="1">
      <alignment horizontal="center" vertical="center" wrapText="1"/>
      <protection locked="0"/>
    </xf>
    <xf numFmtId="183" fontId="25" fillId="8" borderId="4" xfId="10" applyNumberFormat="1" applyFont="1" applyFill="1" applyBorder="1" applyAlignment="1" applyProtection="1">
      <alignment horizontal="center" vertical="center" wrapText="1"/>
      <protection locked="0"/>
    </xf>
    <xf numFmtId="184" fontId="25" fillId="10" borderId="4" xfId="10" applyNumberFormat="1" applyFont="1" applyFill="1" applyBorder="1" applyAlignment="1" applyProtection="1">
      <alignment horizontal="center" vertical="center" wrapText="1"/>
      <protection locked="0"/>
    </xf>
    <xf numFmtId="178" fontId="25" fillId="8" borderId="4" xfId="10" applyNumberFormat="1" applyFont="1" applyFill="1" applyBorder="1" applyAlignment="1" applyProtection="1">
      <alignment horizontal="center" vertical="center" wrapText="1"/>
      <protection locked="0"/>
    </xf>
    <xf numFmtId="181" fontId="25" fillId="8" borderId="4" xfId="60" applyNumberFormat="1" applyFont="1" applyFill="1" applyBorder="1" applyAlignment="1" applyProtection="1">
      <alignment horizontal="center" vertical="center" wrapText="1"/>
      <protection locked="0"/>
    </xf>
    <xf numFmtId="183" fontId="25" fillId="8" borderId="4" xfId="60" applyNumberFormat="1" applyFont="1" applyFill="1" applyBorder="1" applyAlignment="1" applyProtection="1">
      <alignment horizontal="center" vertical="center" wrapText="1"/>
      <protection locked="0"/>
    </xf>
    <xf numFmtId="184" fontId="32" fillId="8" borderId="4" xfId="58" applyNumberFormat="1" applyFont="1" applyFill="1" applyBorder="1" applyAlignment="1" applyProtection="1">
      <alignment horizontal="center" vertical="center" wrapText="1"/>
      <protection locked="0"/>
    </xf>
    <xf numFmtId="10" fontId="32" fillId="8" borderId="4" xfId="40" applyNumberFormat="1" applyFont="1" applyFill="1" applyBorder="1" applyAlignment="1" applyProtection="1">
      <alignment horizontal="center" vertical="center" wrapText="1"/>
      <protection locked="0"/>
    </xf>
    <xf numFmtId="0" fontId="28" fillId="8" borderId="10" xfId="60" applyNumberFormat="1" applyFont="1" applyFill="1" applyBorder="1" applyAlignment="1" applyProtection="1">
      <alignment horizontal="center" vertical="center" wrapText="1"/>
      <protection locked="0"/>
    </xf>
    <xf numFmtId="0" fontId="28" fillId="10" borderId="10" xfId="60" applyNumberFormat="1" applyFont="1" applyFill="1" applyBorder="1" applyAlignment="1" applyProtection="1">
      <alignment horizontal="center" vertical="center" wrapText="1"/>
      <protection locked="0"/>
    </xf>
    <xf numFmtId="181" fontId="33" fillId="8" borderId="4" xfId="60" applyNumberFormat="1" applyFont="1" applyFill="1" applyBorder="1" applyAlignment="1" applyProtection="1">
      <alignment horizontal="center" vertical="center" wrapText="1"/>
      <protection locked="0"/>
    </xf>
    <xf numFmtId="10" fontId="33" fillId="8" borderId="4" xfId="10" applyNumberFormat="1" applyFont="1" applyFill="1" applyBorder="1" applyAlignment="1" applyProtection="1">
      <alignment horizontal="center" vertical="center" wrapText="1"/>
      <protection locked="0"/>
    </xf>
    <xf numFmtId="0" fontId="27" fillId="10" borderId="10" xfId="60" applyNumberFormat="1" applyFont="1" applyFill="1" applyBorder="1" applyAlignment="1" applyProtection="1">
      <alignment horizontal="center" vertical="center" wrapText="1"/>
      <protection locked="0"/>
    </xf>
    <xf numFmtId="10" fontId="25" fillId="8" borderId="4" xfId="60" applyNumberFormat="1" applyFont="1" applyFill="1" applyBorder="1" applyAlignment="1" applyProtection="1">
      <alignment horizontal="center" vertical="center" wrapText="1"/>
      <protection locked="0"/>
    </xf>
    <xf numFmtId="182" fontId="25" fillId="2" borderId="4" xfId="60" applyNumberFormat="1" applyFont="1" applyFill="1" applyBorder="1" applyAlignment="1" applyProtection="1">
      <alignment horizontal="center" vertical="center" wrapText="1"/>
      <protection locked="0"/>
    </xf>
    <xf numFmtId="178" fontId="25" fillId="8" borderId="4" xfId="60" applyNumberFormat="1" applyFont="1" applyFill="1" applyBorder="1" applyAlignment="1" applyProtection="1">
      <alignment horizontal="center" vertical="center" wrapText="1"/>
      <protection locked="0"/>
    </xf>
    <xf numFmtId="181" fontId="24" fillId="8" borderId="4" xfId="60" applyNumberFormat="1" applyFont="1" applyFill="1" applyBorder="1" applyAlignment="1" applyProtection="1">
      <alignment horizontal="center" vertical="center" wrapText="1"/>
      <protection locked="0"/>
    </xf>
    <xf numFmtId="10" fontId="24" fillId="8" borderId="4" xfId="60" applyNumberFormat="1" applyFont="1" applyFill="1" applyBorder="1" applyAlignment="1" applyProtection="1">
      <alignment horizontal="center" vertical="center" wrapText="1"/>
      <protection locked="0"/>
    </xf>
    <xf numFmtId="184" fontId="25" fillId="10" borderId="14" xfId="10" applyNumberFormat="1" applyFont="1" applyFill="1" applyBorder="1" applyAlignment="1" applyProtection="1">
      <alignment horizontal="center" vertical="center" wrapText="1"/>
      <protection locked="0"/>
    </xf>
    <xf numFmtId="181" fontId="24" fillId="8" borderId="4" xfId="10" applyNumberFormat="1" applyFont="1" applyFill="1" applyBorder="1" applyAlignment="1" applyProtection="1">
      <alignment horizontal="center" vertical="center" wrapText="1"/>
      <protection locked="0"/>
    </xf>
    <xf numFmtId="182" fontId="24" fillId="8" borderId="4" xfId="10" applyNumberFormat="1" applyFont="1" applyFill="1" applyBorder="1" applyAlignment="1" applyProtection="1">
      <alignment horizontal="center" vertical="center" wrapText="1"/>
      <protection locked="0"/>
    </xf>
    <xf numFmtId="183" fontId="25" fillId="8" borderId="10" xfId="60" applyNumberFormat="1" applyFont="1" applyFill="1" applyBorder="1" applyAlignment="1" applyProtection="1">
      <alignment horizontal="center" vertical="center" wrapText="1"/>
      <protection locked="0"/>
    </xf>
    <xf numFmtId="184" fontId="25" fillId="10" borderId="10" xfId="10" applyNumberFormat="1" applyFont="1" applyFill="1" applyBorder="1" applyAlignment="1" applyProtection="1">
      <alignment horizontal="center" vertical="center" wrapText="1"/>
      <protection locked="0"/>
    </xf>
    <xf numFmtId="0" fontId="27" fillId="10" borderId="4" xfId="60" applyNumberFormat="1" applyFont="1" applyFill="1" applyBorder="1" applyAlignment="1" applyProtection="1">
      <alignment horizontal="center" vertical="center" wrapText="1"/>
      <protection locked="0"/>
    </xf>
    <xf numFmtId="0" fontId="21" fillId="0" borderId="12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>
      <alignment horizontal="left" vertical="center" wrapText="1"/>
    </xf>
    <xf numFmtId="0" fontId="21" fillId="0" borderId="15" xfId="6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 wrapText="1"/>
    </xf>
    <xf numFmtId="0" fontId="2" fillId="0" borderId="4" xfId="60" applyFont="1" applyFill="1" applyBorder="1" applyAlignment="1" applyProtection="1">
      <alignment horizontal="center" vertical="center" wrapText="1"/>
      <protection locked="0"/>
    </xf>
    <xf numFmtId="181" fontId="22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21" fillId="0" borderId="13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60" applyFont="1" applyFill="1" applyBorder="1" applyAlignment="1" applyProtection="1">
      <alignment horizontal="center" vertical="center" wrapText="1"/>
      <protection locked="0"/>
    </xf>
    <xf numFmtId="0" fontId="36" fillId="0" borderId="5" xfId="6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10" applyFont="1" applyFill="1" applyBorder="1" applyAlignment="1" applyProtection="1">
      <alignment horizontal="center" vertical="center" wrapText="1" shrinkToFit="1"/>
      <protection locked="0"/>
    </xf>
    <xf numFmtId="0" fontId="8" fillId="0" borderId="5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60" applyFont="1" applyFill="1" applyBorder="1" applyAlignment="1" applyProtection="1">
      <alignment horizontal="center" vertical="center" wrapText="1"/>
      <protection locked="0"/>
    </xf>
    <xf numFmtId="0" fontId="1" fillId="0" borderId="10" xfId="10" applyFont="1" applyFill="1" applyBorder="1" applyAlignment="1" applyProtection="1">
      <alignment horizontal="center" vertical="center" wrapText="1" shrinkToFit="1"/>
      <protection locked="0"/>
    </xf>
    <xf numFmtId="0" fontId="8" fillId="0" borderId="7" xfId="60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60" applyFont="1" applyFill="1" applyBorder="1" applyAlignment="1" applyProtection="1">
      <alignment horizontal="center" vertical="center" wrapText="1"/>
      <protection locked="0"/>
    </xf>
    <xf numFmtId="0" fontId="11" fillId="0" borderId="10" xfId="10" applyFont="1" applyFill="1" applyBorder="1" applyAlignment="1" applyProtection="1">
      <alignment horizontal="center" vertical="center" wrapText="1" shrinkToFit="1"/>
      <protection locked="0"/>
    </xf>
    <xf numFmtId="184" fontId="11" fillId="0" borderId="4" xfId="10" applyNumberFormat="1" applyFont="1" applyFill="1" applyBorder="1" applyAlignment="1" applyProtection="1">
      <alignment horizontal="center" vertical="center" wrapText="1"/>
      <protection locked="0"/>
    </xf>
    <xf numFmtId="184" fontId="13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13" fillId="0" borderId="10" xfId="10" applyFont="1" applyFill="1" applyBorder="1" applyAlignment="1" applyProtection="1">
      <alignment horizontal="center" vertical="center" wrapText="1" shrinkToFit="1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184" fontId="11" fillId="4" borderId="4" xfId="10" applyNumberFormat="1" applyFont="1" applyFill="1" applyBorder="1" applyAlignment="1" applyProtection="1">
      <alignment horizontal="center" vertical="center" wrapText="1"/>
      <protection locked="0"/>
    </xf>
    <xf numFmtId="0" fontId="11" fillId="4" borderId="10" xfId="10" applyFont="1" applyFill="1" applyBorder="1" applyAlignment="1" applyProtection="1">
      <alignment horizontal="center" vertical="center" wrapText="1" shrinkToFit="1"/>
      <protection locked="0"/>
    </xf>
    <xf numFmtId="0" fontId="22" fillId="4" borderId="1" xfId="0" applyFont="1" applyFill="1" applyBorder="1" applyAlignment="1">
      <alignment horizontal="center" vertical="center" wrapText="1"/>
    </xf>
    <xf numFmtId="0" fontId="30" fillId="10" borderId="10" xfId="60" applyNumberFormat="1" applyFont="1" applyFill="1" applyBorder="1" applyAlignment="1" applyProtection="1">
      <alignment horizontal="center" vertical="center" wrapText="1"/>
      <protection locked="0"/>
    </xf>
    <xf numFmtId="184" fontId="17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10" applyFont="1" applyFill="1" applyBorder="1" applyAlignment="1" applyProtection="1">
      <alignment horizontal="center" vertical="center" wrapText="1" shrinkToFit="1"/>
      <protection locked="0"/>
    </xf>
    <xf numFmtId="0" fontId="26" fillId="0" borderId="1" xfId="0" applyFont="1" applyFill="1" applyBorder="1" applyAlignment="1">
      <alignment horizontal="center" vertical="center" wrapText="1"/>
    </xf>
    <xf numFmtId="0" fontId="11" fillId="0" borderId="4" xfId="10" applyFont="1" applyFill="1" applyBorder="1" applyAlignment="1" applyProtection="1">
      <alignment horizontal="center" vertical="center" wrapText="1" shrinkToFit="1"/>
      <protection locked="0"/>
    </xf>
    <xf numFmtId="0" fontId="27" fillId="0" borderId="0" xfId="60" applyNumberFormat="1" applyFont="1" applyFill="1" applyBorder="1" applyAlignment="1" applyProtection="1">
      <alignment horizontal="center" vertical="center" wrapText="1"/>
      <protection locked="0"/>
    </xf>
    <xf numFmtId="184" fontId="11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1" fillId="6" borderId="0" xfId="6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2" borderId="4" xfId="60" applyNumberFormat="1" applyFont="1" applyFill="1" applyBorder="1" applyAlignment="1" applyProtection="1">
      <alignment horizontal="center" vertical="center" wrapText="1"/>
      <protection locked="0"/>
    </xf>
    <xf numFmtId="49" fontId="22" fillId="2" borderId="4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23" fillId="0" borderId="4" xfId="0" applyNumberFormat="1" applyFont="1" applyFill="1" applyBorder="1" applyAlignment="1">
      <alignment horizontal="left" vertical="center" wrapText="1"/>
    </xf>
    <xf numFmtId="0" fontId="22" fillId="0" borderId="4" xfId="10" applyFont="1" applyFill="1" applyBorder="1" applyAlignment="1" applyProtection="1">
      <alignment horizontal="left" vertical="center" wrapText="1"/>
      <protection locked="0"/>
    </xf>
    <xf numFmtId="49" fontId="22" fillId="2" borderId="4" xfId="0" applyNumberFormat="1" applyFont="1" applyFill="1" applyBorder="1" applyAlignment="1">
      <alignment horizontal="left" vertical="center" wrapText="1"/>
    </xf>
    <xf numFmtId="0" fontId="11" fillId="0" borderId="3" xfId="53" applyNumberFormat="1" applyFont="1" applyFill="1" applyBorder="1" applyAlignment="1">
      <alignment horizontal="center" vertical="center" wrapText="1"/>
    </xf>
    <xf numFmtId="0" fontId="22" fillId="2" borderId="4" xfId="0" applyNumberFormat="1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11" fillId="3" borderId="3" xfId="53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49" fontId="29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60" applyFont="1" applyFill="1" applyBorder="1" applyAlignment="1" applyProtection="1">
      <alignment horizontal="center" vertical="center" wrapText="1"/>
      <protection locked="0"/>
    </xf>
    <xf numFmtId="49" fontId="2" fillId="3" borderId="4" xfId="60" applyNumberFormat="1" applyFont="1" applyFill="1" applyBorder="1" applyAlignment="1" applyProtection="1">
      <alignment horizontal="center" vertical="center" wrapText="1"/>
      <protection locked="0"/>
    </xf>
    <xf numFmtId="0" fontId="11" fillId="3" borderId="9" xfId="60" applyFont="1" applyFill="1" applyBorder="1" applyAlignment="1" applyProtection="1">
      <alignment horizontal="center" vertical="center" wrapText="1"/>
      <protection locked="0"/>
    </xf>
    <xf numFmtId="185" fontId="11" fillId="0" borderId="4" xfId="0" applyNumberFormat="1" applyFont="1" applyFill="1" applyBorder="1" applyAlignment="1">
      <alignment horizontal="center" vertical="center" wrapText="1"/>
    </xf>
    <xf numFmtId="0" fontId="27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29" fillId="8" borderId="4" xfId="60" applyNumberFormat="1" applyFont="1" applyFill="1" applyBorder="1" applyAlignment="1" applyProtection="1">
      <alignment horizontal="center" vertical="center" wrapText="1"/>
      <protection locked="0"/>
    </xf>
    <xf numFmtId="182" fontId="29" fillId="8" borderId="4" xfId="60" applyNumberFormat="1" applyFont="1" applyFill="1" applyBorder="1" applyAlignment="1" applyProtection="1">
      <alignment horizontal="center" vertical="center" wrapText="1"/>
      <protection locked="0"/>
    </xf>
    <xf numFmtId="0" fontId="27" fillId="3" borderId="4" xfId="60" applyNumberFormat="1" applyFont="1" applyFill="1" applyBorder="1" applyAlignment="1" applyProtection="1">
      <alignment horizontal="center" vertical="center" wrapText="1"/>
      <protection locked="0"/>
    </xf>
    <xf numFmtId="49" fontId="11" fillId="8" borderId="4" xfId="10" applyNumberFormat="1" applyFont="1" applyFill="1" applyBorder="1" applyAlignment="1" applyProtection="1">
      <alignment horizontal="center" vertical="center" wrapText="1"/>
      <protection locked="0"/>
    </xf>
    <xf numFmtId="181" fontId="29" fillId="8" borderId="4" xfId="60" applyNumberFormat="1" applyFont="1" applyFill="1" applyBorder="1" applyAlignment="1" applyProtection="1">
      <alignment horizontal="center" vertical="center" wrapText="1"/>
      <protection locked="0"/>
    </xf>
    <xf numFmtId="10" fontId="29" fillId="8" borderId="4" xfId="60" applyNumberFormat="1" applyFont="1" applyFill="1" applyBorder="1" applyAlignment="1" applyProtection="1">
      <alignment horizontal="center" vertical="center" wrapText="1"/>
      <protection locked="0"/>
    </xf>
    <xf numFmtId="183" fontId="33" fillId="8" borderId="4" xfId="60" applyNumberFormat="1" applyFont="1" applyFill="1" applyBorder="1" applyAlignment="1" applyProtection="1">
      <alignment horizontal="center" vertical="center" wrapText="1"/>
      <protection locked="0"/>
    </xf>
    <xf numFmtId="184" fontId="33" fillId="10" borderId="4" xfId="10" applyNumberFormat="1" applyFont="1" applyFill="1" applyBorder="1" applyAlignment="1" applyProtection="1">
      <alignment horizontal="center" vertical="center" wrapText="1"/>
      <protection locked="0"/>
    </xf>
    <xf numFmtId="0" fontId="28" fillId="8" borderId="4" xfId="60" applyNumberFormat="1" applyFont="1" applyFill="1" applyBorder="1" applyAlignment="1" applyProtection="1">
      <alignment horizontal="center" vertical="center" wrapText="1"/>
      <protection locked="0"/>
    </xf>
    <xf numFmtId="0" fontId="27" fillId="10" borderId="14" xfId="60" applyNumberFormat="1" applyFont="1" applyFill="1" applyBorder="1" applyAlignment="1" applyProtection="1">
      <alignment horizontal="center" vertical="center" wrapText="1"/>
      <protection locked="0"/>
    </xf>
    <xf numFmtId="184" fontId="11" fillId="8" borderId="4" xfId="1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10" applyFont="1" applyFill="1" applyBorder="1" applyAlignment="1" applyProtection="1">
      <alignment horizontal="center" vertical="center" wrapText="1" shrinkToFit="1"/>
      <protection locked="0"/>
    </xf>
    <xf numFmtId="0" fontId="13" fillId="0" borderId="4" xfId="10" applyFont="1" applyFill="1" applyBorder="1" applyAlignment="1" applyProtection="1">
      <alignment horizontal="center" vertical="center" wrapText="1" shrinkToFit="1"/>
      <protection locked="0"/>
    </xf>
    <xf numFmtId="0" fontId="28" fillId="10" borderId="4" xfId="6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20" applyFont="1" applyFill="1" applyAlignment="1">
      <alignment vertical="center"/>
    </xf>
    <xf numFmtId="0" fontId="39" fillId="0" borderId="0" xfId="20" applyFont="1" applyAlignment="1">
      <alignment vertical="center"/>
    </xf>
    <xf numFmtId="0" fontId="40" fillId="0" borderId="0" xfId="20" applyFont="1" applyFill="1" applyAlignment="1">
      <alignment vertical="center"/>
    </xf>
    <xf numFmtId="0" fontId="40" fillId="0" borderId="0" xfId="20" applyFont="1" applyAlignment="1">
      <alignment vertical="center"/>
    </xf>
    <xf numFmtId="0" fontId="41" fillId="0" borderId="0" xfId="20" applyFont="1" applyFill="1" applyBorder="1" applyAlignment="1">
      <alignment horizontal="left" vertical="center"/>
    </xf>
    <xf numFmtId="0" fontId="42" fillId="0" borderId="0" xfId="20" applyFont="1" applyFill="1" applyBorder="1" applyAlignment="1">
      <alignment horizontal="center" vertical="center"/>
    </xf>
    <xf numFmtId="0" fontId="42" fillId="0" borderId="0" xfId="20" applyFont="1" applyFill="1" applyBorder="1" applyAlignment="1">
      <alignment horizontal="left" vertical="center"/>
    </xf>
    <xf numFmtId="0" fontId="43" fillId="0" borderId="0" xfId="20" applyFont="1" applyFill="1" applyBorder="1" applyAlignment="1">
      <alignment horizontal="center" vertical="center"/>
    </xf>
    <xf numFmtId="0" fontId="41" fillId="11" borderId="4" xfId="20" applyFont="1" applyFill="1" applyBorder="1" applyAlignment="1">
      <alignment horizontal="center" vertical="center" wrapText="1"/>
    </xf>
    <xf numFmtId="0" fontId="44" fillId="11" borderId="4" xfId="20" applyFont="1" applyFill="1" applyBorder="1" applyAlignment="1">
      <alignment horizontal="center" vertical="center"/>
    </xf>
    <xf numFmtId="0" fontId="45" fillId="0" borderId="4" xfId="20" applyFont="1" applyFill="1" applyBorder="1" applyAlignment="1">
      <alignment horizontal="center" vertical="center" wrapText="1"/>
    </xf>
    <xf numFmtId="0" fontId="45" fillId="0" borderId="4" xfId="20" applyFont="1" applyFill="1" applyBorder="1" applyAlignment="1">
      <alignment horizontal="center" vertical="center"/>
    </xf>
    <xf numFmtId="0" fontId="40" fillId="0" borderId="4" xfId="49" applyFont="1" applyFill="1" applyBorder="1" applyAlignment="1">
      <alignment horizontal="center" vertical="center" wrapText="1"/>
    </xf>
    <xf numFmtId="0" fontId="40" fillId="0" borderId="4" xfId="49" applyFont="1" applyBorder="1" applyAlignment="1">
      <alignment horizontal="center" vertical="center"/>
    </xf>
    <xf numFmtId="178" fontId="46" fillId="0" borderId="4" xfId="0" applyNumberFormat="1" applyFont="1" applyFill="1" applyBorder="1" applyAlignment="1">
      <alignment horizontal="center" vertical="center" wrapText="1"/>
    </xf>
    <xf numFmtId="0" fontId="46" fillId="0" borderId="4" xfId="49" applyFont="1" applyBorder="1" applyAlignment="1">
      <alignment horizontal="center" vertical="center"/>
    </xf>
    <xf numFmtId="0" fontId="40" fillId="0" borderId="4" xfId="20" applyFont="1" applyFill="1" applyBorder="1" applyAlignment="1">
      <alignment horizontal="center" vertical="center"/>
    </xf>
    <xf numFmtId="0" fontId="40" fillId="0" borderId="4" xfId="20" applyFont="1" applyFill="1" applyBorder="1" applyAlignment="1">
      <alignment vertical="center"/>
    </xf>
    <xf numFmtId="178" fontId="40" fillId="0" borderId="4" xfId="57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left" vertical="center" wrapText="1"/>
    </xf>
    <xf numFmtId="0" fontId="40" fillId="0" borderId="0" xfId="20" applyFont="1" applyFill="1" applyBorder="1" applyAlignment="1">
      <alignment horizontal="center" vertical="center"/>
    </xf>
    <xf numFmtId="49" fontId="47" fillId="0" borderId="0" xfId="20" applyNumberFormat="1" applyFont="1" applyFill="1" applyBorder="1" applyAlignment="1">
      <alignment horizontal="center" vertical="center"/>
    </xf>
    <xf numFmtId="0" fontId="47" fillId="0" borderId="0" xfId="20" applyFont="1" applyFill="1" applyBorder="1" applyAlignment="1">
      <alignment horizontal="center" vertical="center"/>
    </xf>
    <xf numFmtId="0" fontId="47" fillId="0" borderId="0" xfId="20" applyFont="1" applyFill="1" applyBorder="1" applyAlignment="1">
      <alignment vertical="center"/>
    </xf>
    <xf numFmtId="0" fontId="46" fillId="0" borderId="4" xfId="49" applyFont="1" applyBorder="1" applyAlignment="1">
      <alignment horizontal="center" vertical="center" wrapText="1"/>
    </xf>
    <xf numFmtId="0" fontId="48" fillId="0" borderId="0" xfId="20" applyFont="1" applyFill="1" applyBorder="1" applyAlignment="1">
      <alignment vertical="center"/>
    </xf>
    <xf numFmtId="0" fontId="39" fillId="0" borderId="0" xfId="20" applyFont="1" applyFill="1" applyBorder="1" applyAlignment="1">
      <alignment vertical="center"/>
    </xf>
    <xf numFmtId="0" fontId="49" fillId="0" borderId="4" xfId="20" applyFont="1" applyFill="1" applyBorder="1" applyAlignment="1">
      <alignment horizontal="center" vertical="center"/>
    </xf>
    <xf numFmtId="0" fontId="50" fillId="0" borderId="4" xfId="20" applyFont="1" applyFill="1" applyBorder="1" applyAlignment="1">
      <alignment horizontal="center" vertical="center"/>
    </xf>
    <xf numFmtId="49" fontId="40" fillId="0" borderId="4" xfId="20" applyNumberFormat="1" applyFont="1" applyFill="1" applyBorder="1" applyAlignment="1">
      <alignment horizontal="center" vertical="center"/>
    </xf>
    <xf numFmtId="0" fontId="40" fillId="0" borderId="4" xfId="20" applyFont="1" applyFill="1" applyBorder="1" applyAlignment="1">
      <alignment horizontal="left" vertical="center"/>
    </xf>
    <xf numFmtId="0" fontId="40" fillId="0" borderId="4" xfId="20" applyFont="1" applyFill="1" applyBorder="1" applyAlignment="1">
      <alignment horizontal="left" vertical="center" wrapText="1"/>
    </xf>
    <xf numFmtId="0" fontId="26" fillId="0" borderId="4" xfId="20" applyFont="1" applyFill="1" applyBorder="1" applyAlignment="1">
      <alignment horizontal="left" vertical="center" wrapText="1"/>
    </xf>
    <xf numFmtId="0" fontId="51" fillId="0" borderId="4" xfId="20" applyFont="1" applyFill="1" applyBorder="1" applyAlignment="1">
      <alignment horizontal="left" vertical="center" wrapText="1"/>
    </xf>
    <xf numFmtId="0" fontId="40" fillId="0" borderId="4" xfId="49" applyFont="1" applyFill="1" applyBorder="1" applyAlignment="1">
      <alignment horizontal="left" vertical="center"/>
    </xf>
    <xf numFmtId="0" fontId="40" fillId="0" borderId="4" xfId="20" applyFont="1" applyBorder="1" applyAlignment="1">
      <alignment vertical="center"/>
    </xf>
    <xf numFmtId="0" fontId="47" fillId="0" borderId="4" xfId="20" applyFont="1" applyFill="1" applyBorder="1" applyAlignment="1">
      <alignment horizontal="center" vertical="center"/>
    </xf>
    <xf numFmtId="0" fontId="47" fillId="0" borderId="0" xfId="20" applyFont="1" applyFill="1" applyBorder="1" applyAlignment="1">
      <alignment horizontal="left" vertical="center"/>
    </xf>
    <xf numFmtId="0" fontId="48" fillId="0" borderId="0" xfId="20" applyFont="1" applyFill="1" applyBorder="1" applyAlignment="1">
      <alignment horizontal="left" vertical="top" wrapText="1"/>
    </xf>
    <xf numFmtId="0" fontId="49" fillId="0" borderId="4" xfId="49" applyFont="1" applyFill="1" applyBorder="1" applyAlignment="1">
      <alignment horizontal="center" vertical="center"/>
    </xf>
    <xf numFmtId="0" fontId="39" fillId="0" borderId="0" xfId="20" applyFont="1" applyFill="1" applyBorder="1" applyAlignment="1">
      <alignment vertical="center" wrapText="1"/>
    </xf>
    <xf numFmtId="0" fontId="39" fillId="0" borderId="0" xfId="20" applyFont="1" applyBorder="1" applyAlignment="1">
      <alignment vertical="center"/>
    </xf>
    <xf numFmtId="58" fontId="49" fillId="0" borderId="4" xfId="20" applyNumberFormat="1" applyFont="1" applyFill="1" applyBorder="1" applyAlignment="1">
      <alignment horizontal="center" vertical="center" shrinkToFit="1"/>
    </xf>
    <xf numFmtId="49" fontId="50" fillId="0" borderId="4" xfId="20" applyNumberFormat="1" applyFont="1" applyFill="1" applyBorder="1" applyAlignment="1">
      <alignment horizontal="center" vertical="center" shrinkToFit="1"/>
    </xf>
    <xf numFmtId="58" fontId="50" fillId="0" borderId="4" xfId="20" applyNumberFormat="1" applyFont="1" applyBorder="1" applyAlignment="1">
      <alignment horizontal="center" vertical="center" shrinkToFit="1"/>
    </xf>
    <xf numFmtId="0" fontId="40" fillId="0" borderId="4" xfId="20" applyFont="1" applyBorder="1" applyAlignment="1">
      <alignment horizontal="center" vertical="center"/>
    </xf>
    <xf numFmtId="0" fontId="46" fillId="0" borderId="4" xfId="20" applyFont="1" applyBorder="1" applyAlignment="1">
      <alignment horizontal="center" vertical="center"/>
    </xf>
    <xf numFmtId="0" fontId="17" fillId="0" borderId="0" xfId="20" applyFont="1" applyFill="1" applyBorder="1" applyAlignment="1">
      <alignment horizontal="center" vertical="center"/>
    </xf>
    <xf numFmtId="0" fontId="34" fillId="0" borderId="0" xfId="2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60" applyFont="1" applyFill="1" applyBorder="1" applyAlignment="1" applyProtection="1">
      <alignment horizontal="center" vertical="center"/>
      <protection locked="0"/>
    </xf>
    <xf numFmtId="0" fontId="19" fillId="0" borderId="4" xfId="60" applyFont="1" applyFill="1" applyBorder="1" applyAlignment="1" applyProtection="1">
      <alignment horizontal="center" vertical="center" wrapText="1"/>
      <protection locked="0"/>
    </xf>
    <xf numFmtId="0" fontId="2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60" applyNumberFormat="1" applyFont="1" applyFill="1" applyBorder="1" applyAlignment="1" applyProtection="1">
      <alignment horizontal="left" vertical="center" wrapText="1"/>
      <protection locked="0"/>
    </xf>
    <xf numFmtId="0" fontId="26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22" fillId="0" borderId="7" xfId="60" applyNumberFormat="1" applyFont="1" applyFill="1" applyBorder="1" applyAlignment="1" applyProtection="1">
      <alignment horizontal="center" vertical="center" wrapText="1"/>
      <protection locked="0"/>
    </xf>
    <xf numFmtId="184" fontId="25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10" applyFont="1" applyFill="1" applyBorder="1" applyAlignment="1" applyProtection="1">
      <alignment horizontal="center" vertical="center" wrapText="1" shrinkToFi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4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>
      <alignment vertical="center" wrapText="1"/>
    </xf>
    <xf numFmtId="0" fontId="29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25" fillId="0" borderId="4" xfId="53" applyNumberFormat="1" applyFont="1" applyFill="1" applyBorder="1" applyAlignment="1">
      <alignment horizontal="center" vertical="center" wrapText="1"/>
    </xf>
    <xf numFmtId="0" fontId="26" fillId="0" borderId="4" xfId="10" applyFont="1" applyFill="1" applyBorder="1" applyAlignment="1" applyProtection="1">
      <alignment horizontal="left" vertical="center" wrapText="1" shrinkToFit="1"/>
      <protection locked="0"/>
    </xf>
    <xf numFmtId="0" fontId="17" fillId="0" borderId="4" xfId="53" applyNumberFormat="1" applyFont="1" applyFill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 vertical="center" wrapText="1"/>
    </xf>
    <xf numFmtId="0" fontId="26" fillId="2" borderId="4" xfId="60" applyNumberFormat="1" applyFont="1" applyFill="1" applyBorder="1" applyAlignment="1" applyProtection="1">
      <alignment horizontal="center" vertical="center" wrapText="1"/>
      <protection locked="0"/>
    </xf>
    <xf numFmtId="0" fontId="26" fillId="0" borderId="4" xfId="10" applyFont="1" applyFill="1" applyBorder="1" applyAlignment="1" applyProtection="1">
      <alignment horizontal="left" vertical="center" wrapText="1"/>
      <protection locked="0"/>
    </xf>
    <xf numFmtId="49" fontId="22" fillId="3" borderId="4" xfId="0" applyNumberFormat="1" applyFont="1" applyFill="1" applyBorder="1" applyAlignment="1">
      <alignment horizontal="left" vertical="center" wrapText="1"/>
    </xf>
    <xf numFmtId="0" fontId="11" fillId="3" borderId="4" xfId="53" applyNumberFormat="1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center" vertical="center" wrapText="1"/>
    </xf>
    <xf numFmtId="49" fontId="25" fillId="0" borderId="4" xfId="60" applyNumberFormat="1" applyFont="1" applyFill="1" applyBorder="1" applyAlignment="1" applyProtection="1">
      <alignment horizontal="center" vertical="center" wrapText="1"/>
      <protection locked="0"/>
    </xf>
    <xf numFmtId="49" fontId="25" fillId="8" borderId="4" xfId="0" applyNumberFormat="1" applyFont="1" applyFill="1" applyBorder="1" applyAlignment="1">
      <alignment horizontal="center" vertical="center" wrapText="1"/>
    </xf>
    <xf numFmtId="49" fontId="17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52" fillId="0" borderId="4" xfId="0" applyFont="1" applyFill="1" applyBorder="1" applyAlignment="1">
      <alignment horizontal="center" vertical="center" wrapText="1"/>
    </xf>
    <xf numFmtId="49" fontId="17" fillId="4" borderId="4" xfId="10" applyNumberFormat="1" applyFont="1" applyFill="1" applyBorder="1" applyAlignment="1" applyProtection="1">
      <alignment horizontal="center" vertical="center" wrapText="1"/>
      <protection locked="0"/>
    </xf>
    <xf numFmtId="49" fontId="24" fillId="4" borderId="4" xfId="60" applyNumberFormat="1" applyFont="1" applyFill="1" applyBorder="1" applyAlignment="1" applyProtection="1">
      <alignment horizontal="center" vertical="center" wrapText="1"/>
      <protection locked="0"/>
    </xf>
    <xf numFmtId="0" fontId="30" fillId="0" borderId="4" xfId="60" applyNumberFormat="1" applyFont="1" applyFill="1" applyBorder="1" applyAlignment="1" applyProtection="1">
      <alignment horizontal="center" vertical="center" wrapText="1"/>
      <protection locked="0"/>
    </xf>
    <xf numFmtId="182" fontId="25" fillId="8" borderId="4" xfId="0" applyNumberFormat="1" applyFont="1" applyFill="1" applyBorder="1" applyAlignment="1">
      <alignment horizontal="center" vertical="center" wrapText="1"/>
    </xf>
    <xf numFmtId="181" fontId="25" fillId="8" borderId="4" xfId="0" applyNumberFormat="1" applyFont="1" applyFill="1" applyBorder="1" applyAlignment="1">
      <alignment horizontal="center" vertical="center" wrapText="1"/>
    </xf>
    <xf numFmtId="10" fontId="25" fillId="8" borderId="4" xfId="0" applyNumberFormat="1" applyFont="1" applyFill="1" applyBorder="1" applyAlignment="1">
      <alignment horizontal="center" vertical="center" wrapText="1"/>
    </xf>
    <xf numFmtId="0" fontId="17" fillId="0" borderId="4" xfId="10" applyFont="1" applyFill="1" applyBorder="1" applyAlignment="1" applyProtection="1">
      <alignment horizontal="center" vertical="center" wrapText="1" shrinkToFit="1"/>
      <protection locked="0"/>
    </xf>
    <xf numFmtId="0" fontId="30" fillId="10" borderId="4" xfId="60" applyNumberFormat="1" applyFont="1" applyFill="1" applyBorder="1" applyAlignment="1" applyProtection="1">
      <alignment horizontal="center" vertical="center" wrapText="1"/>
      <protection locked="0"/>
    </xf>
    <xf numFmtId="0" fontId="45" fillId="0" borderId="5" xfId="20" applyFont="1" applyFill="1" applyBorder="1" applyAlignment="1">
      <alignment horizontal="center" vertical="center" wrapText="1"/>
    </xf>
    <xf numFmtId="0" fontId="45" fillId="0" borderId="6" xfId="20" applyFont="1" applyFill="1" applyBorder="1" applyAlignment="1">
      <alignment horizontal="center" vertical="center" wrapText="1"/>
    </xf>
    <xf numFmtId="0" fontId="45" fillId="0" borderId="7" xfId="20" applyFont="1" applyFill="1" applyBorder="1" applyAlignment="1">
      <alignment horizontal="center" vertical="center" wrapText="1"/>
    </xf>
    <xf numFmtId="0" fontId="45" fillId="0" borderId="8" xfId="20" applyFont="1" applyFill="1" applyBorder="1" applyAlignment="1">
      <alignment horizontal="center" vertical="center" wrapText="1"/>
    </xf>
    <xf numFmtId="0" fontId="40" fillId="8" borderId="4" xfId="20" applyFont="1" applyFill="1" applyBorder="1" applyAlignment="1">
      <alignment horizontal="center" vertical="center"/>
    </xf>
    <xf numFmtId="0" fontId="40" fillId="0" borderId="1" xfId="20" applyFont="1" applyBorder="1" applyAlignment="1">
      <alignment horizontal="center" vertical="center"/>
    </xf>
    <xf numFmtId="0" fontId="40" fillId="0" borderId="3" xfId="20" applyFont="1" applyBorder="1" applyAlignment="1">
      <alignment horizontal="center" vertical="center"/>
    </xf>
    <xf numFmtId="0" fontId="46" fillId="0" borderId="4" xfId="49" applyFont="1" applyBorder="1" applyAlignment="1">
      <alignment horizontal="left" vertical="center" wrapText="1"/>
    </xf>
    <xf numFmtId="0" fontId="40" fillId="0" borderId="1" xfId="20" applyFont="1" applyFill="1" applyBorder="1" applyAlignment="1">
      <alignment horizontal="center" vertical="center"/>
    </xf>
    <xf numFmtId="0" fontId="40" fillId="0" borderId="2" xfId="20" applyFont="1" applyFill="1" applyBorder="1" applyAlignment="1">
      <alignment horizontal="center" vertical="center"/>
    </xf>
    <xf numFmtId="0" fontId="40" fillId="0" borderId="3" xfId="20" applyFont="1" applyFill="1" applyBorder="1" applyAlignment="1">
      <alignment horizontal="center" vertical="center"/>
    </xf>
    <xf numFmtId="0" fontId="48" fillId="0" borderId="0" xfId="20" applyFont="1" applyFill="1" applyBorder="1" applyAlignment="1">
      <alignment horizontal="left" vertical="center" wrapText="1"/>
    </xf>
    <xf numFmtId="0" fontId="45" fillId="0" borderId="12" xfId="20" applyFont="1" applyFill="1" applyBorder="1" applyAlignment="1">
      <alignment horizontal="center" vertical="center" wrapText="1"/>
    </xf>
    <xf numFmtId="0" fontId="45" fillId="0" borderId="13" xfId="20" applyFont="1" applyFill="1" applyBorder="1" applyAlignment="1">
      <alignment horizontal="center" vertical="center" wrapText="1"/>
    </xf>
    <xf numFmtId="0" fontId="40" fillId="0" borderId="4" xfId="20" applyFont="1" applyFill="1" applyBorder="1" applyAlignment="1">
      <alignment horizontal="center" vertical="center" wrapText="1"/>
    </xf>
    <xf numFmtId="0" fontId="40" fillId="0" borderId="4" xfId="20" applyFont="1" applyBorder="1" applyAlignment="1">
      <alignment horizontal="left" vertical="center"/>
    </xf>
    <xf numFmtId="0" fontId="40" fillId="0" borderId="0" xfId="20" applyFont="1" applyFill="1" applyBorder="1" applyAlignment="1">
      <alignment vertical="center"/>
    </xf>
    <xf numFmtId="0" fontId="54" fillId="3" borderId="0" xfId="0" applyFont="1" applyFill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6" fillId="3" borderId="0" xfId="0" applyFont="1" applyFill="1" applyAlignment="1">
      <alignment vertical="center"/>
    </xf>
    <xf numFmtId="0" fontId="40" fillId="3" borderId="4" xfId="0" applyFont="1" applyFill="1" applyBorder="1" applyAlignment="1">
      <alignment horizontal="center" vertical="center"/>
    </xf>
    <xf numFmtId="0" fontId="57" fillId="3" borderId="4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BOM_Level_Below3 4" xfId="4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BOM_Level_1" xfId="56"/>
    <cellStyle name="常规 5" xfId="57"/>
    <cellStyle name="BOM_Level_Below3 3" xfId="58"/>
    <cellStyle name="常规 3" xfId="59"/>
    <cellStyle name="样式 1" xfId="60"/>
  </cellStyles>
  <dxfs count="7"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96" Type="http://schemas.openxmlformats.org/officeDocument/2006/relationships/image" Target="../media/image97.emf"/><Relationship Id="rId95" Type="http://schemas.openxmlformats.org/officeDocument/2006/relationships/image" Target="../media/image96.emf"/><Relationship Id="rId94" Type="http://schemas.openxmlformats.org/officeDocument/2006/relationships/image" Target="../media/image95.emf"/><Relationship Id="rId93" Type="http://schemas.openxmlformats.org/officeDocument/2006/relationships/image" Target="../media/image94.emf"/><Relationship Id="rId92" Type="http://schemas.openxmlformats.org/officeDocument/2006/relationships/image" Target="../media/image93.wmf"/><Relationship Id="rId91" Type="http://schemas.openxmlformats.org/officeDocument/2006/relationships/image" Target="../media/image92.wmf"/><Relationship Id="rId90" Type="http://schemas.openxmlformats.org/officeDocument/2006/relationships/image" Target="../media/image91.wmf"/><Relationship Id="rId9" Type="http://schemas.openxmlformats.org/officeDocument/2006/relationships/image" Target="../media/image10.emf"/><Relationship Id="rId89" Type="http://schemas.openxmlformats.org/officeDocument/2006/relationships/image" Target="../media/image90.wmf"/><Relationship Id="rId88" Type="http://schemas.openxmlformats.org/officeDocument/2006/relationships/image" Target="../media/image89.wmf"/><Relationship Id="rId87" Type="http://schemas.openxmlformats.org/officeDocument/2006/relationships/image" Target="../media/image88.wmf"/><Relationship Id="rId86" Type="http://schemas.openxmlformats.org/officeDocument/2006/relationships/image" Target="../media/image87.wmf"/><Relationship Id="rId85" Type="http://schemas.openxmlformats.org/officeDocument/2006/relationships/image" Target="../media/image86.wmf"/><Relationship Id="rId84" Type="http://schemas.openxmlformats.org/officeDocument/2006/relationships/image" Target="../media/image85.wmf"/><Relationship Id="rId83" Type="http://schemas.openxmlformats.org/officeDocument/2006/relationships/image" Target="../media/image84.wmf"/><Relationship Id="rId82" Type="http://schemas.openxmlformats.org/officeDocument/2006/relationships/image" Target="../media/image83.wmf"/><Relationship Id="rId81" Type="http://schemas.openxmlformats.org/officeDocument/2006/relationships/image" Target="../media/image82.wmf"/><Relationship Id="rId80" Type="http://schemas.openxmlformats.org/officeDocument/2006/relationships/image" Target="../media/image81.wmf"/><Relationship Id="rId8" Type="http://schemas.openxmlformats.org/officeDocument/2006/relationships/image" Target="../media/image9.emf"/><Relationship Id="rId79" Type="http://schemas.openxmlformats.org/officeDocument/2006/relationships/image" Target="../media/image80.wmf"/><Relationship Id="rId78" Type="http://schemas.openxmlformats.org/officeDocument/2006/relationships/image" Target="../media/image79.wmf"/><Relationship Id="rId77" Type="http://schemas.openxmlformats.org/officeDocument/2006/relationships/image" Target="../media/image78.wmf"/><Relationship Id="rId76" Type="http://schemas.openxmlformats.org/officeDocument/2006/relationships/image" Target="../media/image77.wmf"/><Relationship Id="rId75" Type="http://schemas.openxmlformats.org/officeDocument/2006/relationships/image" Target="../media/image76.wmf"/><Relationship Id="rId74" Type="http://schemas.openxmlformats.org/officeDocument/2006/relationships/image" Target="../media/image75.wmf"/><Relationship Id="rId73" Type="http://schemas.openxmlformats.org/officeDocument/2006/relationships/image" Target="../media/image74.wmf"/><Relationship Id="rId72" Type="http://schemas.openxmlformats.org/officeDocument/2006/relationships/image" Target="../media/image73.wmf"/><Relationship Id="rId71" Type="http://schemas.openxmlformats.org/officeDocument/2006/relationships/image" Target="../media/image72.jpeg"/><Relationship Id="rId70" Type="http://schemas.openxmlformats.org/officeDocument/2006/relationships/image" Target="../media/image71.wmf"/><Relationship Id="rId7" Type="http://schemas.openxmlformats.org/officeDocument/2006/relationships/image" Target="../media/image8.emf"/><Relationship Id="rId69" Type="http://schemas.openxmlformats.org/officeDocument/2006/relationships/image" Target="../media/image70.wmf"/><Relationship Id="rId68" Type="http://schemas.openxmlformats.org/officeDocument/2006/relationships/image" Target="../media/image69.wmf"/><Relationship Id="rId67" Type="http://schemas.openxmlformats.org/officeDocument/2006/relationships/image" Target="../media/image68.emf"/><Relationship Id="rId66" Type="http://schemas.openxmlformats.org/officeDocument/2006/relationships/image" Target="../media/image67.emf"/><Relationship Id="rId65" Type="http://schemas.openxmlformats.org/officeDocument/2006/relationships/image" Target="../media/image66.e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emf"/><Relationship Id="rId61" Type="http://schemas.openxmlformats.org/officeDocument/2006/relationships/image" Target="../media/image62.emf"/><Relationship Id="rId60" Type="http://schemas.openxmlformats.org/officeDocument/2006/relationships/image" Target="../media/image61.emf"/><Relationship Id="rId6" Type="http://schemas.openxmlformats.org/officeDocument/2006/relationships/image" Target="../media/image7.emf"/><Relationship Id="rId59" Type="http://schemas.openxmlformats.org/officeDocument/2006/relationships/image" Target="../media/image60.emf"/><Relationship Id="rId58" Type="http://schemas.openxmlformats.org/officeDocument/2006/relationships/image" Target="../media/image59.emf"/><Relationship Id="rId57" Type="http://schemas.openxmlformats.org/officeDocument/2006/relationships/image" Target="../media/image58.emf"/><Relationship Id="rId56" Type="http://schemas.openxmlformats.org/officeDocument/2006/relationships/image" Target="../media/image57.emf"/><Relationship Id="rId55" Type="http://schemas.openxmlformats.org/officeDocument/2006/relationships/image" Target="../media/image56.emf"/><Relationship Id="rId54" Type="http://schemas.openxmlformats.org/officeDocument/2006/relationships/image" Target="../media/image55.emf"/><Relationship Id="rId53" Type="http://schemas.openxmlformats.org/officeDocument/2006/relationships/image" Target="../media/image54.emf"/><Relationship Id="rId52" Type="http://schemas.openxmlformats.org/officeDocument/2006/relationships/image" Target="../media/image53.emf"/><Relationship Id="rId51" Type="http://schemas.openxmlformats.org/officeDocument/2006/relationships/image" Target="../media/image52.emf"/><Relationship Id="rId50" Type="http://schemas.openxmlformats.org/officeDocument/2006/relationships/image" Target="../media/image51.emf"/><Relationship Id="rId5" Type="http://schemas.openxmlformats.org/officeDocument/2006/relationships/image" Target="../media/image6.emf"/><Relationship Id="rId49" Type="http://schemas.openxmlformats.org/officeDocument/2006/relationships/image" Target="../media/image50.emf"/><Relationship Id="rId48" Type="http://schemas.openxmlformats.org/officeDocument/2006/relationships/image" Target="../media/image49.e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e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emf"/><Relationship Id="rId4" Type="http://schemas.openxmlformats.org/officeDocument/2006/relationships/image" Target="../media/image5.emf"/><Relationship Id="rId39" Type="http://schemas.openxmlformats.org/officeDocument/2006/relationships/image" Target="../media/image40.emf"/><Relationship Id="rId38" Type="http://schemas.openxmlformats.org/officeDocument/2006/relationships/image" Target="../media/image39.emf"/><Relationship Id="rId37" Type="http://schemas.openxmlformats.org/officeDocument/2006/relationships/image" Target="../media/image38.emf"/><Relationship Id="rId36" Type="http://schemas.openxmlformats.org/officeDocument/2006/relationships/image" Target="../media/image37.e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8.w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8" Type="http://schemas.openxmlformats.org/officeDocument/2006/relationships/image" Target="../media/image97.emf"/><Relationship Id="rId87" Type="http://schemas.openxmlformats.org/officeDocument/2006/relationships/image" Target="../media/image61.emf"/><Relationship Id="rId86" Type="http://schemas.openxmlformats.org/officeDocument/2006/relationships/image" Target="../media/image35.emf"/><Relationship Id="rId85" Type="http://schemas.openxmlformats.org/officeDocument/2006/relationships/image" Target="../media/image34.emf"/><Relationship Id="rId84" Type="http://schemas.openxmlformats.org/officeDocument/2006/relationships/image" Target="../media/image109.emf"/><Relationship Id="rId83" Type="http://schemas.openxmlformats.org/officeDocument/2006/relationships/image" Target="../media/image96.emf"/><Relationship Id="rId82" Type="http://schemas.openxmlformats.org/officeDocument/2006/relationships/image" Target="../media/image92.wmf"/><Relationship Id="rId81" Type="http://schemas.openxmlformats.org/officeDocument/2006/relationships/image" Target="../media/image93.wmf"/><Relationship Id="rId80" Type="http://schemas.openxmlformats.org/officeDocument/2006/relationships/image" Target="../media/image108.emf"/><Relationship Id="rId8" Type="http://schemas.openxmlformats.org/officeDocument/2006/relationships/image" Target="../media/image9.emf"/><Relationship Id="rId79" Type="http://schemas.openxmlformats.org/officeDocument/2006/relationships/image" Target="../media/image107.wmf"/><Relationship Id="rId78" Type="http://schemas.openxmlformats.org/officeDocument/2006/relationships/image" Target="../media/image106.wmf"/><Relationship Id="rId77" Type="http://schemas.openxmlformats.org/officeDocument/2006/relationships/image" Target="../media/image105.wmf"/><Relationship Id="rId76" Type="http://schemas.openxmlformats.org/officeDocument/2006/relationships/image" Target="../media/image90.wmf"/><Relationship Id="rId75" Type="http://schemas.openxmlformats.org/officeDocument/2006/relationships/image" Target="../media/image89.wmf"/><Relationship Id="rId74" Type="http://schemas.openxmlformats.org/officeDocument/2006/relationships/image" Target="../media/image104.wmf"/><Relationship Id="rId73" Type="http://schemas.openxmlformats.org/officeDocument/2006/relationships/image" Target="../media/image88.wmf"/><Relationship Id="rId72" Type="http://schemas.openxmlformats.org/officeDocument/2006/relationships/image" Target="../media/image87.wmf"/><Relationship Id="rId71" Type="http://schemas.openxmlformats.org/officeDocument/2006/relationships/image" Target="../media/image103.wmf"/><Relationship Id="rId70" Type="http://schemas.openxmlformats.org/officeDocument/2006/relationships/image" Target="../media/image102.wmf"/><Relationship Id="rId7" Type="http://schemas.openxmlformats.org/officeDocument/2006/relationships/image" Target="../media/image8.emf"/><Relationship Id="rId69" Type="http://schemas.openxmlformats.org/officeDocument/2006/relationships/image" Target="../media/image101.wmf"/><Relationship Id="rId68" Type="http://schemas.openxmlformats.org/officeDocument/2006/relationships/image" Target="../media/image100.wmf"/><Relationship Id="rId67" Type="http://schemas.openxmlformats.org/officeDocument/2006/relationships/image" Target="../media/image99.wmf"/><Relationship Id="rId66" Type="http://schemas.openxmlformats.org/officeDocument/2006/relationships/image" Target="../media/image80.wmf"/><Relationship Id="rId65" Type="http://schemas.openxmlformats.org/officeDocument/2006/relationships/image" Target="../media/image79.wmf"/><Relationship Id="rId64" Type="http://schemas.openxmlformats.org/officeDocument/2006/relationships/image" Target="../media/image78.wmf"/><Relationship Id="rId63" Type="http://schemas.openxmlformats.org/officeDocument/2006/relationships/image" Target="../media/image75.wmf"/><Relationship Id="rId62" Type="http://schemas.openxmlformats.org/officeDocument/2006/relationships/image" Target="../media/image71.wmf"/><Relationship Id="rId61" Type="http://schemas.openxmlformats.org/officeDocument/2006/relationships/image" Target="../media/image70.wmf"/><Relationship Id="rId60" Type="http://schemas.openxmlformats.org/officeDocument/2006/relationships/image" Target="../media/image69.wmf"/><Relationship Id="rId6" Type="http://schemas.openxmlformats.org/officeDocument/2006/relationships/image" Target="../media/image7.emf"/><Relationship Id="rId59" Type="http://schemas.openxmlformats.org/officeDocument/2006/relationships/image" Target="../media/image68.emf"/><Relationship Id="rId58" Type="http://schemas.openxmlformats.org/officeDocument/2006/relationships/image" Target="../media/image67.emf"/><Relationship Id="rId57" Type="http://schemas.openxmlformats.org/officeDocument/2006/relationships/image" Target="../media/image66.emf"/><Relationship Id="rId56" Type="http://schemas.openxmlformats.org/officeDocument/2006/relationships/image" Target="../media/image65.emf"/><Relationship Id="rId55" Type="http://schemas.openxmlformats.org/officeDocument/2006/relationships/image" Target="../media/image64.emf"/><Relationship Id="rId54" Type="http://schemas.openxmlformats.org/officeDocument/2006/relationships/image" Target="../media/image63.emf"/><Relationship Id="rId53" Type="http://schemas.openxmlformats.org/officeDocument/2006/relationships/image" Target="../media/image62.emf"/><Relationship Id="rId52" Type="http://schemas.openxmlformats.org/officeDocument/2006/relationships/image" Target="../media/image60.emf"/><Relationship Id="rId51" Type="http://schemas.openxmlformats.org/officeDocument/2006/relationships/image" Target="../media/image58.emf"/><Relationship Id="rId50" Type="http://schemas.openxmlformats.org/officeDocument/2006/relationships/image" Target="../media/image57.emf"/><Relationship Id="rId5" Type="http://schemas.openxmlformats.org/officeDocument/2006/relationships/image" Target="../media/image6.emf"/><Relationship Id="rId49" Type="http://schemas.openxmlformats.org/officeDocument/2006/relationships/image" Target="../media/image56.emf"/><Relationship Id="rId48" Type="http://schemas.openxmlformats.org/officeDocument/2006/relationships/image" Target="../media/image55.emf"/><Relationship Id="rId47" Type="http://schemas.openxmlformats.org/officeDocument/2006/relationships/image" Target="../media/image54.emf"/><Relationship Id="rId46" Type="http://schemas.openxmlformats.org/officeDocument/2006/relationships/image" Target="../media/image53.emf"/><Relationship Id="rId45" Type="http://schemas.openxmlformats.org/officeDocument/2006/relationships/image" Target="../media/image52.emf"/><Relationship Id="rId44" Type="http://schemas.openxmlformats.org/officeDocument/2006/relationships/image" Target="../media/image51.emf"/><Relationship Id="rId43" Type="http://schemas.openxmlformats.org/officeDocument/2006/relationships/image" Target="../media/image50.emf"/><Relationship Id="rId42" Type="http://schemas.openxmlformats.org/officeDocument/2006/relationships/image" Target="../media/image48.emf"/><Relationship Id="rId41" Type="http://schemas.openxmlformats.org/officeDocument/2006/relationships/image" Target="../media/image47.emf"/><Relationship Id="rId40" Type="http://schemas.openxmlformats.org/officeDocument/2006/relationships/image" Target="../media/image46.emf"/><Relationship Id="rId4" Type="http://schemas.openxmlformats.org/officeDocument/2006/relationships/image" Target="../media/image5.emf"/><Relationship Id="rId39" Type="http://schemas.openxmlformats.org/officeDocument/2006/relationships/image" Target="../media/image45.emf"/><Relationship Id="rId38" Type="http://schemas.openxmlformats.org/officeDocument/2006/relationships/image" Target="../media/image44.emf"/><Relationship Id="rId37" Type="http://schemas.openxmlformats.org/officeDocument/2006/relationships/image" Target="../media/image43.emf"/><Relationship Id="rId36" Type="http://schemas.openxmlformats.org/officeDocument/2006/relationships/image" Target="../media/image42.emf"/><Relationship Id="rId35" Type="http://schemas.openxmlformats.org/officeDocument/2006/relationships/image" Target="../media/image41.emf"/><Relationship Id="rId34" Type="http://schemas.openxmlformats.org/officeDocument/2006/relationships/image" Target="../media/image39.emf"/><Relationship Id="rId33" Type="http://schemas.openxmlformats.org/officeDocument/2006/relationships/image" Target="../media/image38.emf"/><Relationship Id="rId32" Type="http://schemas.openxmlformats.org/officeDocument/2006/relationships/image" Target="../media/image37.emf"/><Relationship Id="rId31" Type="http://schemas.openxmlformats.org/officeDocument/2006/relationships/image" Target="../media/image36.emf"/><Relationship Id="rId30" Type="http://schemas.openxmlformats.org/officeDocument/2006/relationships/image" Target="../media/image33.emf"/><Relationship Id="rId3" Type="http://schemas.openxmlformats.org/officeDocument/2006/relationships/image" Target="../media/image4.emf"/><Relationship Id="rId29" Type="http://schemas.openxmlformats.org/officeDocument/2006/relationships/image" Target="../media/image32.emf"/><Relationship Id="rId28" Type="http://schemas.openxmlformats.org/officeDocument/2006/relationships/image" Target="../media/image31.emf"/><Relationship Id="rId27" Type="http://schemas.openxmlformats.org/officeDocument/2006/relationships/image" Target="../media/image30.emf"/><Relationship Id="rId26" Type="http://schemas.openxmlformats.org/officeDocument/2006/relationships/image" Target="../media/image29.emf"/><Relationship Id="rId25" Type="http://schemas.openxmlformats.org/officeDocument/2006/relationships/image" Target="../media/image28.emf"/><Relationship Id="rId24" Type="http://schemas.openxmlformats.org/officeDocument/2006/relationships/image" Target="../media/image27.emf"/><Relationship Id="rId23" Type="http://schemas.openxmlformats.org/officeDocument/2006/relationships/image" Target="../media/image25.emf"/><Relationship Id="rId22" Type="http://schemas.openxmlformats.org/officeDocument/2006/relationships/image" Target="../media/image24.emf"/><Relationship Id="rId21" Type="http://schemas.openxmlformats.org/officeDocument/2006/relationships/image" Target="../media/image23.emf"/><Relationship Id="rId20" Type="http://schemas.openxmlformats.org/officeDocument/2006/relationships/image" Target="../media/image22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295275</xdr:colOff>
      <xdr:row>5</xdr:row>
      <xdr:rowOff>95885</xdr:rowOff>
    </xdr:from>
    <xdr:to>
      <xdr:col>3</xdr:col>
      <xdr:colOff>27940</xdr:colOff>
      <xdr:row>8</xdr:row>
      <xdr:rowOff>240030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210435"/>
          <a:ext cx="980440" cy="2052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120015</xdr:colOff>
      <xdr:row>42</xdr:row>
      <xdr:rowOff>116840</xdr:rowOff>
    </xdr:from>
    <xdr:to>
      <xdr:col>17</xdr:col>
      <xdr:colOff>428757</xdr:colOff>
      <xdr:row>42</xdr:row>
      <xdr:rowOff>435504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6587490" y="18742025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153670</xdr:colOff>
      <xdr:row>41</xdr:row>
      <xdr:rowOff>83185</xdr:rowOff>
    </xdr:from>
    <xdr:to>
      <xdr:col>17</xdr:col>
      <xdr:colOff>416428</xdr:colOff>
      <xdr:row>41</xdr:row>
      <xdr:rowOff>431566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6621145" y="18201005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27</xdr:row>
      <xdr:rowOff>123190</xdr:rowOff>
    </xdr:from>
    <xdr:to>
      <xdr:col>17</xdr:col>
      <xdr:colOff>389371</xdr:colOff>
      <xdr:row>27</xdr:row>
      <xdr:rowOff>438547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6657975" y="11137900"/>
          <a:ext cx="19875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12700</xdr:colOff>
      <xdr:row>58</xdr:row>
      <xdr:rowOff>76835</xdr:rowOff>
    </xdr:from>
    <xdr:to>
      <xdr:col>17</xdr:col>
      <xdr:colOff>514112</xdr:colOff>
      <xdr:row>58</xdr:row>
      <xdr:rowOff>375008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0175" y="26819860"/>
          <a:ext cx="50101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24130</xdr:colOff>
      <xdr:row>57</xdr:row>
      <xdr:rowOff>88900</xdr:rowOff>
    </xdr:from>
    <xdr:to>
      <xdr:col>17</xdr:col>
      <xdr:colOff>497094</xdr:colOff>
      <xdr:row>57</xdr:row>
      <xdr:rowOff>371365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91605" y="26324560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49530</xdr:colOff>
      <xdr:row>34</xdr:row>
      <xdr:rowOff>111760</xdr:rowOff>
    </xdr:from>
    <xdr:to>
      <xdr:col>17</xdr:col>
      <xdr:colOff>509358</xdr:colOff>
      <xdr:row>34</xdr:row>
      <xdr:rowOff>404837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6517005" y="14678025"/>
          <a:ext cx="459740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96488</xdr:colOff>
      <xdr:row>35</xdr:row>
      <xdr:rowOff>47601</xdr:rowOff>
    </xdr:from>
    <xdr:to>
      <xdr:col>17</xdr:col>
      <xdr:colOff>499470</xdr:colOff>
      <xdr:row>35</xdr:row>
      <xdr:rowOff>339799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6563360" y="15120620"/>
          <a:ext cx="4032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92075</xdr:colOff>
      <xdr:row>33</xdr:row>
      <xdr:rowOff>100330</xdr:rowOff>
    </xdr:from>
    <xdr:to>
      <xdr:col>17</xdr:col>
      <xdr:colOff>458421</xdr:colOff>
      <xdr:row>33</xdr:row>
      <xdr:rowOff>403891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6559550" y="1415923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119727</xdr:colOff>
      <xdr:row>51</xdr:row>
      <xdr:rowOff>32971</xdr:rowOff>
    </xdr:from>
    <xdr:to>
      <xdr:col>17</xdr:col>
      <xdr:colOff>454927</xdr:colOff>
      <xdr:row>51</xdr:row>
      <xdr:rowOff>352848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6586855" y="23223855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70485</xdr:colOff>
      <xdr:row>52</xdr:row>
      <xdr:rowOff>131445</xdr:rowOff>
    </xdr:from>
    <xdr:to>
      <xdr:col>17</xdr:col>
      <xdr:colOff>499111</xdr:colOff>
      <xdr:row>52</xdr:row>
      <xdr:rowOff>399745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6537960" y="23830280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68014</xdr:colOff>
      <xdr:row>50</xdr:row>
      <xdr:rowOff>65816</xdr:rowOff>
    </xdr:from>
    <xdr:to>
      <xdr:col>17</xdr:col>
      <xdr:colOff>487113</xdr:colOff>
      <xdr:row>50</xdr:row>
      <xdr:rowOff>369380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6535420" y="22749510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175895</xdr:colOff>
      <xdr:row>64</xdr:row>
      <xdr:rowOff>121920</xdr:rowOff>
    </xdr:from>
    <xdr:to>
      <xdr:col>17</xdr:col>
      <xdr:colOff>377269</xdr:colOff>
      <xdr:row>64</xdr:row>
      <xdr:rowOff>437711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6643370" y="29909135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113665</xdr:colOff>
      <xdr:row>65</xdr:row>
      <xdr:rowOff>82550</xdr:rowOff>
    </xdr:from>
    <xdr:to>
      <xdr:col>17</xdr:col>
      <xdr:colOff>417830</xdr:colOff>
      <xdr:row>65</xdr:row>
      <xdr:rowOff>379730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6581140" y="30377130"/>
          <a:ext cx="30416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53975</xdr:colOff>
      <xdr:row>66</xdr:row>
      <xdr:rowOff>109855</xdr:rowOff>
    </xdr:from>
    <xdr:to>
      <xdr:col>17</xdr:col>
      <xdr:colOff>471609</xdr:colOff>
      <xdr:row>66</xdr:row>
      <xdr:rowOff>386640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6521450" y="30911800"/>
          <a:ext cx="41719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110408</xdr:colOff>
      <xdr:row>67</xdr:row>
      <xdr:rowOff>15386</xdr:rowOff>
    </xdr:from>
    <xdr:to>
      <xdr:col>17</xdr:col>
      <xdr:colOff>380069</xdr:colOff>
      <xdr:row>67</xdr:row>
      <xdr:rowOff>361949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7958"/>
        <a:stretch>
          <a:fillRect/>
        </a:stretch>
      </xdr:blipFill>
      <xdr:spPr>
        <a:xfrm>
          <a:off x="6577330" y="31324550"/>
          <a:ext cx="26987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97155</xdr:colOff>
      <xdr:row>63</xdr:row>
      <xdr:rowOff>96520</xdr:rowOff>
    </xdr:from>
    <xdr:to>
      <xdr:col>17</xdr:col>
      <xdr:colOff>438741</xdr:colOff>
      <xdr:row>63</xdr:row>
      <xdr:rowOff>351855</xdr:rowOff>
    </xdr:to>
    <xdr:pic>
      <xdr:nvPicPr>
        <xdr:cNvPr id="18" name="Picture 1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6564630" y="29376370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173990</xdr:colOff>
      <xdr:row>49</xdr:row>
      <xdr:rowOff>139700</xdr:rowOff>
    </xdr:from>
    <xdr:to>
      <xdr:col>17</xdr:col>
      <xdr:colOff>408014</xdr:colOff>
      <xdr:row>49</xdr:row>
      <xdr:rowOff>391700</xdr:rowOff>
    </xdr:to>
    <xdr:pic>
      <xdr:nvPicPr>
        <xdr:cNvPr id="21" name="Picture 22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6641465" y="2231644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37</xdr:row>
      <xdr:rowOff>76200</xdr:rowOff>
    </xdr:from>
    <xdr:to>
      <xdr:col>17</xdr:col>
      <xdr:colOff>452621</xdr:colOff>
      <xdr:row>37</xdr:row>
      <xdr:rowOff>390525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6515100" y="16164560"/>
          <a:ext cx="404495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152400</xdr:colOff>
      <xdr:row>38</xdr:row>
      <xdr:rowOff>76200</xdr:rowOff>
    </xdr:from>
    <xdr:to>
      <xdr:col>17</xdr:col>
      <xdr:colOff>400050</xdr:colOff>
      <xdr:row>38</xdr:row>
      <xdr:rowOff>387718</xdr:rowOff>
    </xdr:to>
    <xdr:pic>
      <xdr:nvPicPr>
        <xdr:cNvPr id="24" name="Picture 2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6619875" y="16671925"/>
          <a:ext cx="247650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30</xdr:row>
      <xdr:rowOff>104775</xdr:rowOff>
    </xdr:from>
    <xdr:to>
      <xdr:col>17</xdr:col>
      <xdr:colOff>533400</xdr:colOff>
      <xdr:row>30</xdr:row>
      <xdr:rowOff>424453</xdr:rowOff>
    </xdr:to>
    <xdr:pic>
      <xdr:nvPicPr>
        <xdr:cNvPr id="26" name="Picture 2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6581775" y="12641580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12065</xdr:colOff>
      <xdr:row>36</xdr:row>
      <xdr:rowOff>111760</xdr:rowOff>
    </xdr:from>
    <xdr:to>
      <xdr:col>17</xdr:col>
      <xdr:colOff>533312</xdr:colOff>
      <xdr:row>36</xdr:row>
      <xdr:rowOff>443983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 flipH="1" flipV="1">
          <a:off x="6479540" y="15692755"/>
          <a:ext cx="520700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44</xdr:row>
      <xdr:rowOff>98425</xdr:rowOff>
    </xdr:from>
    <xdr:to>
      <xdr:col>17</xdr:col>
      <xdr:colOff>390525</xdr:colOff>
      <xdr:row>44</xdr:row>
      <xdr:rowOff>358775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1300" y="1973834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45</xdr:row>
      <xdr:rowOff>127000</xdr:rowOff>
    </xdr:from>
    <xdr:to>
      <xdr:col>17</xdr:col>
      <xdr:colOff>458470</xdr:colOff>
      <xdr:row>45</xdr:row>
      <xdr:rowOff>374650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3200" y="20274280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36195</xdr:colOff>
      <xdr:row>117</xdr:row>
      <xdr:rowOff>117475</xdr:rowOff>
    </xdr:from>
    <xdr:to>
      <xdr:col>17</xdr:col>
      <xdr:colOff>464820</xdr:colOff>
      <xdr:row>117</xdr:row>
      <xdr:rowOff>428625</xdr:rowOff>
    </xdr:to>
    <xdr:pic>
      <xdr:nvPicPr>
        <xdr:cNvPr id="30" name="Picture 11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6503670" y="5679503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88265</xdr:colOff>
      <xdr:row>120</xdr:row>
      <xdr:rowOff>146050</xdr:rowOff>
    </xdr:from>
    <xdr:to>
      <xdr:col>17</xdr:col>
      <xdr:colOff>417195</xdr:colOff>
      <xdr:row>120</xdr:row>
      <xdr:rowOff>441325</xdr:rowOff>
    </xdr:to>
    <xdr:pic>
      <xdr:nvPicPr>
        <xdr:cNvPr id="34" name="Picture 2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6555740" y="5834570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140335</xdr:colOff>
      <xdr:row>118</xdr:row>
      <xdr:rowOff>136525</xdr:rowOff>
    </xdr:from>
    <xdr:to>
      <xdr:col>17</xdr:col>
      <xdr:colOff>411480</xdr:colOff>
      <xdr:row>118</xdr:row>
      <xdr:rowOff>387985</xdr:rowOff>
    </xdr:to>
    <xdr:pic>
      <xdr:nvPicPr>
        <xdr:cNvPr id="35" name="Picture 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6607810" y="5732145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104140</xdr:colOff>
      <xdr:row>116</xdr:row>
      <xdr:rowOff>117475</xdr:rowOff>
    </xdr:from>
    <xdr:to>
      <xdr:col>17</xdr:col>
      <xdr:colOff>437515</xdr:colOff>
      <xdr:row>116</xdr:row>
      <xdr:rowOff>295275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1615" y="56287670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116840</xdr:colOff>
      <xdr:row>102</xdr:row>
      <xdr:rowOff>184150</xdr:rowOff>
    </xdr:from>
    <xdr:to>
      <xdr:col>17</xdr:col>
      <xdr:colOff>504190</xdr:colOff>
      <xdr:row>102</xdr:row>
      <xdr:rowOff>347345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6584315" y="49251235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103</xdr:row>
      <xdr:rowOff>79375</xdr:rowOff>
    </xdr:from>
    <xdr:to>
      <xdr:col>17</xdr:col>
      <xdr:colOff>431800</xdr:colOff>
      <xdr:row>103</xdr:row>
      <xdr:rowOff>338455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6591300" y="49653825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78105</xdr:colOff>
      <xdr:row>111</xdr:row>
      <xdr:rowOff>98425</xdr:rowOff>
    </xdr:from>
    <xdr:to>
      <xdr:col>17</xdr:col>
      <xdr:colOff>448945</xdr:colOff>
      <xdr:row>111</xdr:row>
      <xdr:rowOff>361315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5580" y="53731795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112</xdr:row>
      <xdr:rowOff>79375</xdr:rowOff>
    </xdr:from>
    <xdr:to>
      <xdr:col>17</xdr:col>
      <xdr:colOff>441325</xdr:colOff>
      <xdr:row>112</xdr:row>
      <xdr:rowOff>382270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250" y="54220110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35560</xdr:colOff>
      <xdr:row>104</xdr:row>
      <xdr:rowOff>117475</xdr:rowOff>
    </xdr:from>
    <xdr:to>
      <xdr:col>17</xdr:col>
      <xdr:colOff>481965</xdr:colOff>
      <xdr:row>104</xdr:row>
      <xdr:rowOff>368300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6503035" y="50199290"/>
          <a:ext cx="44640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151765</xdr:colOff>
      <xdr:row>110</xdr:row>
      <xdr:rowOff>88900</xdr:rowOff>
    </xdr:from>
    <xdr:to>
      <xdr:col>17</xdr:col>
      <xdr:colOff>410845</xdr:colOff>
      <xdr:row>110</xdr:row>
      <xdr:rowOff>403225</xdr:rowOff>
    </xdr:to>
    <xdr:pic>
      <xdr:nvPicPr>
        <xdr:cNvPr id="47" name="Picture 2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6619240" y="53214905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13</xdr:row>
      <xdr:rowOff>117475</xdr:rowOff>
    </xdr:from>
    <xdr:to>
      <xdr:col>17</xdr:col>
      <xdr:colOff>485775</xdr:colOff>
      <xdr:row>13</xdr:row>
      <xdr:rowOff>363220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6515100" y="4029075"/>
          <a:ext cx="438150" cy="2457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57150</xdr:colOff>
      <xdr:row>15</xdr:row>
      <xdr:rowOff>127000</xdr:rowOff>
    </xdr:from>
    <xdr:to>
      <xdr:col>17</xdr:col>
      <xdr:colOff>504825</xdr:colOff>
      <xdr:row>15</xdr:row>
      <xdr:rowOff>378460</xdr:rowOff>
    </xdr:to>
    <xdr:pic>
      <xdr:nvPicPr>
        <xdr:cNvPr id="58" name="Picture 3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6524625" y="5053330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158750</xdr:colOff>
      <xdr:row>22</xdr:row>
      <xdr:rowOff>107950</xdr:rowOff>
    </xdr:from>
    <xdr:to>
      <xdr:col>17</xdr:col>
      <xdr:colOff>368300</xdr:colOff>
      <xdr:row>22</xdr:row>
      <xdr:rowOff>391795</xdr:rowOff>
    </xdr:to>
    <xdr:pic>
      <xdr:nvPicPr>
        <xdr:cNvPr id="61" name="Picture 5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6626225" y="8585835"/>
          <a:ext cx="209550" cy="2838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154940</xdr:colOff>
      <xdr:row>23</xdr:row>
      <xdr:rowOff>107950</xdr:rowOff>
    </xdr:from>
    <xdr:to>
      <xdr:col>17</xdr:col>
      <xdr:colOff>391795</xdr:colOff>
      <xdr:row>23</xdr:row>
      <xdr:rowOff>429260</xdr:rowOff>
    </xdr:to>
    <xdr:pic>
      <xdr:nvPicPr>
        <xdr:cNvPr id="62" name="Picture 5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6622415" y="9093200"/>
          <a:ext cx="236855" cy="3213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107950</xdr:colOff>
      <xdr:row>24</xdr:row>
      <xdr:rowOff>69850</xdr:rowOff>
    </xdr:from>
    <xdr:to>
      <xdr:col>17</xdr:col>
      <xdr:colOff>446405</xdr:colOff>
      <xdr:row>24</xdr:row>
      <xdr:rowOff>391795</xdr:rowOff>
    </xdr:to>
    <xdr:pic>
      <xdr:nvPicPr>
        <xdr:cNvPr id="63" name="Picture 6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6575425" y="9562465"/>
          <a:ext cx="338455" cy="3219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163195</xdr:colOff>
      <xdr:row>46</xdr:row>
      <xdr:rowOff>107950</xdr:rowOff>
    </xdr:from>
    <xdr:to>
      <xdr:col>17</xdr:col>
      <xdr:colOff>452755</xdr:colOff>
      <xdr:row>46</xdr:row>
      <xdr:rowOff>384175</xdr:rowOff>
    </xdr:to>
    <xdr:pic>
      <xdr:nvPicPr>
        <xdr:cNvPr id="64" name="Picture 7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6630670" y="2076259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139065</xdr:colOff>
      <xdr:row>48</xdr:row>
      <xdr:rowOff>127000</xdr:rowOff>
    </xdr:from>
    <xdr:to>
      <xdr:col>17</xdr:col>
      <xdr:colOff>428625</xdr:colOff>
      <xdr:row>48</xdr:row>
      <xdr:rowOff>403225</xdr:rowOff>
    </xdr:to>
    <xdr:pic>
      <xdr:nvPicPr>
        <xdr:cNvPr id="65" name="Picture 7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6606540" y="2179637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88900</xdr:colOff>
      <xdr:row>25</xdr:row>
      <xdr:rowOff>117475</xdr:rowOff>
    </xdr:from>
    <xdr:to>
      <xdr:col>17</xdr:col>
      <xdr:colOff>465455</xdr:colOff>
      <xdr:row>25</xdr:row>
      <xdr:rowOff>346075</xdr:rowOff>
    </xdr:to>
    <xdr:pic>
      <xdr:nvPicPr>
        <xdr:cNvPr id="66" name="Picture 8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6556375" y="10117455"/>
          <a:ext cx="37655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61</xdr:row>
      <xdr:rowOff>146050</xdr:rowOff>
    </xdr:from>
    <xdr:to>
      <xdr:col>17</xdr:col>
      <xdr:colOff>485775</xdr:colOff>
      <xdr:row>61</xdr:row>
      <xdr:rowOff>350520</xdr:rowOff>
    </xdr:to>
    <xdr:pic>
      <xdr:nvPicPr>
        <xdr:cNvPr id="68" name="Picture 11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6515100" y="28411170"/>
          <a:ext cx="438150" cy="204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118745</xdr:colOff>
      <xdr:row>99</xdr:row>
      <xdr:rowOff>117475</xdr:rowOff>
    </xdr:from>
    <xdr:to>
      <xdr:col>17</xdr:col>
      <xdr:colOff>385445</xdr:colOff>
      <xdr:row>99</xdr:row>
      <xdr:rowOff>358775</xdr:rowOff>
    </xdr:to>
    <xdr:pic>
      <xdr:nvPicPr>
        <xdr:cNvPr id="70" name="Picture 13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6586220" y="47662465"/>
          <a:ext cx="266700" cy="2413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140970</xdr:colOff>
      <xdr:row>100</xdr:row>
      <xdr:rowOff>117475</xdr:rowOff>
    </xdr:from>
    <xdr:to>
      <xdr:col>17</xdr:col>
      <xdr:colOff>445135</xdr:colOff>
      <xdr:row>100</xdr:row>
      <xdr:rowOff>393700</xdr:rowOff>
    </xdr:to>
    <xdr:pic>
      <xdr:nvPicPr>
        <xdr:cNvPr id="71" name="Picture 14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6608445" y="48169830"/>
          <a:ext cx="304165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95885</xdr:colOff>
      <xdr:row>101</xdr:row>
      <xdr:rowOff>117475</xdr:rowOff>
    </xdr:from>
    <xdr:to>
      <xdr:col>17</xdr:col>
      <xdr:colOff>391160</xdr:colOff>
      <xdr:row>101</xdr:row>
      <xdr:rowOff>384810</xdr:rowOff>
    </xdr:to>
    <xdr:pic>
      <xdr:nvPicPr>
        <xdr:cNvPr id="72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6563360" y="48677195"/>
          <a:ext cx="295275" cy="2673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118110</xdr:colOff>
      <xdr:row>105</xdr:row>
      <xdr:rowOff>107950</xdr:rowOff>
    </xdr:from>
    <xdr:to>
      <xdr:col>17</xdr:col>
      <xdr:colOff>453390</xdr:colOff>
      <xdr:row>105</xdr:row>
      <xdr:rowOff>317500</xdr:rowOff>
    </xdr:to>
    <xdr:pic>
      <xdr:nvPicPr>
        <xdr:cNvPr id="73" name="Picture 16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6585585" y="50697130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122555</xdr:colOff>
      <xdr:row>106</xdr:row>
      <xdr:rowOff>136525</xdr:rowOff>
    </xdr:from>
    <xdr:to>
      <xdr:col>17</xdr:col>
      <xdr:colOff>488950</xdr:colOff>
      <xdr:row>106</xdr:row>
      <xdr:rowOff>365125</xdr:rowOff>
    </xdr:to>
    <xdr:pic>
      <xdr:nvPicPr>
        <xdr:cNvPr id="74" name="Picture 17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6590030" y="51233070"/>
          <a:ext cx="36639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75565</xdr:colOff>
      <xdr:row>107</xdr:row>
      <xdr:rowOff>165100</xdr:rowOff>
    </xdr:from>
    <xdr:to>
      <xdr:col>17</xdr:col>
      <xdr:colOff>410845</xdr:colOff>
      <xdr:row>107</xdr:row>
      <xdr:rowOff>374650</xdr:rowOff>
    </xdr:to>
    <xdr:pic>
      <xdr:nvPicPr>
        <xdr:cNvPr id="75" name="Picture 18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6543040" y="51769010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97155</xdr:colOff>
      <xdr:row>108</xdr:row>
      <xdr:rowOff>117475</xdr:rowOff>
    </xdr:from>
    <xdr:to>
      <xdr:col>17</xdr:col>
      <xdr:colOff>487680</xdr:colOff>
      <xdr:row>108</xdr:row>
      <xdr:rowOff>360680</xdr:rowOff>
    </xdr:to>
    <xdr:pic>
      <xdr:nvPicPr>
        <xdr:cNvPr id="76" name="Picture 19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6564630" y="52228750"/>
          <a:ext cx="390525" cy="2432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50165</xdr:colOff>
      <xdr:row>109</xdr:row>
      <xdr:rowOff>88900</xdr:rowOff>
    </xdr:from>
    <xdr:to>
      <xdr:col>17</xdr:col>
      <xdr:colOff>477520</xdr:colOff>
      <xdr:row>109</xdr:row>
      <xdr:rowOff>355600</xdr:rowOff>
    </xdr:to>
    <xdr:pic>
      <xdr:nvPicPr>
        <xdr:cNvPr id="77" name="Picture 20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6517640" y="52707540"/>
          <a:ext cx="427355" cy="2667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29</xdr:row>
      <xdr:rowOff>117475</xdr:rowOff>
    </xdr:from>
    <xdr:to>
      <xdr:col>17</xdr:col>
      <xdr:colOff>469900</xdr:colOff>
      <xdr:row>29</xdr:row>
      <xdr:rowOff>387985</xdr:rowOff>
    </xdr:to>
    <xdr:pic>
      <xdr:nvPicPr>
        <xdr:cNvPr id="78" name="Picture 1"/>
        <xdr:cNvPicPr>
          <a:picLocks noChangeAspect="1" noChangeArrowheads="1"/>
        </xdr:cNvPicPr>
      </xdr:nvPicPr>
      <xdr:blipFill>
        <a:blip r:embed="rId48"/>
        <a:srcRect l="28892" t="23682" r="32584" b="30990"/>
        <a:stretch>
          <a:fillRect/>
        </a:stretch>
      </xdr:blipFill>
      <xdr:spPr>
        <a:xfrm>
          <a:off x="6572250" y="12146915"/>
          <a:ext cx="365125" cy="2705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171450</xdr:colOff>
      <xdr:row>12</xdr:row>
      <xdr:rowOff>127000</xdr:rowOff>
    </xdr:from>
    <xdr:to>
      <xdr:col>17</xdr:col>
      <xdr:colOff>381000</xdr:colOff>
      <xdr:row>12</xdr:row>
      <xdr:rowOff>396875</xdr:rowOff>
    </xdr:to>
    <xdr:pic>
      <xdr:nvPicPr>
        <xdr:cNvPr id="79" name="Picture 13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6638925" y="3531235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190500</xdr:colOff>
      <xdr:row>11</xdr:row>
      <xdr:rowOff>136525</xdr:rowOff>
    </xdr:from>
    <xdr:to>
      <xdr:col>17</xdr:col>
      <xdr:colOff>400050</xdr:colOff>
      <xdr:row>11</xdr:row>
      <xdr:rowOff>406400</xdr:rowOff>
    </xdr:to>
    <xdr:pic>
      <xdr:nvPicPr>
        <xdr:cNvPr id="82" name="Picture 16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6657975" y="3033395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16</xdr:row>
      <xdr:rowOff>69850</xdr:rowOff>
    </xdr:from>
    <xdr:to>
      <xdr:col>17</xdr:col>
      <xdr:colOff>394970</xdr:colOff>
      <xdr:row>16</xdr:row>
      <xdr:rowOff>445135</xdr:rowOff>
    </xdr:to>
    <xdr:pic>
      <xdr:nvPicPr>
        <xdr:cNvPr id="84" name="Picture 18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6572250" y="5503545"/>
          <a:ext cx="290195" cy="3752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142875</xdr:colOff>
      <xdr:row>17</xdr:row>
      <xdr:rowOff>98425</xdr:rowOff>
    </xdr:from>
    <xdr:to>
      <xdr:col>17</xdr:col>
      <xdr:colOff>400050</xdr:colOff>
      <xdr:row>17</xdr:row>
      <xdr:rowOff>429895</xdr:rowOff>
    </xdr:to>
    <xdr:pic>
      <xdr:nvPicPr>
        <xdr:cNvPr id="85" name="Picture 19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6610350" y="6039485"/>
          <a:ext cx="257175" cy="331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90805</xdr:colOff>
      <xdr:row>90</xdr:row>
      <xdr:rowOff>117475</xdr:rowOff>
    </xdr:from>
    <xdr:to>
      <xdr:col>17</xdr:col>
      <xdr:colOff>433705</xdr:colOff>
      <xdr:row>90</xdr:row>
      <xdr:rowOff>374650</xdr:rowOff>
    </xdr:to>
    <xdr:pic>
      <xdr:nvPicPr>
        <xdr:cNvPr id="87" name="Picture 20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6558280" y="43096180"/>
          <a:ext cx="342900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125730</xdr:colOff>
      <xdr:row>91</xdr:row>
      <xdr:rowOff>136525</xdr:rowOff>
    </xdr:from>
    <xdr:to>
      <xdr:col>17</xdr:col>
      <xdr:colOff>430530</xdr:colOff>
      <xdr:row>91</xdr:row>
      <xdr:rowOff>365125</xdr:rowOff>
    </xdr:to>
    <xdr:pic>
      <xdr:nvPicPr>
        <xdr:cNvPr id="89" name="Picture 21"/>
        <xdr:cNvPicPr>
          <a:picLocks noChangeAspect="1" noChangeArrowheads="1"/>
        </xdr:cNvPicPr>
      </xdr:nvPicPr>
      <xdr:blipFill>
        <a:blip r:embed="rId54"/>
        <a:srcRect/>
        <a:stretch>
          <a:fillRect/>
        </a:stretch>
      </xdr:blipFill>
      <xdr:spPr>
        <a:xfrm>
          <a:off x="6593205" y="43622595"/>
          <a:ext cx="304800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96</xdr:row>
      <xdr:rowOff>98425</xdr:rowOff>
    </xdr:from>
    <xdr:to>
      <xdr:col>17</xdr:col>
      <xdr:colOff>427990</xdr:colOff>
      <xdr:row>96</xdr:row>
      <xdr:rowOff>354330</xdr:rowOff>
    </xdr:to>
    <xdr:pic>
      <xdr:nvPicPr>
        <xdr:cNvPr id="91" name="Picture 25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6581140" y="46121320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97</xdr:row>
      <xdr:rowOff>79375</xdr:rowOff>
    </xdr:from>
    <xdr:to>
      <xdr:col>17</xdr:col>
      <xdr:colOff>471170</xdr:colOff>
      <xdr:row>97</xdr:row>
      <xdr:rowOff>377825</xdr:rowOff>
    </xdr:to>
    <xdr:pic>
      <xdr:nvPicPr>
        <xdr:cNvPr id="92" name="Picture 26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6572250" y="46609635"/>
          <a:ext cx="366395" cy="2984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68580</xdr:colOff>
      <xdr:row>114</xdr:row>
      <xdr:rowOff>98425</xdr:rowOff>
    </xdr:from>
    <xdr:to>
      <xdr:col>17</xdr:col>
      <xdr:colOff>449580</xdr:colOff>
      <xdr:row>114</xdr:row>
      <xdr:rowOff>408305</xdr:rowOff>
    </xdr:to>
    <xdr:pic>
      <xdr:nvPicPr>
        <xdr:cNvPr id="93" name="Picture 27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6536055" y="55253890"/>
          <a:ext cx="381000" cy="3098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119</xdr:row>
      <xdr:rowOff>98425</xdr:rowOff>
    </xdr:from>
    <xdr:to>
      <xdr:col>17</xdr:col>
      <xdr:colOff>409575</xdr:colOff>
      <xdr:row>119</xdr:row>
      <xdr:rowOff>338455</xdr:rowOff>
    </xdr:to>
    <xdr:pic>
      <xdr:nvPicPr>
        <xdr:cNvPr id="95" name="Picture 31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6581775" y="57790715"/>
          <a:ext cx="295275" cy="2400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161925</xdr:colOff>
      <xdr:row>10</xdr:row>
      <xdr:rowOff>88900</xdr:rowOff>
    </xdr:from>
    <xdr:to>
      <xdr:col>17</xdr:col>
      <xdr:colOff>408305</xdr:colOff>
      <xdr:row>10</xdr:row>
      <xdr:rowOff>431800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2402205"/>
          <a:ext cx="2463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95250</xdr:colOff>
      <xdr:row>14</xdr:row>
      <xdr:rowOff>136525</xdr:rowOff>
    </xdr:from>
    <xdr:to>
      <xdr:col>17</xdr:col>
      <xdr:colOff>447675</xdr:colOff>
      <xdr:row>14</xdr:row>
      <xdr:rowOff>369570</xdr:rowOff>
    </xdr:to>
    <xdr:pic>
      <xdr:nvPicPr>
        <xdr:cNvPr id="102" name="图片 101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2725" y="4555490"/>
          <a:ext cx="352425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59055</xdr:colOff>
      <xdr:row>32</xdr:row>
      <xdr:rowOff>79375</xdr:rowOff>
    </xdr:from>
    <xdr:to>
      <xdr:col>17</xdr:col>
      <xdr:colOff>484800</xdr:colOff>
      <xdr:row>32</xdr:row>
      <xdr:rowOff>374650</xdr:rowOff>
    </xdr:to>
    <xdr:pic>
      <xdr:nvPicPr>
        <xdr:cNvPr id="104" name="Picture 10"/>
        <xdr:cNvPicPr>
          <a:picLocks noChangeAspect="1" noChangeArrowheads="1"/>
        </xdr:cNvPicPr>
      </xdr:nvPicPr>
      <xdr:blipFill>
        <a:blip r:embed="rId61"/>
        <a:srcRect/>
        <a:stretch>
          <a:fillRect/>
        </a:stretch>
      </xdr:blipFill>
      <xdr:spPr>
        <a:xfrm>
          <a:off x="6526530" y="13630910"/>
          <a:ext cx="42545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148590</xdr:colOff>
      <xdr:row>31</xdr:row>
      <xdr:rowOff>117475</xdr:rowOff>
    </xdr:from>
    <xdr:to>
      <xdr:col>17</xdr:col>
      <xdr:colOff>396240</xdr:colOff>
      <xdr:row>31</xdr:row>
      <xdr:rowOff>399415</xdr:rowOff>
    </xdr:to>
    <xdr:pic>
      <xdr:nvPicPr>
        <xdr:cNvPr id="105" name="图片 104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6065" y="13161645"/>
          <a:ext cx="24765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92</xdr:row>
      <xdr:rowOff>88900</xdr:rowOff>
    </xdr:from>
    <xdr:to>
      <xdr:col>17</xdr:col>
      <xdr:colOff>439420</xdr:colOff>
      <xdr:row>92</xdr:row>
      <xdr:rowOff>346075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0825" y="44082335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135890</xdr:colOff>
      <xdr:row>93</xdr:row>
      <xdr:rowOff>146050</xdr:rowOff>
    </xdr:from>
    <xdr:to>
      <xdr:col>17</xdr:col>
      <xdr:colOff>441960</xdr:colOff>
      <xdr:row>93</xdr:row>
      <xdr:rowOff>403225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3365" y="44646850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113030</xdr:colOff>
      <xdr:row>115</xdr:row>
      <xdr:rowOff>88900</xdr:rowOff>
    </xdr:from>
    <xdr:to>
      <xdr:col>17</xdr:col>
      <xdr:colOff>468630</xdr:colOff>
      <xdr:row>115</xdr:row>
      <xdr:rowOff>374650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0505" y="55751730"/>
          <a:ext cx="355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109855</xdr:colOff>
      <xdr:row>26</xdr:row>
      <xdr:rowOff>69850</xdr:rowOff>
    </xdr:from>
    <xdr:to>
      <xdr:col>17</xdr:col>
      <xdr:colOff>448310</xdr:colOff>
      <xdr:row>26</xdr:row>
      <xdr:rowOff>412115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7330" y="10577195"/>
          <a:ext cx="33845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89535</xdr:colOff>
      <xdr:row>54</xdr:row>
      <xdr:rowOff>107950</xdr:rowOff>
    </xdr:from>
    <xdr:to>
      <xdr:col>17</xdr:col>
      <xdr:colOff>470535</xdr:colOff>
      <xdr:row>54</xdr:row>
      <xdr:rowOff>396875</xdr:rowOff>
    </xdr:to>
    <xdr:pic>
      <xdr:nvPicPr>
        <xdr:cNvPr id="113" name="Picture 18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6557010" y="24821515"/>
          <a:ext cx="381000" cy="2889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162560</xdr:colOff>
      <xdr:row>47</xdr:row>
      <xdr:rowOff>87630</xdr:rowOff>
    </xdr:from>
    <xdr:to>
      <xdr:col>17</xdr:col>
      <xdr:colOff>410210</xdr:colOff>
      <xdr:row>47</xdr:row>
      <xdr:rowOff>390525</xdr:rowOff>
    </xdr:to>
    <xdr:pic>
      <xdr:nvPicPr>
        <xdr:cNvPr id="114" name="Picture 16079"/>
        <xdr:cNvPicPr>
          <a:picLocks noChangeAspect="1" noChangeArrowheads="1"/>
        </xdr:cNvPicPr>
      </xdr:nvPicPr>
      <xdr:blipFill>
        <a:blip r:embed="rId67" cstate="print"/>
        <a:srcRect/>
        <a:stretch>
          <a:fillRect/>
        </a:stretch>
      </xdr:blipFill>
      <xdr:spPr>
        <a:xfrm>
          <a:off x="6630035" y="2124964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57150</xdr:colOff>
      <xdr:row>113</xdr:row>
      <xdr:rowOff>142875</xdr:rowOff>
    </xdr:from>
    <xdr:to>
      <xdr:col>17</xdr:col>
      <xdr:colOff>524510</xdr:colOff>
      <xdr:row>113</xdr:row>
      <xdr:rowOff>295910</xdr:rowOff>
    </xdr:to>
    <xdr:pic>
      <xdr:nvPicPr>
        <xdr:cNvPr id="117" name="图片 116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6524625" y="54790975"/>
          <a:ext cx="4673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56</xdr:row>
      <xdr:rowOff>92075</xdr:rowOff>
    </xdr:from>
    <xdr:to>
      <xdr:col>17</xdr:col>
      <xdr:colOff>429260</xdr:colOff>
      <xdr:row>56</xdr:row>
      <xdr:rowOff>375285</xdr:rowOff>
    </xdr:to>
    <xdr:pic>
      <xdr:nvPicPr>
        <xdr:cNvPr id="118" name="图片 117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6581775" y="25820370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161925</xdr:colOff>
      <xdr:row>55</xdr:row>
      <xdr:rowOff>63500</xdr:rowOff>
    </xdr:from>
    <xdr:to>
      <xdr:col>17</xdr:col>
      <xdr:colOff>386715</xdr:colOff>
      <xdr:row>55</xdr:row>
      <xdr:rowOff>379095</xdr:rowOff>
    </xdr:to>
    <xdr:pic>
      <xdr:nvPicPr>
        <xdr:cNvPr id="119" name="图片 118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6629400" y="2528443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59</xdr:row>
      <xdr:rowOff>136525</xdr:rowOff>
    </xdr:from>
    <xdr:to>
      <xdr:col>17</xdr:col>
      <xdr:colOff>487045</xdr:colOff>
      <xdr:row>59</xdr:row>
      <xdr:rowOff>410210</xdr:rowOff>
    </xdr:to>
    <xdr:pic>
      <xdr:nvPicPr>
        <xdr:cNvPr id="120" name="图片 4" descr="微信图片_20191204142201"/>
        <xdr:cNvPicPr>
          <a:picLocks noChangeAspect="1"/>
        </xdr:cNvPicPr>
      </xdr:nvPicPr>
      <xdr:blipFill>
        <a:blip r:embed="rId71"/>
        <a:srcRect l="10605" r="14953" b="14752"/>
        <a:stretch>
          <a:fillRect/>
        </a:stretch>
      </xdr:blipFill>
      <xdr:spPr>
        <a:xfrm>
          <a:off x="6534150" y="2738691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28</xdr:row>
      <xdr:rowOff>107950</xdr:rowOff>
    </xdr:from>
    <xdr:to>
      <xdr:col>17</xdr:col>
      <xdr:colOff>501015</xdr:colOff>
      <xdr:row>28</xdr:row>
      <xdr:rowOff>431165</xdr:rowOff>
    </xdr:to>
    <xdr:pic>
      <xdr:nvPicPr>
        <xdr:cNvPr id="121" name="图片 120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6581775" y="1163002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43</xdr:row>
      <xdr:rowOff>155575</xdr:rowOff>
    </xdr:from>
    <xdr:to>
      <xdr:col>17</xdr:col>
      <xdr:colOff>481330</xdr:colOff>
      <xdr:row>43</xdr:row>
      <xdr:rowOff>422910</xdr:rowOff>
    </xdr:to>
    <xdr:pic>
      <xdr:nvPicPr>
        <xdr:cNvPr id="122" name="图片 121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6572250" y="1928812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139700</xdr:colOff>
      <xdr:row>53</xdr:row>
      <xdr:rowOff>83185</xdr:rowOff>
    </xdr:from>
    <xdr:to>
      <xdr:col>17</xdr:col>
      <xdr:colOff>401955</xdr:colOff>
      <xdr:row>53</xdr:row>
      <xdr:rowOff>474345</xdr:rowOff>
    </xdr:to>
    <xdr:pic>
      <xdr:nvPicPr>
        <xdr:cNvPr id="123" name="图片 12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6607175" y="24289385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34290</xdr:colOff>
      <xdr:row>60</xdr:row>
      <xdr:rowOff>64135</xdr:rowOff>
    </xdr:from>
    <xdr:to>
      <xdr:col>17</xdr:col>
      <xdr:colOff>540385</xdr:colOff>
      <xdr:row>60</xdr:row>
      <xdr:rowOff>448310</xdr:rowOff>
    </xdr:to>
    <xdr:pic>
      <xdr:nvPicPr>
        <xdr:cNvPr id="139" name="图片 138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6501765" y="27821890"/>
          <a:ext cx="506095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100330</xdr:colOff>
      <xdr:row>70</xdr:row>
      <xdr:rowOff>25400</xdr:rowOff>
    </xdr:from>
    <xdr:to>
      <xdr:col>17</xdr:col>
      <xdr:colOff>498475</xdr:colOff>
      <xdr:row>70</xdr:row>
      <xdr:rowOff>469900</xdr:rowOff>
    </xdr:to>
    <xdr:pic>
      <xdr:nvPicPr>
        <xdr:cNvPr id="150" name="图片 149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6567805" y="32856805"/>
          <a:ext cx="39814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113030</xdr:colOff>
      <xdr:row>75</xdr:row>
      <xdr:rowOff>74930</xdr:rowOff>
    </xdr:from>
    <xdr:to>
      <xdr:col>17</xdr:col>
      <xdr:colOff>497205</xdr:colOff>
      <xdr:row>75</xdr:row>
      <xdr:rowOff>492125</xdr:rowOff>
    </xdr:to>
    <xdr:pic>
      <xdr:nvPicPr>
        <xdr:cNvPr id="155" name="图片 154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6580505" y="35443160"/>
          <a:ext cx="384175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121920</xdr:colOff>
      <xdr:row>76</xdr:row>
      <xdr:rowOff>16510</xdr:rowOff>
    </xdr:from>
    <xdr:to>
      <xdr:col>17</xdr:col>
      <xdr:colOff>467995</xdr:colOff>
      <xdr:row>76</xdr:row>
      <xdr:rowOff>435610</xdr:rowOff>
    </xdr:to>
    <xdr:pic>
      <xdr:nvPicPr>
        <xdr:cNvPr id="156" name="图片 155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6589395" y="35892105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163195</xdr:colOff>
      <xdr:row>86</xdr:row>
      <xdr:rowOff>36195</xdr:rowOff>
    </xdr:from>
    <xdr:to>
      <xdr:col>17</xdr:col>
      <xdr:colOff>509270</xdr:colOff>
      <xdr:row>86</xdr:row>
      <xdr:rowOff>455295</xdr:rowOff>
    </xdr:to>
    <xdr:pic>
      <xdr:nvPicPr>
        <xdr:cNvPr id="157" name="图片 156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6630670" y="40985440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278130</xdr:colOff>
      <xdr:row>73</xdr:row>
      <xdr:rowOff>24765</xdr:rowOff>
    </xdr:from>
    <xdr:to>
      <xdr:col>17</xdr:col>
      <xdr:colOff>472440</xdr:colOff>
      <xdr:row>73</xdr:row>
      <xdr:rowOff>458470</xdr:rowOff>
    </xdr:to>
    <xdr:pic>
      <xdr:nvPicPr>
        <xdr:cNvPr id="158" name="图片 157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6745605" y="34378265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114935</xdr:colOff>
      <xdr:row>80</xdr:row>
      <xdr:rowOff>55880</xdr:rowOff>
    </xdr:from>
    <xdr:to>
      <xdr:col>17</xdr:col>
      <xdr:colOff>513080</xdr:colOff>
      <xdr:row>80</xdr:row>
      <xdr:rowOff>500380</xdr:rowOff>
    </xdr:to>
    <xdr:pic>
      <xdr:nvPicPr>
        <xdr:cNvPr id="159" name="图片 158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6582410" y="37960935"/>
          <a:ext cx="39814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64770</xdr:colOff>
      <xdr:row>81</xdr:row>
      <xdr:rowOff>111125</xdr:rowOff>
    </xdr:from>
    <xdr:to>
      <xdr:col>17</xdr:col>
      <xdr:colOff>555625</xdr:colOff>
      <xdr:row>81</xdr:row>
      <xdr:rowOff>446405</xdr:rowOff>
    </xdr:to>
    <xdr:pic>
      <xdr:nvPicPr>
        <xdr:cNvPr id="160" name="图片 159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6532245" y="38523545"/>
          <a:ext cx="49085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263525</xdr:colOff>
      <xdr:row>83</xdr:row>
      <xdr:rowOff>44450</xdr:rowOff>
    </xdr:from>
    <xdr:to>
      <xdr:col>17</xdr:col>
      <xdr:colOff>457835</xdr:colOff>
      <xdr:row>83</xdr:row>
      <xdr:rowOff>478155</xdr:rowOff>
    </xdr:to>
    <xdr:pic>
      <xdr:nvPicPr>
        <xdr:cNvPr id="162" name="图片 161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6731000" y="39471600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33020</xdr:colOff>
      <xdr:row>72</xdr:row>
      <xdr:rowOff>28575</xdr:rowOff>
    </xdr:from>
    <xdr:to>
      <xdr:col>17</xdr:col>
      <xdr:colOff>509270</xdr:colOff>
      <xdr:row>72</xdr:row>
      <xdr:rowOff>459740</xdr:rowOff>
    </xdr:to>
    <xdr:pic>
      <xdr:nvPicPr>
        <xdr:cNvPr id="7" name="图片 6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6500495" y="33874710"/>
          <a:ext cx="47625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93980</xdr:colOff>
      <xdr:row>82</xdr:row>
      <xdr:rowOff>45720</xdr:rowOff>
    </xdr:from>
    <xdr:to>
      <xdr:col>17</xdr:col>
      <xdr:colOff>548005</xdr:colOff>
      <xdr:row>82</xdr:row>
      <xdr:rowOff>457200</xdr:rowOff>
    </xdr:to>
    <xdr:pic>
      <xdr:nvPicPr>
        <xdr:cNvPr id="19" name="图片 18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6561455" y="38965505"/>
          <a:ext cx="454025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59690</xdr:colOff>
      <xdr:row>71</xdr:row>
      <xdr:rowOff>64770</xdr:rowOff>
    </xdr:from>
    <xdr:to>
      <xdr:col>17</xdr:col>
      <xdr:colOff>490855</xdr:colOff>
      <xdr:row>71</xdr:row>
      <xdr:rowOff>373380</xdr:rowOff>
    </xdr:to>
    <xdr:pic>
      <xdr:nvPicPr>
        <xdr:cNvPr id="32" name="图片 31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6527165" y="33403540"/>
          <a:ext cx="43116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154305</xdr:colOff>
      <xdr:row>9</xdr:row>
      <xdr:rowOff>26035</xdr:rowOff>
    </xdr:from>
    <xdr:to>
      <xdr:col>17</xdr:col>
      <xdr:colOff>393700</xdr:colOff>
      <xdr:row>9</xdr:row>
      <xdr:rowOff>459105</xdr:rowOff>
    </xdr:to>
    <xdr:pic>
      <xdr:nvPicPr>
        <xdr:cNvPr id="37" name="图片 36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6621780" y="1831975"/>
          <a:ext cx="23939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154940</xdr:colOff>
      <xdr:row>19</xdr:row>
      <xdr:rowOff>13970</xdr:rowOff>
    </xdr:from>
    <xdr:to>
      <xdr:col>17</xdr:col>
      <xdr:colOff>400050</xdr:colOff>
      <xdr:row>19</xdr:row>
      <xdr:rowOff>455930</xdr:rowOff>
    </xdr:to>
    <xdr:pic>
      <xdr:nvPicPr>
        <xdr:cNvPr id="49" name="图片 48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6622415" y="6969760"/>
          <a:ext cx="24511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153670</xdr:colOff>
      <xdr:row>20</xdr:row>
      <xdr:rowOff>33020</xdr:rowOff>
    </xdr:from>
    <xdr:to>
      <xdr:col>17</xdr:col>
      <xdr:colOff>403860</xdr:colOff>
      <xdr:row>20</xdr:row>
      <xdr:rowOff>482600</xdr:rowOff>
    </xdr:to>
    <xdr:pic>
      <xdr:nvPicPr>
        <xdr:cNvPr id="51" name="图片 50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6621145" y="7496175"/>
          <a:ext cx="25019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174625</xdr:colOff>
      <xdr:row>8</xdr:row>
      <xdr:rowOff>26035</xdr:rowOff>
    </xdr:from>
    <xdr:to>
      <xdr:col>17</xdr:col>
      <xdr:colOff>374650</xdr:colOff>
      <xdr:row>8</xdr:row>
      <xdr:rowOff>441960</xdr:rowOff>
    </xdr:to>
    <xdr:pic>
      <xdr:nvPicPr>
        <xdr:cNvPr id="50" name="图片 49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6642100" y="1374775"/>
          <a:ext cx="200025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229235</xdr:colOff>
      <xdr:row>88</xdr:row>
      <xdr:rowOff>97155</xdr:rowOff>
    </xdr:from>
    <xdr:to>
      <xdr:col>17</xdr:col>
      <xdr:colOff>323850</xdr:colOff>
      <xdr:row>88</xdr:row>
      <xdr:rowOff>429260</xdr:rowOff>
    </xdr:to>
    <xdr:pic>
      <xdr:nvPicPr>
        <xdr:cNvPr id="52" name="图片 51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6696710" y="42061130"/>
          <a:ext cx="94615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51435</xdr:colOff>
      <xdr:row>89</xdr:row>
      <xdr:rowOff>123190</xdr:rowOff>
    </xdr:from>
    <xdr:to>
      <xdr:col>17</xdr:col>
      <xdr:colOff>526415</xdr:colOff>
      <xdr:row>89</xdr:row>
      <xdr:rowOff>410845</xdr:rowOff>
    </xdr:to>
    <xdr:pic>
      <xdr:nvPicPr>
        <xdr:cNvPr id="53" name="图片 52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6518910" y="42594530"/>
          <a:ext cx="47498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180975</xdr:colOff>
      <xdr:row>85</xdr:row>
      <xdr:rowOff>30480</xdr:rowOff>
    </xdr:from>
    <xdr:to>
      <xdr:col>17</xdr:col>
      <xdr:colOff>482600</xdr:colOff>
      <xdr:row>85</xdr:row>
      <xdr:rowOff>449580</xdr:rowOff>
    </xdr:to>
    <xdr:pic>
      <xdr:nvPicPr>
        <xdr:cNvPr id="54" name="图片 53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6648450" y="40472360"/>
          <a:ext cx="30162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85725</xdr:colOff>
      <xdr:row>87</xdr:row>
      <xdr:rowOff>98425</xdr:rowOff>
    </xdr:from>
    <xdr:to>
      <xdr:col>17</xdr:col>
      <xdr:colOff>419100</xdr:colOff>
      <xdr:row>87</xdr:row>
      <xdr:rowOff>363220</xdr:rowOff>
    </xdr:to>
    <xdr:pic>
      <xdr:nvPicPr>
        <xdr:cNvPr id="33" name="图片 32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6553200" y="41555035"/>
          <a:ext cx="33337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69</xdr:row>
      <xdr:rowOff>79375</xdr:rowOff>
    </xdr:from>
    <xdr:to>
      <xdr:col>17</xdr:col>
      <xdr:colOff>488315</xdr:colOff>
      <xdr:row>69</xdr:row>
      <xdr:rowOff>397510</xdr:rowOff>
    </xdr:to>
    <xdr:pic>
      <xdr:nvPicPr>
        <xdr:cNvPr id="44" name="图片 43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6524625" y="32403415"/>
          <a:ext cx="43116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97790</xdr:colOff>
      <xdr:row>75</xdr:row>
      <xdr:rowOff>92075</xdr:rowOff>
    </xdr:from>
    <xdr:to>
      <xdr:col>17</xdr:col>
      <xdr:colOff>481965</xdr:colOff>
      <xdr:row>76</xdr:row>
      <xdr:rowOff>1270</xdr:rowOff>
    </xdr:to>
    <xdr:pic>
      <xdr:nvPicPr>
        <xdr:cNvPr id="38" name="图片 3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6565265" y="35460305"/>
          <a:ext cx="38417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106045</xdr:colOff>
      <xdr:row>76</xdr:row>
      <xdr:rowOff>36195</xdr:rowOff>
    </xdr:from>
    <xdr:to>
      <xdr:col>17</xdr:col>
      <xdr:colOff>452120</xdr:colOff>
      <xdr:row>76</xdr:row>
      <xdr:rowOff>455295</xdr:rowOff>
    </xdr:to>
    <xdr:pic>
      <xdr:nvPicPr>
        <xdr:cNvPr id="55" name="图片 54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6573520" y="35911790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97155</xdr:colOff>
      <xdr:row>62</xdr:row>
      <xdr:rowOff>96520</xdr:rowOff>
    </xdr:from>
    <xdr:to>
      <xdr:col>17</xdr:col>
      <xdr:colOff>438741</xdr:colOff>
      <xdr:row>62</xdr:row>
      <xdr:rowOff>351855</xdr:rowOff>
    </xdr:to>
    <xdr:pic>
      <xdr:nvPicPr>
        <xdr:cNvPr id="116" name="Picture 1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6564630" y="28869005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57150</xdr:colOff>
      <xdr:row>68</xdr:row>
      <xdr:rowOff>79375</xdr:rowOff>
    </xdr:from>
    <xdr:to>
      <xdr:col>17</xdr:col>
      <xdr:colOff>488315</xdr:colOff>
      <xdr:row>68</xdr:row>
      <xdr:rowOff>397510</xdr:rowOff>
    </xdr:to>
    <xdr:pic>
      <xdr:nvPicPr>
        <xdr:cNvPr id="124" name="图片 123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6524625" y="31896050"/>
          <a:ext cx="43116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71120</xdr:colOff>
      <xdr:row>40</xdr:row>
      <xdr:rowOff>95250</xdr:rowOff>
    </xdr:from>
    <xdr:to>
      <xdr:col>17</xdr:col>
      <xdr:colOff>484505</xdr:colOff>
      <xdr:row>40</xdr:row>
      <xdr:rowOff>395605</xdr:rowOff>
    </xdr:to>
    <xdr:pic>
      <xdr:nvPicPr>
        <xdr:cNvPr id="129" name="图片 128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6538595" y="17705705"/>
          <a:ext cx="41338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71120</xdr:colOff>
      <xdr:row>39</xdr:row>
      <xdr:rowOff>95250</xdr:rowOff>
    </xdr:from>
    <xdr:to>
      <xdr:col>17</xdr:col>
      <xdr:colOff>497205</xdr:colOff>
      <xdr:row>39</xdr:row>
      <xdr:rowOff>405130</xdr:rowOff>
    </xdr:to>
    <xdr:pic>
      <xdr:nvPicPr>
        <xdr:cNvPr id="130" name="图片 129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6538595" y="17198340"/>
          <a:ext cx="426085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128905</xdr:colOff>
      <xdr:row>21</xdr:row>
      <xdr:rowOff>52705</xdr:rowOff>
    </xdr:from>
    <xdr:to>
      <xdr:col>17</xdr:col>
      <xdr:colOff>388620</xdr:colOff>
      <xdr:row>21</xdr:row>
      <xdr:rowOff>449580</xdr:rowOff>
    </xdr:to>
    <xdr:pic>
      <xdr:nvPicPr>
        <xdr:cNvPr id="133" name="图片 132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6596380" y="8023225"/>
          <a:ext cx="259715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78</xdr:row>
      <xdr:rowOff>76200</xdr:rowOff>
    </xdr:from>
    <xdr:to>
      <xdr:col>17</xdr:col>
      <xdr:colOff>514350</xdr:colOff>
      <xdr:row>78</xdr:row>
      <xdr:rowOff>448945</xdr:rowOff>
    </xdr:to>
    <xdr:pic>
      <xdr:nvPicPr>
        <xdr:cNvPr id="127" name="图片 126"/>
        <xdr:cNvPicPr/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5100" y="36966525"/>
          <a:ext cx="466725" cy="372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76200</xdr:colOff>
      <xdr:row>77</xdr:row>
      <xdr:rowOff>47625</xdr:rowOff>
    </xdr:from>
    <xdr:to>
      <xdr:col>17</xdr:col>
      <xdr:colOff>542925</xdr:colOff>
      <xdr:row>77</xdr:row>
      <xdr:rowOff>420370</xdr:rowOff>
    </xdr:to>
    <xdr:pic>
      <xdr:nvPicPr>
        <xdr:cNvPr id="128" name="图片 127"/>
        <xdr:cNvPicPr/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3675" y="36430585"/>
          <a:ext cx="466725" cy="372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86784</xdr:colOff>
      <xdr:row>125</xdr:row>
      <xdr:rowOff>134409</xdr:rowOff>
    </xdr:from>
    <xdr:to>
      <xdr:col>17</xdr:col>
      <xdr:colOff>458894</xdr:colOff>
      <xdr:row>125</xdr:row>
      <xdr:rowOff>409364</xdr:rowOff>
    </xdr:to>
    <xdr:pic>
      <xdr:nvPicPr>
        <xdr:cNvPr id="131" name="图片 130"/>
        <xdr:cNvPicPr/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3835" y="60870465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78317</xdr:colOff>
      <xdr:row>126</xdr:row>
      <xdr:rowOff>100542</xdr:rowOff>
    </xdr:from>
    <xdr:to>
      <xdr:col>17</xdr:col>
      <xdr:colOff>450427</xdr:colOff>
      <xdr:row>126</xdr:row>
      <xdr:rowOff>375497</xdr:rowOff>
    </xdr:to>
    <xdr:pic>
      <xdr:nvPicPr>
        <xdr:cNvPr id="132" name="图片 131"/>
        <xdr:cNvPicPr/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5580" y="61344175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77258</xdr:colOff>
      <xdr:row>127</xdr:row>
      <xdr:rowOff>127000</xdr:rowOff>
    </xdr:from>
    <xdr:to>
      <xdr:col>17</xdr:col>
      <xdr:colOff>449368</xdr:colOff>
      <xdr:row>127</xdr:row>
      <xdr:rowOff>401955</xdr:rowOff>
    </xdr:to>
    <xdr:pic>
      <xdr:nvPicPr>
        <xdr:cNvPr id="134" name="图片 133"/>
        <xdr:cNvPicPr/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4310" y="61878210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41276</xdr:colOff>
      <xdr:row>124</xdr:row>
      <xdr:rowOff>27516</xdr:rowOff>
    </xdr:from>
    <xdr:to>
      <xdr:col>17</xdr:col>
      <xdr:colOff>472441</xdr:colOff>
      <xdr:row>124</xdr:row>
      <xdr:rowOff>444076</xdr:rowOff>
    </xdr:to>
    <xdr:pic>
      <xdr:nvPicPr>
        <xdr:cNvPr id="135" name="图片 134"/>
        <xdr:cNvPicPr/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08750" y="60256420"/>
          <a:ext cx="431165" cy="416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160020</xdr:colOff>
      <xdr:row>74</xdr:row>
      <xdr:rowOff>83185</xdr:rowOff>
    </xdr:from>
    <xdr:to>
      <xdr:col>17</xdr:col>
      <xdr:colOff>466090</xdr:colOff>
      <xdr:row>74</xdr:row>
      <xdr:rowOff>473710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7495" y="34944050"/>
          <a:ext cx="30607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161925</xdr:colOff>
      <xdr:row>79</xdr:row>
      <xdr:rowOff>114935</xdr:rowOff>
    </xdr:from>
    <xdr:to>
      <xdr:col>17</xdr:col>
      <xdr:colOff>395605</xdr:colOff>
      <xdr:row>79</xdr:row>
      <xdr:rowOff>366395</xdr:rowOff>
    </xdr:to>
    <xdr:pic>
      <xdr:nvPicPr>
        <xdr:cNvPr id="31" name="Picture 22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6629400" y="37512625"/>
          <a:ext cx="233680" cy="25146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98425</xdr:colOff>
      <xdr:row>84</xdr:row>
      <xdr:rowOff>62230</xdr:rowOff>
    </xdr:from>
    <xdr:to>
      <xdr:col>17</xdr:col>
      <xdr:colOff>404495</xdr:colOff>
      <xdr:row>84</xdr:row>
      <xdr:rowOff>452755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5900" y="39996745"/>
          <a:ext cx="30607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267335</xdr:colOff>
      <xdr:row>5</xdr:row>
      <xdr:rowOff>98425</xdr:rowOff>
    </xdr:from>
    <xdr:to>
      <xdr:col>3</xdr:col>
      <xdr:colOff>185420</xdr:colOff>
      <xdr:row>8</xdr:row>
      <xdr:rowOff>443230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3085" y="2212975"/>
          <a:ext cx="1165860" cy="2253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120015</xdr:colOff>
      <xdr:row>40</xdr:row>
      <xdr:rowOff>116840</xdr:rowOff>
    </xdr:from>
    <xdr:to>
      <xdr:col>17</xdr:col>
      <xdr:colOff>428757</xdr:colOff>
      <xdr:row>40</xdr:row>
      <xdr:rowOff>435504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7149465" y="17543145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153670</xdr:colOff>
      <xdr:row>39</xdr:row>
      <xdr:rowOff>83185</xdr:rowOff>
    </xdr:from>
    <xdr:to>
      <xdr:col>17</xdr:col>
      <xdr:colOff>416428</xdr:colOff>
      <xdr:row>39</xdr:row>
      <xdr:rowOff>431566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7183120" y="17002125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23</xdr:row>
      <xdr:rowOff>123190</xdr:rowOff>
    </xdr:from>
    <xdr:to>
      <xdr:col>17</xdr:col>
      <xdr:colOff>389371</xdr:colOff>
      <xdr:row>23</xdr:row>
      <xdr:rowOff>438547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219950" y="8924290"/>
          <a:ext cx="19875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12700</xdr:colOff>
      <xdr:row>52</xdr:row>
      <xdr:rowOff>76835</xdr:rowOff>
    </xdr:from>
    <xdr:to>
      <xdr:col>17</xdr:col>
      <xdr:colOff>514112</xdr:colOff>
      <xdr:row>52</xdr:row>
      <xdr:rowOff>375008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2150" y="23591520"/>
          <a:ext cx="50101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24130</xdr:colOff>
      <xdr:row>51</xdr:row>
      <xdr:rowOff>88900</xdr:rowOff>
    </xdr:from>
    <xdr:to>
      <xdr:col>17</xdr:col>
      <xdr:colOff>497094</xdr:colOff>
      <xdr:row>51</xdr:row>
      <xdr:rowOff>371365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53580" y="23096220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49530</xdr:colOff>
      <xdr:row>28</xdr:row>
      <xdr:rowOff>111760</xdr:rowOff>
    </xdr:from>
    <xdr:to>
      <xdr:col>17</xdr:col>
      <xdr:colOff>509358</xdr:colOff>
      <xdr:row>28</xdr:row>
      <xdr:rowOff>404837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7078980" y="11449685"/>
          <a:ext cx="459740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96488</xdr:colOff>
      <xdr:row>29</xdr:row>
      <xdr:rowOff>47601</xdr:rowOff>
    </xdr:from>
    <xdr:to>
      <xdr:col>17</xdr:col>
      <xdr:colOff>499470</xdr:colOff>
      <xdr:row>29</xdr:row>
      <xdr:rowOff>339799</xdr:rowOff>
    </xdr:to>
    <xdr:pic>
      <xdr:nvPicPr>
        <xdr:cNvPr id="99" name="图片 9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125335" y="11892280"/>
          <a:ext cx="4032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92075</xdr:colOff>
      <xdr:row>27</xdr:row>
      <xdr:rowOff>100330</xdr:rowOff>
    </xdr:from>
    <xdr:to>
      <xdr:col>17</xdr:col>
      <xdr:colOff>458421</xdr:colOff>
      <xdr:row>27</xdr:row>
      <xdr:rowOff>403891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121525" y="1093089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119727</xdr:colOff>
      <xdr:row>48</xdr:row>
      <xdr:rowOff>32971</xdr:rowOff>
    </xdr:from>
    <xdr:to>
      <xdr:col>17</xdr:col>
      <xdr:colOff>454927</xdr:colOff>
      <xdr:row>48</xdr:row>
      <xdr:rowOff>352848</xdr:rowOff>
    </xdr:to>
    <xdr:pic>
      <xdr:nvPicPr>
        <xdr:cNvPr id="103" name="图片 10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7148830" y="21517610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70485</xdr:colOff>
      <xdr:row>49</xdr:row>
      <xdr:rowOff>131445</xdr:rowOff>
    </xdr:from>
    <xdr:to>
      <xdr:col>17</xdr:col>
      <xdr:colOff>499111</xdr:colOff>
      <xdr:row>49</xdr:row>
      <xdr:rowOff>399745</xdr:rowOff>
    </xdr:to>
    <xdr:pic>
      <xdr:nvPicPr>
        <xdr:cNvPr id="104" name="图片 10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7099935" y="22124035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68014</xdr:colOff>
      <xdr:row>47</xdr:row>
      <xdr:rowOff>65816</xdr:rowOff>
    </xdr:from>
    <xdr:to>
      <xdr:col>17</xdr:col>
      <xdr:colOff>487113</xdr:colOff>
      <xdr:row>47</xdr:row>
      <xdr:rowOff>369380</xdr:rowOff>
    </xdr:to>
    <xdr:pic>
      <xdr:nvPicPr>
        <xdr:cNvPr id="105" name="图片 10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7097395" y="21043265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175895</xdr:colOff>
      <xdr:row>58</xdr:row>
      <xdr:rowOff>121920</xdr:rowOff>
    </xdr:from>
    <xdr:to>
      <xdr:col>17</xdr:col>
      <xdr:colOff>377269</xdr:colOff>
      <xdr:row>58</xdr:row>
      <xdr:rowOff>437711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7205345" y="26680795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113665</xdr:colOff>
      <xdr:row>59</xdr:row>
      <xdr:rowOff>82550</xdr:rowOff>
    </xdr:from>
    <xdr:to>
      <xdr:col>17</xdr:col>
      <xdr:colOff>417830</xdr:colOff>
      <xdr:row>59</xdr:row>
      <xdr:rowOff>379730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7143115" y="27148790"/>
          <a:ext cx="30416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53975</xdr:colOff>
      <xdr:row>60</xdr:row>
      <xdr:rowOff>109855</xdr:rowOff>
    </xdr:from>
    <xdr:to>
      <xdr:col>17</xdr:col>
      <xdr:colOff>471609</xdr:colOff>
      <xdr:row>60</xdr:row>
      <xdr:rowOff>386640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7083425" y="27683460"/>
          <a:ext cx="41719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110408</xdr:colOff>
      <xdr:row>61</xdr:row>
      <xdr:rowOff>15386</xdr:rowOff>
    </xdr:from>
    <xdr:to>
      <xdr:col>17</xdr:col>
      <xdr:colOff>380069</xdr:colOff>
      <xdr:row>61</xdr:row>
      <xdr:rowOff>361949</xdr:rowOff>
    </xdr:to>
    <xdr:pic>
      <xdr:nvPicPr>
        <xdr:cNvPr id="109" name="图片 10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7958"/>
        <a:stretch>
          <a:fillRect/>
        </a:stretch>
      </xdr:blipFill>
      <xdr:spPr>
        <a:xfrm>
          <a:off x="7139305" y="28096210"/>
          <a:ext cx="26987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97155</xdr:colOff>
      <xdr:row>57</xdr:row>
      <xdr:rowOff>96520</xdr:rowOff>
    </xdr:from>
    <xdr:to>
      <xdr:col>17</xdr:col>
      <xdr:colOff>438741</xdr:colOff>
      <xdr:row>57</xdr:row>
      <xdr:rowOff>351855</xdr:rowOff>
    </xdr:to>
    <xdr:pic>
      <xdr:nvPicPr>
        <xdr:cNvPr id="15" name="Picture 1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7126605" y="26148030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173990</xdr:colOff>
      <xdr:row>46</xdr:row>
      <xdr:rowOff>139700</xdr:rowOff>
    </xdr:from>
    <xdr:to>
      <xdr:col>17</xdr:col>
      <xdr:colOff>408014</xdr:colOff>
      <xdr:row>46</xdr:row>
      <xdr:rowOff>391700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7203440" y="2061019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31</xdr:row>
      <xdr:rowOff>76200</xdr:rowOff>
    </xdr:from>
    <xdr:to>
      <xdr:col>17</xdr:col>
      <xdr:colOff>452621</xdr:colOff>
      <xdr:row>31</xdr:row>
      <xdr:rowOff>390525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077075" y="12936220"/>
          <a:ext cx="404495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152400</xdr:colOff>
      <xdr:row>32</xdr:row>
      <xdr:rowOff>76200</xdr:rowOff>
    </xdr:from>
    <xdr:to>
      <xdr:col>17</xdr:col>
      <xdr:colOff>400050</xdr:colOff>
      <xdr:row>32</xdr:row>
      <xdr:rowOff>387718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7181850" y="13443585"/>
          <a:ext cx="247650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12065</xdr:colOff>
      <xdr:row>30</xdr:row>
      <xdr:rowOff>111760</xdr:rowOff>
    </xdr:from>
    <xdr:to>
      <xdr:col>17</xdr:col>
      <xdr:colOff>533312</xdr:colOff>
      <xdr:row>30</xdr:row>
      <xdr:rowOff>443983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 flipH="1" flipV="1">
          <a:off x="7041515" y="12464415"/>
          <a:ext cx="520700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41</xdr:row>
      <xdr:rowOff>98425</xdr:rowOff>
    </xdr:from>
    <xdr:to>
      <xdr:col>17</xdr:col>
      <xdr:colOff>390525</xdr:colOff>
      <xdr:row>41</xdr:row>
      <xdr:rowOff>359263</xdr:rowOff>
    </xdr:to>
    <xdr:pic>
      <xdr:nvPicPr>
        <xdr:cNvPr id="111" name="图片 110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3275" y="18032095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42</xdr:row>
      <xdr:rowOff>127000</xdr:rowOff>
    </xdr:from>
    <xdr:to>
      <xdr:col>17</xdr:col>
      <xdr:colOff>458657</xdr:colOff>
      <xdr:row>42</xdr:row>
      <xdr:rowOff>374650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5175" y="18568035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36195</xdr:colOff>
      <xdr:row>108</xdr:row>
      <xdr:rowOff>117475</xdr:rowOff>
    </xdr:from>
    <xdr:to>
      <xdr:col>17</xdr:col>
      <xdr:colOff>464821</xdr:colOff>
      <xdr:row>108</xdr:row>
      <xdr:rowOff>429203</xdr:rowOff>
    </xdr:to>
    <xdr:pic>
      <xdr:nvPicPr>
        <xdr:cNvPr id="118" name="Picture 11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7065645" y="5204460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88265</xdr:colOff>
      <xdr:row>109</xdr:row>
      <xdr:rowOff>146050</xdr:rowOff>
    </xdr:from>
    <xdr:to>
      <xdr:col>17</xdr:col>
      <xdr:colOff>417394</xdr:colOff>
      <xdr:row>109</xdr:row>
      <xdr:rowOff>441653</xdr:rowOff>
    </xdr:to>
    <xdr:pic>
      <xdr:nvPicPr>
        <xdr:cNvPr id="149" name="Picture 23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7117715" y="52580540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104140</xdr:colOff>
      <xdr:row>107</xdr:row>
      <xdr:rowOff>117475</xdr:rowOff>
    </xdr:from>
    <xdr:to>
      <xdr:col>17</xdr:col>
      <xdr:colOff>437515</xdr:colOff>
      <xdr:row>107</xdr:row>
      <xdr:rowOff>295502</xdr:rowOff>
    </xdr:to>
    <xdr:pic>
      <xdr:nvPicPr>
        <xdr:cNvPr id="154" name="图片 153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33590" y="51537235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116840</xdr:colOff>
      <xdr:row>93</xdr:row>
      <xdr:rowOff>184150</xdr:rowOff>
    </xdr:from>
    <xdr:to>
      <xdr:col>17</xdr:col>
      <xdr:colOff>504409</xdr:colOff>
      <xdr:row>93</xdr:row>
      <xdr:rowOff>347839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7146290" y="44500800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94</xdr:row>
      <xdr:rowOff>79375</xdr:rowOff>
    </xdr:from>
    <xdr:to>
      <xdr:col>17</xdr:col>
      <xdr:colOff>432151</xdr:colOff>
      <xdr:row>94</xdr:row>
      <xdr:rowOff>338850</xdr:rowOff>
    </xdr:to>
    <xdr:pic>
      <xdr:nvPicPr>
        <xdr:cNvPr id="161" name="图片 160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7153275" y="44903390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78105</xdr:colOff>
      <xdr:row>102</xdr:row>
      <xdr:rowOff>98425</xdr:rowOff>
    </xdr:from>
    <xdr:to>
      <xdr:col>17</xdr:col>
      <xdr:colOff>449504</xdr:colOff>
      <xdr:row>102</xdr:row>
      <xdr:rowOff>361781</xdr:rowOff>
    </xdr:to>
    <xdr:pic>
      <xdr:nvPicPr>
        <xdr:cNvPr id="162" name="图片 161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7555" y="48981360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103</xdr:row>
      <xdr:rowOff>79375</xdr:rowOff>
    </xdr:from>
    <xdr:to>
      <xdr:col>17</xdr:col>
      <xdr:colOff>441814</xdr:colOff>
      <xdr:row>103</xdr:row>
      <xdr:rowOff>382679</xdr:rowOff>
    </xdr:to>
    <xdr:pic>
      <xdr:nvPicPr>
        <xdr:cNvPr id="163" name="图片 162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34225" y="49469675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35560</xdr:colOff>
      <xdr:row>95</xdr:row>
      <xdr:rowOff>117475</xdr:rowOff>
    </xdr:from>
    <xdr:to>
      <xdr:col>17</xdr:col>
      <xdr:colOff>482502</xdr:colOff>
      <xdr:row>95</xdr:row>
      <xdr:rowOff>368880</xdr:rowOff>
    </xdr:to>
    <xdr:pic>
      <xdr:nvPicPr>
        <xdr:cNvPr id="164" name="图片 163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7065010" y="45448855"/>
          <a:ext cx="44640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151765</xdr:colOff>
      <xdr:row>101</xdr:row>
      <xdr:rowOff>88900</xdr:rowOff>
    </xdr:from>
    <xdr:to>
      <xdr:col>17</xdr:col>
      <xdr:colOff>410945</xdr:colOff>
      <xdr:row>101</xdr:row>
      <xdr:rowOff>403225</xdr:rowOff>
    </xdr:to>
    <xdr:pic>
      <xdr:nvPicPr>
        <xdr:cNvPr id="177" name="Picture 2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7181215" y="48464470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158750</xdr:colOff>
      <xdr:row>33</xdr:row>
      <xdr:rowOff>107950</xdr:rowOff>
    </xdr:from>
    <xdr:to>
      <xdr:col>17</xdr:col>
      <xdr:colOff>368300</xdr:colOff>
      <xdr:row>33</xdr:row>
      <xdr:rowOff>391896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188200" y="13982700"/>
          <a:ext cx="209550" cy="2838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154940</xdr:colOff>
      <xdr:row>34</xdr:row>
      <xdr:rowOff>107950</xdr:rowOff>
    </xdr:from>
    <xdr:to>
      <xdr:col>17</xdr:col>
      <xdr:colOff>391795</xdr:colOff>
      <xdr:row>34</xdr:row>
      <xdr:rowOff>429260</xdr:rowOff>
    </xdr:to>
    <xdr:pic>
      <xdr:nvPicPr>
        <xdr:cNvPr id="115" name="Picture 5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184390" y="14490065"/>
          <a:ext cx="236855" cy="3213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107950</xdr:colOff>
      <xdr:row>35</xdr:row>
      <xdr:rowOff>69850</xdr:rowOff>
    </xdr:from>
    <xdr:to>
      <xdr:col>17</xdr:col>
      <xdr:colOff>446405</xdr:colOff>
      <xdr:row>35</xdr:row>
      <xdr:rowOff>391795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137400" y="14959330"/>
          <a:ext cx="338455" cy="3219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163195</xdr:colOff>
      <xdr:row>43</xdr:row>
      <xdr:rowOff>107950</xdr:rowOff>
    </xdr:from>
    <xdr:to>
      <xdr:col>17</xdr:col>
      <xdr:colOff>453231</xdr:colOff>
      <xdr:row>43</xdr:row>
      <xdr:rowOff>384175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192645" y="1905635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139065</xdr:colOff>
      <xdr:row>45</xdr:row>
      <xdr:rowOff>127000</xdr:rowOff>
    </xdr:from>
    <xdr:to>
      <xdr:col>17</xdr:col>
      <xdr:colOff>429101</xdr:colOff>
      <xdr:row>45</xdr:row>
      <xdr:rowOff>403225</xdr:rowOff>
    </xdr:to>
    <xdr:pic>
      <xdr:nvPicPr>
        <xdr:cNvPr id="126" name="Picture 7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168515" y="2009013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88900</xdr:colOff>
      <xdr:row>36</xdr:row>
      <xdr:rowOff>117475</xdr:rowOff>
    </xdr:from>
    <xdr:to>
      <xdr:col>17</xdr:col>
      <xdr:colOff>465818</xdr:colOff>
      <xdr:row>36</xdr:row>
      <xdr:rowOff>346075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118350" y="15514320"/>
          <a:ext cx="37655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118745</xdr:colOff>
      <xdr:row>90</xdr:row>
      <xdr:rowOff>117475</xdr:rowOff>
    </xdr:from>
    <xdr:to>
      <xdr:col>17</xdr:col>
      <xdr:colOff>385445</xdr:colOff>
      <xdr:row>90</xdr:row>
      <xdr:rowOff>359213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7148195" y="42912030"/>
          <a:ext cx="266700" cy="2413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140970</xdr:colOff>
      <xdr:row>91</xdr:row>
      <xdr:rowOff>117475</xdr:rowOff>
    </xdr:from>
    <xdr:to>
      <xdr:col>17</xdr:col>
      <xdr:colOff>445769</xdr:colOff>
      <xdr:row>91</xdr:row>
      <xdr:rowOff>393746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7170420" y="43419395"/>
          <a:ext cx="304165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95885</xdr:colOff>
      <xdr:row>92</xdr:row>
      <xdr:rowOff>117475</xdr:rowOff>
    </xdr:from>
    <xdr:to>
      <xdr:col>17</xdr:col>
      <xdr:colOff>391160</xdr:colOff>
      <xdr:row>92</xdr:row>
      <xdr:rowOff>385113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7125335" y="43926760"/>
          <a:ext cx="295275" cy="2673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118110</xdr:colOff>
      <xdr:row>96</xdr:row>
      <xdr:rowOff>107950</xdr:rowOff>
    </xdr:from>
    <xdr:to>
      <xdr:col>17</xdr:col>
      <xdr:colOff>454006</xdr:colOff>
      <xdr:row>96</xdr:row>
      <xdr:rowOff>317500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7147560" y="45946695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122555</xdr:colOff>
      <xdr:row>97</xdr:row>
      <xdr:rowOff>136525</xdr:rowOff>
    </xdr:from>
    <xdr:to>
      <xdr:col>17</xdr:col>
      <xdr:colOff>488987</xdr:colOff>
      <xdr:row>97</xdr:row>
      <xdr:rowOff>365125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152005" y="46482635"/>
          <a:ext cx="36639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75565</xdr:colOff>
      <xdr:row>98</xdr:row>
      <xdr:rowOff>165100</xdr:rowOff>
    </xdr:from>
    <xdr:to>
      <xdr:col>17</xdr:col>
      <xdr:colOff>411461</xdr:colOff>
      <xdr:row>98</xdr:row>
      <xdr:rowOff>374650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7105015" y="47018575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97155</xdr:colOff>
      <xdr:row>99</xdr:row>
      <xdr:rowOff>117475</xdr:rowOff>
    </xdr:from>
    <xdr:to>
      <xdr:col>17</xdr:col>
      <xdr:colOff>487680</xdr:colOff>
      <xdr:row>99</xdr:row>
      <xdr:rowOff>361105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7126605" y="47478315"/>
          <a:ext cx="390525" cy="2432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50165</xdr:colOff>
      <xdr:row>100</xdr:row>
      <xdr:rowOff>88900</xdr:rowOff>
    </xdr:from>
    <xdr:to>
      <xdr:col>17</xdr:col>
      <xdr:colOff>477669</xdr:colOff>
      <xdr:row>100</xdr:row>
      <xdr:rowOff>355600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079615" y="47957105"/>
          <a:ext cx="427355" cy="2667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171450</xdr:colOff>
      <xdr:row>12</xdr:row>
      <xdr:rowOff>127000</xdr:rowOff>
    </xdr:from>
    <xdr:to>
      <xdr:col>17</xdr:col>
      <xdr:colOff>381000</xdr:colOff>
      <xdr:row>12</xdr:row>
      <xdr:rowOff>397320</xdr:rowOff>
    </xdr:to>
    <xdr:pic>
      <xdr:nvPicPr>
        <xdr:cNvPr id="24" name="Picture 13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7200900" y="3347085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190500</xdr:colOff>
      <xdr:row>11</xdr:row>
      <xdr:rowOff>136525</xdr:rowOff>
    </xdr:from>
    <xdr:to>
      <xdr:col>17</xdr:col>
      <xdr:colOff>400050</xdr:colOff>
      <xdr:row>11</xdr:row>
      <xdr:rowOff>406845</xdr:rowOff>
    </xdr:to>
    <xdr:pic>
      <xdr:nvPicPr>
        <xdr:cNvPr id="29" name="Picture 16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219950" y="2849245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16</xdr:row>
      <xdr:rowOff>69850</xdr:rowOff>
    </xdr:from>
    <xdr:to>
      <xdr:col>17</xdr:col>
      <xdr:colOff>394970</xdr:colOff>
      <xdr:row>16</xdr:row>
      <xdr:rowOff>445135</xdr:rowOff>
    </xdr:to>
    <xdr:pic>
      <xdr:nvPicPr>
        <xdr:cNvPr id="31" name="Picture 18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134225" y="5319395"/>
          <a:ext cx="290195" cy="3752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142875</xdr:colOff>
      <xdr:row>17</xdr:row>
      <xdr:rowOff>98425</xdr:rowOff>
    </xdr:from>
    <xdr:to>
      <xdr:col>17</xdr:col>
      <xdr:colOff>400050</xdr:colOff>
      <xdr:row>17</xdr:row>
      <xdr:rowOff>429895</xdr:rowOff>
    </xdr:to>
    <xdr:pic>
      <xdr:nvPicPr>
        <xdr:cNvPr id="32" name="Picture 19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7172325" y="5855335"/>
          <a:ext cx="257175" cy="331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90805</xdr:colOff>
      <xdr:row>81</xdr:row>
      <xdr:rowOff>117475</xdr:rowOff>
    </xdr:from>
    <xdr:to>
      <xdr:col>17</xdr:col>
      <xdr:colOff>434184</xdr:colOff>
      <xdr:row>81</xdr:row>
      <xdr:rowOff>374650</xdr:rowOff>
    </xdr:to>
    <xdr:pic>
      <xdr:nvPicPr>
        <xdr:cNvPr id="130" name="Picture 20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7120255" y="38345745"/>
          <a:ext cx="342900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125730</xdr:colOff>
      <xdr:row>82</xdr:row>
      <xdr:rowOff>136525</xdr:rowOff>
    </xdr:from>
    <xdr:to>
      <xdr:col>17</xdr:col>
      <xdr:colOff>430956</xdr:colOff>
      <xdr:row>82</xdr:row>
      <xdr:rowOff>365125</xdr:rowOff>
    </xdr:to>
    <xdr:pic>
      <xdr:nvPicPr>
        <xdr:cNvPr id="132" name="Picture 21"/>
        <xdr:cNvPicPr>
          <a:picLocks noChangeAspect="1" noChangeArrowheads="1"/>
        </xdr:cNvPicPr>
      </xdr:nvPicPr>
      <xdr:blipFill>
        <a:blip r:embed="rId48"/>
        <a:srcRect/>
        <a:stretch>
          <a:fillRect/>
        </a:stretch>
      </xdr:blipFill>
      <xdr:spPr>
        <a:xfrm>
          <a:off x="7155180" y="38872160"/>
          <a:ext cx="304800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87</xdr:row>
      <xdr:rowOff>98425</xdr:rowOff>
    </xdr:from>
    <xdr:to>
      <xdr:col>17</xdr:col>
      <xdr:colOff>427990</xdr:colOff>
      <xdr:row>87</xdr:row>
      <xdr:rowOff>354491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7143115" y="41370885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88</xdr:row>
      <xdr:rowOff>79375</xdr:rowOff>
    </xdr:from>
    <xdr:to>
      <xdr:col>17</xdr:col>
      <xdr:colOff>471170</xdr:colOff>
      <xdr:row>88</xdr:row>
      <xdr:rowOff>377825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7134225" y="41859200"/>
          <a:ext cx="366395" cy="2984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68580</xdr:colOff>
      <xdr:row>105</xdr:row>
      <xdr:rowOff>98425</xdr:rowOff>
    </xdr:from>
    <xdr:to>
      <xdr:col>17</xdr:col>
      <xdr:colOff>449580</xdr:colOff>
      <xdr:row>105</xdr:row>
      <xdr:rowOff>408810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7098030" y="50503455"/>
          <a:ext cx="381000" cy="3098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161925</xdr:colOff>
      <xdr:row>10</xdr:row>
      <xdr:rowOff>88900</xdr:rowOff>
    </xdr:from>
    <xdr:to>
      <xdr:col>17</xdr:col>
      <xdr:colOff>408305</xdr:colOff>
      <xdr:row>10</xdr:row>
      <xdr:rowOff>431800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1375" y="2294255"/>
          <a:ext cx="2463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59055</xdr:colOff>
      <xdr:row>26</xdr:row>
      <xdr:rowOff>79375</xdr:rowOff>
    </xdr:from>
    <xdr:to>
      <xdr:col>17</xdr:col>
      <xdr:colOff>484800</xdr:colOff>
      <xdr:row>26</xdr:row>
      <xdr:rowOff>374650</xdr:rowOff>
    </xdr:to>
    <xdr:pic>
      <xdr:nvPicPr>
        <xdr:cNvPr id="123" name="Picture 10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7088505" y="10402570"/>
          <a:ext cx="42545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148590</xdr:colOff>
      <xdr:row>25</xdr:row>
      <xdr:rowOff>117475</xdr:rowOff>
    </xdr:from>
    <xdr:to>
      <xdr:col>17</xdr:col>
      <xdr:colOff>396240</xdr:colOff>
      <xdr:row>25</xdr:row>
      <xdr:rowOff>399820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8040" y="9933305"/>
          <a:ext cx="24765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83</xdr:row>
      <xdr:rowOff>88900</xdr:rowOff>
    </xdr:from>
    <xdr:to>
      <xdr:col>17</xdr:col>
      <xdr:colOff>439691</xdr:colOff>
      <xdr:row>83</xdr:row>
      <xdr:rowOff>346075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62800" y="39331900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135890</xdr:colOff>
      <xdr:row>84</xdr:row>
      <xdr:rowOff>146050</xdr:rowOff>
    </xdr:from>
    <xdr:to>
      <xdr:col>17</xdr:col>
      <xdr:colOff>442231</xdr:colOff>
      <xdr:row>84</xdr:row>
      <xdr:rowOff>403225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65340" y="39896415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113030</xdr:colOff>
      <xdr:row>106</xdr:row>
      <xdr:rowOff>88900</xdr:rowOff>
    </xdr:from>
    <xdr:to>
      <xdr:col>17</xdr:col>
      <xdr:colOff>469239</xdr:colOff>
      <xdr:row>106</xdr:row>
      <xdr:rowOff>374650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2480" y="51001295"/>
          <a:ext cx="355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109855</xdr:colOff>
      <xdr:row>22</xdr:row>
      <xdr:rowOff>69850</xdr:rowOff>
    </xdr:from>
    <xdr:to>
      <xdr:col>17</xdr:col>
      <xdr:colOff>448310</xdr:colOff>
      <xdr:row>22</xdr:row>
      <xdr:rowOff>412115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39305" y="8363585"/>
          <a:ext cx="33845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89535</xdr:colOff>
      <xdr:row>53</xdr:row>
      <xdr:rowOff>107950</xdr:rowOff>
    </xdr:from>
    <xdr:to>
      <xdr:col>17</xdr:col>
      <xdr:colOff>470535</xdr:colOff>
      <xdr:row>53</xdr:row>
      <xdr:rowOff>396875</xdr:rowOff>
    </xdr:to>
    <xdr:pic>
      <xdr:nvPicPr>
        <xdr:cNvPr id="3" name="Picture 18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7118985" y="24130000"/>
          <a:ext cx="381000" cy="2889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162560</xdr:colOff>
      <xdr:row>44</xdr:row>
      <xdr:rowOff>87630</xdr:rowOff>
    </xdr:from>
    <xdr:to>
      <xdr:col>17</xdr:col>
      <xdr:colOff>410210</xdr:colOff>
      <xdr:row>44</xdr:row>
      <xdr:rowOff>390525</xdr:rowOff>
    </xdr:to>
    <xdr:pic>
      <xdr:nvPicPr>
        <xdr:cNvPr id="5" name="Picture 16079"/>
        <xdr:cNvPicPr>
          <a:picLocks noChangeAspect="1" noChangeArrowheads="1"/>
        </xdr:cNvPicPr>
      </xdr:nvPicPr>
      <xdr:blipFill>
        <a:blip r:embed="rId59" cstate="print"/>
        <a:srcRect/>
        <a:stretch>
          <a:fillRect/>
        </a:stretch>
      </xdr:blipFill>
      <xdr:spPr>
        <a:xfrm>
          <a:off x="7192010" y="1954339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57150</xdr:colOff>
      <xdr:row>104</xdr:row>
      <xdr:rowOff>142875</xdr:rowOff>
    </xdr:from>
    <xdr:to>
      <xdr:col>17</xdr:col>
      <xdr:colOff>524510</xdr:colOff>
      <xdr:row>104</xdr:row>
      <xdr:rowOff>295910</xdr:rowOff>
    </xdr:to>
    <xdr:pic>
      <xdr:nvPicPr>
        <xdr:cNvPr id="12" name="图片 11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086600" y="50040540"/>
          <a:ext cx="4673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55</xdr:row>
      <xdr:rowOff>92075</xdr:rowOff>
    </xdr:from>
    <xdr:to>
      <xdr:col>17</xdr:col>
      <xdr:colOff>429260</xdr:colOff>
      <xdr:row>55</xdr:row>
      <xdr:rowOff>375285</xdr:rowOff>
    </xdr:to>
    <xdr:pic>
      <xdr:nvPicPr>
        <xdr:cNvPr id="13" name="图片 12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7143750" y="2512885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161925</xdr:colOff>
      <xdr:row>54</xdr:row>
      <xdr:rowOff>63500</xdr:rowOff>
    </xdr:from>
    <xdr:to>
      <xdr:col>17</xdr:col>
      <xdr:colOff>386715</xdr:colOff>
      <xdr:row>54</xdr:row>
      <xdr:rowOff>379095</xdr:rowOff>
    </xdr:to>
    <xdr:pic>
      <xdr:nvPicPr>
        <xdr:cNvPr id="14" name="图片 1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191375" y="2459291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139700</xdr:colOff>
      <xdr:row>50</xdr:row>
      <xdr:rowOff>83185</xdr:rowOff>
    </xdr:from>
    <xdr:to>
      <xdr:col>17</xdr:col>
      <xdr:colOff>401955</xdr:colOff>
      <xdr:row>50</xdr:row>
      <xdr:rowOff>474345</xdr:rowOff>
    </xdr:to>
    <xdr:pic>
      <xdr:nvPicPr>
        <xdr:cNvPr id="9" name="图片 8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169150" y="22583140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113030</xdr:colOff>
      <xdr:row>69</xdr:row>
      <xdr:rowOff>74930</xdr:rowOff>
    </xdr:from>
    <xdr:to>
      <xdr:col>17</xdr:col>
      <xdr:colOff>497205</xdr:colOff>
      <xdr:row>69</xdr:row>
      <xdr:rowOff>492125</xdr:rowOff>
    </xdr:to>
    <xdr:pic>
      <xdr:nvPicPr>
        <xdr:cNvPr id="40" name="图片 39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142480" y="32214820"/>
          <a:ext cx="384175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121920</xdr:colOff>
      <xdr:row>70</xdr:row>
      <xdr:rowOff>16510</xdr:rowOff>
    </xdr:from>
    <xdr:to>
      <xdr:col>17</xdr:col>
      <xdr:colOff>467995</xdr:colOff>
      <xdr:row>70</xdr:row>
      <xdr:rowOff>435610</xdr:rowOff>
    </xdr:to>
    <xdr:pic>
      <xdr:nvPicPr>
        <xdr:cNvPr id="41" name="图片 40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151370" y="32663765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163195</xdr:colOff>
      <xdr:row>77</xdr:row>
      <xdr:rowOff>36195</xdr:rowOff>
    </xdr:from>
    <xdr:to>
      <xdr:col>17</xdr:col>
      <xdr:colOff>509270</xdr:colOff>
      <xdr:row>77</xdr:row>
      <xdr:rowOff>455295</xdr:rowOff>
    </xdr:to>
    <xdr:pic>
      <xdr:nvPicPr>
        <xdr:cNvPr id="42" name="图片 41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192645" y="36235005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278130</xdr:colOff>
      <xdr:row>67</xdr:row>
      <xdr:rowOff>24765</xdr:rowOff>
    </xdr:from>
    <xdr:to>
      <xdr:col>17</xdr:col>
      <xdr:colOff>472440</xdr:colOff>
      <xdr:row>67</xdr:row>
      <xdr:rowOff>458470</xdr:rowOff>
    </xdr:to>
    <xdr:pic>
      <xdr:nvPicPr>
        <xdr:cNvPr id="43" name="图片 4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307580" y="31149925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263525</xdr:colOff>
      <xdr:row>74</xdr:row>
      <xdr:rowOff>44450</xdr:rowOff>
    </xdr:from>
    <xdr:to>
      <xdr:col>17</xdr:col>
      <xdr:colOff>457835</xdr:colOff>
      <xdr:row>74</xdr:row>
      <xdr:rowOff>478155</xdr:rowOff>
    </xdr:to>
    <xdr:pic>
      <xdr:nvPicPr>
        <xdr:cNvPr id="46" name="图片 45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292975" y="34721165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76835</xdr:colOff>
      <xdr:row>71</xdr:row>
      <xdr:rowOff>60960</xdr:rowOff>
    </xdr:from>
    <xdr:to>
      <xdr:col>17</xdr:col>
      <xdr:colOff>462280</xdr:colOff>
      <xdr:row>71</xdr:row>
      <xdr:rowOff>452120</xdr:rowOff>
    </xdr:to>
    <xdr:pic>
      <xdr:nvPicPr>
        <xdr:cNvPr id="59" name="图片 58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106285" y="33215580"/>
          <a:ext cx="38544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125095</xdr:colOff>
      <xdr:row>66</xdr:row>
      <xdr:rowOff>92075</xdr:rowOff>
    </xdr:from>
    <xdr:to>
      <xdr:col>17</xdr:col>
      <xdr:colOff>461645</xdr:colOff>
      <xdr:row>66</xdr:row>
      <xdr:rowOff>426720</xdr:rowOff>
    </xdr:to>
    <xdr:pic>
      <xdr:nvPicPr>
        <xdr:cNvPr id="60" name="图片 59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154545" y="30709870"/>
          <a:ext cx="3365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73</xdr:row>
      <xdr:rowOff>65405</xdr:rowOff>
    </xdr:from>
    <xdr:to>
      <xdr:col>17</xdr:col>
      <xdr:colOff>431800</xdr:colOff>
      <xdr:row>73</xdr:row>
      <xdr:rowOff>400050</xdr:rowOff>
    </xdr:to>
    <xdr:pic>
      <xdr:nvPicPr>
        <xdr:cNvPr id="61" name="图片 60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124700" y="34234755"/>
          <a:ext cx="3365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65</xdr:row>
      <xdr:rowOff>123825</xdr:rowOff>
    </xdr:from>
    <xdr:to>
      <xdr:col>17</xdr:col>
      <xdr:colOff>524510</xdr:colOff>
      <xdr:row>65</xdr:row>
      <xdr:rowOff>389890</xdr:rowOff>
    </xdr:to>
    <xdr:pic>
      <xdr:nvPicPr>
        <xdr:cNvPr id="62" name="图片 61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134225" y="30234255"/>
          <a:ext cx="41973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64770</xdr:colOff>
      <xdr:row>72</xdr:row>
      <xdr:rowOff>142875</xdr:rowOff>
    </xdr:from>
    <xdr:to>
      <xdr:col>17</xdr:col>
      <xdr:colOff>484505</xdr:colOff>
      <xdr:row>72</xdr:row>
      <xdr:rowOff>408940</xdr:rowOff>
    </xdr:to>
    <xdr:pic>
      <xdr:nvPicPr>
        <xdr:cNvPr id="63" name="图片 62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094220" y="33804860"/>
          <a:ext cx="41973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64</xdr:row>
      <xdr:rowOff>85090</xdr:rowOff>
    </xdr:from>
    <xdr:to>
      <xdr:col>17</xdr:col>
      <xdr:colOff>427990</xdr:colOff>
      <xdr:row>64</xdr:row>
      <xdr:rowOff>473710</xdr:rowOff>
    </xdr:to>
    <xdr:pic>
      <xdr:nvPicPr>
        <xdr:cNvPr id="64" name="图片 63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096125" y="29688155"/>
          <a:ext cx="361315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154940</xdr:colOff>
      <xdr:row>8</xdr:row>
      <xdr:rowOff>27305</xdr:rowOff>
    </xdr:from>
    <xdr:to>
      <xdr:col>17</xdr:col>
      <xdr:colOff>382905</xdr:colOff>
      <xdr:row>8</xdr:row>
      <xdr:rowOff>502920</xdr:rowOff>
    </xdr:to>
    <xdr:pic>
      <xdr:nvPicPr>
        <xdr:cNvPr id="17" name="图片 1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184390" y="1217930"/>
          <a:ext cx="22796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197485</xdr:colOff>
      <xdr:row>79</xdr:row>
      <xdr:rowOff>24130</xdr:rowOff>
    </xdr:from>
    <xdr:to>
      <xdr:col>17</xdr:col>
      <xdr:colOff>334010</xdr:colOff>
      <xdr:row>79</xdr:row>
      <xdr:rowOff>503555</xdr:rowOff>
    </xdr:to>
    <xdr:pic>
      <xdr:nvPicPr>
        <xdr:cNvPr id="18" name="图片 17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226935" y="37237670"/>
          <a:ext cx="136525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51435</xdr:colOff>
      <xdr:row>80</xdr:row>
      <xdr:rowOff>123190</xdr:rowOff>
    </xdr:from>
    <xdr:to>
      <xdr:col>17</xdr:col>
      <xdr:colOff>526415</xdr:colOff>
      <xdr:row>80</xdr:row>
      <xdr:rowOff>410845</xdr:rowOff>
    </xdr:to>
    <xdr:pic>
      <xdr:nvPicPr>
        <xdr:cNvPr id="19" name="图片 18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080885" y="37844095"/>
          <a:ext cx="47498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165100</xdr:colOff>
      <xdr:row>20</xdr:row>
      <xdr:rowOff>15875</xdr:rowOff>
    </xdr:from>
    <xdr:to>
      <xdr:col>17</xdr:col>
      <xdr:colOff>400050</xdr:colOff>
      <xdr:row>20</xdr:row>
      <xdr:rowOff>447040</xdr:rowOff>
    </xdr:to>
    <xdr:pic>
      <xdr:nvPicPr>
        <xdr:cNvPr id="21" name="图片 20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7194550" y="7294880"/>
          <a:ext cx="23495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180975</xdr:colOff>
      <xdr:row>76</xdr:row>
      <xdr:rowOff>30480</xdr:rowOff>
    </xdr:from>
    <xdr:to>
      <xdr:col>17</xdr:col>
      <xdr:colOff>482600</xdr:colOff>
      <xdr:row>76</xdr:row>
      <xdr:rowOff>449580</xdr:rowOff>
    </xdr:to>
    <xdr:pic>
      <xdr:nvPicPr>
        <xdr:cNvPr id="7" name="图片 6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210425" y="35721925"/>
          <a:ext cx="30162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95885</xdr:colOff>
      <xdr:row>78</xdr:row>
      <xdr:rowOff>125095</xdr:rowOff>
    </xdr:from>
    <xdr:to>
      <xdr:col>17</xdr:col>
      <xdr:colOff>429260</xdr:colOff>
      <xdr:row>78</xdr:row>
      <xdr:rowOff>389890</xdr:rowOff>
    </xdr:to>
    <xdr:pic>
      <xdr:nvPicPr>
        <xdr:cNvPr id="16" name="图片 15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125335" y="36831270"/>
          <a:ext cx="33337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26670</xdr:colOff>
      <xdr:row>63</xdr:row>
      <xdr:rowOff>55245</xdr:rowOff>
    </xdr:from>
    <xdr:to>
      <xdr:col>17</xdr:col>
      <xdr:colOff>476250</xdr:colOff>
      <xdr:row>63</xdr:row>
      <xdr:rowOff>397510</xdr:rowOff>
    </xdr:to>
    <xdr:pic>
      <xdr:nvPicPr>
        <xdr:cNvPr id="11" name="图片 10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056120" y="29150945"/>
          <a:ext cx="44958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194310</xdr:colOff>
      <xdr:row>19</xdr:row>
      <xdr:rowOff>36195</xdr:rowOff>
    </xdr:from>
    <xdr:to>
      <xdr:col>17</xdr:col>
      <xdr:colOff>394970</xdr:colOff>
      <xdr:row>19</xdr:row>
      <xdr:rowOff>431800</xdr:rowOff>
    </xdr:to>
    <xdr:pic>
      <xdr:nvPicPr>
        <xdr:cNvPr id="10" name="图片 9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223760" y="6807835"/>
          <a:ext cx="200660" cy="395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154940</xdr:colOff>
      <xdr:row>9</xdr:row>
      <xdr:rowOff>50800</xdr:rowOff>
    </xdr:from>
    <xdr:to>
      <xdr:col>17</xdr:col>
      <xdr:colOff>383540</xdr:colOff>
      <xdr:row>9</xdr:row>
      <xdr:rowOff>483870</xdr:rowOff>
    </xdr:to>
    <xdr:pic>
      <xdr:nvPicPr>
        <xdr:cNvPr id="20" name="图片 19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184390" y="1748790"/>
          <a:ext cx="228600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148167</xdr:colOff>
      <xdr:row>24</xdr:row>
      <xdr:rowOff>77259</xdr:rowOff>
    </xdr:from>
    <xdr:to>
      <xdr:col>17</xdr:col>
      <xdr:colOff>462418</xdr:colOff>
      <xdr:row>24</xdr:row>
      <xdr:rowOff>439209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7405" y="9385300"/>
          <a:ext cx="3143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114300</xdr:colOff>
      <xdr:row>21</xdr:row>
      <xdr:rowOff>31115</xdr:rowOff>
    </xdr:from>
    <xdr:to>
      <xdr:col>17</xdr:col>
      <xdr:colOff>374015</xdr:colOff>
      <xdr:row>21</xdr:row>
      <xdr:rowOff>427990</xdr:rowOff>
    </xdr:to>
    <xdr:pic>
      <xdr:nvPicPr>
        <xdr:cNvPr id="114" name="图片 113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7143750" y="7817485"/>
          <a:ext cx="259715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71120</xdr:colOff>
      <xdr:row>38</xdr:row>
      <xdr:rowOff>95250</xdr:rowOff>
    </xdr:from>
    <xdr:to>
      <xdr:col>17</xdr:col>
      <xdr:colOff>484505</xdr:colOff>
      <xdr:row>38</xdr:row>
      <xdr:rowOff>395605</xdr:rowOff>
    </xdr:to>
    <xdr:pic>
      <xdr:nvPicPr>
        <xdr:cNvPr id="119" name="图片 118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100570" y="16506825"/>
          <a:ext cx="41338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71120</xdr:colOff>
      <xdr:row>37</xdr:row>
      <xdr:rowOff>95250</xdr:rowOff>
    </xdr:from>
    <xdr:to>
      <xdr:col>17</xdr:col>
      <xdr:colOff>497205</xdr:colOff>
      <xdr:row>37</xdr:row>
      <xdr:rowOff>405130</xdr:rowOff>
    </xdr:to>
    <xdr:pic>
      <xdr:nvPicPr>
        <xdr:cNvPr id="120" name="图片 119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100570" y="15999460"/>
          <a:ext cx="426085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97155</xdr:colOff>
      <xdr:row>56</xdr:row>
      <xdr:rowOff>96520</xdr:rowOff>
    </xdr:from>
    <xdr:to>
      <xdr:col>17</xdr:col>
      <xdr:colOff>438741</xdr:colOff>
      <xdr:row>56</xdr:row>
      <xdr:rowOff>351855</xdr:rowOff>
    </xdr:to>
    <xdr:pic>
      <xdr:nvPicPr>
        <xdr:cNvPr id="121" name="Picture 1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7126605" y="25640665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26670</xdr:colOff>
      <xdr:row>62</xdr:row>
      <xdr:rowOff>55245</xdr:rowOff>
    </xdr:from>
    <xdr:to>
      <xdr:col>17</xdr:col>
      <xdr:colOff>476250</xdr:colOff>
      <xdr:row>62</xdr:row>
      <xdr:rowOff>397510</xdr:rowOff>
    </xdr:to>
    <xdr:pic>
      <xdr:nvPicPr>
        <xdr:cNvPr id="128" name="图片 12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056120" y="28643580"/>
          <a:ext cx="44958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85725</xdr:colOff>
      <xdr:row>116</xdr:row>
      <xdr:rowOff>19050</xdr:rowOff>
    </xdr:from>
    <xdr:to>
      <xdr:col>17</xdr:col>
      <xdr:colOff>516890</xdr:colOff>
      <xdr:row>116</xdr:row>
      <xdr:rowOff>435610</xdr:rowOff>
    </xdr:to>
    <xdr:pic>
      <xdr:nvPicPr>
        <xdr:cNvPr id="116" name="图片 115"/>
        <xdr:cNvPicPr/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5175" y="56005095"/>
          <a:ext cx="431165" cy="4165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104775</xdr:colOff>
      <xdr:row>115</xdr:row>
      <xdr:rowOff>133350</xdr:rowOff>
    </xdr:from>
    <xdr:to>
      <xdr:col>17</xdr:col>
      <xdr:colOff>492760</xdr:colOff>
      <xdr:row>115</xdr:row>
      <xdr:rowOff>422275</xdr:rowOff>
    </xdr:to>
    <xdr:pic>
      <xdr:nvPicPr>
        <xdr:cNvPr id="117" name="图片 116"/>
        <xdr:cNvPicPr/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34225" y="55612030"/>
          <a:ext cx="38798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104775</xdr:colOff>
      <xdr:row>114</xdr:row>
      <xdr:rowOff>133350</xdr:rowOff>
    </xdr:from>
    <xdr:to>
      <xdr:col>17</xdr:col>
      <xdr:colOff>492760</xdr:colOff>
      <xdr:row>114</xdr:row>
      <xdr:rowOff>422275</xdr:rowOff>
    </xdr:to>
    <xdr:pic>
      <xdr:nvPicPr>
        <xdr:cNvPr id="127" name="图片 126"/>
        <xdr:cNvPicPr/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34225" y="55104665"/>
          <a:ext cx="38798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133350</xdr:colOff>
      <xdr:row>113</xdr:row>
      <xdr:rowOff>95250</xdr:rowOff>
    </xdr:from>
    <xdr:to>
      <xdr:col>17</xdr:col>
      <xdr:colOff>521335</xdr:colOff>
      <xdr:row>113</xdr:row>
      <xdr:rowOff>384175</xdr:rowOff>
    </xdr:to>
    <xdr:pic>
      <xdr:nvPicPr>
        <xdr:cNvPr id="129" name="图片 128"/>
        <xdr:cNvPicPr/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62800" y="54559200"/>
          <a:ext cx="38798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47625</xdr:colOff>
      <xdr:row>13</xdr:row>
      <xdr:rowOff>117475</xdr:rowOff>
    </xdr:from>
    <xdr:to>
      <xdr:col>17</xdr:col>
      <xdr:colOff>485775</xdr:colOff>
      <xdr:row>13</xdr:row>
      <xdr:rowOff>363220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85"/>
        <a:srcRect/>
        <a:stretch>
          <a:fillRect/>
        </a:stretch>
      </xdr:blipFill>
      <xdr:spPr>
        <a:xfrm>
          <a:off x="7077075" y="3844925"/>
          <a:ext cx="438150" cy="2457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57150</xdr:colOff>
      <xdr:row>15</xdr:row>
      <xdr:rowOff>127000</xdr:rowOff>
    </xdr:from>
    <xdr:to>
      <xdr:col>17</xdr:col>
      <xdr:colOff>504825</xdr:colOff>
      <xdr:row>15</xdr:row>
      <xdr:rowOff>378460</xdr:rowOff>
    </xdr:to>
    <xdr:pic>
      <xdr:nvPicPr>
        <xdr:cNvPr id="8" name="Picture 3"/>
        <xdr:cNvPicPr>
          <a:picLocks noChangeAspect="1" noChangeArrowheads="1"/>
        </xdr:cNvPicPr>
      </xdr:nvPicPr>
      <xdr:blipFill>
        <a:blip r:embed="rId86"/>
        <a:srcRect/>
        <a:stretch>
          <a:fillRect/>
        </a:stretch>
      </xdr:blipFill>
      <xdr:spPr>
        <a:xfrm>
          <a:off x="7086600" y="4869180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95250</xdr:colOff>
      <xdr:row>14</xdr:row>
      <xdr:rowOff>136525</xdr:rowOff>
    </xdr:from>
    <xdr:to>
      <xdr:col>17</xdr:col>
      <xdr:colOff>447675</xdr:colOff>
      <xdr:row>14</xdr:row>
      <xdr:rowOff>369570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4371340"/>
          <a:ext cx="352425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173355</xdr:colOff>
      <xdr:row>68</xdr:row>
      <xdr:rowOff>83820</xdr:rowOff>
    </xdr:from>
    <xdr:to>
      <xdr:col>17</xdr:col>
      <xdr:colOff>479425</xdr:colOff>
      <xdr:row>68</xdr:row>
      <xdr:rowOff>474345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2805" y="31716345"/>
          <a:ext cx="30607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109855</xdr:colOff>
      <xdr:row>75</xdr:row>
      <xdr:rowOff>62230</xdr:rowOff>
    </xdr:from>
    <xdr:to>
      <xdr:col>17</xdr:col>
      <xdr:colOff>415925</xdr:colOff>
      <xdr:row>75</xdr:row>
      <xdr:rowOff>452755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39305" y="35246310"/>
          <a:ext cx="30607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L13"/>
  <sheetViews>
    <sheetView view="pageBreakPreview" zoomScale="145" zoomScaleNormal="115" workbookViewId="0">
      <selection activeCell="C2" sqref="C2"/>
    </sheetView>
  </sheetViews>
  <sheetFormatPr defaultColWidth="9" defaultRowHeight="14.25"/>
  <cols>
    <col min="1" max="1" width="6.5" style="455" customWidth="1"/>
    <col min="2" max="2" width="19.5" style="455" customWidth="1"/>
    <col min="3" max="3" width="25.375" style="455" customWidth="1"/>
    <col min="4" max="4" width="17.125" style="455" customWidth="1"/>
    <col min="5" max="5" width="8.5" style="455" customWidth="1"/>
    <col min="6" max="16384" width="9" style="455"/>
  </cols>
  <sheetData>
    <row r="1" ht="50.1" customHeight="1" spans="1:12">
      <c r="A1" s="456" t="s">
        <v>0</v>
      </c>
      <c r="B1" s="456"/>
      <c r="C1" s="456"/>
      <c r="D1" s="456"/>
      <c r="E1" s="457"/>
      <c r="F1" s="457"/>
      <c r="G1" s="457"/>
      <c r="H1" s="457"/>
      <c r="I1" s="457"/>
      <c r="J1" s="457"/>
      <c r="K1" s="457"/>
      <c r="L1" s="457"/>
    </row>
    <row r="2" ht="35.1" customHeight="1" spans="1:12">
      <c r="A2" s="458" t="s">
        <v>1</v>
      </c>
      <c r="B2" s="458" t="s">
        <v>2</v>
      </c>
      <c r="C2" s="458" t="s">
        <v>3</v>
      </c>
      <c r="D2" s="458" t="s">
        <v>4</v>
      </c>
      <c r="E2" s="457"/>
      <c r="F2" s="457"/>
      <c r="G2" s="457"/>
      <c r="H2" s="457"/>
      <c r="I2" s="457"/>
      <c r="J2" s="457"/>
      <c r="K2" s="457"/>
      <c r="L2" s="457"/>
    </row>
    <row r="3" ht="35.1" customHeight="1" spans="1:12">
      <c r="A3" s="459">
        <v>1</v>
      </c>
      <c r="B3" s="460" t="s">
        <v>5</v>
      </c>
      <c r="C3" s="461" t="s">
        <v>6</v>
      </c>
      <c r="D3" s="460" t="s">
        <v>7</v>
      </c>
      <c r="E3" s="457"/>
      <c r="F3" s="457"/>
      <c r="G3" s="457"/>
      <c r="H3" s="457"/>
      <c r="I3" s="457"/>
      <c r="J3" s="457"/>
      <c r="K3" s="457"/>
      <c r="L3" s="457"/>
    </row>
    <row r="4" ht="35.1" customHeight="1" spans="1:12">
      <c r="A4" s="459">
        <v>2</v>
      </c>
      <c r="B4" s="460" t="s">
        <v>8</v>
      </c>
      <c r="C4" s="461" t="s">
        <v>9</v>
      </c>
      <c r="D4" s="460" t="s">
        <v>7</v>
      </c>
      <c r="E4" s="457"/>
      <c r="F4" s="457"/>
      <c r="G4" s="457"/>
      <c r="H4" s="457"/>
      <c r="I4" s="457"/>
      <c r="J4" s="457"/>
      <c r="K4" s="457"/>
      <c r="L4" s="457"/>
    </row>
    <row r="5" ht="27" spans="1:12">
      <c r="A5" s="457"/>
      <c r="B5" s="457"/>
      <c r="C5" s="457"/>
      <c r="D5" s="457"/>
      <c r="E5" s="457"/>
      <c r="F5" s="457"/>
      <c r="G5" s="457"/>
      <c r="H5" s="457"/>
      <c r="I5" s="457"/>
      <c r="J5" s="457"/>
      <c r="K5" s="457"/>
      <c r="L5" s="457"/>
    </row>
    <row r="6" ht="27" spans="1:12">
      <c r="A6" s="457"/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</row>
    <row r="7" ht="27" spans="1:12">
      <c r="A7" s="457"/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</row>
    <row r="8" ht="27" spans="1:12">
      <c r="A8" s="457"/>
      <c r="B8" s="457"/>
      <c r="C8" s="457"/>
      <c r="D8" s="457"/>
      <c r="E8" s="457"/>
      <c r="F8" s="457"/>
      <c r="G8" s="457"/>
      <c r="H8" s="457"/>
      <c r="I8" s="457"/>
      <c r="J8" s="457"/>
      <c r="K8" s="457"/>
      <c r="L8" s="457"/>
    </row>
    <row r="9" ht="27" spans="1:12">
      <c r="A9" s="457"/>
      <c r="B9" s="457"/>
      <c r="C9" s="457"/>
      <c r="D9" s="457"/>
      <c r="E9" s="457"/>
      <c r="F9" s="457"/>
      <c r="G9" s="457"/>
      <c r="H9" s="457"/>
      <c r="I9" s="457"/>
      <c r="J9" s="457"/>
      <c r="K9" s="457"/>
      <c r="L9" s="457"/>
    </row>
    <row r="10" ht="27" spans="1:12">
      <c r="A10" s="457"/>
      <c r="B10" s="457"/>
      <c r="C10" s="457"/>
      <c r="D10" s="457"/>
      <c r="E10" s="457"/>
      <c r="F10" s="457"/>
      <c r="G10" s="457"/>
      <c r="H10" s="457"/>
      <c r="I10" s="457"/>
      <c r="J10" s="457"/>
      <c r="K10" s="457"/>
      <c r="L10" s="457"/>
    </row>
    <row r="11" ht="27" spans="1:12">
      <c r="A11" s="457"/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</row>
    <row r="12" ht="27" spans="1:12">
      <c r="A12" s="457"/>
      <c r="B12" s="457"/>
      <c r="C12" s="457"/>
      <c r="D12" s="457"/>
      <c r="E12" s="457"/>
      <c r="F12" s="457"/>
      <c r="G12" s="457"/>
      <c r="H12" s="457"/>
      <c r="I12" s="457"/>
      <c r="J12" s="457"/>
      <c r="K12" s="457"/>
      <c r="L12" s="457"/>
    </row>
    <row r="13" ht="27" spans="1:12">
      <c r="A13" s="457"/>
      <c r="B13" s="457"/>
      <c r="C13" s="457"/>
      <c r="D13" s="457"/>
      <c r="E13" s="457"/>
      <c r="F13" s="457"/>
      <c r="G13" s="457"/>
      <c r="H13" s="457"/>
      <c r="I13" s="457"/>
      <c r="J13" s="457"/>
      <c r="K13" s="457"/>
      <c r="L13" s="457"/>
    </row>
  </sheetData>
  <mergeCells count="1">
    <mergeCell ref="A1:D1"/>
  </mergeCells>
  <conditionalFormatting sqref="N26:N27">
    <cfRule type="cellIs" dxfId="0" priority="5" stopIfTrue="1" operator="equal">
      <formula>"DEL"</formula>
    </cfRule>
    <cfRule type="cellIs" dxfId="1" priority="6" stopIfTrue="1" operator="equal">
      <formula>"N/A"</formula>
    </cfRule>
    <cfRule type="cellIs" dxfId="2" priority="7" stopIfTrue="1" operator="equal">
      <formula>"TBD"</formula>
    </cfRule>
  </conditionalFormatting>
  <conditionalFormatting sqref="I18:I21 P18:P21">
    <cfRule type="containsText" dxfId="3" priority="1" operator="between" text=" ">
      <formula>NOT(ISERROR(SEARCH(" ",I18)))</formula>
    </cfRule>
  </conditionalFormatting>
  <printOptions horizontalCentered="1"/>
  <pageMargins left="0.700694444444445" right="0.700694444444445" top="0.751388888888889" bottom="0.751388888888889" header="0.297916666666667" footer="0.297916666666667"/>
  <pageSetup paperSize="8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D63"/>
  <sheetViews>
    <sheetView view="pageBreakPreview" zoomScale="77" zoomScaleNormal="100" workbookViewId="0">
      <selection activeCell="H17" sqref="H17:J17"/>
    </sheetView>
  </sheetViews>
  <sheetFormatPr defaultColWidth="9" defaultRowHeight="17.25"/>
  <cols>
    <col min="1" max="1" width="3.75" style="356" customWidth="1"/>
    <col min="2" max="2" width="7.625" style="356" customWidth="1"/>
    <col min="3" max="3" width="8.75" style="356" customWidth="1"/>
    <col min="4" max="4" width="9.75" style="356" customWidth="1"/>
    <col min="5" max="5" width="8.75" style="356" customWidth="1"/>
    <col min="6" max="6" width="15.625" style="356" customWidth="1"/>
    <col min="7" max="7" width="27.75" style="356" customWidth="1"/>
    <col min="8" max="8" width="4.875" style="356" customWidth="1"/>
    <col min="9" max="9" width="4.625" style="356" customWidth="1"/>
    <col min="10" max="10" width="14.375" style="356" customWidth="1"/>
    <col min="11" max="11" width="25.625" style="356" customWidth="1"/>
    <col min="12" max="12" width="10.875" style="356" customWidth="1"/>
    <col min="13" max="13" width="3.5" style="356" customWidth="1"/>
    <col min="14" max="14" width="6.375" style="356" customWidth="1"/>
    <col min="15" max="15" width="5" style="356" customWidth="1"/>
    <col min="16" max="16" width="5.875" style="356" customWidth="1"/>
    <col min="17" max="18" width="7.875" style="356" customWidth="1"/>
    <col min="19" max="19" width="6.125" style="356" customWidth="1"/>
    <col min="20" max="20" width="13.125" style="356" customWidth="1"/>
    <col min="21" max="21" width="25.625" style="356" customWidth="1"/>
    <col min="22" max="22" width="4.625" style="356" customWidth="1"/>
    <col min="23" max="23" width="8" style="356" customWidth="1"/>
    <col min="24" max="24" width="11.5" style="356" customWidth="1"/>
    <col min="25" max="25" width="11.625" style="356" customWidth="1"/>
    <col min="26" max="26" width="13.125" style="356" customWidth="1"/>
    <col min="27" max="27" width="10" style="356" customWidth="1"/>
    <col min="28" max="28" width="11.25" style="356" customWidth="1"/>
    <col min="29" max="249" width="9" style="356"/>
    <col min="250" max="250" width="3.125" style="356" customWidth="1"/>
    <col min="251" max="251" width="7.625" style="356" customWidth="1"/>
    <col min="252" max="252" width="4.125" style="356" customWidth="1"/>
    <col min="253" max="253" width="17" style="356" customWidth="1"/>
    <col min="254" max="254" width="3.625" style="356" customWidth="1"/>
    <col min="255" max="255" width="9.125" style="356" customWidth="1"/>
    <col min="256" max="256" width="3.625" style="356" customWidth="1"/>
    <col min="257" max="257" width="4.625" style="356" customWidth="1"/>
    <col min="258" max="258" width="9.625" style="356" customWidth="1"/>
    <col min="259" max="259" width="10.125" style="356" customWidth="1"/>
    <col min="260" max="260" width="10.25" style="356" customWidth="1"/>
    <col min="261" max="261" width="4.625" style="356" customWidth="1"/>
    <col min="262" max="262" width="5" style="356" customWidth="1"/>
    <col min="263" max="263" width="11.125" style="356" customWidth="1"/>
    <col min="264" max="264" width="16.125" style="356" customWidth="1"/>
    <col min="265" max="265" width="4.75" style="356" customWidth="1"/>
    <col min="266" max="266" width="3.625" style="356" customWidth="1"/>
    <col min="267" max="267" width="5.125" style="356" customWidth="1"/>
    <col min="268" max="268" width="3.125" style="356" customWidth="1"/>
    <col min="269" max="269" width="4.625" style="356" customWidth="1"/>
    <col min="270" max="270" width="5" style="356" customWidth="1"/>
    <col min="271" max="272" width="9.75" style="356" customWidth="1"/>
    <col min="273" max="274" width="7.875" style="356" customWidth="1"/>
    <col min="275" max="505" width="9" style="356"/>
    <col min="506" max="506" width="3.125" style="356" customWidth="1"/>
    <col min="507" max="507" width="7.625" style="356" customWidth="1"/>
    <col min="508" max="508" width="4.125" style="356" customWidth="1"/>
    <col min="509" max="509" width="17" style="356" customWidth="1"/>
    <col min="510" max="510" width="3.625" style="356" customWidth="1"/>
    <col min="511" max="511" width="9.125" style="356" customWidth="1"/>
    <col min="512" max="512" width="3.625" style="356" customWidth="1"/>
    <col min="513" max="513" width="4.625" style="356" customWidth="1"/>
    <col min="514" max="514" width="9.625" style="356" customWidth="1"/>
    <col min="515" max="515" width="10.125" style="356" customWidth="1"/>
    <col min="516" max="516" width="10.25" style="356" customWidth="1"/>
    <col min="517" max="517" width="4.625" style="356" customWidth="1"/>
    <col min="518" max="518" width="5" style="356" customWidth="1"/>
    <col min="519" max="519" width="11.125" style="356" customWidth="1"/>
    <col min="520" max="520" width="16.125" style="356" customWidth="1"/>
    <col min="521" max="521" width="4.75" style="356" customWidth="1"/>
    <col min="522" max="522" width="3.625" style="356" customWidth="1"/>
    <col min="523" max="523" width="5.125" style="356" customWidth="1"/>
    <col min="524" max="524" width="3.125" style="356" customWidth="1"/>
    <col min="525" max="525" width="4.625" style="356" customWidth="1"/>
    <col min="526" max="526" width="5" style="356" customWidth="1"/>
    <col min="527" max="528" width="9.75" style="356" customWidth="1"/>
    <col min="529" max="530" width="7.875" style="356" customWidth="1"/>
    <col min="531" max="761" width="9" style="356"/>
    <col min="762" max="762" width="3.125" style="356" customWidth="1"/>
    <col min="763" max="763" width="7.625" style="356" customWidth="1"/>
    <col min="764" max="764" width="4.125" style="356" customWidth="1"/>
    <col min="765" max="765" width="17" style="356" customWidth="1"/>
    <col min="766" max="766" width="3.625" style="356" customWidth="1"/>
    <col min="767" max="767" width="9.125" style="356" customWidth="1"/>
    <col min="768" max="768" width="3.625" style="356" customWidth="1"/>
    <col min="769" max="769" width="4.625" style="356" customWidth="1"/>
    <col min="770" max="770" width="9.625" style="356" customWidth="1"/>
    <col min="771" max="771" width="10.125" style="356" customWidth="1"/>
    <col min="772" max="772" width="10.25" style="356" customWidth="1"/>
    <col min="773" max="773" width="4.625" style="356" customWidth="1"/>
    <col min="774" max="774" width="5" style="356" customWidth="1"/>
    <col min="775" max="775" width="11.125" style="356" customWidth="1"/>
    <col min="776" max="776" width="16.125" style="356" customWidth="1"/>
    <col min="777" max="777" width="4.75" style="356" customWidth="1"/>
    <col min="778" max="778" width="3.625" style="356" customWidth="1"/>
    <col min="779" max="779" width="5.125" style="356" customWidth="1"/>
    <col min="780" max="780" width="3.125" style="356" customWidth="1"/>
    <col min="781" max="781" width="4.625" style="356" customWidth="1"/>
    <col min="782" max="782" width="5" style="356" customWidth="1"/>
    <col min="783" max="784" width="9.75" style="356" customWidth="1"/>
    <col min="785" max="786" width="7.875" style="356" customWidth="1"/>
    <col min="787" max="1017" width="9" style="356"/>
    <col min="1018" max="1018" width="3.125" style="356" customWidth="1"/>
    <col min="1019" max="1019" width="7.625" style="356" customWidth="1"/>
    <col min="1020" max="1020" width="4.125" style="356" customWidth="1"/>
    <col min="1021" max="1021" width="17" style="356" customWidth="1"/>
    <col min="1022" max="1022" width="3.625" style="356" customWidth="1"/>
    <col min="1023" max="1023" width="9.125" style="356" customWidth="1"/>
    <col min="1024" max="1024" width="3.625" style="356" customWidth="1"/>
    <col min="1025" max="1025" width="4.625" style="356" customWidth="1"/>
    <col min="1026" max="1026" width="9.625" style="356" customWidth="1"/>
    <col min="1027" max="1027" width="10.125" style="356" customWidth="1"/>
    <col min="1028" max="1028" width="10.25" style="356" customWidth="1"/>
    <col min="1029" max="1029" width="4.625" style="356" customWidth="1"/>
    <col min="1030" max="1030" width="5" style="356" customWidth="1"/>
    <col min="1031" max="1031" width="11.125" style="356" customWidth="1"/>
    <col min="1032" max="1032" width="16.125" style="356" customWidth="1"/>
    <col min="1033" max="1033" width="4.75" style="356" customWidth="1"/>
    <col min="1034" max="1034" width="3.625" style="356" customWidth="1"/>
    <col min="1035" max="1035" width="5.125" style="356" customWidth="1"/>
    <col min="1036" max="1036" width="3.125" style="356" customWidth="1"/>
    <col min="1037" max="1037" width="4.625" style="356" customWidth="1"/>
    <col min="1038" max="1038" width="5" style="356" customWidth="1"/>
    <col min="1039" max="1040" width="9.75" style="356" customWidth="1"/>
    <col min="1041" max="1042" width="7.875" style="356" customWidth="1"/>
    <col min="1043" max="1273" width="9" style="356"/>
    <col min="1274" max="1274" width="3.125" style="356" customWidth="1"/>
    <col min="1275" max="1275" width="7.625" style="356" customWidth="1"/>
    <col min="1276" max="1276" width="4.125" style="356" customWidth="1"/>
    <col min="1277" max="1277" width="17" style="356" customWidth="1"/>
    <col min="1278" max="1278" width="3.625" style="356" customWidth="1"/>
    <col min="1279" max="1279" width="9.125" style="356" customWidth="1"/>
    <col min="1280" max="1280" width="3.625" style="356" customWidth="1"/>
    <col min="1281" max="1281" width="4.625" style="356" customWidth="1"/>
    <col min="1282" max="1282" width="9.625" style="356" customWidth="1"/>
    <col min="1283" max="1283" width="10.125" style="356" customWidth="1"/>
    <col min="1284" max="1284" width="10.25" style="356" customWidth="1"/>
    <col min="1285" max="1285" width="4.625" style="356" customWidth="1"/>
    <col min="1286" max="1286" width="5" style="356" customWidth="1"/>
    <col min="1287" max="1287" width="11.125" style="356" customWidth="1"/>
    <col min="1288" max="1288" width="16.125" style="356" customWidth="1"/>
    <col min="1289" max="1289" width="4.75" style="356" customWidth="1"/>
    <col min="1290" max="1290" width="3.625" style="356" customWidth="1"/>
    <col min="1291" max="1291" width="5.125" style="356" customWidth="1"/>
    <col min="1292" max="1292" width="3.125" style="356" customWidth="1"/>
    <col min="1293" max="1293" width="4.625" style="356" customWidth="1"/>
    <col min="1294" max="1294" width="5" style="356" customWidth="1"/>
    <col min="1295" max="1296" width="9.75" style="356" customWidth="1"/>
    <col min="1297" max="1298" width="7.875" style="356" customWidth="1"/>
    <col min="1299" max="1529" width="9" style="356"/>
    <col min="1530" max="1530" width="3.125" style="356" customWidth="1"/>
    <col min="1531" max="1531" width="7.625" style="356" customWidth="1"/>
    <col min="1532" max="1532" width="4.125" style="356" customWidth="1"/>
    <col min="1533" max="1533" width="17" style="356" customWidth="1"/>
    <col min="1534" max="1534" width="3.625" style="356" customWidth="1"/>
    <col min="1535" max="1535" width="9.125" style="356" customWidth="1"/>
    <col min="1536" max="1536" width="3.625" style="356" customWidth="1"/>
    <col min="1537" max="1537" width="4.625" style="356" customWidth="1"/>
    <col min="1538" max="1538" width="9.625" style="356" customWidth="1"/>
    <col min="1539" max="1539" width="10.125" style="356" customWidth="1"/>
    <col min="1540" max="1540" width="10.25" style="356" customWidth="1"/>
    <col min="1541" max="1541" width="4.625" style="356" customWidth="1"/>
    <col min="1542" max="1542" width="5" style="356" customWidth="1"/>
    <col min="1543" max="1543" width="11.125" style="356" customWidth="1"/>
    <col min="1544" max="1544" width="16.125" style="356" customWidth="1"/>
    <col min="1545" max="1545" width="4.75" style="356" customWidth="1"/>
    <col min="1546" max="1546" width="3.625" style="356" customWidth="1"/>
    <col min="1547" max="1547" width="5.125" style="356" customWidth="1"/>
    <col min="1548" max="1548" width="3.125" style="356" customWidth="1"/>
    <col min="1549" max="1549" width="4.625" style="356" customWidth="1"/>
    <col min="1550" max="1550" width="5" style="356" customWidth="1"/>
    <col min="1551" max="1552" width="9.75" style="356" customWidth="1"/>
    <col min="1553" max="1554" width="7.875" style="356" customWidth="1"/>
    <col min="1555" max="1785" width="9" style="356"/>
    <col min="1786" max="1786" width="3.125" style="356" customWidth="1"/>
    <col min="1787" max="1787" width="7.625" style="356" customWidth="1"/>
    <col min="1788" max="1788" width="4.125" style="356" customWidth="1"/>
    <col min="1789" max="1789" width="17" style="356" customWidth="1"/>
    <col min="1790" max="1790" width="3.625" style="356" customWidth="1"/>
    <col min="1791" max="1791" width="9.125" style="356" customWidth="1"/>
    <col min="1792" max="1792" width="3.625" style="356" customWidth="1"/>
    <col min="1793" max="1793" width="4.625" style="356" customWidth="1"/>
    <col min="1794" max="1794" width="9.625" style="356" customWidth="1"/>
    <col min="1795" max="1795" width="10.125" style="356" customWidth="1"/>
    <col min="1796" max="1796" width="10.25" style="356" customWidth="1"/>
    <col min="1797" max="1797" width="4.625" style="356" customWidth="1"/>
    <col min="1798" max="1798" width="5" style="356" customWidth="1"/>
    <col min="1799" max="1799" width="11.125" style="356" customWidth="1"/>
    <col min="1800" max="1800" width="16.125" style="356" customWidth="1"/>
    <col min="1801" max="1801" width="4.75" style="356" customWidth="1"/>
    <col min="1802" max="1802" width="3.625" style="356" customWidth="1"/>
    <col min="1803" max="1803" width="5.125" style="356" customWidth="1"/>
    <col min="1804" max="1804" width="3.125" style="356" customWidth="1"/>
    <col min="1805" max="1805" width="4.625" style="356" customWidth="1"/>
    <col min="1806" max="1806" width="5" style="356" customWidth="1"/>
    <col min="1807" max="1808" width="9.75" style="356" customWidth="1"/>
    <col min="1809" max="1810" width="7.875" style="356" customWidth="1"/>
    <col min="1811" max="2041" width="9" style="356"/>
    <col min="2042" max="2042" width="3.125" style="356" customWidth="1"/>
    <col min="2043" max="2043" width="7.625" style="356" customWidth="1"/>
    <col min="2044" max="2044" width="4.125" style="356" customWidth="1"/>
    <col min="2045" max="2045" width="17" style="356" customWidth="1"/>
    <col min="2046" max="2046" width="3.625" style="356" customWidth="1"/>
    <col min="2047" max="2047" width="9.125" style="356" customWidth="1"/>
    <col min="2048" max="2048" width="3.625" style="356" customWidth="1"/>
    <col min="2049" max="2049" width="4.625" style="356" customWidth="1"/>
    <col min="2050" max="2050" width="9.625" style="356" customWidth="1"/>
    <col min="2051" max="2051" width="10.125" style="356" customWidth="1"/>
    <col min="2052" max="2052" width="10.25" style="356" customWidth="1"/>
    <col min="2053" max="2053" width="4.625" style="356" customWidth="1"/>
    <col min="2054" max="2054" width="5" style="356" customWidth="1"/>
    <col min="2055" max="2055" width="11.125" style="356" customWidth="1"/>
    <col min="2056" max="2056" width="16.125" style="356" customWidth="1"/>
    <col min="2057" max="2057" width="4.75" style="356" customWidth="1"/>
    <col min="2058" max="2058" width="3.625" style="356" customWidth="1"/>
    <col min="2059" max="2059" width="5.125" style="356" customWidth="1"/>
    <col min="2060" max="2060" width="3.125" style="356" customWidth="1"/>
    <col min="2061" max="2061" width="4.625" style="356" customWidth="1"/>
    <col min="2062" max="2062" width="5" style="356" customWidth="1"/>
    <col min="2063" max="2064" width="9.75" style="356" customWidth="1"/>
    <col min="2065" max="2066" width="7.875" style="356" customWidth="1"/>
    <col min="2067" max="2297" width="9" style="356"/>
    <col min="2298" max="2298" width="3.125" style="356" customWidth="1"/>
    <col min="2299" max="2299" width="7.625" style="356" customWidth="1"/>
    <col min="2300" max="2300" width="4.125" style="356" customWidth="1"/>
    <col min="2301" max="2301" width="17" style="356" customWidth="1"/>
    <col min="2302" max="2302" width="3.625" style="356" customWidth="1"/>
    <col min="2303" max="2303" width="9.125" style="356" customWidth="1"/>
    <col min="2304" max="2304" width="3.625" style="356" customWidth="1"/>
    <col min="2305" max="2305" width="4.625" style="356" customWidth="1"/>
    <col min="2306" max="2306" width="9.625" style="356" customWidth="1"/>
    <col min="2307" max="2307" width="10.125" style="356" customWidth="1"/>
    <col min="2308" max="2308" width="10.25" style="356" customWidth="1"/>
    <col min="2309" max="2309" width="4.625" style="356" customWidth="1"/>
    <col min="2310" max="2310" width="5" style="356" customWidth="1"/>
    <col min="2311" max="2311" width="11.125" style="356" customWidth="1"/>
    <col min="2312" max="2312" width="16.125" style="356" customWidth="1"/>
    <col min="2313" max="2313" width="4.75" style="356" customWidth="1"/>
    <col min="2314" max="2314" width="3.625" style="356" customWidth="1"/>
    <col min="2315" max="2315" width="5.125" style="356" customWidth="1"/>
    <col min="2316" max="2316" width="3.125" style="356" customWidth="1"/>
    <col min="2317" max="2317" width="4.625" style="356" customWidth="1"/>
    <col min="2318" max="2318" width="5" style="356" customWidth="1"/>
    <col min="2319" max="2320" width="9.75" style="356" customWidth="1"/>
    <col min="2321" max="2322" width="7.875" style="356" customWidth="1"/>
    <col min="2323" max="2553" width="9" style="356"/>
    <col min="2554" max="2554" width="3.125" style="356" customWidth="1"/>
    <col min="2555" max="2555" width="7.625" style="356" customWidth="1"/>
    <col min="2556" max="2556" width="4.125" style="356" customWidth="1"/>
    <col min="2557" max="2557" width="17" style="356" customWidth="1"/>
    <col min="2558" max="2558" width="3.625" style="356" customWidth="1"/>
    <col min="2559" max="2559" width="9.125" style="356" customWidth="1"/>
    <col min="2560" max="2560" width="3.625" style="356" customWidth="1"/>
    <col min="2561" max="2561" width="4.625" style="356" customWidth="1"/>
    <col min="2562" max="2562" width="9.625" style="356" customWidth="1"/>
    <col min="2563" max="2563" width="10.125" style="356" customWidth="1"/>
    <col min="2564" max="2564" width="10.25" style="356" customWidth="1"/>
    <col min="2565" max="2565" width="4.625" style="356" customWidth="1"/>
    <col min="2566" max="2566" width="5" style="356" customWidth="1"/>
    <col min="2567" max="2567" width="11.125" style="356" customWidth="1"/>
    <col min="2568" max="2568" width="16.125" style="356" customWidth="1"/>
    <col min="2569" max="2569" width="4.75" style="356" customWidth="1"/>
    <col min="2570" max="2570" width="3.625" style="356" customWidth="1"/>
    <col min="2571" max="2571" width="5.125" style="356" customWidth="1"/>
    <col min="2572" max="2572" width="3.125" style="356" customWidth="1"/>
    <col min="2573" max="2573" width="4.625" style="356" customWidth="1"/>
    <col min="2574" max="2574" width="5" style="356" customWidth="1"/>
    <col min="2575" max="2576" width="9.75" style="356" customWidth="1"/>
    <col min="2577" max="2578" width="7.875" style="356" customWidth="1"/>
    <col min="2579" max="2809" width="9" style="356"/>
    <col min="2810" max="2810" width="3.125" style="356" customWidth="1"/>
    <col min="2811" max="2811" width="7.625" style="356" customWidth="1"/>
    <col min="2812" max="2812" width="4.125" style="356" customWidth="1"/>
    <col min="2813" max="2813" width="17" style="356" customWidth="1"/>
    <col min="2814" max="2814" width="3.625" style="356" customWidth="1"/>
    <col min="2815" max="2815" width="9.125" style="356" customWidth="1"/>
    <col min="2816" max="2816" width="3.625" style="356" customWidth="1"/>
    <col min="2817" max="2817" width="4.625" style="356" customWidth="1"/>
    <col min="2818" max="2818" width="9.625" style="356" customWidth="1"/>
    <col min="2819" max="2819" width="10.125" style="356" customWidth="1"/>
    <col min="2820" max="2820" width="10.25" style="356" customWidth="1"/>
    <col min="2821" max="2821" width="4.625" style="356" customWidth="1"/>
    <col min="2822" max="2822" width="5" style="356" customWidth="1"/>
    <col min="2823" max="2823" width="11.125" style="356" customWidth="1"/>
    <col min="2824" max="2824" width="16.125" style="356" customWidth="1"/>
    <col min="2825" max="2825" width="4.75" style="356" customWidth="1"/>
    <col min="2826" max="2826" width="3.625" style="356" customWidth="1"/>
    <col min="2827" max="2827" width="5.125" style="356" customWidth="1"/>
    <col min="2828" max="2828" width="3.125" style="356" customWidth="1"/>
    <col min="2829" max="2829" width="4.625" style="356" customWidth="1"/>
    <col min="2830" max="2830" width="5" style="356" customWidth="1"/>
    <col min="2831" max="2832" width="9.75" style="356" customWidth="1"/>
    <col min="2833" max="2834" width="7.875" style="356" customWidth="1"/>
    <col min="2835" max="3065" width="9" style="356"/>
    <col min="3066" max="3066" width="3.125" style="356" customWidth="1"/>
    <col min="3067" max="3067" width="7.625" style="356" customWidth="1"/>
    <col min="3068" max="3068" width="4.125" style="356" customWidth="1"/>
    <col min="3069" max="3069" width="17" style="356" customWidth="1"/>
    <col min="3070" max="3070" width="3.625" style="356" customWidth="1"/>
    <col min="3071" max="3071" width="9.125" style="356" customWidth="1"/>
    <col min="3072" max="3072" width="3.625" style="356" customWidth="1"/>
    <col min="3073" max="3073" width="4.625" style="356" customWidth="1"/>
    <col min="3074" max="3074" width="9.625" style="356" customWidth="1"/>
    <col min="3075" max="3075" width="10.125" style="356" customWidth="1"/>
    <col min="3076" max="3076" width="10.25" style="356" customWidth="1"/>
    <col min="3077" max="3077" width="4.625" style="356" customWidth="1"/>
    <col min="3078" max="3078" width="5" style="356" customWidth="1"/>
    <col min="3079" max="3079" width="11.125" style="356" customWidth="1"/>
    <col min="3080" max="3080" width="16.125" style="356" customWidth="1"/>
    <col min="3081" max="3081" width="4.75" style="356" customWidth="1"/>
    <col min="3082" max="3082" width="3.625" style="356" customWidth="1"/>
    <col min="3083" max="3083" width="5.125" style="356" customWidth="1"/>
    <col min="3084" max="3084" width="3.125" style="356" customWidth="1"/>
    <col min="3085" max="3085" width="4.625" style="356" customWidth="1"/>
    <col min="3086" max="3086" width="5" style="356" customWidth="1"/>
    <col min="3087" max="3088" width="9.75" style="356" customWidth="1"/>
    <col min="3089" max="3090" width="7.875" style="356" customWidth="1"/>
    <col min="3091" max="3321" width="9" style="356"/>
    <col min="3322" max="3322" width="3.125" style="356" customWidth="1"/>
    <col min="3323" max="3323" width="7.625" style="356" customWidth="1"/>
    <col min="3324" max="3324" width="4.125" style="356" customWidth="1"/>
    <col min="3325" max="3325" width="17" style="356" customWidth="1"/>
    <col min="3326" max="3326" width="3.625" style="356" customWidth="1"/>
    <col min="3327" max="3327" width="9.125" style="356" customWidth="1"/>
    <col min="3328" max="3328" width="3.625" style="356" customWidth="1"/>
    <col min="3329" max="3329" width="4.625" style="356" customWidth="1"/>
    <col min="3330" max="3330" width="9.625" style="356" customWidth="1"/>
    <col min="3331" max="3331" width="10.125" style="356" customWidth="1"/>
    <col min="3332" max="3332" width="10.25" style="356" customWidth="1"/>
    <col min="3333" max="3333" width="4.625" style="356" customWidth="1"/>
    <col min="3334" max="3334" width="5" style="356" customWidth="1"/>
    <col min="3335" max="3335" width="11.125" style="356" customWidth="1"/>
    <col min="3336" max="3336" width="16.125" style="356" customWidth="1"/>
    <col min="3337" max="3337" width="4.75" style="356" customWidth="1"/>
    <col min="3338" max="3338" width="3.625" style="356" customWidth="1"/>
    <col min="3339" max="3339" width="5.125" style="356" customWidth="1"/>
    <col min="3340" max="3340" width="3.125" style="356" customWidth="1"/>
    <col min="3341" max="3341" width="4.625" style="356" customWidth="1"/>
    <col min="3342" max="3342" width="5" style="356" customWidth="1"/>
    <col min="3343" max="3344" width="9.75" style="356" customWidth="1"/>
    <col min="3345" max="3346" width="7.875" style="356" customWidth="1"/>
    <col min="3347" max="3577" width="9" style="356"/>
    <col min="3578" max="3578" width="3.125" style="356" customWidth="1"/>
    <col min="3579" max="3579" width="7.625" style="356" customWidth="1"/>
    <col min="3580" max="3580" width="4.125" style="356" customWidth="1"/>
    <col min="3581" max="3581" width="17" style="356" customWidth="1"/>
    <col min="3582" max="3582" width="3.625" style="356" customWidth="1"/>
    <col min="3583" max="3583" width="9.125" style="356" customWidth="1"/>
    <col min="3584" max="3584" width="3.625" style="356" customWidth="1"/>
    <col min="3585" max="3585" width="4.625" style="356" customWidth="1"/>
    <col min="3586" max="3586" width="9.625" style="356" customWidth="1"/>
    <col min="3587" max="3587" width="10.125" style="356" customWidth="1"/>
    <col min="3588" max="3588" width="10.25" style="356" customWidth="1"/>
    <col min="3589" max="3589" width="4.625" style="356" customWidth="1"/>
    <col min="3590" max="3590" width="5" style="356" customWidth="1"/>
    <col min="3591" max="3591" width="11.125" style="356" customWidth="1"/>
    <col min="3592" max="3592" width="16.125" style="356" customWidth="1"/>
    <col min="3593" max="3593" width="4.75" style="356" customWidth="1"/>
    <col min="3594" max="3594" width="3.625" style="356" customWidth="1"/>
    <col min="3595" max="3595" width="5.125" style="356" customWidth="1"/>
    <col min="3596" max="3596" width="3.125" style="356" customWidth="1"/>
    <col min="3597" max="3597" width="4.625" style="356" customWidth="1"/>
    <col min="3598" max="3598" width="5" style="356" customWidth="1"/>
    <col min="3599" max="3600" width="9.75" style="356" customWidth="1"/>
    <col min="3601" max="3602" width="7.875" style="356" customWidth="1"/>
    <col min="3603" max="3833" width="9" style="356"/>
    <col min="3834" max="3834" width="3.125" style="356" customWidth="1"/>
    <col min="3835" max="3835" width="7.625" style="356" customWidth="1"/>
    <col min="3836" max="3836" width="4.125" style="356" customWidth="1"/>
    <col min="3837" max="3837" width="17" style="356" customWidth="1"/>
    <col min="3838" max="3838" width="3.625" style="356" customWidth="1"/>
    <col min="3839" max="3839" width="9.125" style="356" customWidth="1"/>
    <col min="3840" max="3840" width="3.625" style="356" customWidth="1"/>
    <col min="3841" max="3841" width="4.625" style="356" customWidth="1"/>
    <col min="3842" max="3842" width="9.625" style="356" customWidth="1"/>
    <col min="3843" max="3843" width="10.125" style="356" customWidth="1"/>
    <col min="3844" max="3844" width="10.25" style="356" customWidth="1"/>
    <col min="3845" max="3845" width="4.625" style="356" customWidth="1"/>
    <col min="3846" max="3846" width="5" style="356" customWidth="1"/>
    <col min="3847" max="3847" width="11.125" style="356" customWidth="1"/>
    <col min="3848" max="3848" width="16.125" style="356" customWidth="1"/>
    <col min="3849" max="3849" width="4.75" style="356" customWidth="1"/>
    <col min="3850" max="3850" width="3.625" style="356" customWidth="1"/>
    <col min="3851" max="3851" width="5.125" style="356" customWidth="1"/>
    <col min="3852" max="3852" width="3.125" style="356" customWidth="1"/>
    <col min="3853" max="3853" width="4.625" style="356" customWidth="1"/>
    <col min="3854" max="3854" width="5" style="356" customWidth="1"/>
    <col min="3855" max="3856" width="9.75" style="356" customWidth="1"/>
    <col min="3857" max="3858" width="7.875" style="356" customWidth="1"/>
    <col min="3859" max="4089" width="9" style="356"/>
    <col min="4090" max="4090" width="3.125" style="356" customWidth="1"/>
    <col min="4091" max="4091" width="7.625" style="356" customWidth="1"/>
    <col min="4092" max="4092" width="4.125" style="356" customWidth="1"/>
    <col min="4093" max="4093" width="17" style="356" customWidth="1"/>
    <col min="4094" max="4094" width="3.625" style="356" customWidth="1"/>
    <col min="4095" max="4095" width="9.125" style="356" customWidth="1"/>
    <col min="4096" max="4096" width="3.625" style="356" customWidth="1"/>
    <col min="4097" max="4097" width="4.625" style="356" customWidth="1"/>
    <col min="4098" max="4098" width="9.625" style="356" customWidth="1"/>
    <col min="4099" max="4099" width="10.125" style="356" customWidth="1"/>
    <col min="4100" max="4100" width="10.25" style="356" customWidth="1"/>
    <col min="4101" max="4101" width="4.625" style="356" customWidth="1"/>
    <col min="4102" max="4102" width="5" style="356" customWidth="1"/>
    <col min="4103" max="4103" width="11.125" style="356" customWidth="1"/>
    <col min="4104" max="4104" width="16.125" style="356" customWidth="1"/>
    <col min="4105" max="4105" width="4.75" style="356" customWidth="1"/>
    <col min="4106" max="4106" width="3.625" style="356" customWidth="1"/>
    <col min="4107" max="4107" width="5.125" style="356" customWidth="1"/>
    <col min="4108" max="4108" width="3.125" style="356" customWidth="1"/>
    <col min="4109" max="4109" width="4.625" style="356" customWidth="1"/>
    <col min="4110" max="4110" width="5" style="356" customWidth="1"/>
    <col min="4111" max="4112" width="9.75" style="356" customWidth="1"/>
    <col min="4113" max="4114" width="7.875" style="356" customWidth="1"/>
    <col min="4115" max="4345" width="9" style="356"/>
    <col min="4346" max="4346" width="3.125" style="356" customWidth="1"/>
    <col min="4347" max="4347" width="7.625" style="356" customWidth="1"/>
    <col min="4348" max="4348" width="4.125" style="356" customWidth="1"/>
    <col min="4349" max="4349" width="17" style="356" customWidth="1"/>
    <col min="4350" max="4350" width="3.625" style="356" customWidth="1"/>
    <col min="4351" max="4351" width="9.125" style="356" customWidth="1"/>
    <col min="4352" max="4352" width="3.625" style="356" customWidth="1"/>
    <col min="4353" max="4353" width="4.625" style="356" customWidth="1"/>
    <col min="4354" max="4354" width="9.625" style="356" customWidth="1"/>
    <col min="4355" max="4355" width="10.125" style="356" customWidth="1"/>
    <col min="4356" max="4356" width="10.25" style="356" customWidth="1"/>
    <col min="4357" max="4357" width="4.625" style="356" customWidth="1"/>
    <col min="4358" max="4358" width="5" style="356" customWidth="1"/>
    <col min="4359" max="4359" width="11.125" style="356" customWidth="1"/>
    <col min="4360" max="4360" width="16.125" style="356" customWidth="1"/>
    <col min="4361" max="4361" width="4.75" style="356" customWidth="1"/>
    <col min="4362" max="4362" width="3.625" style="356" customWidth="1"/>
    <col min="4363" max="4363" width="5.125" style="356" customWidth="1"/>
    <col min="4364" max="4364" width="3.125" style="356" customWidth="1"/>
    <col min="4365" max="4365" width="4.625" style="356" customWidth="1"/>
    <col min="4366" max="4366" width="5" style="356" customWidth="1"/>
    <col min="4367" max="4368" width="9.75" style="356" customWidth="1"/>
    <col min="4369" max="4370" width="7.875" style="356" customWidth="1"/>
    <col min="4371" max="4601" width="9" style="356"/>
    <col min="4602" max="4602" width="3.125" style="356" customWidth="1"/>
    <col min="4603" max="4603" width="7.625" style="356" customWidth="1"/>
    <col min="4604" max="4604" width="4.125" style="356" customWidth="1"/>
    <col min="4605" max="4605" width="17" style="356" customWidth="1"/>
    <col min="4606" max="4606" width="3.625" style="356" customWidth="1"/>
    <col min="4607" max="4607" width="9.125" style="356" customWidth="1"/>
    <col min="4608" max="4608" width="3.625" style="356" customWidth="1"/>
    <col min="4609" max="4609" width="4.625" style="356" customWidth="1"/>
    <col min="4610" max="4610" width="9.625" style="356" customWidth="1"/>
    <col min="4611" max="4611" width="10.125" style="356" customWidth="1"/>
    <col min="4612" max="4612" width="10.25" style="356" customWidth="1"/>
    <col min="4613" max="4613" width="4.625" style="356" customWidth="1"/>
    <col min="4614" max="4614" width="5" style="356" customWidth="1"/>
    <col min="4615" max="4615" width="11.125" style="356" customWidth="1"/>
    <col min="4616" max="4616" width="16.125" style="356" customWidth="1"/>
    <col min="4617" max="4617" width="4.75" style="356" customWidth="1"/>
    <col min="4618" max="4618" width="3.625" style="356" customWidth="1"/>
    <col min="4619" max="4619" width="5.125" style="356" customWidth="1"/>
    <col min="4620" max="4620" width="3.125" style="356" customWidth="1"/>
    <col min="4621" max="4621" width="4.625" style="356" customWidth="1"/>
    <col min="4622" max="4622" width="5" style="356" customWidth="1"/>
    <col min="4623" max="4624" width="9.75" style="356" customWidth="1"/>
    <col min="4625" max="4626" width="7.875" style="356" customWidth="1"/>
    <col min="4627" max="4857" width="9" style="356"/>
    <col min="4858" max="4858" width="3.125" style="356" customWidth="1"/>
    <col min="4859" max="4859" width="7.625" style="356" customWidth="1"/>
    <col min="4860" max="4860" width="4.125" style="356" customWidth="1"/>
    <col min="4861" max="4861" width="17" style="356" customWidth="1"/>
    <col min="4862" max="4862" width="3.625" style="356" customWidth="1"/>
    <col min="4863" max="4863" width="9.125" style="356" customWidth="1"/>
    <col min="4864" max="4864" width="3.625" style="356" customWidth="1"/>
    <col min="4865" max="4865" width="4.625" style="356" customWidth="1"/>
    <col min="4866" max="4866" width="9.625" style="356" customWidth="1"/>
    <col min="4867" max="4867" width="10.125" style="356" customWidth="1"/>
    <col min="4868" max="4868" width="10.25" style="356" customWidth="1"/>
    <col min="4869" max="4869" width="4.625" style="356" customWidth="1"/>
    <col min="4870" max="4870" width="5" style="356" customWidth="1"/>
    <col min="4871" max="4871" width="11.125" style="356" customWidth="1"/>
    <col min="4872" max="4872" width="16.125" style="356" customWidth="1"/>
    <col min="4873" max="4873" width="4.75" style="356" customWidth="1"/>
    <col min="4874" max="4874" width="3.625" style="356" customWidth="1"/>
    <col min="4875" max="4875" width="5.125" style="356" customWidth="1"/>
    <col min="4876" max="4876" width="3.125" style="356" customWidth="1"/>
    <col min="4877" max="4877" width="4.625" style="356" customWidth="1"/>
    <col min="4878" max="4878" width="5" style="356" customWidth="1"/>
    <col min="4879" max="4880" width="9.75" style="356" customWidth="1"/>
    <col min="4881" max="4882" width="7.875" style="356" customWidth="1"/>
    <col min="4883" max="5113" width="9" style="356"/>
    <col min="5114" max="5114" width="3.125" style="356" customWidth="1"/>
    <col min="5115" max="5115" width="7.625" style="356" customWidth="1"/>
    <col min="5116" max="5116" width="4.125" style="356" customWidth="1"/>
    <col min="5117" max="5117" width="17" style="356" customWidth="1"/>
    <col min="5118" max="5118" width="3.625" style="356" customWidth="1"/>
    <col min="5119" max="5119" width="9.125" style="356" customWidth="1"/>
    <col min="5120" max="5120" width="3.625" style="356" customWidth="1"/>
    <col min="5121" max="5121" width="4.625" style="356" customWidth="1"/>
    <col min="5122" max="5122" width="9.625" style="356" customWidth="1"/>
    <col min="5123" max="5123" width="10.125" style="356" customWidth="1"/>
    <col min="5124" max="5124" width="10.25" style="356" customWidth="1"/>
    <col min="5125" max="5125" width="4.625" style="356" customWidth="1"/>
    <col min="5126" max="5126" width="5" style="356" customWidth="1"/>
    <col min="5127" max="5127" width="11.125" style="356" customWidth="1"/>
    <col min="5128" max="5128" width="16.125" style="356" customWidth="1"/>
    <col min="5129" max="5129" width="4.75" style="356" customWidth="1"/>
    <col min="5130" max="5130" width="3.625" style="356" customWidth="1"/>
    <col min="5131" max="5131" width="5.125" style="356" customWidth="1"/>
    <col min="5132" max="5132" width="3.125" style="356" customWidth="1"/>
    <col min="5133" max="5133" width="4.625" style="356" customWidth="1"/>
    <col min="5134" max="5134" width="5" style="356" customWidth="1"/>
    <col min="5135" max="5136" width="9.75" style="356" customWidth="1"/>
    <col min="5137" max="5138" width="7.875" style="356" customWidth="1"/>
    <col min="5139" max="5369" width="9" style="356"/>
    <col min="5370" max="5370" width="3.125" style="356" customWidth="1"/>
    <col min="5371" max="5371" width="7.625" style="356" customWidth="1"/>
    <col min="5372" max="5372" width="4.125" style="356" customWidth="1"/>
    <col min="5373" max="5373" width="17" style="356" customWidth="1"/>
    <col min="5374" max="5374" width="3.625" style="356" customWidth="1"/>
    <col min="5375" max="5375" width="9.125" style="356" customWidth="1"/>
    <col min="5376" max="5376" width="3.625" style="356" customWidth="1"/>
    <col min="5377" max="5377" width="4.625" style="356" customWidth="1"/>
    <col min="5378" max="5378" width="9.625" style="356" customWidth="1"/>
    <col min="5379" max="5379" width="10.125" style="356" customWidth="1"/>
    <col min="5380" max="5380" width="10.25" style="356" customWidth="1"/>
    <col min="5381" max="5381" width="4.625" style="356" customWidth="1"/>
    <col min="5382" max="5382" width="5" style="356" customWidth="1"/>
    <col min="5383" max="5383" width="11.125" style="356" customWidth="1"/>
    <col min="5384" max="5384" width="16.125" style="356" customWidth="1"/>
    <col min="5385" max="5385" width="4.75" style="356" customWidth="1"/>
    <col min="5386" max="5386" width="3.625" style="356" customWidth="1"/>
    <col min="5387" max="5387" width="5.125" style="356" customWidth="1"/>
    <col min="5388" max="5388" width="3.125" style="356" customWidth="1"/>
    <col min="5389" max="5389" width="4.625" style="356" customWidth="1"/>
    <col min="5390" max="5390" width="5" style="356" customWidth="1"/>
    <col min="5391" max="5392" width="9.75" style="356" customWidth="1"/>
    <col min="5393" max="5394" width="7.875" style="356" customWidth="1"/>
    <col min="5395" max="5625" width="9" style="356"/>
    <col min="5626" max="5626" width="3.125" style="356" customWidth="1"/>
    <col min="5627" max="5627" width="7.625" style="356" customWidth="1"/>
    <col min="5628" max="5628" width="4.125" style="356" customWidth="1"/>
    <col min="5629" max="5629" width="17" style="356" customWidth="1"/>
    <col min="5630" max="5630" width="3.625" style="356" customWidth="1"/>
    <col min="5631" max="5631" width="9.125" style="356" customWidth="1"/>
    <col min="5632" max="5632" width="3.625" style="356" customWidth="1"/>
    <col min="5633" max="5633" width="4.625" style="356" customWidth="1"/>
    <col min="5634" max="5634" width="9.625" style="356" customWidth="1"/>
    <col min="5635" max="5635" width="10.125" style="356" customWidth="1"/>
    <col min="5636" max="5636" width="10.25" style="356" customWidth="1"/>
    <col min="5637" max="5637" width="4.625" style="356" customWidth="1"/>
    <col min="5638" max="5638" width="5" style="356" customWidth="1"/>
    <col min="5639" max="5639" width="11.125" style="356" customWidth="1"/>
    <col min="5640" max="5640" width="16.125" style="356" customWidth="1"/>
    <col min="5641" max="5641" width="4.75" style="356" customWidth="1"/>
    <col min="5642" max="5642" width="3.625" style="356" customWidth="1"/>
    <col min="5643" max="5643" width="5.125" style="356" customWidth="1"/>
    <col min="5644" max="5644" width="3.125" style="356" customWidth="1"/>
    <col min="5645" max="5645" width="4.625" style="356" customWidth="1"/>
    <col min="5646" max="5646" width="5" style="356" customWidth="1"/>
    <col min="5647" max="5648" width="9.75" style="356" customWidth="1"/>
    <col min="5649" max="5650" width="7.875" style="356" customWidth="1"/>
    <col min="5651" max="5881" width="9" style="356"/>
    <col min="5882" max="5882" width="3.125" style="356" customWidth="1"/>
    <col min="5883" max="5883" width="7.625" style="356" customWidth="1"/>
    <col min="5884" max="5884" width="4.125" style="356" customWidth="1"/>
    <col min="5885" max="5885" width="17" style="356" customWidth="1"/>
    <col min="5886" max="5886" width="3.625" style="356" customWidth="1"/>
    <col min="5887" max="5887" width="9.125" style="356" customWidth="1"/>
    <col min="5888" max="5888" width="3.625" style="356" customWidth="1"/>
    <col min="5889" max="5889" width="4.625" style="356" customWidth="1"/>
    <col min="5890" max="5890" width="9.625" style="356" customWidth="1"/>
    <col min="5891" max="5891" width="10.125" style="356" customWidth="1"/>
    <col min="5892" max="5892" width="10.25" style="356" customWidth="1"/>
    <col min="5893" max="5893" width="4.625" style="356" customWidth="1"/>
    <col min="5894" max="5894" width="5" style="356" customWidth="1"/>
    <col min="5895" max="5895" width="11.125" style="356" customWidth="1"/>
    <col min="5896" max="5896" width="16.125" style="356" customWidth="1"/>
    <col min="5897" max="5897" width="4.75" style="356" customWidth="1"/>
    <col min="5898" max="5898" width="3.625" style="356" customWidth="1"/>
    <col min="5899" max="5899" width="5.125" style="356" customWidth="1"/>
    <col min="5900" max="5900" width="3.125" style="356" customWidth="1"/>
    <col min="5901" max="5901" width="4.625" style="356" customWidth="1"/>
    <col min="5902" max="5902" width="5" style="356" customWidth="1"/>
    <col min="5903" max="5904" width="9.75" style="356" customWidth="1"/>
    <col min="5905" max="5906" width="7.875" style="356" customWidth="1"/>
    <col min="5907" max="6137" width="9" style="356"/>
    <col min="6138" max="6138" width="3.125" style="356" customWidth="1"/>
    <col min="6139" max="6139" width="7.625" style="356" customWidth="1"/>
    <col min="6140" max="6140" width="4.125" style="356" customWidth="1"/>
    <col min="6141" max="6141" width="17" style="356" customWidth="1"/>
    <col min="6142" max="6142" width="3.625" style="356" customWidth="1"/>
    <col min="6143" max="6143" width="9.125" style="356" customWidth="1"/>
    <col min="6144" max="6144" width="3.625" style="356" customWidth="1"/>
    <col min="6145" max="6145" width="4.625" style="356" customWidth="1"/>
    <col min="6146" max="6146" width="9.625" style="356" customWidth="1"/>
    <col min="6147" max="6147" width="10.125" style="356" customWidth="1"/>
    <col min="6148" max="6148" width="10.25" style="356" customWidth="1"/>
    <col min="6149" max="6149" width="4.625" style="356" customWidth="1"/>
    <col min="6150" max="6150" width="5" style="356" customWidth="1"/>
    <col min="6151" max="6151" width="11.125" style="356" customWidth="1"/>
    <col min="6152" max="6152" width="16.125" style="356" customWidth="1"/>
    <col min="6153" max="6153" width="4.75" style="356" customWidth="1"/>
    <col min="6154" max="6154" width="3.625" style="356" customWidth="1"/>
    <col min="6155" max="6155" width="5.125" style="356" customWidth="1"/>
    <col min="6156" max="6156" width="3.125" style="356" customWidth="1"/>
    <col min="6157" max="6157" width="4.625" style="356" customWidth="1"/>
    <col min="6158" max="6158" width="5" style="356" customWidth="1"/>
    <col min="6159" max="6160" width="9.75" style="356" customWidth="1"/>
    <col min="6161" max="6162" width="7.875" style="356" customWidth="1"/>
    <col min="6163" max="6393" width="9" style="356"/>
    <col min="6394" max="6394" width="3.125" style="356" customWidth="1"/>
    <col min="6395" max="6395" width="7.625" style="356" customWidth="1"/>
    <col min="6396" max="6396" width="4.125" style="356" customWidth="1"/>
    <col min="6397" max="6397" width="17" style="356" customWidth="1"/>
    <col min="6398" max="6398" width="3.625" style="356" customWidth="1"/>
    <col min="6399" max="6399" width="9.125" style="356" customWidth="1"/>
    <col min="6400" max="6400" width="3.625" style="356" customWidth="1"/>
    <col min="6401" max="6401" width="4.625" style="356" customWidth="1"/>
    <col min="6402" max="6402" width="9.625" style="356" customWidth="1"/>
    <col min="6403" max="6403" width="10.125" style="356" customWidth="1"/>
    <col min="6404" max="6404" width="10.25" style="356" customWidth="1"/>
    <col min="6405" max="6405" width="4.625" style="356" customWidth="1"/>
    <col min="6406" max="6406" width="5" style="356" customWidth="1"/>
    <col min="6407" max="6407" width="11.125" style="356" customWidth="1"/>
    <col min="6408" max="6408" width="16.125" style="356" customWidth="1"/>
    <col min="6409" max="6409" width="4.75" style="356" customWidth="1"/>
    <col min="6410" max="6410" width="3.625" style="356" customWidth="1"/>
    <col min="6411" max="6411" width="5.125" style="356" customWidth="1"/>
    <col min="6412" max="6412" width="3.125" style="356" customWidth="1"/>
    <col min="6413" max="6413" width="4.625" style="356" customWidth="1"/>
    <col min="6414" max="6414" width="5" style="356" customWidth="1"/>
    <col min="6415" max="6416" width="9.75" style="356" customWidth="1"/>
    <col min="6417" max="6418" width="7.875" style="356" customWidth="1"/>
    <col min="6419" max="6649" width="9" style="356"/>
    <col min="6650" max="6650" width="3.125" style="356" customWidth="1"/>
    <col min="6651" max="6651" width="7.625" style="356" customWidth="1"/>
    <col min="6652" max="6652" width="4.125" style="356" customWidth="1"/>
    <col min="6653" max="6653" width="17" style="356" customWidth="1"/>
    <col min="6654" max="6654" width="3.625" style="356" customWidth="1"/>
    <col min="6655" max="6655" width="9.125" style="356" customWidth="1"/>
    <col min="6656" max="6656" width="3.625" style="356" customWidth="1"/>
    <col min="6657" max="6657" width="4.625" style="356" customWidth="1"/>
    <col min="6658" max="6658" width="9.625" style="356" customWidth="1"/>
    <col min="6659" max="6659" width="10.125" style="356" customWidth="1"/>
    <col min="6660" max="6660" width="10.25" style="356" customWidth="1"/>
    <col min="6661" max="6661" width="4.625" style="356" customWidth="1"/>
    <col min="6662" max="6662" width="5" style="356" customWidth="1"/>
    <col min="6663" max="6663" width="11.125" style="356" customWidth="1"/>
    <col min="6664" max="6664" width="16.125" style="356" customWidth="1"/>
    <col min="6665" max="6665" width="4.75" style="356" customWidth="1"/>
    <col min="6666" max="6666" width="3.625" style="356" customWidth="1"/>
    <col min="6667" max="6667" width="5.125" style="356" customWidth="1"/>
    <col min="6668" max="6668" width="3.125" style="356" customWidth="1"/>
    <col min="6669" max="6669" width="4.625" style="356" customWidth="1"/>
    <col min="6670" max="6670" width="5" style="356" customWidth="1"/>
    <col min="6671" max="6672" width="9.75" style="356" customWidth="1"/>
    <col min="6673" max="6674" width="7.875" style="356" customWidth="1"/>
    <col min="6675" max="6905" width="9" style="356"/>
    <col min="6906" max="6906" width="3.125" style="356" customWidth="1"/>
    <col min="6907" max="6907" width="7.625" style="356" customWidth="1"/>
    <col min="6908" max="6908" width="4.125" style="356" customWidth="1"/>
    <col min="6909" max="6909" width="17" style="356" customWidth="1"/>
    <col min="6910" max="6910" width="3.625" style="356" customWidth="1"/>
    <col min="6911" max="6911" width="9.125" style="356" customWidth="1"/>
    <col min="6912" max="6912" width="3.625" style="356" customWidth="1"/>
    <col min="6913" max="6913" width="4.625" style="356" customWidth="1"/>
    <col min="6914" max="6914" width="9.625" style="356" customWidth="1"/>
    <col min="6915" max="6915" width="10.125" style="356" customWidth="1"/>
    <col min="6916" max="6916" width="10.25" style="356" customWidth="1"/>
    <col min="6917" max="6917" width="4.625" style="356" customWidth="1"/>
    <col min="6918" max="6918" width="5" style="356" customWidth="1"/>
    <col min="6919" max="6919" width="11.125" style="356" customWidth="1"/>
    <col min="6920" max="6920" width="16.125" style="356" customWidth="1"/>
    <col min="6921" max="6921" width="4.75" style="356" customWidth="1"/>
    <col min="6922" max="6922" width="3.625" style="356" customWidth="1"/>
    <col min="6923" max="6923" width="5.125" style="356" customWidth="1"/>
    <col min="6924" max="6924" width="3.125" style="356" customWidth="1"/>
    <col min="6925" max="6925" width="4.625" style="356" customWidth="1"/>
    <col min="6926" max="6926" width="5" style="356" customWidth="1"/>
    <col min="6927" max="6928" width="9.75" style="356" customWidth="1"/>
    <col min="6929" max="6930" width="7.875" style="356" customWidth="1"/>
    <col min="6931" max="7161" width="9" style="356"/>
    <col min="7162" max="7162" width="3.125" style="356" customWidth="1"/>
    <col min="7163" max="7163" width="7.625" style="356" customWidth="1"/>
    <col min="7164" max="7164" width="4.125" style="356" customWidth="1"/>
    <col min="7165" max="7165" width="17" style="356" customWidth="1"/>
    <col min="7166" max="7166" width="3.625" style="356" customWidth="1"/>
    <col min="7167" max="7167" width="9.125" style="356" customWidth="1"/>
    <col min="7168" max="7168" width="3.625" style="356" customWidth="1"/>
    <col min="7169" max="7169" width="4.625" style="356" customWidth="1"/>
    <col min="7170" max="7170" width="9.625" style="356" customWidth="1"/>
    <col min="7171" max="7171" width="10.125" style="356" customWidth="1"/>
    <col min="7172" max="7172" width="10.25" style="356" customWidth="1"/>
    <col min="7173" max="7173" width="4.625" style="356" customWidth="1"/>
    <col min="7174" max="7174" width="5" style="356" customWidth="1"/>
    <col min="7175" max="7175" width="11.125" style="356" customWidth="1"/>
    <col min="7176" max="7176" width="16.125" style="356" customWidth="1"/>
    <col min="7177" max="7177" width="4.75" style="356" customWidth="1"/>
    <col min="7178" max="7178" width="3.625" style="356" customWidth="1"/>
    <col min="7179" max="7179" width="5.125" style="356" customWidth="1"/>
    <col min="7180" max="7180" width="3.125" style="356" customWidth="1"/>
    <col min="7181" max="7181" width="4.625" style="356" customWidth="1"/>
    <col min="7182" max="7182" width="5" style="356" customWidth="1"/>
    <col min="7183" max="7184" width="9.75" style="356" customWidth="1"/>
    <col min="7185" max="7186" width="7.875" style="356" customWidth="1"/>
    <col min="7187" max="7417" width="9" style="356"/>
    <col min="7418" max="7418" width="3.125" style="356" customWidth="1"/>
    <col min="7419" max="7419" width="7.625" style="356" customWidth="1"/>
    <col min="7420" max="7420" width="4.125" style="356" customWidth="1"/>
    <col min="7421" max="7421" width="17" style="356" customWidth="1"/>
    <col min="7422" max="7422" width="3.625" style="356" customWidth="1"/>
    <col min="7423" max="7423" width="9.125" style="356" customWidth="1"/>
    <col min="7424" max="7424" width="3.625" style="356" customWidth="1"/>
    <col min="7425" max="7425" width="4.625" style="356" customWidth="1"/>
    <col min="7426" max="7426" width="9.625" style="356" customWidth="1"/>
    <col min="7427" max="7427" width="10.125" style="356" customWidth="1"/>
    <col min="7428" max="7428" width="10.25" style="356" customWidth="1"/>
    <col min="7429" max="7429" width="4.625" style="356" customWidth="1"/>
    <col min="7430" max="7430" width="5" style="356" customWidth="1"/>
    <col min="7431" max="7431" width="11.125" style="356" customWidth="1"/>
    <col min="7432" max="7432" width="16.125" style="356" customWidth="1"/>
    <col min="7433" max="7433" width="4.75" style="356" customWidth="1"/>
    <col min="7434" max="7434" width="3.625" style="356" customWidth="1"/>
    <col min="7435" max="7435" width="5.125" style="356" customWidth="1"/>
    <col min="7436" max="7436" width="3.125" style="356" customWidth="1"/>
    <col min="7437" max="7437" width="4.625" style="356" customWidth="1"/>
    <col min="7438" max="7438" width="5" style="356" customWidth="1"/>
    <col min="7439" max="7440" width="9.75" style="356" customWidth="1"/>
    <col min="7441" max="7442" width="7.875" style="356" customWidth="1"/>
    <col min="7443" max="7673" width="9" style="356"/>
    <col min="7674" max="7674" width="3.125" style="356" customWidth="1"/>
    <col min="7675" max="7675" width="7.625" style="356" customWidth="1"/>
    <col min="7676" max="7676" width="4.125" style="356" customWidth="1"/>
    <col min="7677" max="7677" width="17" style="356" customWidth="1"/>
    <col min="7678" max="7678" width="3.625" style="356" customWidth="1"/>
    <col min="7679" max="7679" width="9.125" style="356" customWidth="1"/>
    <col min="7680" max="7680" width="3.625" style="356" customWidth="1"/>
    <col min="7681" max="7681" width="4.625" style="356" customWidth="1"/>
    <col min="7682" max="7682" width="9.625" style="356" customWidth="1"/>
    <col min="7683" max="7683" width="10.125" style="356" customWidth="1"/>
    <col min="7684" max="7684" width="10.25" style="356" customWidth="1"/>
    <col min="7685" max="7685" width="4.625" style="356" customWidth="1"/>
    <col min="7686" max="7686" width="5" style="356" customWidth="1"/>
    <col min="7687" max="7687" width="11.125" style="356" customWidth="1"/>
    <col min="7688" max="7688" width="16.125" style="356" customWidth="1"/>
    <col min="7689" max="7689" width="4.75" style="356" customWidth="1"/>
    <col min="7690" max="7690" width="3.625" style="356" customWidth="1"/>
    <col min="7691" max="7691" width="5.125" style="356" customWidth="1"/>
    <col min="7692" max="7692" width="3.125" style="356" customWidth="1"/>
    <col min="7693" max="7693" width="4.625" style="356" customWidth="1"/>
    <col min="7694" max="7694" width="5" style="356" customWidth="1"/>
    <col min="7695" max="7696" width="9.75" style="356" customWidth="1"/>
    <col min="7697" max="7698" width="7.875" style="356" customWidth="1"/>
    <col min="7699" max="7929" width="9" style="356"/>
    <col min="7930" max="7930" width="3.125" style="356" customWidth="1"/>
    <col min="7931" max="7931" width="7.625" style="356" customWidth="1"/>
    <col min="7932" max="7932" width="4.125" style="356" customWidth="1"/>
    <col min="7933" max="7933" width="17" style="356" customWidth="1"/>
    <col min="7934" max="7934" width="3.625" style="356" customWidth="1"/>
    <col min="7935" max="7935" width="9.125" style="356" customWidth="1"/>
    <col min="7936" max="7936" width="3.625" style="356" customWidth="1"/>
    <col min="7937" max="7937" width="4.625" style="356" customWidth="1"/>
    <col min="7938" max="7938" width="9.625" style="356" customWidth="1"/>
    <col min="7939" max="7939" width="10.125" style="356" customWidth="1"/>
    <col min="7940" max="7940" width="10.25" style="356" customWidth="1"/>
    <col min="7941" max="7941" width="4.625" style="356" customWidth="1"/>
    <col min="7942" max="7942" width="5" style="356" customWidth="1"/>
    <col min="7943" max="7943" width="11.125" style="356" customWidth="1"/>
    <col min="7944" max="7944" width="16.125" style="356" customWidth="1"/>
    <col min="7945" max="7945" width="4.75" style="356" customWidth="1"/>
    <col min="7946" max="7946" width="3.625" style="356" customWidth="1"/>
    <col min="7947" max="7947" width="5.125" style="356" customWidth="1"/>
    <col min="7948" max="7948" width="3.125" style="356" customWidth="1"/>
    <col min="7949" max="7949" width="4.625" style="356" customWidth="1"/>
    <col min="7950" max="7950" width="5" style="356" customWidth="1"/>
    <col min="7951" max="7952" width="9.75" style="356" customWidth="1"/>
    <col min="7953" max="7954" width="7.875" style="356" customWidth="1"/>
    <col min="7955" max="8185" width="9" style="356"/>
    <col min="8186" max="8186" width="3.125" style="356" customWidth="1"/>
    <col min="8187" max="8187" width="7.625" style="356" customWidth="1"/>
    <col min="8188" max="8188" width="4.125" style="356" customWidth="1"/>
    <col min="8189" max="8189" width="17" style="356" customWidth="1"/>
    <col min="8190" max="8190" width="3.625" style="356" customWidth="1"/>
    <col min="8191" max="8191" width="9.125" style="356" customWidth="1"/>
    <col min="8192" max="8192" width="3.625" style="356" customWidth="1"/>
    <col min="8193" max="8193" width="4.625" style="356" customWidth="1"/>
    <col min="8194" max="8194" width="9.625" style="356" customWidth="1"/>
    <col min="8195" max="8195" width="10.125" style="356" customWidth="1"/>
    <col min="8196" max="8196" width="10.25" style="356" customWidth="1"/>
    <col min="8197" max="8197" width="4.625" style="356" customWidth="1"/>
    <col min="8198" max="8198" width="5" style="356" customWidth="1"/>
    <col min="8199" max="8199" width="11.125" style="356" customWidth="1"/>
    <col min="8200" max="8200" width="16.125" style="356" customWidth="1"/>
    <col min="8201" max="8201" width="4.75" style="356" customWidth="1"/>
    <col min="8202" max="8202" width="3.625" style="356" customWidth="1"/>
    <col min="8203" max="8203" width="5.125" style="356" customWidth="1"/>
    <col min="8204" max="8204" width="3.125" style="356" customWidth="1"/>
    <col min="8205" max="8205" width="4.625" style="356" customWidth="1"/>
    <col min="8206" max="8206" width="5" style="356" customWidth="1"/>
    <col min="8207" max="8208" width="9.75" style="356" customWidth="1"/>
    <col min="8209" max="8210" width="7.875" style="356" customWidth="1"/>
    <col min="8211" max="8441" width="9" style="356"/>
    <col min="8442" max="8442" width="3.125" style="356" customWidth="1"/>
    <col min="8443" max="8443" width="7.625" style="356" customWidth="1"/>
    <col min="8444" max="8444" width="4.125" style="356" customWidth="1"/>
    <col min="8445" max="8445" width="17" style="356" customWidth="1"/>
    <col min="8446" max="8446" width="3.625" style="356" customWidth="1"/>
    <col min="8447" max="8447" width="9.125" style="356" customWidth="1"/>
    <col min="8448" max="8448" width="3.625" style="356" customWidth="1"/>
    <col min="8449" max="8449" width="4.625" style="356" customWidth="1"/>
    <col min="8450" max="8450" width="9.625" style="356" customWidth="1"/>
    <col min="8451" max="8451" width="10.125" style="356" customWidth="1"/>
    <col min="8452" max="8452" width="10.25" style="356" customWidth="1"/>
    <col min="8453" max="8453" width="4.625" style="356" customWidth="1"/>
    <col min="8454" max="8454" width="5" style="356" customWidth="1"/>
    <col min="8455" max="8455" width="11.125" style="356" customWidth="1"/>
    <col min="8456" max="8456" width="16.125" style="356" customWidth="1"/>
    <col min="8457" max="8457" width="4.75" style="356" customWidth="1"/>
    <col min="8458" max="8458" width="3.625" style="356" customWidth="1"/>
    <col min="8459" max="8459" width="5.125" style="356" customWidth="1"/>
    <col min="8460" max="8460" width="3.125" style="356" customWidth="1"/>
    <col min="8461" max="8461" width="4.625" style="356" customWidth="1"/>
    <col min="8462" max="8462" width="5" style="356" customWidth="1"/>
    <col min="8463" max="8464" width="9.75" style="356" customWidth="1"/>
    <col min="8465" max="8466" width="7.875" style="356" customWidth="1"/>
    <col min="8467" max="8697" width="9" style="356"/>
    <col min="8698" max="8698" width="3.125" style="356" customWidth="1"/>
    <col min="8699" max="8699" width="7.625" style="356" customWidth="1"/>
    <col min="8700" max="8700" width="4.125" style="356" customWidth="1"/>
    <col min="8701" max="8701" width="17" style="356" customWidth="1"/>
    <col min="8702" max="8702" width="3.625" style="356" customWidth="1"/>
    <col min="8703" max="8703" width="9.125" style="356" customWidth="1"/>
    <col min="8704" max="8704" width="3.625" style="356" customWidth="1"/>
    <col min="8705" max="8705" width="4.625" style="356" customWidth="1"/>
    <col min="8706" max="8706" width="9.625" style="356" customWidth="1"/>
    <col min="8707" max="8707" width="10.125" style="356" customWidth="1"/>
    <col min="8708" max="8708" width="10.25" style="356" customWidth="1"/>
    <col min="8709" max="8709" width="4.625" style="356" customWidth="1"/>
    <col min="8710" max="8710" width="5" style="356" customWidth="1"/>
    <col min="8711" max="8711" width="11.125" style="356" customWidth="1"/>
    <col min="8712" max="8712" width="16.125" style="356" customWidth="1"/>
    <col min="8713" max="8713" width="4.75" style="356" customWidth="1"/>
    <col min="8714" max="8714" width="3.625" style="356" customWidth="1"/>
    <col min="8715" max="8715" width="5.125" style="356" customWidth="1"/>
    <col min="8716" max="8716" width="3.125" style="356" customWidth="1"/>
    <col min="8717" max="8717" width="4.625" style="356" customWidth="1"/>
    <col min="8718" max="8718" width="5" style="356" customWidth="1"/>
    <col min="8719" max="8720" width="9.75" style="356" customWidth="1"/>
    <col min="8721" max="8722" width="7.875" style="356" customWidth="1"/>
    <col min="8723" max="8953" width="9" style="356"/>
    <col min="8954" max="8954" width="3.125" style="356" customWidth="1"/>
    <col min="8955" max="8955" width="7.625" style="356" customWidth="1"/>
    <col min="8956" max="8956" width="4.125" style="356" customWidth="1"/>
    <col min="8957" max="8957" width="17" style="356" customWidth="1"/>
    <col min="8958" max="8958" width="3.625" style="356" customWidth="1"/>
    <col min="8959" max="8959" width="9.125" style="356" customWidth="1"/>
    <col min="8960" max="8960" width="3.625" style="356" customWidth="1"/>
    <col min="8961" max="8961" width="4.625" style="356" customWidth="1"/>
    <col min="8962" max="8962" width="9.625" style="356" customWidth="1"/>
    <col min="8963" max="8963" width="10.125" style="356" customWidth="1"/>
    <col min="8964" max="8964" width="10.25" style="356" customWidth="1"/>
    <col min="8965" max="8965" width="4.625" style="356" customWidth="1"/>
    <col min="8966" max="8966" width="5" style="356" customWidth="1"/>
    <col min="8967" max="8967" width="11.125" style="356" customWidth="1"/>
    <col min="8968" max="8968" width="16.125" style="356" customWidth="1"/>
    <col min="8969" max="8969" width="4.75" style="356" customWidth="1"/>
    <col min="8970" max="8970" width="3.625" style="356" customWidth="1"/>
    <col min="8971" max="8971" width="5.125" style="356" customWidth="1"/>
    <col min="8972" max="8972" width="3.125" style="356" customWidth="1"/>
    <col min="8973" max="8973" width="4.625" style="356" customWidth="1"/>
    <col min="8974" max="8974" width="5" style="356" customWidth="1"/>
    <col min="8975" max="8976" width="9.75" style="356" customWidth="1"/>
    <col min="8977" max="8978" width="7.875" style="356" customWidth="1"/>
    <col min="8979" max="9209" width="9" style="356"/>
    <col min="9210" max="9210" width="3.125" style="356" customWidth="1"/>
    <col min="9211" max="9211" width="7.625" style="356" customWidth="1"/>
    <col min="9212" max="9212" width="4.125" style="356" customWidth="1"/>
    <col min="9213" max="9213" width="17" style="356" customWidth="1"/>
    <col min="9214" max="9214" width="3.625" style="356" customWidth="1"/>
    <col min="9215" max="9215" width="9.125" style="356" customWidth="1"/>
    <col min="9216" max="9216" width="3.625" style="356" customWidth="1"/>
    <col min="9217" max="9217" width="4.625" style="356" customWidth="1"/>
    <col min="9218" max="9218" width="9.625" style="356" customWidth="1"/>
    <col min="9219" max="9219" width="10.125" style="356" customWidth="1"/>
    <col min="9220" max="9220" width="10.25" style="356" customWidth="1"/>
    <col min="9221" max="9221" width="4.625" style="356" customWidth="1"/>
    <col min="9222" max="9222" width="5" style="356" customWidth="1"/>
    <col min="9223" max="9223" width="11.125" style="356" customWidth="1"/>
    <col min="9224" max="9224" width="16.125" style="356" customWidth="1"/>
    <col min="9225" max="9225" width="4.75" style="356" customWidth="1"/>
    <col min="9226" max="9226" width="3.625" style="356" customWidth="1"/>
    <col min="9227" max="9227" width="5.125" style="356" customWidth="1"/>
    <col min="9228" max="9228" width="3.125" style="356" customWidth="1"/>
    <col min="9229" max="9229" width="4.625" style="356" customWidth="1"/>
    <col min="9230" max="9230" width="5" style="356" customWidth="1"/>
    <col min="9231" max="9232" width="9.75" style="356" customWidth="1"/>
    <col min="9233" max="9234" width="7.875" style="356" customWidth="1"/>
    <col min="9235" max="9465" width="9" style="356"/>
    <col min="9466" max="9466" width="3.125" style="356" customWidth="1"/>
    <col min="9467" max="9467" width="7.625" style="356" customWidth="1"/>
    <col min="9468" max="9468" width="4.125" style="356" customWidth="1"/>
    <col min="9469" max="9469" width="17" style="356" customWidth="1"/>
    <col min="9470" max="9470" width="3.625" style="356" customWidth="1"/>
    <col min="9471" max="9471" width="9.125" style="356" customWidth="1"/>
    <col min="9472" max="9472" width="3.625" style="356" customWidth="1"/>
    <col min="9473" max="9473" width="4.625" style="356" customWidth="1"/>
    <col min="9474" max="9474" width="9.625" style="356" customWidth="1"/>
    <col min="9475" max="9475" width="10.125" style="356" customWidth="1"/>
    <col min="9476" max="9476" width="10.25" style="356" customWidth="1"/>
    <col min="9477" max="9477" width="4.625" style="356" customWidth="1"/>
    <col min="9478" max="9478" width="5" style="356" customWidth="1"/>
    <col min="9479" max="9479" width="11.125" style="356" customWidth="1"/>
    <col min="9480" max="9480" width="16.125" style="356" customWidth="1"/>
    <col min="9481" max="9481" width="4.75" style="356" customWidth="1"/>
    <col min="9482" max="9482" width="3.625" style="356" customWidth="1"/>
    <col min="9483" max="9483" width="5.125" style="356" customWidth="1"/>
    <col min="9484" max="9484" width="3.125" style="356" customWidth="1"/>
    <col min="9485" max="9485" width="4.625" style="356" customWidth="1"/>
    <col min="9486" max="9486" width="5" style="356" customWidth="1"/>
    <col min="9487" max="9488" width="9.75" style="356" customWidth="1"/>
    <col min="9489" max="9490" width="7.875" style="356" customWidth="1"/>
    <col min="9491" max="9721" width="9" style="356"/>
    <col min="9722" max="9722" width="3.125" style="356" customWidth="1"/>
    <col min="9723" max="9723" width="7.625" style="356" customWidth="1"/>
    <col min="9724" max="9724" width="4.125" style="356" customWidth="1"/>
    <col min="9725" max="9725" width="17" style="356" customWidth="1"/>
    <col min="9726" max="9726" width="3.625" style="356" customWidth="1"/>
    <col min="9727" max="9727" width="9.125" style="356" customWidth="1"/>
    <col min="9728" max="9728" width="3.625" style="356" customWidth="1"/>
    <col min="9729" max="9729" width="4.625" style="356" customWidth="1"/>
    <col min="9730" max="9730" width="9.625" style="356" customWidth="1"/>
    <col min="9731" max="9731" width="10.125" style="356" customWidth="1"/>
    <col min="9732" max="9732" width="10.25" style="356" customWidth="1"/>
    <col min="9733" max="9733" width="4.625" style="356" customWidth="1"/>
    <col min="9734" max="9734" width="5" style="356" customWidth="1"/>
    <col min="9735" max="9735" width="11.125" style="356" customWidth="1"/>
    <col min="9736" max="9736" width="16.125" style="356" customWidth="1"/>
    <col min="9737" max="9737" width="4.75" style="356" customWidth="1"/>
    <col min="9738" max="9738" width="3.625" style="356" customWidth="1"/>
    <col min="9739" max="9739" width="5.125" style="356" customWidth="1"/>
    <col min="9740" max="9740" width="3.125" style="356" customWidth="1"/>
    <col min="9741" max="9741" width="4.625" style="356" customWidth="1"/>
    <col min="9742" max="9742" width="5" style="356" customWidth="1"/>
    <col min="9743" max="9744" width="9.75" style="356" customWidth="1"/>
    <col min="9745" max="9746" width="7.875" style="356" customWidth="1"/>
    <col min="9747" max="9977" width="9" style="356"/>
    <col min="9978" max="9978" width="3.125" style="356" customWidth="1"/>
    <col min="9979" max="9979" width="7.625" style="356" customWidth="1"/>
    <col min="9980" max="9980" width="4.125" style="356" customWidth="1"/>
    <col min="9981" max="9981" width="17" style="356" customWidth="1"/>
    <col min="9982" max="9982" width="3.625" style="356" customWidth="1"/>
    <col min="9983" max="9983" width="9.125" style="356" customWidth="1"/>
    <col min="9984" max="9984" width="3.625" style="356" customWidth="1"/>
    <col min="9985" max="9985" width="4.625" style="356" customWidth="1"/>
    <col min="9986" max="9986" width="9.625" style="356" customWidth="1"/>
    <col min="9987" max="9987" width="10.125" style="356" customWidth="1"/>
    <col min="9988" max="9988" width="10.25" style="356" customWidth="1"/>
    <col min="9989" max="9989" width="4.625" style="356" customWidth="1"/>
    <col min="9990" max="9990" width="5" style="356" customWidth="1"/>
    <col min="9991" max="9991" width="11.125" style="356" customWidth="1"/>
    <col min="9992" max="9992" width="16.125" style="356" customWidth="1"/>
    <col min="9993" max="9993" width="4.75" style="356" customWidth="1"/>
    <col min="9994" max="9994" width="3.625" style="356" customWidth="1"/>
    <col min="9995" max="9995" width="5.125" style="356" customWidth="1"/>
    <col min="9996" max="9996" width="3.125" style="356" customWidth="1"/>
    <col min="9997" max="9997" width="4.625" style="356" customWidth="1"/>
    <col min="9998" max="9998" width="5" style="356" customWidth="1"/>
    <col min="9999" max="10000" width="9.75" style="356" customWidth="1"/>
    <col min="10001" max="10002" width="7.875" style="356" customWidth="1"/>
    <col min="10003" max="10233" width="9" style="356"/>
    <col min="10234" max="10234" width="3.125" style="356" customWidth="1"/>
    <col min="10235" max="10235" width="7.625" style="356" customWidth="1"/>
    <col min="10236" max="10236" width="4.125" style="356" customWidth="1"/>
    <col min="10237" max="10237" width="17" style="356" customWidth="1"/>
    <col min="10238" max="10238" width="3.625" style="356" customWidth="1"/>
    <col min="10239" max="10239" width="9.125" style="356" customWidth="1"/>
    <col min="10240" max="10240" width="3.625" style="356" customWidth="1"/>
    <col min="10241" max="10241" width="4.625" style="356" customWidth="1"/>
    <col min="10242" max="10242" width="9.625" style="356" customWidth="1"/>
    <col min="10243" max="10243" width="10.125" style="356" customWidth="1"/>
    <col min="10244" max="10244" width="10.25" style="356" customWidth="1"/>
    <col min="10245" max="10245" width="4.625" style="356" customWidth="1"/>
    <col min="10246" max="10246" width="5" style="356" customWidth="1"/>
    <col min="10247" max="10247" width="11.125" style="356" customWidth="1"/>
    <col min="10248" max="10248" width="16.125" style="356" customWidth="1"/>
    <col min="10249" max="10249" width="4.75" style="356" customWidth="1"/>
    <col min="10250" max="10250" width="3.625" style="356" customWidth="1"/>
    <col min="10251" max="10251" width="5.125" style="356" customWidth="1"/>
    <col min="10252" max="10252" width="3.125" style="356" customWidth="1"/>
    <col min="10253" max="10253" width="4.625" style="356" customWidth="1"/>
    <col min="10254" max="10254" width="5" style="356" customWidth="1"/>
    <col min="10255" max="10256" width="9.75" style="356" customWidth="1"/>
    <col min="10257" max="10258" width="7.875" style="356" customWidth="1"/>
    <col min="10259" max="10489" width="9" style="356"/>
    <col min="10490" max="10490" width="3.125" style="356" customWidth="1"/>
    <col min="10491" max="10491" width="7.625" style="356" customWidth="1"/>
    <col min="10492" max="10492" width="4.125" style="356" customWidth="1"/>
    <col min="10493" max="10493" width="17" style="356" customWidth="1"/>
    <col min="10494" max="10494" width="3.625" style="356" customWidth="1"/>
    <col min="10495" max="10495" width="9.125" style="356" customWidth="1"/>
    <col min="10496" max="10496" width="3.625" style="356" customWidth="1"/>
    <col min="10497" max="10497" width="4.625" style="356" customWidth="1"/>
    <col min="10498" max="10498" width="9.625" style="356" customWidth="1"/>
    <col min="10499" max="10499" width="10.125" style="356" customWidth="1"/>
    <col min="10500" max="10500" width="10.25" style="356" customWidth="1"/>
    <col min="10501" max="10501" width="4.625" style="356" customWidth="1"/>
    <col min="10502" max="10502" width="5" style="356" customWidth="1"/>
    <col min="10503" max="10503" width="11.125" style="356" customWidth="1"/>
    <col min="10504" max="10504" width="16.125" style="356" customWidth="1"/>
    <col min="10505" max="10505" width="4.75" style="356" customWidth="1"/>
    <col min="10506" max="10506" width="3.625" style="356" customWidth="1"/>
    <col min="10507" max="10507" width="5.125" style="356" customWidth="1"/>
    <col min="10508" max="10508" width="3.125" style="356" customWidth="1"/>
    <col min="10509" max="10509" width="4.625" style="356" customWidth="1"/>
    <col min="10510" max="10510" width="5" style="356" customWidth="1"/>
    <col min="10511" max="10512" width="9.75" style="356" customWidth="1"/>
    <col min="10513" max="10514" width="7.875" style="356" customWidth="1"/>
    <col min="10515" max="10745" width="9" style="356"/>
    <col min="10746" max="10746" width="3.125" style="356" customWidth="1"/>
    <col min="10747" max="10747" width="7.625" style="356" customWidth="1"/>
    <col min="10748" max="10748" width="4.125" style="356" customWidth="1"/>
    <col min="10749" max="10749" width="17" style="356" customWidth="1"/>
    <col min="10750" max="10750" width="3.625" style="356" customWidth="1"/>
    <col min="10751" max="10751" width="9.125" style="356" customWidth="1"/>
    <col min="10752" max="10752" width="3.625" style="356" customWidth="1"/>
    <col min="10753" max="10753" width="4.625" style="356" customWidth="1"/>
    <col min="10754" max="10754" width="9.625" style="356" customWidth="1"/>
    <col min="10755" max="10755" width="10.125" style="356" customWidth="1"/>
    <col min="10756" max="10756" width="10.25" style="356" customWidth="1"/>
    <col min="10757" max="10757" width="4.625" style="356" customWidth="1"/>
    <col min="10758" max="10758" width="5" style="356" customWidth="1"/>
    <col min="10759" max="10759" width="11.125" style="356" customWidth="1"/>
    <col min="10760" max="10760" width="16.125" style="356" customWidth="1"/>
    <col min="10761" max="10761" width="4.75" style="356" customWidth="1"/>
    <col min="10762" max="10762" width="3.625" style="356" customWidth="1"/>
    <col min="10763" max="10763" width="5.125" style="356" customWidth="1"/>
    <col min="10764" max="10764" width="3.125" style="356" customWidth="1"/>
    <col min="10765" max="10765" width="4.625" style="356" customWidth="1"/>
    <col min="10766" max="10766" width="5" style="356" customWidth="1"/>
    <col min="10767" max="10768" width="9.75" style="356" customWidth="1"/>
    <col min="10769" max="10770" width="7.875" style="356" customWidth="1"/>
    <col min="10771" max="11001" width="9" style="356"/>
    <col min="11002" max="11002" width="3.125" style="356" customWidth="1"/>
    <col min="11003" max="11003" width="7.625" style="356" customWidth="1"/>
    <col min="11004" max="11004" width="4.125" style="356" customWidth="1"/>
    <col min="11005" max="11005" width="17" style="356" customWidth="1"/>
    <col min="11006" max="11006" width="3.625" style="356" customWidth="1"/>
    <col min="11007" max="11007" width="9.125" style="356" customWidth="1"/>
    <col min="11008" max="11008" width="3.625" style="356" customWidth="1"/>
    <col min="11009" max="11009" width="4.625" style="356" customWidth="1"/>
    <col min="11010" max="11010" width="9.625" style="356" customWidth="1"/>
    <col min="11011" max="11011" width="10.125" style="356" customWidth="1"/>
    <col min="11012" max="11012" width="10.25" style="356" customWidth="1"/>
    <col min="11013" max="11013" width="4.625" style="356" customWidth="1"/>
    <col min="11014" max="11014" width="5" style="356" customWidth="1"/>
    <col min="11015" max="11015" width="11.125" style="356" customWidth="1"/>
    <col min="11016" max="11016" width="16.125" style="356" customWidth="1"/>
    <col min="11017" max="11017" width="4.75" style="356" customWidth="1"/>
    <col min="11018" max="11018" width="3.625" style="356" customWidth="1"/>
    <col min="11019" max="11019" width="5.125" style="356" customWidth="1"/>
    <col min="11020" max="11020" width="3.125" style="356" customWidth="1"/>
    <col min="11021" max="11021" width="4.625" style="356" customWidth="1"/>
    <col min="11022" max="11022" width="5" style="356" customWidth="1"/>
    <col min="11023" max="11024" width="9.75" style="356" customWidth="1"/>
    <col min="11025" max="11026" width="7.875" style="356" customWidth="1"/>
    <col min="11027" max="11257" width="9" style="356"/>
    <col min="11258" max="11258" width="3.125" style="356" customWidth="1"/>
    <col min="11259" max="11259" width="7.625" style="356" customWidth="1"/>
    <col min="11260" max="11260" width="4.125" style="356" customWidth="1"/>
    <col min="11261" max="11261" width="17" style="356" customWidth="1"/>
    <col min="11262" max="11262" width="3.625" style="356" customWidth="1"/>
    <col min="11263" max="11263" width="9.125" style="356" customWidth="1"/>
    <col min="11264" max="11264" width="3.625" style="356" customWidth="1"/>
    <col min="11265" max="11265" width="4.625" style="356" customWidth="1"/>
    <col min="11266" max="11266" width="9.625" style="356" customWidth="1"/>
    <col min="11267" max="11267" width="10.125" style="356" customWidth="1"/>
    <col min="11268" max="11268" width="10.25" style="356" customWidth="1"/>
    <col min="11269" max="11269" width="4.625" style="356" customWidth="1"/>
    <col min="11270" max="11270" width="5" style="356" customWidth="1"/>
    <col min="11271" max="11271" width="11.125" style="356" customWidth="1"/>
    <col min="11272" max="11272" width="16.125" style="356" customWidth="1"/>
    <col min="11273" max="11273" width="4.75" style="356" customWidth="1"/>
    <col min="11274" max="11274" width="3.625" style="356" customWidth="1"/>
    <col min="11275" max="11275" width="5.125" style="356" customWidth="1"/>
    <col min="11276" max="11276" width="3.125" style="356" customWidth="1"/>
    <col min="11277" max="11277" width="4.625" style="356" customWidth="1"/>
    <col min="11278" max="11278" width="5" style="356" customWidth="1"/>
    <col min="11279" max="11280" width="9.75" style="356" customWidth="1"/>
    <col min="11281" max="11282" width="7.875" style="356" customWidth="1"/>
    <col min="11283" max="11513" width="9" style="356"/>
    <col min="11514" max="11514" width="3.125" style="356" customWidth="1"/>
    <col min="11515" max="11515" width="7.625" style="356" customWidth="1"/>
    <col min="11516" max="11516" width="4.125" style="356" customWidth="1"/>
    <col min="11517" max="11517" width="17" style="356" customWidth="1"/>
    <col min="11518" max="11518" width="3.625" style="356" customWidth="1"/>
    <col min="11519" max="11519" width="9.125" style="356" customWidth="1"/>
    <col min="11520" max="11520" width="3.625" style="356" customWidth="1"/>
    <col min="11521" max="11521" width="4.625" style="356" customWidth="1"/>
    <col min="11522" max="11522" width="9.625" style="356" customWidth="1"/>
    <col min="11523" max="11523" width="10.125" style="356" customWidth="1"/>
    <col min="11524" max="11524" width="10.25" style="356" customWidth="1"/>
    <col min="11525" max="11525" width="4.625" style="356" customWidth="1"/>
    <col min="11526" max="11526" width="5" style="356" customWidth="1"/>
    <col min="11527" max="11527" width="11.125" style="356" customWidth="1"/>
    <col min="11528" max="11528" width="16.125" style="356" customWidth="1"/>
    <col min="11529" max="11529" width="4.75" style="356" customWidth="1"/>
    <col min="11530" max="11530" width="3.625" style="356" customWidth="1"/>
    <col min="11531" max="11531" width="5.125" style="356" customWidth="1"/>
    <col min="11532" max="11532" width="3.125" style="356" customWidth="1"/>
    <col min="11533" max="11533" width="4.625" style="356" customWidth="1"/>
    <col min="11534" max="11534" width="5" style="356" customWidth="1"/>
    <col min="11535" max="11536" width="9.75" style="356" customWidth="1"/>
    <col min="11537" max="11538" width="7.875" style="356" customWidth="1"/>
    <col min="11539" max="11769" width="9" style="356"/>
    <col min="11770" max="11770" width="3.125" style="356" customWidth="1"/>
    <col min="11771" max="11771" width="7.625" style="356" customWidth="1"/>
    <col min="11772" max="11772" width="4.125" style="356" customWidth="1"/>
    <col min="11773" max="11773" width="17" style="356" customWidth="1"/>
    <col min="11774" max="11774" width="3.625" style="356" customWidth="1"/>
    <col min="11775" max="11775" width="9.125" style="356" customWidth="1"/>
    <col min="11776" max="11776" width="3.625" style="356" customWidth="1"/>
    <col min="11777" max="11777" width="4.625" style="356" customWidth="1"/>
    <col min="11778" max="11778" width="9.625" style="356" customWidth="1"/>
    <col min="11779" max="11779" width="10.125" style="356" customWidth="1"/>
    <col min="11780" max="11780" width="10.25" style="356" customWidth="1"/>
    <col min="11781" max="11781" width="4.625" style="356" customWidth="1"/>
    <col min="11782" max="11782" width="5" style="356" customWidth="1"/>
    <col min="11783" max="11783" width="11.125" style="356" customWidth="1"/>
    <col min="11784" max="11784" width="16.125" style="356" customWidth="1"/>
    <col min="11785" max="11785" width="4.75" style="356" customWidth="1"/>
    <col min="11786" max="11786" width="3.625" style="356" customWidth="1"/>
    <col min="11787" max="11787" width="5.125" style="356" customWidth="1"/>
    <col min="11788" max="11788" width="3.125" style="356" customWidth="1"/>
    <col min="11789" max="11789" width="4.625" style="356" customWidth="1"/>
    <col min="11790" max="11790" width="5" style="356" customWidth="1"/>
    <col min="11791" max="11792" width="9.75" style="356" customWidth="1"/>
    <col min="11793" max="11794" width="7.875" style="356" customWidth="1"/>
    <col min="11795" max="12025" width="9" style="356"/>
    <col min="12026" max="12026" width="3.125" style="356" customWidth="1"/>
    <col min="12027" max="12027" width="7.625" style="356" customWidth="1"/>
    <col min="12028" max="12028" width="4.125" style="356" customWidth="1"/>
    <col min="12029" max="12029" width="17" style="356" customWidth="1"/>
    <col min="12030" max="12030" width="3.625" style="356" customWidth="1"/>
    <col min="12031" max="12031" width="9.125" style="356" customWidth="1"/>
    <col min="12032" max="12032" width="3.625" style="356" customWidth="1"/>
    <col min="12033" max="12033" width="4.625" style="356" customWidth="1"/>
    <col min="12034" max="12034" width="9.625" style="356" customWidth="1"/>
    <col min="12035" max="12035" width="10.125" style="356" customWidth="1"/>
    <col min="12036" max="12036" width="10.25" style="356" customWidth="1"/>
    <col min="12037" max="12037" width="4.625" style="356" customWidth="1"/>
    <col min="12038" max="12038" width="5" style="356" customWidth="1"/>
    <col min="12039" max="12039" width="11.125" style="356" customWidth="1"/>
    <col min="12040" max="12040" width="16.125" style="356" customWidth="1"/>
    <col min="12041" max="12041" width="4.75" style="356" customWidth="1"/>
    <col min="12042" max="12042" width="3.625" style="356" customWidth="1"/>
    <col min="12043" max="12043" width="5.125" style="356" customWidth="1"/>
    <col min="12044" max="12044" width="3.125" style="356" customWidth="1"/>
    <col min="12045" max="12045" width="4.625" style="356" customWidth="1"/>
    <col min="12046" max="12046" width="5" style="356" customWidth="1"/>
    <col min="12047" max="12048" width="9.75" style="356" customWidth="1"/>
    <col min="12049" max="12050" width="7.875" style="356" customWidth="1"/>
    <col min="12051" max="12281" width="9" style="356"/>
    <col min="12282" max="12282" width="3.125" style="356" customWidth="1"/>
    <col min="12283" max="12283" width="7.625" style="356" customWidth="1"/>
    <col min="12284" max="12284" width="4.125" style="356" customWidth="1"/>
    <col min="12285" max="12285" width="17" style="356" customWidth="1"/>
    <col min="12286" max="12286" width="3.625" style="356" customWidth="1"/>
    <col min="12287" max="12287" width="9.125" style="356" customWidth="1"/>
    <col min="12288" max="12288" width="3.625" style="356" customWidth="1"/>
    <col min="12289" max="12289" width="4.625" style="356" customWidth="1"/>
    <col min="12290" max="12290" width="9.625" style="356" customWidth="1"/>
    <col min="12291" max="12291" width="10.125" style="356" customWidth="1"/>
    <col min="12292" max="12292" width="10.25" style="356" customWidth="1"/>
    <col min="12293" max="12293" width="4.625" style="356" customWidth="1"/>
    <col min="12294" max="12294" width="5" style="356" customWidth="1"/>
    <col min="12295" max="12295" width="11.125" style="356" customWidth="1"/>
    <col min="12296" max="12296" width="16.125" style="356" customWidth="1"/>
    <col min="12297" max="12297" width="4.75" style="356" customWidth="1"/>
    <col min="12298" max="12298" width="3.625" style="356" customWidth="1"/>
    <col min="12299" max="12299" width="5.125" style="356" customWidth="1"/>
    <col min="12300" max="12300" width="3.125" style="356" customWidth="1"/>
    <col min="12301" max="12301" width="4.625" style="356" customWidth="1"/>
    <col min="12302" max="12302" width="5" style="356" customWidth="1"/>
    <col min="12303" max="12304" width="9.75" style="356" customWidth="1"/>
    <col min="12305" max="12306" width="7.875" style="356" customWidth="1"/>
    <col min="12307" max="12537" width="9" style="356"/>
    <col min="12538" max="12538" width="3.125" style="356" customWidth="1"/>
    <col min="12539" max="12539" width="7.625" style="356" customWidth="1"/>
    <col min="12540" max="12540" width="4.125" style="356" customWidth="1"/>
    <col min="12541" max="12541" width="17" style="356" customWidth="1"/>
    <col min="12542" max="12542" width="3.625" style="356" customWidth="1"/>
    <col min="12543" max="12543" width="9.125" style="356" customWidth="1"/>
    <col min="12544" max="12544" width="3.625" style="356" customWidth="1"/>
    <col min="12545" max="12545" width="4.625" style="356" customWidth="1"/>
    <col min="12546" max="12546" width="9.625" style="356" customWidth="1"/>
    <col min="12547" max="12547" width="10.125" style="356" customWidth="1"/>
    <col min="12548" max="12548" width="10.25" style="356" customWidth="1"/>
    <col min="12549" max="12549" width="4.625" style="356" customWidth="1"/>
    <col min="12550" max="12550" width="5" style="356" customWidth="1"/>
    <col min="12551" max="12551" width="11.125" style="356" customWidth="1"/>
    <col min="12552" max="12552" width="16.125" style="356" customWidth="1"/>
    <col min="12553" max="12553" width="4.75" style="356" customWidth="1"/>
    <col min="12554" max="12554" width="3.625" style="356" customWidth="1"/>
    <col min="12555" max="12555" width="5.125" style="356" customWidth="1"/>
    <col min="12556" max="12556" width="3.125" style="356" customWidth="1"/>
    <col min="12557" max="12557" width="4.625" style="356" customWidth="1"/>
    <col min="12558" max="12558" width="5" style="356" customWidth="1"/>
    <col min="12559" max="12560" width="9.75" style="356" customWidth="1"/>
    <col min="12561" max="12562" width="7.875" style="356" customWidth="1"/>
    <col min="12563" max="12793" width="9" style="356"/>
    <col min="12794" max="12794" width="3.125" style="356" customWidth="1"/>
    <col min="12795" max="12795" width="7.625" style="356" customWidth="1"/>
    <col min="12796" max="12796" width="4.125" style="356" customWidth="1"/>
    <col min="12797" max="12797" width="17" style="356" customWidth="1"/>
    <col min="12798" max="12798" width="3.625" style="356" customWidth="1"/>
    <col min="12799" max="12799" width="9.125" style="356" customWidth="1"/>
    <col min="12800" max="12800" width="3.625" style="356" customWidth="1"/>
    <col min="12801" max="12801" width="4.625" style="356" customWidth="1"/>
    <col min="12802" max="12802" width="9.625" style="356" customWidth="1"/>
    <col min="12803" max="12803" width="10.125" style="356" customWidth="1"/>
    <col min="12804" max="12804" width="10.25" style="356" customWidth="1"/>
    <col min="12805" max="12805" width="4.625" style="356" customWidth="1"/>
    <col min="12806" max="12806" width="5" style="356" customWidth="1"/>
    <col min="12807" max="12807" width="11.125" style="356" customWidth="1"/>
    <col min="12808" max="12808" width="16.125" style="356" customWidth="1"/>
    <col min="12809" max="12809" width="4.75" style="356" customWidth="1"/>
    <col min="12810" max="12810" width="3.625" style="356" customWidth="1"/>
    <col min="12811" max="12811" width="5.125" style="356" customWidth="1"/>
    <col min="12812" max="12812" width="3.125" style="356" customWidth="1"/>
    <col min="12813" max="12813" width="4.625" style="356" customWidth="1"/>
    <col min="12814" max="12814" width="5" style="356" customWidth="1"/>
    <col min="12815" max="12816" width="9.75" style="356" customWidth="1"/>
    <col min="12817" max="12818" width="7.875" style="356" customWidth="1"/>
    <col min="12819" max="13049" width="9" style="356"/>
    <col min="13050" max="13050" width="3.125" style="356" customWidth="1"/>
    <col min="13051" max="13051" width="7.625" style="356" customWidth="1"/>
    <col min="13052" max="13052" width="4.125" style="356" customWidth="1"/>
    <col min="13053" max="13053" width="17" style="356" customWidth="1"/>
    <col min="13054" max="13054" width="3.625" style="356" customWidth="1"/>
    <col min="13055" max="13055" width="9.125" style="356" customWidth="1"/>
    <col min="13056" max="13056" width="3.625" style="356" customWidth="1"/>
    <col min="13057" max="13057" width="4.625" style="356" customWidth="1"/>
    <col min="13058" max="13058" width="9.625" style="356" customWidth="1"/>
    <col min="13059" max="13059" width="10.125" style="356" customWidth="1"/>
    <col min="13060" max="13060" width="10.25" style="356" customWidth="1"/>
    <col min="13061" max="13061" width="4.625" style="356" customWidth="1"/>
    <col min="13062" max="13062" width="5" style="356" customWidth="1"/>
    <col min="13063" max="13063" width="11.125" style="356" customWidth="1"/>
    <col min="13064" max="13064" width="16.125" style="356" customWidth="1"/>
    <col min="13065" max="13065" width="4.75" style="356" customWidth="1"/>
    <col min="13066" max="13066" width="3.625" style="356" customWidth="1"/>
    <col min="13067" max="13067" width="5.125" style="356" customWidth="1"/>
    <col min="13068" max="13068" width="3.125" style="356" customWidth="1"/>
    <col min="13069" max="13069" width="4.625" style="356" customWidth="1"/>
    <col min="13070" max="13070" width="5" style="356" customWidth="1"/>
    <col min="13071" max="13072" width="9.75" style="356" customWidth="1"/>
    <col min="13073" max="13074" width="7.875" style="356" customWidth="1"/>
    <col min="13075" max="13305" width="9" style="356"/>
    <col min="13306" max="13306" width="3.125" style="356" customWidth="1"/>
    <col min="13307" max="13307" width="7.625" style="356" customWidth="1"/>
    <col min="13308" max="13308" width="4.125" style="356" customWidth="1"/>
    <col min="13309" max="13309" width="17" style="356" customWidth="1"/>
    <col min="13310" max="13310" width="3.625" style="356" customWidth="1"/>
    <col min="13311" max="13311" width="9.125" style="356" customWidth="1"/>
    <col min="13312" max="13312" width="3.625" style="356" customWidth="1"/>
    <col min="13313" max="13313" width="4.625" style="356" customWidth="1"/>
    <col min="13314" max="13314" width="9.625" style="356" customWidth="1"/>
    <col min="13315" max="13315" width="10.125" style="356" customWidth="1"/>
    <col min="13316" max="13316" width="10.25" style="356" customWidth="1"/>
    <col min="13317" max="13317" width="4.625" style="356" customWidth="1"/>
    <col min="13318" max="13318" width="5" style="356" customWidth="1"/>
    <col min="13319" max="13319" width="11.125" style="356" customWidth="1"/>
    <col min="13320" max="13320" width="16.125" style="356" customWidth="1"/>
    <col min="13321" max="13321" width="4.75" style="356" customWidth="1"/>
    <col min="13322" max="13322" width="3.625" style="356" customWidth="1"/>
    <col min="13323" max="13323" width="5.125" style="356" customWidth="1"/>
    <col min="13324" max="13324" width="3.125" style="356" customWidth="1"/>
    <col min="13325" max="13325" width="4.625" style="356" customWidth="1"/>
    <col min="13326" max="13326" width="5" style="356" customWidth="1"/>
    <col min="13327" max="13328" width="9.75" style="356" customWidth="1"/>
    <col min="13329" max="13330" width="7.875" style="356" customWidth="1"/>
    <col min="13331" max="13561" width="9" style="356"/>
    <col min="13562" max="13562" width="3.125" style="356" customWidth="1"/>
    <col min="13563" max="13563" width="7.625" style="356" customWidth="1"/>
    <col min="13564" max="13564" width="4.125" style="356" customWidth="1"/>
    <col min="13565" max="13565" width="17" style="356" customWidth="1"/>
    <col min="13566" max="13566" width="3.625" style="356" customWidth="1"/>
    <col min="13567" max="13567" width="9.125" style="356" customWidth="1"/>
    <col min="13568" max="13568" width="3.625" style="356" customWidth="1"/>
    <col min="13569" max="13569" width="4.625" style="356" customWidth="1"/>
    <col min="13570" max="13570" width="9.625" style="356" customWidth="1"/>
    <col min="13571" max="13571" width="10.125" style="356" customWidth="1"/>
    <col min="13572" max="13572" width="10.25" style="356" customWidth="1"/>
    <col min="13573" max="13573" width="4.625" style="356" customWidth="1"/>
    <col min="13574" max="13574" width="5" style="356" customWidth="1"/>
    <col min="13575" max="13575" width="11.125" style="356" customWidth="1"/>
    <col min="13576" max="13576" width="16.125" style="356" customWidth="1"/>
    <col min="13577" max="13577" width="4.75" style="356" customWidth="1"/>
    <col min="13578" max="13578" width="3.625" style="356" customWidth="1"/>
    <col min="13579" max="13579" width="5.125" style="356" customWidth="1"/>
    <col min="13580" max="13580" width="3.125" style="356" customWidth="1"/>
    <col min="13581" max="13581" width="4.625" style="356" customWidth="1"/>
    <col min="13582" max="13582" width="5" style="356" customWidth="1"/>
    <col min="13583" max="13584" width="9.75" style="356" customWidth="1"/>
    <col min="13585" max="13586" width="7.875" style="356" customWidth="1"/>
    <col min="13587" max="13817" width="9" style="356"/>
    <col min="13818" max="13818" width="3.125" style="356" customWidth="1"/>
    <col min="13819" max="13819" width="7.625" style="356" customWidth="1"/>
    <col min="13820" max="13820" width="4.125" style="356" customWidth="1"/>
    <col min="13821" max="13821" width="17" style="356" customWidth="1"/>
    <col min="13822" max="13822" width="3.625" style="356" customWidth="1"/>
    <col min="13823" max="13823" width="9.125" style="356" customWidth="1"/>
    <col min="13824" max="13824" width="3.625" style="356" customWidth="1"/>
    <col min="13825" max="13825" width="4.625" style="356" customWidth="1"/>
    <col min="13826" max="13826" width="9.625" style="356" customWidth="1"/>
    <col min="13827" max="13827" width="10.125" style="356" customWidth="1"/>
    <col min="13828" max="13828" width="10.25" style="356" customWidth="1"/>
    <col min="13829" max="13829" width="4.625" style="356" customWidth="1"/>
    <col min="13830" max="13830" width="5" style="356" customWidth="1"/>
    <col min="13831" max="13831" width="11.125" style="356" customWidth="1"/>
    <col min="13832" max="13832" width="16.125" style="356" customWidth="1"/>
    <col min="13833" max="13833" width="4.75" style="356" customWidth="1"/>
    <col min="13834" max="13834" width="3.625" style="356" customWidth="1"/>
    <col min="13835" max="13835" width="5.125" style="356" customWidth="1"/>
    <col min="13836" max="13836" width="3.125" style="356" customWidth="1"/>
    <col min="13837" max="13837" width="4.625" style="356" customWidth="1"/>
    <col min="13838" max="13838" width="5" style="356" customWidth="1"/>
    <col min="13839" max="13840" width="9.75" style="356" customWidth="1"/>
    <col min="13841" max="13842" width="7.875" style="356" customWidth="1"/>
    <col min="13843" max="14073" width="9" style="356"/>
    <col min="14074" max="14074" width="3.125" style="356" customWidth="1"/>
    <col min="14075" max="14075" width="7.625" style="356" customWidth="1"/>
    <col min="14076" max="14076" width="4.125" style="356" customWidth="1"/>
    <col min="14077" max="14077" width="17" style="356" customWidth="1"/>
    <col min="14078" max="14078" width="3.625" style="356" customWidth="1"/>
    <col min="14079" max="14079" width="9.125" style="356" customWidth="1"/>
    <col min="14080" max="14080" width="3.625" style="356" customWidth="1"/>
    <col min="14081" max="14081" width="4.625" style="356" customWidth="1"/>
    <col min="14082" max="14082" width="9.625" style="356" customWidth="1"/>
    <col min="14083" max="14083" width="10.125" style="356" customWidth="1"/>
    <col min="14084" max="14084" width="10.25" style="356" customWidth="1"/>
    <col min="14085" max="14085" width="4.625" style="356" customWidth="1"/>
    <col min="14086" max="14086" width="5" style="356" customWidth="1"/>
    <col min="14087" max="14087" width="11.125" style="356" customWidth="1"/>
    <col min="14088" max="14088" width="16.125" style="356" customWidth="1"/>
    <col min="14089" max="14089" width="4.75" style="356" customWidth="1"/>
    <col min="14090" max="14090" width="3.625" style="356" customWidth="1"/>
    <col min="14091" max="14091" width="5.125" style="356" customWidth="1"/>
    <col min="14092" max="14092" width="3.125" style="356" customWidth="1"/>
    <col min="14093" max="14093" width="4.625" style="356" customWidth="1"/>
    <col min="14094" max="14094" width="5" style="356" customWidth="1"/>
    <col min="14095" max="14096" width="9.75" style="356" customWidth="1"/>
    <col min="14097" max="14098" width="7.875" style="356" customWidth="1"/>
    <col min="14099" max="14329" width="9" style="356"/>
    <col min="14330" max="14330" width="3.125" style="356" customWidth="1"/>
    <col min="14331" max="14331" width="7.625" style="356" customWidth="1"/>
    <col min="14332" max="14332" width="4.125" style="356" customWidth="1"/>
    <col min="14333" max="14333" width="17" style="356" customWidth="1"/>
    <col min="14334" max="14334" width="3.625" style="356" customWidth="1"/>
    <col min="14335" max="14335" width="9.125" style="356" customWidth="1"/>
    <col min="14336" max="14336" width="3.625" style="356" customWidth="1"/>
    <col min="14337" max="14337" width="4.625" style="356" customWidth="1"/>
    <col min="14338" max="14338" width="9.625" style="356" customWidth="1"/>
    <col min="14339" max="14339" width="10.125" style="356" customWidth="1"/>
    <col min="14340" max="14340" width="10.25" style="356" customWidth="1"/>
    <col min="14341" max="14341" width="4.625" style="356" customWidth="1"/>
    <col min="14342" max="14342" width="5" style="356" customWidth="1"/>
    <col min="14343" max="14343" width="11.125" style="356" customWidth="1"/>
    <col min="14344" max="14344" width="16.125" style="356" customWidth="1"/>
    <col min="14345" max="14345" width="4.75" style="356" customWidth="1"/>
    <col min="14346" max="14346" width="3.625" style="356" customWidth="1"/>
    <col min="14347" max="14347" width="5.125" style="356" customWidth="1"/>
    <col min="14348" max="14348" width="3.125" style="356" customWidth="1"/>
    <col min="14349" max="14349" width="4.625" style="356" customWidth="1"/>
    <col min="14350" max="14350" width="5" style="356" customWidth="1"/>
    <col min="14351" max="14352" width="9.75" style="356" customWidth="1"/>
    <col min="14353" max="14354" width="7.875" style="356" customWidth="1"/>
    <col min="14355" max="14585" width="9" style="356"/>
    <col min="14586" max="14586" width="3.125" style="356" customWidth="1"/>
    <col min="14587" max="14587" width="7.625" style="356" customWidth="1"/>
    <col min="14588" max="14588" width="4.125" style="356" customWidth="1"/>
    <col min="14589" max="14589" width="17" style="356" customWidth="1"/>
    <col min="14590" max="14590" width="3.625" style="356" customWidth="1"/>
    <col min="14591" max="14591" width="9.125" style="356" customWidth="1"/>
    <col min="14592" max="14592" width="3.625" style="356" customWidth="1"/>
    <col min="14593" max="14593" width="4.625" style="356" customWidth="1"/>
    <col min="14594" max="14594" width="9.625" style="356" customWidth="1"/>
    <col min="14595" max="14595" width="10.125" style="356" customWidth="1"/>
    <col min="14596" max="14596" width="10.25" style="356" customWidth="1"/>
    <col min="14597" max="14597" width="4.625" style="356" customWidth="1"/>
    <col min="14598" max="14598" width="5" style="356" customWidth="1"/>
    <col min="14599" max="14599" width="11.125" style="356" customWidth="1"/>
    <col min="14600" max="14600" width="16.125" style="356" customWidth="1"/>
    <col min="14601" max="14601" width="4.75" style="356" customWidth="1"/>
    <col min="14602" max="14602" width="3.625" style="356" customWidth="1"/>
    <col min="14603" max="14603" width="5.125" style="356" customWidth="1"/>
    <col min="14604" max="14604" width="3.125" style="356" customWidth="1"/>
    <col min="14605" max="14605" width="4.625" style="356" customWidth="1"/>
    <col min="14606" max="14606" width="5" style="356" customWidth="1"/>
    <col min="14607" max="14608" width="9.75" style="356" customWidth="1"/>
    <col min="14609" max="14610" width="7.875" style="356" customWidth="1"/>
    <col min="14611" max="14841" width="9" style="356"/>
    <col min="14842" max="14842" width="3.125" style="356" customWidth="1"/>
    <col min="14843" max="14843" width="7.625" style="356" customWidth="1"/>
    <col min="14844" max="14844" width="4.125" style="356" customWidth="1"/>
    <col min="14845" max="14845" width="17" style="356" customWidth="1"/>
    <col min="14846" max="14846" width="3.625" style="356" customWidth="1"/>
    <col min="14847" max="14847" width="9.125" style="356" customWidth="1"/>
    <col min="14848" max="14848" width="3.625" style="356" customWidth="1"/>
    <col min="14849" max="14849" width="4.625" style="356" customWidth="1"/>
    <col min="14850" max="14850" width="9.625" style="356" customWidth="1"/>
    <col min="14851" max="14851" width="10.125" style="356" customWidth="1"/>
    <col min="14852" max="14852" width="10.25" style="356" customWidth="1"/>
    <col min="14853" max="14853" width="4.625" style="356" customWidth="1"/>
    <col min="14854" max="14854" width="5" style="356" customWidth="1"/>
    <col min="14855" max="14855" width="11.125" style="356" customWidth="1"/>
    <col min="14856" max="14856" width="16.125" style="356" customWidth="1"/>
    <col min="14857" max="14857" width="4.75" style="356" customWidth="1"/>
    <col min="14858" max="14858" width="3.625" style="356" customWidth="1"/>
    <col min="14859" max="14859" width="5.125" style="356" customWidth="1"/>
    <col min="14860" max="14860" width="3.125" style="356" customWidth="1"/>
    <col min="14861" max="14861" width="4.625" style="356" customWidth="1"/>
    <col min="14862" max="14862" width="5" style="356" customWidth="1"/>
    <col min="14863" max="14864" width="9.75" style="356" customWidth="1"/>
    <col min="14865" max="14866" width="7.875" style="356" customWidth="1"/>
    <col min="14867" max="15097" width="9" style="356"/>
    <col min="15098" max="15098" width="3.125" style="356" customWidth="1"/>
    <col min="15099" max="15099" width="7.625" style="356" customWidth="1"/>
    <col min="15100" max="15100" width="4.125" style="356" customWidth="1"/>
    <col min="15101" max="15101" width="17" style="356" customWidth="1"/>
    <col min="15102" max="15102" width="3.625" style="356" customWidth="1"/>
    <col min="15103" max="15103" width="9.125" style="356" customWidth="1"/>
    <col min="15104" max="15104" width="3.625" style="356" customWidth="1"/>
    <col min="15105" max="15105" width="4.625" style="356" customWidth="1"/>
    <col min="15106" max="15106" width="9.625" style="356" customWidth="1"/>
    <col min="15107" max="15107" width="10.125" style="356" customWidth="1"/>
    <col min="15108" max="15108" width="10.25" style="356" customWidth="1"/>
    <col min="15109" max="15109" width="4.625" style="356" customWidth="1"/>
    <col min="15110" max="15110" width="5" style="356" customWidth="1"/>
    <col min="15111" max="15111" width="11.125" style="356" customWidth="1"/>
    <col min="15112" max="15112" width="16.125" style="356" customWidth="1"/>
    <col min="15113" max="15113" width="4.75" style="356" customWidth="1"/>
    <col min="15114" max="15114" width="3.625" style="356" customWidth="1"/>
    <col min="15115" max="15115" width="5.125" style="356" customWidth="1"/>
    <col min="15116" max="15116" width="3.125" style="356" customWidth="1"/>
    <col min="15117" max="15117" width="4.625" style="356" customWidth="1"/>
    <col min="15118" max="15118" width="5" style="356" customWidth="1"/>
    <col min="15119" max="15120" width="9.75" style="356" customWidth="1"/>
    <col min="15121" max="15122" width="7.875" style="356" customWidth="1"/>
    <col min="15123" max="15353" width="9" style="356"/>
    <col min="15354" max="15354" width="3.125" style="356" customWidth="1"/>
    <col min="15355" max="15355" width="7.625" style="356" customWidth="1"/>
    <col min="15356" max="15356" width="4.125" style="356" customWidth="1"/>
    <col min="15357" max="15357" width="17" style="356" customWidth="1"/>
    <col min="15358" max="15358" width="3.625" style="356" customWidth="1"/>
    <col min="15359" max="15359" width="9.125" style="356" customWidth="1"/>
    <col min="15360" max="15360" width="3.625" style="356" customWidth="1"/>
    <col min="15361" max="15361" width="4.625" style="356" customWidth="1"/>
    <col min="15362" max="15362" width="9.625" style="356" customWidth="1"/>
    <col min="15363" max="15363" width="10.125" style="356" customWidth="1"/>
    <col min="15364" max="15364" width="10.25" style="356" customWidth="1"/>
    <col min="15365" max="15365" width="4.625" style="356" customWidth="1"/>
    <col min="15366" max="15366" width="5" style="356" customWidth="1"/>
    <col min="15367" max="15367" width="11.125" style="356" customWidth="1"/>
    <col min="15368" max="15368" width="16.125" style="356" customWidth="1"/>
    <col min="15369" max="15369" width="4.75" style="356" customWidth="1"/>
    <col min="15370" max="15370" width="3.625" style="356" customWidth="1"/>
    <col min="15371" max="15371" width="5.125" style="356" customWidth="1"/>
    <col min="15372" max="15372" width="3.125" style="356" customWidth="1"/>
    <col min="15373" max="15373" width="4.625" style="356" customWidth="1"/>
    <col min="15374" max="15374" width="5" style="356" customWidth="1"/>
    <col min="15375" max="15376" width="9.75" style="356" customWidth="1"/>
    <col min="15377" max="15378" width="7.875" style="356" customWidth="1"/>
    <col min="15379" max="15609" width="9" style="356"/>
    <col min="15610" max="15610" width="3.125" style="356" customWidth="1"/>
    <col min="15611" max="15611" width="7.625" style="356" customWidth="1"/>
    <col min="15612" max="15612" width="4.125" style="356" customWidth="1"/>
    <col min="15613" max="15613" width="17" style="356" customWidth="1"/>
    <col min="15614" max="15614" width="3.625" style="356" customWidth="1"/>
    <col min="15615" max="15615" width="9.125" style="356" customWidth="1"/>
    <col min="15616" max="15616" width="3.625" style="356" customWidth="1"/>
    <col min="15617" max="15617" width="4.625" style="356" customWidth="1"/>
    <col min="15618" max="15618" width="9.625" style="356" customWidth="1"/>
    <col min="15619" max="15619" width="10.125" style="356" customWidth="1"/>
    <col min="15620" max="15620" width="10.25" style="356" customWidth="1"/>
    <col min="15621" max="15621" width="4.625" style="356" customWidth="1"/>
    <col min="15622" max="15622" width="5" style="356" customWidth="1"/>
    <col min="15623" max="15623" width="11.125" style="356" customWidth="1"/>
    <col min="15624" max="15624" width="16.125" style="356" customWidth="1"/>
    <col min="15625" max="15625" width="4.75" style="356" customWidth="1"/>
    <col min="15626" max="15626" width="3.625" style="356" customWidth="1"/>
    <col min="15627" max="15627" width="5.125" style="356" customWidth="1"/>
    <col min="15628" max="15628" width="3.125" style="356" customWidth="1"/>
    <col min="15629" max="15629" width="4.625" style="356" customWidth="1"/>
    <col min="15630" max="15630" width="5" style="356" customWidth="1"/>
    <col min="15631" max="15632" width="9.75" style="356" customWidth="1"/>
    <col min="15633" max="15634" width="7.875" style="356" customWidth="1"/>
    <col min="15635" max="15865" width="9" style="356"/>
    <col min="15866" max="15866" width="3.125" style="356" customWidth="1"/>
    <col min="15867" max="15867" width="7.625" style="356" customWidth="1"/>
    <col min="15868" max="15868" width="4.125" style="356" customWidth="1"/>
    <col min="15869" max="15869" width="17" style="356" customWidth="1"/>
    <col min="15870" max="15870" width="3.625" style="356" customWidth="1"/>
    <col min="15871" max="15871" width="9.125" style="356" customWidth="1"/>
    <col min="15872" max="15872" width="3.625" style="356" customWidth="1"/>
    <col min="15873" max="15873" width="4.625" style="356" customWidth="1"/>
    <col min="15874" max="15874" width="9.625" style="356" customWidth="1"/>
    <col min="15875" max="15875" width="10.125" style="356" customWidth="1"/>
    <col min="15876" max="15876" width="10.25" style="356" customWidth="1"/>
    <col min="15877" max="15877" width="4.625" style="356" customWidth="1"/>
    <col min="15878" max="15878" width="5" style="356" customWidth="1"/>
    <col min="15879" max="15879" width="11.125" style="356" customWidth="1"/>
    <col min="15880" max="15880" width="16.125" style="356" customWidth="1"/>
    <col min="15881" max="15881" width="4.75" style="356" customWidth="1"/>
    <col min="15882" max="15882" width="3.625" style="356" customWidth="1"/>
    <col min="15883" max="15883" width="5.125" style="356" customWidth="1"/>
    <col min="15884" max="15884" width="3.125" style="356" customWidth="1"/>
    <col min="15885" max="15885" width="4.625" style="356" customWidth="1"/>
    <col min="15886" max="15886" width="5" style="356" customWidth="1"/>
    <col min="15887" max="15888" width="9.75" style="356" customWidth="1"/>
    <col min="15889" max="15890" width="7.875" style="356" customWidth="1"/>
    <col min="15891" max="16121" width="9" style="356"/>
    <col min="16122" max="16122" width="3.125" style="356" customWidth="1"/>
    <col min="16123" max="16123" width="7.625" style="356" customWidth="1"/>
    <col min="16124" max="16124" width="4.125" style="356" customWidth="1"/>
    <col min="16125" max="16125" width="17" style="356" customWidth="1"/>
    <col min="16126" max="16126" width="3.625" style="356" customWidth="1"/>
    <col min="16127" max="16127" width="9.125" style="356" customWidth="1"/>
    <col min="16128" max="16128" width="3.625" style="356" customWidth="1"/>
    <col min="16129" max="16129" width="4.625" style="356" customWidth="1"/>
    <col min="16130" max="16130" width="9.625" style="356" customWidth="1"/>
    <col min="16131" max="16131" width="10.125" style="356" customWidth="1"/>
    <col min="16132" max="16132" width="10.25" style="356" customWidth="1"/>
    <col min="16133" max="16133" width="4.625" style="356" customWidth="1"/>
    <col min="16134" max="16134" width="5" style="356" customWidth="1"/>
    <col min="16135" max="16135" width="11.125" style="356" customWidth="1"/>
    <col min="16136" max="16136" width="16.125" style="356" customWidth="1"/>
    <col min="16137" max="16137" width="4.75" style="356" customWidth="1"/>
    <col min="16138" max="16138" width="3.625" style="356" customWidth="1"/>
    <col min="16139" max="16139" width="5.125" style="356" customWidth="1"/>
    <col min="16140" max="16140" width="3.125" style="356" customWidth="1"/>
    <col min="16141" max="16141" width="4.625" style="356" customWidth="1"/>
    <col min="16142" max="16142" width="5" style="356" customWidth="1"/>
    <col min="16143" max="16144" width="9.75" style="356" customWidth="1"/>
    <col min="16145" max="16146" width="7.875" style="356" customWidth="1"/>
    <col min="16147" max="16384" width="9" style="356"/>
  </cols>
  <sheetData>
    <row r="1" s="353" customFormat="1" ht="30.75" customHeight="1" spans="1:30">
      <c r="A1" s="357"/>
      <c r="B1" s="357"/>
      <c r="C1" s="357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78"/>
      <c r="U1" s="378"/>
      <c r="V1" s="378"/>
      <c r="W1" s="378"/>
      <c r="X1" s="449" t="s">
        <v>10</v>
      </c>
      <c r="Y1" s="449"/>
      <c r="Z1" s="449"/>
      <c r="AA1" s="449"/>
      <c r="AB1" s="449"/>
      <c r="AC1" s="378"/>
      <c r="AD1" s="379"/>
    </row>
    <row r="2" s="353" customFormat="1" ht="34.5" customHeight="1" spans="1:29">
      <c r="A2" s="357" t="s">
        <v>11</v>
      </c>
      <c r="B2" s="357"/>
      <c r="C2" s="357"/>
      <c r="D2" s="359"/>
      <c r="E2" s="359"/>
      <c r="F2" s="359"/>
      <c r="G2" s="360" t="s">
        <v>12</v>
      </c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79"/>
      <c r="U2" s="379"/>
      <c r="V2" s="379"/>
      <c r="X2" s="449"/>
      <c r="Y2" s="449"/>
      <c r="Z2" s="449"/>
      <c r="AA2" s="449"/>
      <c r="AB2" s="449"/>
      <c r="AC2" s="379"/>
    </row>
    <row r="3" s="354" customFormat="1" ht="28.5" customHeight="1" spans="1:30">
      <c r="A3" s="361" t="s">
        <v>13</v>
      </c>
      <c r="B3" s="361"/>
      <c r="C3" s="362" t="s">
        <v>14</v>
      </c>
      <c r="D3" s="362"/>
      <c r="E3" s="362"/>
      <c r="F3" s="438" t="s">
        <v>15</v>
      </c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50"/>
      <c r="V3" s="380" t="s">
        <v>16</v>
      </c>
      <c r="W3" s="380"/>
      <c r="X3" s="380" t="s">
        <v>17</v>
      </c>
      <c r="Y3" s="380" t="s">
        <v>18</v>
      </c>
      <c r="Z3" s="380" t="s">
        <v>19</v>
      </c>
      <c r="AA3" s="392" t="s">
        <v>20</v>
      </c>
      <c r="AB3" s="380" t="s">
        <v>21</v>
      </c>
      <c r="AC3" s="393"/>
      <c r="AD3" s="394"/>
    </row>
    <row r="4" s="354" customFormat="1" ht="36" customHeight="1" spans="1:30">
      <c r="A4" s="361"/>
      <c r="B4" s="361"/>
      <c r="C4" s="362"/>
      <c r="D4" s="362"/>
      <c r="E4" s="362"/>
      <c r="F4" s="440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51"/>
      <c r="V4" s="381"/>
      <c r="W4" s="381"/>
      <c r="X4" s="381"/>
      <c r="Y4" s="381"/>
      <c r="Z4" s="395"/>
      <c r="AA4" s="396" t="s">
        <v>22</v>
      </c>
      <c r="AB4" s="397"/>
      <c r="AC4" s="393"/>
      <c r="AD4" s="394"/>
    </row>
    <row r="5" ht="36.75" customHeight="1" spans="1:28">
      <c r="A5" s="365" t="s">
        <v>23</v>
      </c>
      <c r="B5" s="365"/>
      <c r="C5" s="365"/>
      <c r="D5" s="365"/>
      <c r="E5" s="366" t="s">
        <v>24</v>
      </c>
      <c r="F5" s="366" t="s">
        <v>25</v>
      </c>
      <c r="G5" s="366"/>
      <c r="H5" s="366"/>
      <c r="I5" s="366"/>
      <c r="J5" s="366" t="s">
        <v>26</v>
      </c>
      <c r="K5" s="366"/>
      <c r="L5" s="366"/>
      <c r="M5" s="366"/>
      <c r="N5" s="366" t="s">
        <v>27</v>
      </c>
      <c r="O5" s="366"/>
      <c r="P5" s="366"/>
      <c r="Q5" s="366"/>
      <c r="R5" s="366"/>
      <c r="S5" s="366"/>
      <c r="T5" s="366"/>
      <c r="U5" s="366"/>
      <c r="V5" s="366" t="s">
        <v>28</v>
      </c>
      <c r="W5" s="366"/>
      <c r="X5" s="398" t="s">
        <v>29</v>
      </c>
      <c r="Y5" s="398"/>
      <c r="Z5" s="398"/>
      <c r="AA5" s="398" t="s">
        <v>30</v>
      </c>
      <c r="AB5" s="398"/>
    </row>
    <row r="6" ht="50.1" customHeight="1" spans="1:28">
      <c r="A6" s="366"/>
      <c r="B6" s="366"/>
      <c r="C6" s="366"/>
      <c r="D6" s="366"/>
      <c r="E6" s="366">
        <v>1</v>
      </c>
      <c r="F6" s="377" t="s">
        <v>5</v>
      </c>
      <c r="G6" s="368"/>
      <c r="H6" s="368"/>
      <c r="I6" s="368"/>
      <c r="J6" s="368" t="s">
        <v>6</v>
      </c>
      <c r="K6" s="368"/>
      <c r="L6" s="368"/>
      <c r="M6" s="368"/>
      <c r="N6" s="377" t="s">
        <v>31</v>
      </c>
      <c r="O6" s="377"/>
      <c r="P6" s="377"/>
      <c r="Q6" s="377"/>
      <c r="R6" s="377"/>
      <c r="S6" s="377"/>
      <c r="T6" s="377"/>
      <c r="U6" s="377"/>
      <c r="V6" s="368">
        <v>1</v>
      </c>
      <c r="W6" s="368"/>
      <c r="X6" s="399"/>
      <c r="Y6" s="399"/>
      <c r="Z6" s="399"/>
      <c r="AA6" s="398"/>
      <c r="AB6" s="398"/>
    </row>
    <row r="7" ht="50.1" customHeight="1" spans="1:28">
      <c r="A7" s="366"/>
      <c r="B7" s="366"/>
      <c r="C7" s="366"/>
      <c r="D7" s="366"/>
      <c r="E7" s="366"/>
      <c r="F7" s="368"/>
      <c r="G7" s="368"/>
      <c r="H7" s="368"/>
      <c r="I7" s="368"/>
      <c r="J7" s="368"/>
      <c r="K7" s="368"/>
      <c r="L7" s="368"/>
      <c r="M7" s="368"/>
      <c r="N7" s="445"/>
      <c r="O7" s="445"/>
      <c r="P7" s="445"/>
      <c r="Q7" s="445"/>
      <c r="R7" s="445"/>
      <c r="S7" s="445"/>
      <c r="T7" s="445"/>
      <c r="U7" s="445"/>
      <c r="V7" s="368"/>
      <c r="W7" s="368"/>
      <c r="X7" s="399"/>
      <c r="Y7" s="399"/>
      <c r="Z7" s="399"/>
      <c r="AA7" s="398"/>
      <c r="AB7" s="398"/>
    </row>
    <row r="8" ht="50.1" customHeight="1" spans="1:28">
      <c r="A8" s="366"/>
      <c r="B8" s="366"/>
      <c r="C8" s="366"/>
      <c r="D8" s="366"/>
      <c r="E8" s="366"/>
      <c r="F8" s="368"/>
      <c r="G8" s="368"/>
      <c r="H8" s="368"/>
      <c r="I8" s="368"/>
      <c r="J8" s="368"/>
      <c r="K8" s="368"/>
      <c r="L8" s="368"/>
      <c r="M8" s="368"/>
      <c r="N8" s="377"/>
      <c r="O8" s="377"/>
      <c r="P8" s="377"/>
      <c r="Q8" s="377"/>
      <c r="R8" s="377"/>
      <c r="S8" s="377"/>
      <c r="T8" s="377"/>
      <c r="U8" s="377"/>
      <c r="V8" s="368"/>
      <c r="W8" s="368"/>
      <c r="X8" s="399"/>
      <c r="Y8" s="399"/>
      <c r="Z8" s="399"/>
      <c r="AA8" s="398"/>
      <c r="AB8" s="398"/>
    </row>
    <row r="9" ht="24.95" customHeight="1" spans="1:28">
      <c r="A9" s="366"/>
      <c r="B9" s="366"/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  <c r="X9" s="366"/>
      <c r="Y9" s="366"/>
      <c r="Z9" s="366"/>
      <c r="AA9" s="366"/>
      <c r="AB9" s="366"/>
    </row>
    <row r="10" s="355" customFormat="1" ht="29.25" customHeight="1" spans="1:28">
      <c r="A10" s="369" t="s">
        <v>32</v>
      </c>
      <c r="B10" s="369"/>
      <c r="C10" s="369"/>
      <c r="D10" s="369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</row>
    <row r="11" s="355" customFormat="1" ht="33.75" customHeight="1" spans="1:28">
      <c r="A11" s="370" t="s">
        <v>33</v>
      </c>
      <c r="B11" s="369" t="s">
        <v>34</v>
      </c>
      <c r="C11" s="369"/>
      <c r="D11" s="369" t="s">
        <v>35</v>
      </c>
      <c r="E11" s="369" t="s">
        <v>2</v>
      </c>
      <c r="F11" s="369"/>
      <c r="G11" s="369" t="s">
        <v>36</v>
      </c>
      <c r="H11" s="369" t="s">
        <v>37</v>
      </c>
      <c r="I11" s="369"/>
      <c r="J11" s="369"/>
      <c r="K11" s="369" t="s">
        <v>38</v>
      </c>
      <c r="L11" s="369" t="s">
        <v>39</v>
      </c>
      <c r="M11" s="369"/>
      <c r="N11" s="369"/>
      <c r="O11" s="369" t="s">
        <v>33</v>
      </c>
      <c r="P11" s="369" t="s">
        <v>40</v>
      </c>
      <c r="Q11" s="369"/>
      <c r="R11" s="369" t="s">
        <v>35</v>
      </c>
      <c r="S11" s="369" t="s">
        <v>2</v>
      </c>
      <c r="T11" s="369"/>
      <c r="U11" s="369" t="s">
        <v>36</v>
      </c>
      <c r="V11" s="369" t="s">
        <v>37</v>
      </c>
      <c r="W11" s="369"/>
      <c r="X11" s="369"/>
      <c r="Y11" s="369" t="s">
        <v>38</v>
      </c>
      <c r="Z11" s="369"/>
      <c r="AA11" s="369" t="s">
        <v>39</v>
      </c>
      <c r="AB11" s="369"/>
    </row>
    <row r="12" s="355" customFormat="1" ht="25.5" customHeight="1" spans="1:29">
      <c r="A12" s="369">
        <v>1</v>
      </c>
      <c r="B12" s="369" t="s">
        <v>41</v>
      </c>
      <c r="C12" s="369"/>
      <c r="D12" s="369" t="s">
        <v>42</v>
      </c>
      <c r="E12" s="369"/>
      <c r="F12" s="369"/>
      <c r="G12" s="370"/>
      <c r="H12" s="369" t="s">
        <v>43</v>
      </c>
      <c r="I12" s="369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83"/>
      <c r="V12" s="452"/>
      <c r="W12" s="452"/>
      <c r="X12" s="452"/>
      <c r="Y12" s="369"/>
      <c r="Z12" s="369"/>
      <c r="AA12" s="369"/>
      <c r="AB12" s="369"/>
      <c r="AC12" s="454"/>
    </row>
    <row r="13" s="355" customFormat="1" ht="26.1" customHeight="1" spans="1:29">
      <c r="A13" s="369"/>
      <c r="B13" s="369"/>
      <c r="C13" s="369"/>
      <c r="D13" s="369"/>
      <c r="E13" s="369"/>
      <c r="F13" s="369"/>
      <c r="G13" s="383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83"/>
      <c r="V13" s="452"/>
      <c r="W13" s="452"/>
      <c r="X13" s="452"/>
      <c r="Y13" s="369"/>
      <c r="Z13" s="369"/>
      <c r="AA13" s="369"/>
      <c r="AB13" s="369"/>
      <c r="AC13" s="454"/>
    </row>
    <row r="14" s="355" customFormat="1" ht="26.1" customHeight="1" spans="1:29">
      <c r="A14" s="369"/>
      <c r="B14" s="369"/>
      <c r="C14" s="369"/>
      <c r="D14" s="369"/>
      <c r="E14" s="369"/>
      <c r="F14" s="369"/>
      <c r="G14" s="383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83"/>
      <c r="V14" s="452"/>
      <c r="W14" s="452"/>
      <c r="X14" s="452"/>
      <c r="Y14" s="369"/>
      <c r="Z14" s="369"/>
      <c r="AA14" s="369"/>
      <c r="AB14" s="369"/>
      <c r="AC14" s="454"/>
    </row>
    <row r="15" s="355" customFormat="1" ht="26.1" customHeight="1" spans="1:29">
      <c r="A15" s="369"/>
      <c r="B15" s="369"/>
      <c r="C15" s="369"/>
      <c r="D15" s="369"/>
      <c r="E15" s="369"/>
      <c r="F15" s="369"/>
      <c r="G15" s="383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83"/>
      <c r="V15" s="452"/>
      <c r="W15" s="452"/>
      <c r="X15" s="452"/>
      <c r="Y15" s="369"/>
      <c r="Z15" s="369"/>
      <c r="AA15" s="369"/>
      <c r="AB15" s="369"/>
      <c r="AC15" s="454"/>
    </row>
    <row r="16" s="355" customFormat="1" ht="26.1" customHeight="1" spans="1:29">
      <c r="A16" s="369"/>
      <c r="B16" s="369"/>
      <c r="C16" s="369"/>
      <c r="D16" s="369"/>
      <c r="E16" s="369"/>
      <c r="F16" s="369"/>
      <c r="G16" s="383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83"/>
      <c r="V16" s="452"/>
      <c r="W16" s="452"/>
      <c r="X16" s="452"/>
      <c r="Y16" s="369"/>
      <c r="Z16" s="369"/>
      <c r="AA16" s="369"/>
      <c r="AB16" s="369"/>
      <c r="AC16" s="454"/>
    </row>
    <row r="17" s="355" customFormat="1" ht="26.1" customHeight="1" spans="1:29">
      <c r="A17" s="369"/>
      <c r="B17" s="369"/>
      <c r="C17" s="369"/>
      <c r="D17" s="369"/>
      <c r="E17" s="369"/>
      <c r="F17" s="369"/>
      <c r="G17" s="383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83"/>
      <c r="V17" s="452"/>
      <c r="W17" s="452"/>
      <c r="X17" s="452"/>
      <c r="Y17" s="369"/>
      <c r="Z17" s="369"/>
      <c r="AA17" s="369"/>
      <c r="AB17" s="369"/>
      <c r="AC17" s="454"/>
    </row>
    <row r="18" s="355" customFormat="1" ht="26.1" customHeight="1" spans="1:28">
      <c r="A18" s="369"/>
      <c r="B18" s="369"/>
      <c r="C18" s="369"/>
      <c r="D18" s="369"/>
      <c r="E18" s="369"/>
      <c r="F18" s="369"/>
      <c r="G18" s="383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98"/>
      <c r="T18" s="398"/>
      <c r="U18" s="453"/>
      <c r="V18" s="452"/>
      <c r="W18" s="452"/>
      <c r="X18" s="452"/>
      <c r="Y18" s="369"/>
      <c r="Z18" s="369"/>
      <c r="AA18" s="369"/>
      <c r="AB18" s="369"/>
    </row>
    <row r="19" s="355" customFormat="1" ht="27.75" customHeight="1" spans="1:28">
      <c r="A19" s="369"/>
      <c r="B19" s="369"/>
      <c r="C19" s="369"/>
      <c r="D19" s="369"/>
      <c r="E19" s="369"/>
      <c r="F19" s="369"/>
      <c r="G19" s="383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83"/>
      <c r="V19" s="452"/>
      <c r="W19" s="452"/>
      <c r="X19" s="452"/>
      <c r="Y19" s="369"/>
      <c r="Z19" s="369"/>
      <c r="AA19" s="369"/>
      <c r="AB19" s="369"/>
    </row>
    <row r="20" s="355" customFormat="1" ht="26.1" customHeight="1" spans="1:28">
      <c r="A20" s="369"/>
      <c r="B20" s="369"/>
      <c r="C20" s="369"/>
      <c r="D20" s="369"/>
      <c r="E20" s="369"/>
      <c r="F20" s="369"/>
      <c r="G20" s="383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83"/>
      <c r="V20" s="452"/>
      <c r="W20" s="452"/>
      <c r="X20" s="452"/>
      <c r="Y20" s="369"/>
      <c r="Z20" s="369"/>
      <c r="AA20" s="369"/>
      <c r="AB20" s="369"/>
    </row>
    <row r="21" s="355" customFormat="1" ht="26.1" customHeight="1" spans="1:28">
      <c r="A21" s="369"/>
      <c r="B21" s="369"/>
      <c r="C21" s="369"/>
      <c r="D21" s="369"/>
      <c r="E21" s="369"/>
      <c r="F21" s="369"/>
      <c r="G21" s="383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83"/>
      <c r="V21" s="452"/>
      <c r="W21" s="452"/>
      <c r="X21" s="452"/>
      <c r="Y21" s="369"/>
      <c r="Z21" s="369"/>
      <c r="AA21" s="369"/>
      <c r="AB21" s="369"/>
    </row>
    <row r="22" s="355" customFormat="1" ht="26.1" customHeight="1" spans="1:28">
      <c r="A22" s="369"/>
      <c r="B22" s="369"/>
      <c r="C22" s="369"/>
      <c r="D22" s="369"/>
      <c r="E22" s="369"/>
      <c r="F22" s="369"/>
      <c r="G22" s="383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70"/>
      <c r="V22" s="452"/>
      <c r="W22" s="452"/>
      <c r="X22" s="452"/>
      <c r="Y22" s="369"/>
      <c r="Z22" s="369"/>
      <c r="AA22" s="369"/>
      <c r="AB22" s="369"/>
    </row>
    <row r="23" s="355" customFormat="1" ht="26.1" customHeight="1" spans="1:28">
      <c r="A23" s="369"/>
      <c r="B23" s="369"/>
      <c r="C23" s="369"/>
      <c r="D23" s="369"/>
      <c r="E23" s="369"/>
      <c r="F23" s="369"/>
      <c r="G23" s="383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98"/>
      <c r="T23" s="398"/>
      <c r="U23" s="388"/>
      <c r="V23" s="452"/>
      <c r="W23" s="452"/>
      <c r="X23" s="452"/>
      <c r="Y23" s="369"/>
      <c r="Z23" s="369"/>
      <c r="AA23" s="369"/>
      <c r="AB23" s="369"/>
    </row>
    <row r="24" s="355" customFormat="1" ht="26.1" customHeight="1" spans="1:28">
      <c r="A24" s="369"/>
      <c r="B24" s="369"/>
      <c r="C24" s="369"/>
      <c r="D24" s="369"/>
      <c r="E24" s="369"/>
      <c r="F24" s="369"/>
      <c r="G24" s="383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98"/>
      <c r="T24" s="398"/>
      <c r="U24" s="388"/>
      <c r="V24" s="452"/>
      <c r="W24" s="452"/>
      <c r="X24" s="452"/>
      <c r="Y24" s="369"/>
      <c r="Z24" s="369"/>
      <c r="AA24" s="369"/>
      <c r="AB24" s="369"/>
    </row>
    <row r="25" s="355" customFormat="1" ht="26.1" customHeight="1" spans="1:28">
      <c r="A25" s="369"/>
      <c r="B25" s="369"/>
      <c r="C25" s="369"/>
      <c r="D25" s="369"/>
      <c r="E25" s="369"/>
      <c r="F25" s="369"/>
      <c r="G25" s="383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88"/>
      <c r="V25" s="452"/>
      <c r="W25" s="452"/>
      <c r="X25" s="452"/>
      <c r="Y25" s="369"/>
      <c r="Z25" s="369"/>
      <c r="AA25" s="369"/>
      <c r="AB25" s="369"/>
    </row>
    <row r="26" s="355" customFormat="1" ht="26.1" customHeight="1" spans="1:28">
      <c r="A26" s="369"/>
      <c r="B26" s="369"/>
      <c r="C26" s="369"/>
      <c r="D26" s="369"/>
      <c r="E26" s="369"/>
      <c r="F26" s="369"/>
      <c r="G26" s="383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369"/>
      <c r="U26" s="388"/>
      <c r="V26" s="452"/>
      <c r="W26" s="452"/>
      <c r="X26" s="452"/>
      <c r="Y26" s="369"/>
      <c r="Z26" s="369"/>
      <c r="AA26" s="369"/>
      <c r="AB26" s="369"/>
    </row>
    <row r="27" s="355" customFormat="1" ht="26.1" customHeight="1" spans="1:28">
      <c r="A27" s="369"/>
      <c r="B27" s="369"/>
      <c r="C27" s="369"/>
      <c r="D27" s="369"/>
      <c r="E27" s="369"/>
      <c r="F27" s="369"/>
      <c r="G27" s="383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88"/>
      <c r="V27" s="452"/>
      <c r="W27" s="452"/>
      <c r="X27" s="452"/>
      <c r="Y27" s="369"/>
      <c r="Z27" s="369"/>
      <c r="AA27" s="369"/>
      <c r="AB27" s="369"/>
    </row>
    <row r="28" s="355" customFormat="1" ht="26.1" customHeight="1" spans="1:28">
      <c r="A28" s="369"/>
      <c r="B28" s="369"/>
      <c r="C28" s="369"/>
      <c r="D28" s="369"/>
      <c r="E28" s="369"/>
      <c r="F28" s="369"/>
      <c r="G28" s="383"/>
      <c r="H28" s="369"/>
      <c r="I28" s="369"/>
      <c r="J28" s="369"/>
      <c r="K28" s="369"/>
      <c r="L28" s="369"/>
      <c r="M28" s="369"/>
      <c r="N28" s="369"/>
      <c r="O28" s="369"/>
      <c r="P28" s="369"/>
      <c r="Q28" s="369"/>
      <c r="R28" s="369"/>
      <c r="S28" s="398"/>
      <c r="T28" s="398"/>
      <c r="U28" s="453"/>
      <c r="V28" s="452"/>
      <c r="W28" s="452"/>
      <c r="X28" s="452"/>
      <c r="Y28" s="369"/>
      <c r="Z28" s="369"/>
      <c r="AA28" s="369"/>
      <c r="AB28" s="369"/>
    </row>
    <row r="29" ht="26.1" customHeight="1" spans="1:28">
      <c r="A29" s="369"/>
      <c r="B29" s="369"/>
      <c r="C29" s="369"/>
      <c r="D29" s="369"/>
      <c r="E29" s="369"/>
      <c r="F29" s="369"/>
      <c r="G29" s="383"/>
      <c r="H29" s="369"/>
      <c r="I29" s="369"/>
      <c r="J29" s="369"/>
      <c r="K29" s="369"/>
      <c r="L29" s="369"/>
      <c r="M29" s="369"/>
      <c r="N29" s="369"/>
      <c r="O29" s="369"/>
      <c r="P29" s="382"/>
      <c r="Q29" s="382"/>
      <c r="R29" s="369"/>
      <c r="S29" s="398"/>
      <c r="T29" s="398"/>
      <c r="U29" s="388"/>
      <c r="V29" s="369"/>
      <c r="W29" s="369"/>
      <c r="X29" s="369"/>
      <c r="Y29" s="369"/>
      <c r="Z29" s="369"/>
      <c r="AA29" s="369"/>
      <c r="AB29" s="369"/>
    </row>
    <row r="30" ht="26.1" customHeight="1" spans="1:28">
      <c r="A30" s="369"/>
      <c r="B30" s="369"/>
      <c r="C30" s="369"/>
      <c r="D30" s="369"/>
      <c r="E30" s="369"/>
      <c r="F30" s="369"/>
      <c r="G30" s="383"/>
      <c r="H30" s="369"/>
      <c r="I30" s="369"/>
      <c r="J30" s="369"/>
      <c r="K30" s="369"/>
      <c r="L30" s="369"/>
      <c r="M30" s="369"/>
      <c r="N30" s="369"/>
      <c r="O30" s="369"/>
      <c r="P30" s="382"/>
      <c r="Q30" s="382"/>
      <c r="R30" s="369"/>
      <c r="S30" s="398"/>
      <c r="T30" s="398"/>
      <c r="U30" s="388"/>
      <c r="V30" s="369"/>
      <c r="W30" s="369"/>
      <c r="X30" s="369"/>
      <c r="Y30" s="369"/>
      <c r="Z30" s="369"/>
      <c r="AA30" s="369"/>
      <c r="AB30" s="369"/>
    </row>
    <row r="31" ht="26.1" customHeight="1" spans="1:28">
      <c r="A31" s="369"/>
      <c r="B31" s="369"/>
      <c r="C31" s="369"/>
      <c r="D31" s="369"/>
      <c r="E31" s="369"/>
      <c r="F31" s="369"/>
      <c r="G31" s="383"/>
      <c r="H31" s="369"/>
      <c r="I31" s="369"/>
      <c r="J31" s="369"/>
      <c r="K31" s="369"/>
      <c r="L31" s="369"/>
      <c r="M31" s="369"/>
      <c r="N31" s="369"/>
      <c r="O31" s="369"/>
      <c r="P31" s="382"/>
      <c r="Q31" s="382"/>
      <c r="R31" s="382"/>
      <c r="S31" s="369"/>
      <c r="T31" s="369"/>
      <c r="U31" s="383"/>
      <c r="V31" s="369"/>
      <c r="W31" s="369"/>
      <c r="X31" s="369"/>
      <c r="Y31" s="369"/>
      <c r="Z31" s="369"/>
      <c r="AA31" s="369"/>
      <c r="AB31" s="369"/>
    </row>
    <row r="32" ht="26.1" customHeight="1" spans="1:28">
      <c r="A32" s="369"/>
      <c r="B32" s="369"/>
      <c r="C32" s="369"/>
      <c r="D32" s="369"/>
      <c r="E32" s="369"/>
      <c r="F32" s="369"/>
      <c r="G32" s="383"/>
      <c r="H32" s="369"/>
      <c r="I32" s="369"/>
      <c r="J32" s="369"/>
      <c r="K32" s="369"/>
      <c r="L32" s="369"/>
      <c r="M32" s="369"/>
      <c r="N32" s="369"/>
      <c r="O32" s="369"/>
      <c r="P32" s="382"/>
      <c r="Q32" s="382"/>
      <c r="R32" s="382"/>
      <c r="S32" s="369"/>
      <c r="T32" s="369"/>
      <c r="U32" s="383"/>
      <c r="V32" s="369"/>
      <c r="W32" s="369"/>
      <c r="X32" s="369"/>
      <c r="Y32" s="369"/>
      <c r="Z32" s="369"/>
      <c r="AA32" s="369"/>
      <c r="AB32" s="369"/>
    </row>
    <row r="33" ht="26.1" customHeight="1" spans="1:28">
      <c r="A33" s="369"/>
      <c r="B33" s="369"/>
      <c r="C33" s="369"/>
      <c r="D33" s="369"/>
      <c r="E33" s="369"/>
      <c r="F33" s="369"/>
      <c r="G33" s="383"/>
      <c r="H33" s="369"/>
      <c r="I33" s="369"/>
      <c r="J33" s="369"/>
      <c r="K33" s="369"/>
      <c r="L33" s="369"/>
      <c r="M33" s="369"/>
      <c r="N33" s="369"/>
      <c r="O33" s="369"/>
      <c r="P33" s="382"/>
      <c r="Q33" s="382"/>
      <c r="R33" s="382"/>
      <c r="S33" s="369"/>
      <c r="T33" s="369"/>
      <c r="U33" s="383"/>
      <c r="V33" s="369"/>
      <c r="W33" s="369"/>
      <c r="X33" s="369"/>
      <c r="Y33" s="369"/>
      <c r="Z33" s="369"/>
      <c r="AA33" s="369"/>
      <c r="AB33" s="369"/>
    </row>
    <row r="34" ht="26.1" customHeight="1" spans="1:28">
      <c r="A34" s="369"/>
      <c r="B34" s="369"/>
      <c r="C34" s="369"/>
      <c r="D34" s="369"/>
      <c r="E34" s="369"/>
      <c r="F34" s="369"/>
      <c r="G34" s="383"/>
      <c r="H34" s="369"/>
      <c r="I34" s="369"/>
      <c r="J34" s="369"/>
      <c r="K34" s="369"/>
      <c r="L34" s="369"/>
      <c r="M34" s="369"/>
      <c r="N34" s="369"/>
      <c r="O34" s="369"/>
      <c r="P34" s="382"/>
      <c r="Q34" s="382"/>
      <c r="R34" s="382"/>
      <c r="S34" s="369"/>
      <c r="T34" s="369"/>
      <c r="U34" s="383"/>
      <c r="V34" s="369"/>
      <c r="W34" s="369"/>
      <c r="X34" s="369"/>
      <c r="Y34" s="369"/>
      <c r="Z34" s="369"/>
      <c r="AA34" s="369"/>
      <c r="AB34" s="369"/>
    </row>
    <row r="35" ht="26.1" customHeight="1" spans="1:28">
      <c r="A35" s="369"/>
      <c r="B35" s="369"/>
      <c r="C35" s="369"/>
      <c r="D35" s="369"/>
      <c r="E35" s="369"/>
      <c r="F35" s="369"/>
      <c r="G35" s="383"/>
      <c r="H35" s="369"/>
      <c r="I35" s="369"/>
      <c r="J35" s="369"/>
      <c r="K35" s="369"/>
      <c r="L35" s="369"/>
      <c r="M35" s="369"/>
      <c r="N35" s="369"/>
      <c r="O35" s="369"/>
      <c r="P35" s="382"/>
      <c r="Q35" s="382"/>
      <c r="R35" s="382"/>
      <c r="S35" s="369"/>
      <c r="T35" s="369"/>
      <c r="U35" s="383"/>
      <c r="V35" s="369"/>
      <c r="W35" s="369"/>
      <c r="X35" s="369"/>
      <c r="Y35" s="369"/>
      <c r="Z35" s="369"/>
      <c r="AA35" s="369"/>
      <c r="AB35" s="369"/>
    </row>
    <row r="36" ht="26.1" customHeight="1" spans="1:28">
      <c r="A36" s="369"/>
      <c r="B36" s="369"/>
      <c r="C36" s="369"/>
      <c r="D36" s="369"/>
      <c r="E36" s="369"/>
      <c r="F36" s="369"/>
      <c r="G36" s="383"/>
      <c r="H36" s="369"/>
      <c r="I36" s="369"/>
      <c r="J36" s="369"/>
      <c r="K36" s="369"/>
      <c r="L36" s="369"/>
      <c r="M36" s="369"/>
      <c r="N36" s="369"/>
      <c r="O36" s="369"/>
      <c r="P36" s="382"/>
      <c r="Q36" s="382"/>
      <c r="R36" s="382"/>
      <c r="S36" s="369"/>
      <c r="T36" s="369"/>
      <c r="U36" s="383"/>
      <c r="V36" s="369"/>
      <c r="W36" s="369"/>
      <c r="X36" s="369"/>
      <c r="Y36" s="369"/>
      <c r="Z36" s="369"/>
      <c r="AA36" s="369"/>
      <c r="AB36" s="369"/>
    </row>
    <row r="37" ht="26.1" customHeight="1" spans="1:28">
      <c r="A37" s="369"/>
      <c r="B37" s="369"/>
      <c r="C37" s="369"/>
      <c r="D37" s="369"/>
      <c r="E37" s="369"/>
      <c r="F37" s="369"/>
      <c r="G37" s="383"/>
      <c r="H37" s="369"/>
      <c r="I37" s="369"/>
      <c r="J37" s="369"/>
      <c r="K37" s="369"/>
      <c r="L37" s="369"/>
      <c r="M37" s="369"/>
      <c r="N37" s="369"/>
      <c r="O37" s="369"/>
      <c r="P37" s="382"/>
      <c r="Q37" s="382"/>
      <c r="R37" s="382"/>
      <c r="S37" s="369"/>
      <c r="T37" s="369"/>
      <c r="U37" s="383"/>
      <c r="V37" s="369"/>
      <c r="W37" s="369"/>
      <c r="X37" s="369"/>
      <c r="Y37" s="369"/>
      <c r="Z37" s="369"/>
      <c r="AA37" s="369"/>
      <c r="AB37" s="369"/>
    </row>
    <row r="38" ht="26.1" customHeight="1" spans="1:28">
      <c r="A38" s="369"/>
      <c r="B38" s="369"/>
      <c r="C38" s="369"/>
      <c r="D38" s="369"/>
      <c r="E38" s="369"/>
      <c r="F38" s="369"/>
      <c r="G38" s="383"/>
      <c r="H38" s="369"/>
      <c r="I38" s="369"/>
      <c r="J38" s="369"/>
      <c r="K38" s="369"/>
      <c r="L38" s="369"/>
      <c r="M38" s="369"/>
      <c r="N38" s="369"/>
      <c r="O38" s="369"/>
      <c r="P38" s="382"/>
      <c r="Q38" s="382"/>
      <c r="R38" s="382"/>
      <c r="S38" s="369"/>
      <c r="T38" s="369"/>
      <c r="U38" s="383"/>
      <c r="V38" s="369"/>
      <c r="W38" s="369"/>
      <c r="X38" s="369"/>
      <c r="Y38" s="369"/>
      <c r="Z38" s="369"/>
      <c r="AA38" s="369"/>
      <c r="AB38" s="369"/>
    </row>
    <row r="39" ht="26.1" customHeight="1" spans="1:28">
      <c r="A39" s="369"/>
      <c r="B39" s="369"/>
      <c r="C39" s="369"/>
      <c r="D39" s="369"/>
      <c r="E39" s="369"/>
      <c r="F39" s="369"/>
      <c r="G39" s="383"/>
      <c r="H39" s="369"/>
      <c r="I39" s="369"/>
      <c r="J39" s="369"/>
      <c r="K39" s="369"/>
      <c r="L39" s="369"/>
      <c r="M39" s="369"/>
      <c r="N39" s="369"/>
      <c r="O39" s="369"/>
      <c r="P39" s="382"/>
      <c r="Q39" s="382"/>
      <c r="R39" s="382"/>
      <c r="S39" s="369"/>
      <c r="T39" s="369"/>
      <c r="U39" s="383"/>
      <c r="V39" s="369"/>
      <c r="W39" s="369"/>
      <c r="X39" s="369"/>
      <c r="Y39" s="369"/>
      <c r="Z39" s="369"/>
      <c r="AA39" s="369"/>
      <c r="AB39" s="369"/>
    </row>
    <row r="40" ht="26.1" customHeight="1" spans="1:28">
      <c r="A40" s="369"/>
      <c r="B40" s="369"/>
      <c r="C40" s="369"/>
      <c r="D40" s="369"/>
      <c r="E40" s="369"/>
      <c r="F40" s="369"/>
      <c r="G40" s="383"/>
      <c r="H40" s="369"/>
      <c r="I40" s="369"/>
      <c r="J40" s="369"/>
      <c r="K40" s="369"/>
      <c r="L40" s="369"/>
      <c r="M40" s="369"/>
      <c r="N40" s="369"/>
      <c r="O40" s="369"/>
      <c r="P40" s="382"/>
      <c r="Q40" s="382"/>
      <c r="R40" s="382"/>
      <c r="S40" s="369"/>
      <c r="T40" s="369"/>
      <c r="U40" s="383"/>
      <c r="V40" s="369"/>
      <c r="W40" s="369"/>
      <c r="X40" s="369"/>
      <c r="Y40" s="369"/>
      <c r="Z40" s="369"/>
      <c r="AA40" s="369"/>
      <c r="AB40" s="369"/>
    </row>
    <row r="41" ht="26.1" customHeight="1" spans="1:28">
      <c r="A41" s="369"/>
      <c r="B41" s="369"/>
      <c r="C41" s="369"/>
      <c r="D41" s="442"/>
      <c r="E41" s="443"/>
      <c r="F41" s="444"/>
      <c r="G41" s="388"/>
      <c r="H41" s="369"/>
      <c r="I41" s="369"/>
      <c r="J41" s="369"/>
      <c r="K41" s="369"/>
      <c r="L41" s="446"/>
      <c r="M41" s="447"/>
      <c r="N41" s="448"/>
      <c r="O41" s="369"/>
      <c r="P41" s="382"/>
      <c r="Q41" s="382"/>
      <c r="R41" s="382"/>
      <c r="S41" s="369"/>
      <c r="T41" s="369"/>
      <c r="U41" s="383"/>
      <c r="V41" s="369"/>
      <c r="W41" s="369"/>
      <c r="X41" s="369"/>
      <c r="Y41" s="369"/>
      <c r="Z41" s="369"/>
      <c r="AA41" s="369"/>
      <c r="AB41" s="369"/>
    </row>
    <row r="42" ht="26.1" customHeight="1"/>
    <row r="43" ht="26.1" customHeight="1"/>
    <row r="44" ht="26.1" customHeight="1"/>
    <row r="45" ht="26.1" customHeight="1"/>
    <row r="46" ht="26.1" customHeight="1"/>
    <row r="47" ht="26.1" customHeight="1"/>
    <row r="48" ht="26.1" customHeight="1"/>
    <row r="49" ht="26.1" customHeight="1"/>
    <row r="50" ht="26.1" customHeight="1"/>
    <row r="51" ht="26.1" customHeight="1"/>
    <row r="52" ht="26.1" customHeight="1"/>
    <row r="53" ht="26.1" customHeight="1"/>
    <row r="54" ht="26.1" customHeight="1"/>
    <row r="55" ht="26.1" customHeight="1"/>
    <row r="56" ht="26.1" customHeight="1"/>
    <row r="57" ht="26.1" customHeight="1"/>
    <row r="58" ht="26.1" customHeight="1"/>
    <row r="59" ht="26.1" customHeight="1"/>
    <row r="60" ht="26.1" customHeight="1"/>
    <row r="61" ht="26.1" customHeight="1"/>
    <row r="62" ht="26.1" customHeight="1"/>
    <row r="63" ht="26.1" customHeight="1"/>
  </sheetData>
  <mergeCells count="317">
    <mergeCell ref="A1:B1"/>
    <mergeCell ref="D1:G1"/>
    <mergeCell ref="H1:S1"/>
    <mergeCell ref="G2:S2"/>
    <mergeCell ref="V3:W3"/>
    <mergeCell ref="V4:W4"/>
    <mergeCell ref="A5:D5"/>
    <mergeCell ref="F5:I5"/>
    <mergeCell ref="J5:M5"/>
    <mergeCell ref="N5:U5"/>
    <mergeCell ref="V5:W5"/>
    <mergeCell ref="X5:Z5"/>
    <mergeCell ref="AA5:AB5"/>
    <mergeCell ref="F6:I6"/>
    <mergeCell ref="J6:M6"/>
    <mergeCell ref="N6:U6"/>
    <mergeCell ref="V6:W6"/>
    <mergeCell ref="X6:Z6"/>
    <mergeCell ref="AA6:AB6"/>
    <mergeCell ref="F7:I7"/>
    <mergeCell ref="J7:M7"/>
    <mergeCell ref="N7:U7"/>
    <mergeCell ref="V7:W7"/>
    <mergeCell ref="X7:Z7"/>
    <mergeCell ref="AA7:AB7"/>
    <mergeCell ref="F8:I8"/>
    <mergeCell ref="J8:M8"/>
    <mergeCell ref="N8:U8"/>
    <mergeCell ref="V8:W8"/>
    <mergeCell ref="X8:Z8"/>
    <mergeCell ref="AA8:AB8"/>
    <mergeCell ref="A10:D10"/>
    <mergeCell ref="B11:C11"/>
    <mergeCell ref="E11:F11"/>
    <mergeCell ref="H11:J11"/>
    <mergeCell ref="L11:N11"/>
    <mergeCell ref="P11:Q11"/>
    <mergeCell ref="S11:T11"/>
    <mergeCell ref="V11:X11"/>
    <mergeCell ref="Y11:Z11"/>
    <mergeCell ref="AA11:AB11"/>
    <mergeCell ref="B12:C12"/>
    <mergeCell ref="E12:F12"/>
    <mergeCell ref="H12:J12"/>
    <mergeCell ref="L12:N12"/>
    <mergeCell ref="P12:Q12"/>
    <mergeCell ref="S12:T12"/>
    <mergeCell ref="V12:X12"/>
    <mergeCell ref="Y12:Z12"/>
    <mergeCell ref="AA12:AB12"/>
    <mergeCell ref="B13:C13"/>
    <mergeCell ref="E13:F13"/>
    <mergeCell ref="H13:J13"/>
    <mergeCell ref="L13:N13"/>
    <mergeCell ref="P13:Q13"/>
    <mergeCell ref="S13:T13"/>
    <mergeCell ref="V13:X13"/>
    <mergeCell ref="Y13:Z13"/>
    <mergeCell ref="AA13:AB13"/>
    <mergeCell ref="B14:C14"/>
    <mergeCell ref="E14:F14"/>
    <mergeCell ref="H14:J14"/>
    <mergeCell ref="L14:N14"/>
    <mergeCell ref="P14:Q14"/>
    <mergeCell ref="S14:T14"/>
    <mergeCell ref="V14:X14"/>
    <mergeCell ref="Y14:Z14"/>
    <mergeCell ref="AA14:AB14"/>
    <mergeCell ref="B15:C15"/>
    <mergeCell ref="E15:F15"/>
    <mergeCell ref="H15:J15"/>
    <mergeCell ref="L15:N15"/>
    <mergeCell ref="P15:Q15"/>
    <mergeCell ref="S15:T15"/>
    <mergeCell ref="V15:X15"/>
    <mergeCell ref="Y15:Z15"/>
    <mergeCell ref="AA15:AB15"/>
    <mergeCell ref="B16:C16"/>
    <mergeCell ref="E16:F16"/>
    <mergeCell ref="H16:J16"/>
    <mergeCell ref="L16:N16"/>
    <mergeCell ref="P16:Q16"/>
    <mergeCell ref="S16:T16"/>
    <mergeCell ref="V16:X16"/>
    <mergeCell ref="Y16:Z16"/>
    <mergeCell ref="AA16:AB16"/>
    <mergeCell ref="B17:C17"/>
    <mergeCell ref="E17:F17"/>
    <mergeCell ref="H17:J17"/>
    <mergeCell ref="L17:N17"/>
    <mergeCell ref="P17:Q17"/>
    <mergeCell ref="S17:T17"/>
    <mergeCell ref="V17:X17"/>
    <mergeCell ref="Y17:Z17"/>
    <mergeCell ref="AA17:AB17"/>
    <mergeCell ref="B18:C18"/>
    <mergeCell ref="E18:F18"/>
    <mergeCell ref="H18:J18"/>
    <mergeCell ref="L18:N18"/>
    <mergeCell ref="P18:Q18"/>
    <mergeCell ref="S18:T18"/>
    <mergeCell ref="V18:X18"/>
    <mergeCell ref="Y18:Z18"/>
    <mergeCell ref="AA18:AB18"/>
    <mergeCell ref="B19:C19"/>
    <mergeCell ref="E19:F19"/>
    <mergeCell ref="H19:J19"/>
    <mergeCell ref="L19:N19"/>
    <mergeCell ref="P19:Q19"/>
    <mergeCell ref="S19:T19"/>
    <mergeCell ref="V19:X19"/>
    <mergeCell ref="Y19:Z19"/>
    <mergeCell ref="AA19:AB19"/>
    <mergeCell ref="B20:C20"/>
    <mergeCell ref="E20:F20"/>
    <mergeCell ref="H20:J20"/>
    <mergeCell ref="L20:N20"/>
    <mergeCell ref="P20:Q20"/>
    <mergeCell ref="S20:T20"/>
    <mergeCell ref="V20:X20"/>
    <mergeCell ref="Y20:Z20"/>
    <mergeCell ref="AA20:AB20"/>
    <mergeCell ref="B21:C21"/>
    <mergeCell ref="E21:F21"/>
    <mergeCell ref="H21:J21"/>
    <mergeCell ref="L21:N21"/>
    <mergeCell ref="P21:Q21"/>
    <mergeCell ref="S21:T21"/>
    <mergeCell ref="V21:X21"/>
    <mergeCell ref="Y21:Z21"/>
    <mergeCell ref="AA21:AB21"/>
    <mergeCell ref="B22:C22"/>
    <mergeCell ref="E22:F22"/>
    <mergeCell ref="H22:J22"/>
    <mergeCell ref="L22:N22"/>
    <mergeCell ref="P22:Q22"/>
    <mergeCell ref="S22:T22"/>
    <mergeCell ref="V22:X22"/>
    <mergeCell ref="Y22:Z22"/>
    <mergeCell ref="AA22:AB22"/>
    <mergeCell ref="B23:C23"/>
    <mergeCell ref="E23:F23"/>
    <mergeCell ref="H23:J23"/>
    <mergeCell ref="L23:N23"/>
    <mergeCell ref="P23:Q23"/>
    <mergeCell ref="S23:T23"/>
    <mergeCell ref="V23:X23"/>
    <mergeCell ref="Y23:Z23"/>
    <mergeCell ref="AA23:AB23"/>
    <mergeCell ref="B24:C24"/>
    <mergeCell ref="E24:F24"/>
    <mergeCell ref="H24:J24"/>
    <mergeCell ref="L24:N24"/>
    <mergeCell ref="P24:Q24"/>
    <mergeCell ref="S24:T24"/>
    <mergeCell ref="V24:X24"/>
    <mergeCell ref="Y24:Z24"/>
    <mergeCell ref="AA24:AB24"/>
    <mergeCell ref="B25:C25"/>
    <mergeCell ref="E25:F25"/>
    <mergeCell ref="H25:J25"/>
    <mergeCell ref="L25:N25"/>
    <mergeCell ref="P25:Q25"/>
    <mergeCell ref="S25:T25"/>
    <mergeCell ref="V25:X25"/>
    <mergeCell ref="Y25:Z25"/>
    <mergeCell ref="AA25:AB25"/>
    <mergeCell ref="B26:C26"/>
    <mergeCell ref="E26:F26"/>
    <mergeCell ref="H26:J26"/>
    <mergeCell ref="L26:N26"/>
    <mergeCell ref="P26:Q26"/>
    <mergeCell ref="S26:T26"/>
    <mergeCell ref="V26:X26"/>
    <mergeCell ref="Y26:Z26"/>
    <mergeCell ref="AA26:AB26"/>
    <mergeCell ref="B27:C27"/>
    <mergeCell ref="E27:F27"/>
    <mergeCell ref="H27:J27"/>
    <mergeCell ref="L27:N27"/>
    <mergeCell ref="P27:Q27"/>
    <mergeCell ref="S27:T27"/>
    <mergeCell ref="V27:X27"/>
    <mergeCell ref="Y27:Z27"/>
    <mergeCell ref="AA27:AB27"/>
    <mergeCell ref="B28:C28"/>
    <mergeCell ref="E28:F28"/>
    <mergeCell ref="H28:J28"/>
    <mergeCell ref="L28:N28"/>
    <mergeCell ref="P28:Q28"/>
    <mergeCell ref="S28:T28"/>
    <mergeCell ref="V28:X28"/>
    <mergeCell ref="Y28:Z28"/>
    <mergeCell ref="AA28:AB28"/>
    <mergeCell ref="B29:C29"/>
    <mergeCell ref="E29:F29"/>
    <mergeCell ref="H29:J29"/>
    <mergeCell ref="L29:N29"/>
    <mergeCell ref="P29:Q29"/>
    <mergeCell ref="S29:T29"/>
    <mergeCell ref="V29:X29"/>
    <mergeCell ref="Y29:Z29"/>
    <mergeCell ref="AA29:AB29"/>
    <mergeCell ref="B30:C30"/>
    <mergeCell ref="E30:F30"/>
    <mergeCell ref="H30:J30"/>
    <mergeCell ref="L30:N30"/>
    <mergeCell ref="P30:Q30"/>
    <mergeCell ref="S30:T30"/>
    <mergeCell ref="V30:X30"/>
    <mergeCell ref="Y30:Z30"/>
    <mergeCell ref="AA30:AB30"/>
    <mergeCell ref="B31:C31"/>
    <mergeCell ref="E31:F31"/>
    <mergeCell ref="H31:J31"/>
    <mergeCell ref="L31:N31"/>
    <mergeCell ref="P31:Q31"/>
    <mergeCell ref="S31:T31"/>
    <mergeCell ref="V31:X31"/>
    <mergeCell ref="Y31:Z31"/>
    <mergeCell ref="AA31:AB31"/>
    <mergeCell ref="B32:C32"/>
    <mergeCell ref="E32:F32"/>
    <mergeCell ref="H32:J32"/>
    <mergeCell ref="L32:N32"/>
    <mergeCell ref="P32:Q32"/>
    <mergeCell ref="S32:T32"/>
    <mergeCell ref="V32:X32"/>
    <mergeCell ref="Y32:Z32"/>
    <mergeCell ref="AA32:AB32"/>
    <mergeCell ref="B33:C33"/>
    <mergeCell ref="E33:F33"/>
    <mergeCell ref="H33:J33"/>
    <mergeCell ref="L33:N33"/>
    <mergeCell ref="P33:Q33"/>
    <mergeCell ref="S33:T33"/>
    <mergeCell ref="V33:X33"/>
    <mergeCell ref="Y33:Z33"/>
    <mergeCell ref="AA33:AB33"/>
    <mergeCell ref="B34:C34"/>
    <mergeCell ref="E34:F34"/>
    <mergeCell ref="H34:J34"/>
    <mergeCell ref="L34:N34"/>
    <mergeCell ref="P34:Q34"/>
    <mergeCell ref="S34:T34"/>
    <mergeCell ref="V34:X34"/>
    <mergeCell ref="Y34:Z34"/>
    <mergeCell ref="AA34:AB34"/>
    <mergeCell ref="B35:C35"/>
    <mergeCell ref="E35:F35"/>
    <mergeCell ref="H35:J35"/>
    <mergeCell ref="L35:N35"/>
    <mergeCell ref="P35:Q35"/>
    <mergeCell ref="S35:T35"/>
    <mergeCell ref="V35:X35"/>
    <mergeCell ref="Y35:Z35"/>
    <mergeCell ref="AA35:AB35"/>
    <mergeCell ref="B36:C36"/>
    <mergeCell ref="E36:F36"/>
    <mergeCell ref="H36:J36"/>
    <mergeCell ref="L36:N36"/>
    <mergeCell ref="P36:Q36"/>
    <mergeCell ref="S36:T36"/>
    <mergeCell ref="V36:X36"/>
    <mergeCell ref="Y36:Z36"/>
    <mergeCell ref="AA36:AB36"/>
    <mergeCell ref="B37:C37"/>
    <mergeCell ref="E37:F37"/>
    <mergeCell ref="H37:J37"/>
    <mergeCell ref="L37:N37"/>
    <mergeCell ref="P37:Q37"/>
    <mergeCell ref="S37:T37"/>
    <mergeCell ref="V37:X37"/>
    <mergeCell ref="Y37:Z37"/>
    <mergeCell ref="AA37:AB37"/>
    <mergeCell ref="B38:C38"/>
    <mergeCell ref="E38:F38"/>
    <mergeCell ref="H38:J38"/>
    <mergeCell ref="L38:N38"/>
    <mergeCell ref="P38:Q38"/>
    <mergeCell ref="S38:T38"/>
    <mergeCell ref="V38:X38"/>
    <mergeCell ref="Y38:Z38"/>
    <mergeCell ref="AA38:AB38"/>
    <mergeCell ref="B39:C39"/>
    <mergeCell ref="E39:F39"/>
    <mergeCell ref="H39:J39"/>
    <mergeCell ref="L39:N39"/>
    <mergeCell ref="P39:Q39"/>
    <mergeCell ref="S39:T39"/>
    <mergeCell ref="V39:X39"/>
    <mergeCell ref="Y39:Z39"/>
    <mergeCell ref="AA39:AB39"/>
    <mergeCell ref="B40:C40"/>
    <mergeCell ref="E40:F40"/>
    <mergeCell ref="H40:J40"/>
    <mergeCell ref="L40:N40"/>
    <mergeCell ref="P40:Q40"/>
    <mergeCell ref="S40:T40"/>
    <mergeCell ref="V40:X40"/>
    <mergeCell ref="Y40:Z40"/>
    <mergeCell ref="AA40:AB40"/>
    <mergeCell ref="B41:C41"/>
    <mergeCell ref="E41:F41"/>
    <mergeCell ref="H41:J41"/>
    <mergeCell ref="L41:N41"/>
    <mergeCell ref="P41:Q41"/>
    <mergeCell ref="S41:T41"/>
    <mergeCell ref="V41:X41"/>
    <mergeCell ref="Y41:Z41"/>
    <mergeCell ref="AA41:AB41"/>
    <mergeCell ref="A3:B4"/>
    <mergeCell ref="C3:E4"/>
    <mergeCell ref="X1:AB2"/>
    <mergeCell ref="F3:U4"/>
    <mergeCell ref="A6:D9"/>
    <mergeCell ref="E9:AB10"/>
  </mergeCells>
  <printOptions horizontalCentered="1"/>
  <pageMargins left="0.707638888888889" right="0.707638888888889" top="0.747916666666667" bottom="0.747916666666667" header="0.313888888888889" footer="0.313888888888889"/>
  <pageSetup paperSize="8" scale="62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S155"/>
  <sheetViews>
    <sheetView tabSelected="1" view="pageBreakPreview" zoomScale="90" zoomScaleNormal="100" topLeftCell="R1" workbookViewId="0">
      <pane ySplit="8" topLeftCell="A9" activePane="bottomLeft" state="frozen"/>
      <selection/>
      <selection pane="bottomLeft" activeCell="AG11" sqref="AG11"/>
    </sheetView>
  </sheetViews>
  <sheetFormatPr defaultColWidth="9" defaultRowHeight="16.5"/>
  <cols>
    <col min="1" max="1" width="4.5" style="19" customWidth="1"/>
    <col min="2" max="11" width="2.625" style="19" customWidth="1"/>
    <col min="12" max="12" width="15.5" style="20" customWidth="1"/>
    <col min="13" max="13" width="16.5" style="20" customWidth="1"/>
    <col min="14" max="14" width="22.125" style="20" customWidth="1"/>
    <col min="15" max="15" width="13.75" style="21" hidden="1" customWidth="1" outlineLevel="1"/>
    <col min="16" max="16" width="4.875" style="19" hidden="1" customWidth="1" outlineLevel="1"/>
    <col min="17" max="17" width="5.25" style="19" hidden="1" customWidth="1" outlineLevel="1"/>
    <col min="18" max="18" width="7.375" style="19" customWidth="1" collapsed="1"/>
    <col min="19" max="19" width="6.125" style="23" hidden="1" customWidth="1" outlineLevel="1"/>
    <col min="20" max="20" width="15.25" style="20" hidden="1" customWidth="1" outlineLevel="1"/>
    <col min="21" max="21" width="5.75" style="25" hidden="1" customWidth="1" outlineLevel="1"/>
    <col min="22" max="22" width="8.375" style="23" hidden="1" customWidth="1" outlineLevel="1"/>
    <col min="23" max="23" width="7.625" style="23" customWidth="1" collapsed="1"/>
    <col min="24" max="24" width="10.25" style="23" customWidth="1"/>
    <col min="25" max="25" width="15" style="23" customWidth="1"/>
    <col min="26" max="26" width="10.75" style="23" hidden="1" customWidth="1" outlineLevel="1"/>
    <col min="27" max="27" width="13.625" style="20" hidden="1" customWidth="1" outlineLevel="1"/>
    <col min="28" max="28" width="8.25" style="26" customWidth="1" collapsed="1"/>
    <col min="29" max="29" width="6.25" style="19" customWidth="1"/>
    <col min="30" max="39" width="10.625" style="19" customWidth="1" outlineLevel="1"/>
    <col min="40" max="41" width="10.625" style="19" customWidth="1"/>
    <col min="42" max="42" width="7.25" style="19" customWidth="1" outlineLevel="1"/>
    <col min="43" max="43" width="10" style="19" customWidth="1" outlineLevel="1"/>
    <col min="44" max="44" width="10.375" style="20" customWidth="1"/>
    <col min="45" max="16384" width="9" style="19"/>
  </cols>
  <sheetData>
    <row r="1" ht="38.1" customHeight="1" spans="1:44">
      <c r="A1" s="27" t="s">
        <v>44</v>
      </c>
      <c r="B1" s="28"/>
      <c r="C1" s="28"/>
      <c r="D1" s="28"/>
      <c r="E1" s="29"/>
      <c r="F1" s="30" t="s">
        <v>45</v>
      </c>
      <c r="G1" s="31"/>
      <c r="H1" s="31"/>
      <c r="I1" s="31"/>
      <c r="J1" s="31"/>
      <c r="K1" s="60"/>
      <c r="L1" s="404"/>
      <c r="M1" s="62" t="s">
        <v>46</v>
      </c>
      <c r="N1" s="62"/>
      <c r="O1" s="63" t="s">
        <v>47</v>
      </c>
      <c r="P1" s="64"/>
      <c r="Q1" s="64"/>
      <c r="R1" s="64"/>
      <c r="S1" s="64"/>
      <c r="T1" s="140"/>
      <c r="U1" s="64"/>
      <c r="V1" s="64"/>
      <c r="W1" s="64"/>
      <c r="X1" s="64"/>
      <c r="Y1" s="64"/>
      <c r="Z1" s="64"/>
      <c r="AA1" s="140"/>
      <c r="AB1" s="140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285"/>
      <c r="AQ1" s="286"/>
      <c r="AR1" s="287" t="str">
        <f>M9</f>
        <v>X168100000004</v>
      </c>
    </row>
    <row r="2" s="1" customFormat="1" ht="38.1" hidden="1" customHeight="1" spans="1:44">
      <c r="A2" s="32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65"/>
      <c r="M2" s="66"/>
      <c r="N2" s="66"/>
      <c r="O2" s="67"/>
      <c r="P2" s="68"/>
      <c r="Q2" s="68"/>
      <c r="R2" s="68"/>
      <c r="S2" s="68"/>
      <c r="T2" s="141"/>
      <c r="U2" s="68"/>
      <c r="V2" s="68"/>
      <c r="W2" s="68"/>
      <c r="X2" s="68"/>
      <c r="Y2" s="68"/>
      <c r="Z2" s="68"/>
      <c r="AA2" s="141"/>
      <c r="AB2" s="141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288"/>
      <c r="AQ2" s="286" t="s">
        <v>49</v>
      </c>
      <c r="AR2" s="289" t="str">
        <f>N9</f>
        <v>驾驶员座椅总成</v>
      </c>
    </row>
    <row r="3" s="1" customFormat="1" ht="38.1" hidden="1" customHeight="1" spans="1:44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405"/>
      <c r="M3" s="62" t="s">
        <v>51</v>
      </c>
      <c r="N3" s="62"/>
      <c r="O3" s="67"/>
      <c r="P3" s="68"/>
      <c r="Q3" s="68"/>
      <c r="R3" s="68"/>
      <c r="S3" s="68"/>
      <c r="T3" s="141"/>
      <c r="U3" s="68"/>
      <c r="V3" s="68"/>
      <c r="W3" s="68"/>
      <c r="X3" s="68"/>
      <c r="Y3" s="68"/>
      <c r="Z3" s="68"/>
      <c r="AA3" s="141"/>
      <c r="AB3" s="141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288"/>
      <c r="AQ3" s="286" t="s">
        <v>52</v>
      </c>
      <c r="AR3" s="289" t="s">
        <v>7</v>
      </c>
    </row>
    <row r="4" s="1" customFormat="1" ht="38.1" hidden="1" customHeight="1" spans="1:44">
      <c r="A4" s="34" t="s">
        <v>53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70"/>
      <c r="M4" s="62"/>
      <c r="N4" s="62"/>
      <c r="O4" s="67"/>
      <c r="P4" s="68"/>
      <c r="Q4" s="68"/>
      <c r="R4" s="68"/>
      <c r="S4" s="68"/>
      <c r="T4" s="141"/>
      <c r="U4" s="68"/>
      <c r="V4" s="68"/>
      <c r="W4" s="68"/>
      <c r="X4" s="68"/>
      <c r="Y4" s="68"/>
      <c r="Z4" s="68"/>
      <c r="AA4" s="141"/>
      <c r="AB4" s="141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288"/>
      <c r="AQ4" s="286" t="s">
        <v>29</v>
      </c>
      <c r="AR4" s="289" t="s">
        <v>7</v>
      </c>
    </row>
    <row r="5" s="1" customFormat="1" ht="38.1" hidden="1" customHeight="1" spans="1:44">
      <c r="A5" s="35" t="s">
        <v>54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71"/>
      <c r="M5" s="72"/>
      <c r="N5" s="73"/>
      <c r="O5" s="67"/>
      <c r="P5" s="68"/>
      <c r="Q5" s="68"/>
      <c r="R5" s="68"/>
      <c r="S5" s="68"/>
      <c r="T5" s="141"/>
      <c r="U5" s="68"/>
      <c r="V5" s="68"/>
      <c r="W5" s="68"/>
      <c r="X5" s="68"/>
      <c r="Y5" s="68"/>
      <c r="Z5" s="68"/>
      <c r="AA5" s="141"/>
      <c r="AB5" s="141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288"/>
      <c r="AQ5" s="290" t="s">
        <v>55</v>
      </c>
      <c r="AR5" s="291" t="e">
        <f>AB9</f>
        <v>#REF!</v>
      </c>
    </row>
    <row r="6" s="3" customFormat="1" ht="38.1" hidden="1" customHeight="1" spans="1:44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74"/>
      <c r="M6" s="75"/>
      <c r="N6" s="76"/>
      <c r="O6" s="77"/>
      <c r="P6" s="78"/>
      <c r="Q6" s="78"/>
      <c r="R6" s="78"/>
      <c r="S6" s="78"/>
      <c r="T6" s="142"/>
      <c r="U6" s="78"/>
      <c r="V6" s="78"/>
      <c r="W6" s="78"/>
      <c r="X6" s="78"/>
      <c r="Y6" s="78"/>
      <c r="Z6" s="78"/>
      <c r="AA6" s="142"/>
      <c r="AB6" s="142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292"/>
      <c r="AQ6" s="293" t="s">
        <v>56</v>
      </c>
      <c r="AR6" s="294"/>
    </row>
    <row r="7" ht="38.1" customHeight="1" spans="1:44">
      <c r="A7" s="39" t="s">
        <v>1</v>
      </c>
      <c r="B7" s="40" t="s">
        <v>57</v>
      </c>
      <c r="C7" s="41"/>
      <c r="D7" s="41"/>
      <c r="E7" s="41"/>
      <c r="F7" s="41"/>
      <c r="G7" s="41"/>
      <c r="H7" s="41"/>
      <c r="I7" s="41"/>
      <c r="J7" s="41"/>
      <c r="K7" s="79"/>
      <c r="L7" s="82" t="s">
        <v>58</v>
      </c>
      <c r="M7" s="81" t="s">
        <v>2</v>
      </c>
      <c r="N7" s="82" t="s">
        <v>49</v>
      </c>
      <c r="O7" s="82" t="s">
        <v>59</v>
      </c>
      <c r="P7" s="80" t="s">
        <v>60</v>
      </c>
      <c r="Q7" s="80" t="s">
        <v>61</v>
      </c>
      <c r="R7" s="80" t="s">
        <v>23</v>
      </c>
      <c r="S7" s="143" t="s">
        <v>62</v>
      </c>
      <c r="T7" s="82" t="s">
        <v>63</v>
      </c>
      <c r="U7" s="144" t="s">
        <v>64</v>
      </c>
      <c r="V7" s="143" t="s">
        <v>65</v>
      </c>
      <c r="W7" s="145" t="s">
        <v>66</v>
      </c>
      <c r="X7" s="145" t="s">
        <v>67</v>
      </c>
      <c r="Y7" s="190" t="s">
        <v>68</v>
      </c>
      <c r="Z7" s="190" t="s">
        <v>69</v>
      </c>
      <c r="AA7" s="82" t="s">
        <v>70</v>
      </c>
      <c r="AB7" s="191" t="s">
        <v>71</v>
      </c>
      <c r="AC7" s="80" t="s">
        <v>72</v>
      </c>
      <c r="AD7" s="192" t="s">
        <v>73</v>
      </c>
      <c r="AE7" s="193" t="s">
        <v>74</v>
      </c>
      <c r="AF7" s="194"/>
      <c r="AG7" s="247"/>
      <c r="AH7" s="248" t="s">
        <v>75</v>
      </c>
      <c r="AI7" s="249" t="s">
        <v>76</v>
      </c>
      <c r="AJ7" s="250" t="s">
        <v>77</v>
      </c>
      <c r="AK7" s="248" t="s">
        <v>78</v>
      </c>
      <c r="AL7" s="248" t="s">
        <v>79</v>
      </c>
      <c r="AM7" s="248" t="s">
        <v>80</v>
      </c>
      <c r="AN7" s="251" t="s">
        <v>81</v>
      </c>
      <c r="AO7" s="251" t="s">
        <v>82</v>
      </c>
      <c r="AP7" s="293" t="s">
        <v>56</v>
      </c>
      <c r="AQ7" s="295" t="s">
        <v>83</v>
      </c>
      <c r="AR7" s="296" t="s">
        <v>84</v>
      </c>
    </row>
    <row r="8" ht="30" customHeight="1" spans="1:44">
      <c r="A8" s="42"/>
      <c r="B8" s="43">
        <v>0</v>
      </c>
      <c r="C8" s="43">
        <v>1</v>
      </c>
      <c r="D8" s="43">
        <v>2</v>
      </c>
      <c r="E8" s="43">
        <v>3</v>
      </c>
      <c r="F8" s="43">
        <v>4</v>
      </c>
      <c r="G8" s="43">
        <v>5</v>
      </c>
      <c r="H8" s="43">
        <v>6</v>
      </c>
      <c r="I8" s="43">
        <v>7</v>
      </c>
      <c r="J8" s="43">
        <v>8</v>
      </c>
      <c r="K8" s="83">
        <v>9</v>
      </c>
      <c r="L8" s="86"/>
      <c r="M8" s="85"/>
      <c r="N8" s="86"/>
      <c r="O8" s="86"/>
      <c r="P8" s="84"/>
      <c r="Q8" s="84"/>
      <c r="R8" s="84"/>
      <c r="S8" s="146"/>
      <c r="T8" s="86"/>
      <c r="U8" s="147"/>
      <c r="V8" s="146"/>
      <c r="W8" s="148"/>
      <c r="X8" s="148"/>
      <c r="Y8" s="195"/>
      <c r="Z8" s="195"/>
      <c r="AA8" s="86"/>
      <c r="AB8" s="196"/>
      <c r="AC8" s="84"/>
      <c r="AD8" s="197"/>
      <c r="AE8" s="198" t="s">
        <v>85</v>
      </c>
      <c r="AF8" s="198" t="s">
        <v>86</v>
      </c>
      <c r="AG8" s="198" t="s">
        <v>87</v>
      </c>
      <c r="AH8" s="252"/>
      <c r="AI8" s="253"/>
      <c r="AJ8" s="254"/>
      <c r="AK8" s="252"/>
      <c r="AL8" s="252"/>
      <c r="AM8" s="252"/>
      <c r="AN8" s="251"/>
      <c r="AO8" s="251"/>
      <c r="AP8" s="297"/>
      <c r="AQ8" s="298"/>
      <c r="AR8" s="299"/>
    </row>
    <row r="9" ht="36" customHeight="1" spans="1:44">
      <c r="A9" s="42">
        <f>ROW()-8</f>
        <v>1</v>
      </c>
      <c r="B9" s="43">
        <v>0</v>
      </c>
      <c r="C9" s="43"/>
      <c r="D9" s="43"/>
      <c r="E9" s="43"/>
      <c r="F9" s="43"/>
      <c r="G9" s="43"/>
      <c r="H9" s="43"/>
      <c r="I9" s="43"/>
      <c r="J9" s="43"/>
      <c r="K9" s="83"/>
      <c r="L9" s="204" t="s">
        <v>88</v>
      </c>
      <c r="M9" s="87" t="s">
        <v>89</v>
      </c>
      <c r="N9" s="88" t="s">
        <v>90</v>
      </c>
      <c r="O9" s="89" t="s">
        <v>91</v>
      </c>
      <c r="P9" s="83" t="s">
        <v>42</v>
      </c>
      <c r="Q9" s="43" t="s">
        <v>92</v>
      </c>
      <c r="R9" s="84"/>
      <c r="S9" s="149" t="s">
        <v>42</v>
      </c>
      <c r="T9" s="87" t="s">
        <v>5</v>
      </c>
      <c r="U9" s="149" t="s">
        <v>42</v>
      </c>
      <c r="V9" s="146" t="s">
        <v>93</v>
      </c>
      <c r="W9" s="150" t="s">
        <v>94</v>
      </c>
      <c r="X9" s="151" t="s">
        <v>95</v>
      </c>
      <c r="Y9" s="199" t="s">
        <v>96</v>
      </c>
      <c r="Z9" s="199" t="s">
        <v>97</v>
      </c>
      <c r="AA9" s="88" t="s">
        <v>97</v>
      </c>
      <c r="AB9" s="200" t="e">
        <f>AB10+AB70+AB89*AR89+#REF!*#REF!+AB90*AR90+AB91+AB114+AB115+AB116+AB117*AR117+AB118*AR118+AB119+AB120+AB121+AB122</f>
        <v>#REF!</v>
      </c>
      <c r="AC9" s="201" t="s">
        <v>97</v>
      </c>
      <c r="AD9" s="220" t="s">
        <v>98</v>
      </c>
      <c r="AE9" s="220"/>
      <c r="AF9" s="220"/>
      <c r="AG9" s="220"/>
      <c r="AH9" s="220"/>
      <c r="AI9" s="220"/>
      <c r="AJ9" s="220"/>
      <c r="AK9" s="220"/>
      <c r="AL9" s="220">
        <v>1.5</v>
      </c>
      <c r="AM9" s="220"/>
      <c r="AN9" s="273" t="s">
        <v>99</v>
      </c>
      <c r="AO9" s="273" t="s">
        <v>100</v>
      </c>
      <c r="AP9" s="300"/>
      <c r="AQ9" s="301"/>
      <c r="AR9" s="410">
        <v>1</v>
      </c>
    </row>
    <row r="10" ht="39.95" customHeight="1" spans="1:44">
      <c r="A10" s="42">
        <f t="shared" ref="A10:A19" si="0">ROW()-8</f>
        <v>2</v>
      </c>
      <c r="B10" s="44"/>
      <c r="C10" s="45"/>
      <c r="D10" s="45"/>
      <c r="E10" s="45"/>
      <c r="F10" s="45"/>
      <c r="G10" s="45"/>
      <c r="H10" s="45"/>
      <c r="I10" s="45"/>
      <c r="J10" s="44"/>
      <c r="K10" s="44"/>
      <c r="L10" s="323"/>
      <c r="M10" s="87" t="s">
        <v>101</v>
      </c>
      <c r="N10" s="90" t="s">
        <v>102</v>
      </c>
      <c r="O10" s="91" t="s">
        <v>103</v>
      </c>
      <c r="P10" s="83" t="s">
        <v>42</v>
      </c>
      <c r="Q10" s="43" t="s">
        <v>92</v>
      </c>
      <c r="R10" s="83"/>
      <c r="S10" s="149" t="s">
        <v>42</v>
      </c>
      <c r="T10" s="87" t="s">
        <v>104</v>
      </c>
      <c r="U10" s="152" t="s">
        <v>97</v>
      </c>
      <c r="V10" s="146" t="s">
        <v>93</v>
      </c>
      <c r="W10" s="150" t="s">
        <v>94</v>
      </c>
      <c r="X10" s="108" t="s">
        <v>95</v>
      </c>
      <c r="Y10" s="45" t="s">
        <v>96</v>
      </c>
      <c r="Z10" s="152" t="s">
        <v>97</v>
      </c>
      <c r="AA10" s="204" t="s">
        <v>97</v>
      </c>
      <c r="AB10" s="205" t="e">
        <f>AB11+AB20</f>
        <v>#REF!</v>
      </c>
      <c r="AC10" s="201" t="s">
        <v>97</v>
      </c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73" t="s">
        <v>105</v>
      </c>
      <c r="AO10" s="273" t="s">
        <v>100</v>
      </c>
      <c r="AP10" s="302"/>
      <c r="AQ10" s="301"/>
      <c r="AR10" s="410">
        <v>1</v>
      </c>
    </row>
    <row r="11" ht="45.95" customHeight="1" spans="1:44">
      <c r="A11" s="42">
        <f t="shared" si="0"/>
        <v>3</v>
      </c>
      <c r="B11" s="44"/>
      <c r="C11" s="45"/>
      <c r="D11" s="45"/>
      <c r="E11" s="45"/>
      <c r="F11" s="45"/>
      <c r="G11" s="45"/>
      <c r="H11" s="45"/>
      <c r="I11" s="45"/>
      <c r="J11" s="44"/>
      <c r="K11" s="44"/>
      <c r="L11" s="323"/>
      <c r="M11" s="87" t="s">
        <v>106</v>
      </c>
      <c r="N11" s="90" t="s">
        <v>107</v>
      </c>
      <c r="O11" s="91" t="s">
        <v>108</v>
      </c>
      <c r="P11" s="83" t="s">
        <v>42</v>
      </c>
      <c r="Q11" s="43" t="s">
        <v>92</v>
      </c>
      <c r="R11" s="83"/>
      <c r="S11" s="149" t="s">
        <v>42</v>
      </c>
      <c r="T11" s="87" t="s">
        <v>104</v>
      </c>
      <c r="U11" s="152" t="s">
        <v>97</v>
      </c>
      <c r="V11" s="146" t="s">
        <v>93</v>
      </c>
      <c r="W11" s="150" t="s">
        <v>94</v>
      </c>
      <c r="X11" s="108" t="s">
        <v>95</v>
      </c>
      <c r="Y11" s="45" t="s">
        <v>96</v>
      </c>
      <c r="Z11" s="152" t="s">
        <v>97</v>
      </c>
      <c r="AA11" s="204" t="s">
        <v>97</v>
      </c>
      <c r="AB11" s="208" t="e">
        <f>AB12+AB18+AB19*AR19</f>
        <v>#REF!</v>
      </c>
      <c r="AC11" s="201" t="s">
        <v>97</v>
      </c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73" t="s">
        <v>105</v>
      </c>
      <c r="AO11" s="273" t="s">
        <v>100</v>
      </c>
      <c r="AP11" s="302"/>
      <c r="AQ11" s="301"/>
      <c r="AR11" s="410">
        <v>1</v>
      </c>
    </row>
    <row r="12" ht="39.95" customHeight="1" spans="1:44">
      <c r="A12" s="42">
        <f t="shared" si="0"/>
        <v>4</v>
      </c>
      <c r="B12" s="44"/>
      <c r="C12" s="45">
        <v>1</v>
      </c>
      <c r="D12" s="45"/>
      <c r="E12" s="45"/>
      <c r="F12" s="45"/>
      <c r="G12" s="45"/>
      <c r="H12" s="45"/>
      <c r="I12" s="45"/>
      <c r="J12" s="83"/>
      <c r="K12" s="83"/>
      <c r="L12" s="92" t="s">
        <v>109</v>
      </c>
      <c r="M12" s="92" t="s">
        <v>109</v>
      </c>
      <c r="N12" s="93" t="s">
        <v>110</v>
      </c>
      <c r="O12" s="94" t="s">
        <v>111</v>
      </c>
      <c r="P12" s="83" t="s">
        <v>42</v>
      </c>
      <c r="Q12" s="43" t="s">
        <v>92</v>
      </c>
      <c r="R12" s="44"/>
      <c r="S12" s="149" t="s">
        <v>42</v>
      </c>
      <c r="T12" s="87" t="s">
        <v>104</v>
      </c>
      <c r="U12" s="152" t="s">
        <v>97</v>
      </c>
      <c r="V12" s="146" t="s">
        <v>93</v>
      </c>
      <c r="W12" s="150" t="s">
        <v>94</v>
      </c>
      <c r="X12" s="108" t="s">
        <v>112</v>
      </c>
      <c r="Y12" s="45" t="s">
        <v>96</v>
      </c>
      <c r="Z12" s="152" t="s">
        <v>97</v>
      </c>
      <c r="AA12" s="204" t="s">
        <v>97</v>
      </c>
      <c r="AB12" s="205" t="e">
        <f>AB13+AB14+AB15+AB16+#REF!+#REF!+AB17</f>
        <v>#REF!</v>
      </c>
      <c r="AC12" s="201" t="s">
        <v>97</v>
      </c>
      <c r="AD12" s="209" t="s">
        <v>113</v>
      </c>
      <c r="AE12" s="207"/>
      <c r="AF12" s="207"/>
      <c r="AG12" s="207"/>
      <c r="AH12" s="260"/>
      <c r="AI12" s="261"/>
      <c r="AJ12" s="207"/>
      <c r="AK12" s="260"/>
      <c r="AL12" s="262">
        <f>0.0025*60</f>
        <v>0.15</v>
      </c>
      <c r="AM12" s="262"/>
      <c r="AN12" s="273" t="s">
        <v>99</v>
      </c>
      <c r="AO12" s="273" t="s">
        <v>114</v>
      </c>
      <c r="AP12" s="302"/>
      <c r="AQ12" s="301"/>
      <c r="AR12" s="410">
        <v>1</v>
      </c>
    </row>
    <row r="13" ht="39.95" customHeight="1" spans="1:44">
      <c r="A13" s="42">
        <f t="shared" si="0"/>
        <v>5</v>
      </c>
      <c r="B13" s="43"/>
      <c r="C13" s="46"/>
      <c r="D13" s="46">
        <v>2</v>
      </c>
      <c r="E13" s="46"/>
      <c r="F13" s="47"/>
      <c r="G13" s="47"/>
      <c r="H13" s="46"/>
      <c r="I13" s="46"/>
      <c r="J13" s="95"/>
      <c r="K13" s="96"/>
      <c r="L13" s="93" t="s">
        <v>115</v>
      </c>
      <c r="M13" s="93" t="s">
        <v>115</v>
      </c>
      <c r="N13" s="93" t="s">
        <v>116</v>
      </c>
      <c r="O13" s="94" t="s">
        <v>111</v>
      </c>
      <c r="P13" s="97" t="s">
        <v>117</v>
      </c>
      <c r="Q13" s="43" t="s">
        <v>92</v>
      </c>
      <c r="R13" s="153"/>
      <c r="S13" s="149" t="s">
        <v>42</v>
      </c>
      <c r="T13" s="87" t="s">
        <v>104</v>
      </c>
      <c r="U13" s="152" t="s">
        <v>97</v>
      </c>
      <c r="V13" s="146" t="s">
        <v>93</v>
      </c>
      <c r="W13" s="150" t="s">
        <v>94</v>
      </c>
      <c r="X13" s="108" t="s">
        <v>112</v>
      </c>
      <c r="Y13" s="45" t="s">
        <v>118</v>
      </c>
      <c r="Z13" s="45" t="s">
        <v>119</v>
      </c>
      <c r="AA13" s="210" t="s">
        <v>97</v>
      </c>
      <c r="AB13" s="205">
        <v>1.2387</v>
      </c>
      <c r="AC13" s="201" t="s">
        <v>97</v>
      </c>
      <c r="AD13" s="209"/>
      <c r="AE13" s="211"/>
      <c r="AF13" s="211"/>
      <c r="AG13" s="211"/>
      <c r="AH13" s="265">
        <v>1.3</v>
      </c>
      <c r="AI13" s="261">
        <f>AB13/AH13</f>
        <v>0.952846153846154</v>
      </c>
      <c r="AJ13" s="211"/>
      <c r="AK13" s="265"/>
      <c r="AL13" s="265"/>
      <c r="AM13" s="266"/>
      <c r="AN13" s="273" t="s">
        <v>105</v>
      </c>
      <c r="AO13" s="273"/>
      <c r="AP13" s="302"/>
      <c r="AQ13" s="301"/>
      <c r="AR13" s="289">
        <v>1</v>
      </c>
    </row>
    <row r="14" s="17" customFormat="1" ht="39.95" customHeight="1" spans="1:44">
      <c r="A14" s="42">
        <f t="shared" si="0"/>
        <v>6</v>
      </c>
      <c r="B14" s="48"/>
      <c r="C14" s="49"/>
      <c r="D14" s="49">
        <v>2</v>
      </c>
      <c r="E14" s="49"/>
      <c r="F14" s="49"/>
      <c r="G14" s="49"/>
      <c r="H14" s="49"/>
      <c r="I14" s="49"/>
      <c r="J14" s="98"/>
      <c r="K14" s="99"/>
      <c r="L14" s="100" t="s">
        <v>120</v>
      </c>
      <c r="M14" s="100" t="s">
        <v>120</v>
      </c>
      <c r="N14" s="101" t="s">
        <v>121</v>
      </c>
      <c r="O14" s="102" t="s">
        <v>111</v>
      </c>
      <c r="P14" s="103" t="s">
        <v>117</v>
      </c>
      <c r="Q14" s="48" t="s">
        <v>92</v>
      </c>
      <c r="R14" s="154"/>
      <c r="S14" s="155" t="s">
        <v>42</v>
      </c>
      <c r="T14" s="100" t="s">
        <v>104</v>
      </c>
      <c r="U14" s="156" t="s">
        <v>97</v>
      </c>
      <c r="V14" s="157" t="s">
        <v>94</v>
      </c>
      <c r="W14" s="158" t="s">
        <v>93</v>
      </c>
      <c r="X14" s="159" t="s">
        <v>122</v>
      </c>
      <c r="Y14" s="212" t="s">
        <v>123</v>
      </c>
      <c r="Z14" s="156" t="s">
        <v>124</v>
      </c>
      <c r="AA14" s="213" t="s">
        <v>125</v>
      </c>
      <c r="AB14" s="214"/>
      <c r="AC14" s="215" t="s">
        <v>97</v>
      </c>
      <c r="AD14" s="216" t="s">
        <v>126</v>
      </c>
      <c r="AE14" s="217"/>
      <c r="AF14" s="217"/>
      <c r="AG14" s="217"/>
      <c r="AH14" s="267"/>
      <c r="AI14" s="268"/>
      <c r="AJ14" s="269"/>
      <c r="AK14" s="269"/>
      <c r="AL14" s="269"/>
      <c r="AM14" s="269"/>
      <c r="AN14" s="270" t="s">
        <v>127</v>
      </c>
      <c r="AO14" s="270" t="s">
        <v>128</v>
      </c>
      <c r="AP14" s="303"/>
      <c r="AQ14" s="304"/>
      <c r="AR14" s="305">
        <v>4</v>
      </c>
    </row>
    <row r="15" s="17" customFormat="1" ht="39.95" customHeight="1" spans="1:44">
      <c r="A15" s="42">
        <f t="shared" si="0"/>
        <v>7</v>
      </c>
      <c r="B15" s="48"/>
      <c r="C15" s="49"/>
      <c r="D15" s="49">
        <v>2</v>
      </c>
      <c r="E15" s="49"/>
      <c r="F15" s="49"/>
      <c r="G15" s="49"/>
      <c r="H15" s="49"/>
      <c r="I15" s="49"/>
      <c r="J15" s="98"/>
      <c r="K15" s="99"/>
      <c r="L15" s="100" t="s">
        <v>129</v>
      </c>
      <c r="M15" s="100" t="s">
        <v>129</v>
      </c>
      <c r="N15" s="101" t="s">
        <v>130</v>
      </c>
      <c r="O15" s="102" t="s">
        <v>111</v>
      </c>
      <c r="P15" s="103" t="s">
        <v>117</v>
      </c>
      <c r="Q15" s="48" t="s">
        <v>92</v>
      </c>
      <c r="R15" s="154"/>
      <c r="S15" s="155" t="s">
        <v>42</v>
      </c>
      <c r="T15" s="100" t="s">
        <v>104</v>
      </c>
      <c r="U15" s="156" t="s">
        <v>97</v>
      </c>
      <c r="V15" s="157" t="s">
        <v>94</v>
      </c>
      <c r="W15" s="158" t="s">
        <v>93</v>
      </c>
      <c r="X15" s="159" t="s">
        <v>122</v>
      </c>
      <c r="Y15" s="212" t="s">
        <v>123</v>
      </c>
      <c r="Z15" s="156" t="s">
        <v>124</v>
      </c>
      <c r="AA15" s="213" t="s">
        <v>131</v>
      </c>
      <c r="AB15" s="214"/>
      <c r="AC15" s="215" t="s">
        <v>97</v>
      </c>
      <c r="AD15" s="216" t="s">
        <v>126</v>
      </c>
      <c r="AE15" s="217"/>
      <c r="AF15" s="217"/>
      <c r="AG15" s="217"/>
      <c r="AH15" s="267"/>
      <c r="AI15" s="268"/>
      <c r="AJ15" s="269"/>
      <c r="AK15" s="269"/>
      <c r="AL15" s="269"/>
      <c r="AM15" s="269"/>
      <c r="AN15" s="270" t="s">
        <v>127</v>
      </c>
      <c r="AO15" s="270" t="s">
        <v>128</v>
      </c>
      <c r="AP15" s="303"/>
      <c r="AQ15" s="304"/>
      <c r="AR15" s="305">
        <v>1</v>
      </c>
    </row>
    <row r="16" s="17" customFormat="1" ht="39.95" customHeight="1" spans="1:44">
      <c r="A16" s="42">
        <f t="shared" si="0"/>
        <v>8</v>
      </c>
      <c r="B16" s="48"/>
      <c r="C16" s="49"/>
      <c r="D16" s="49">
        <v>2</v>
      </c>
      <c r="E16" s="49"/>
      <c r="F16" s="49"/>
      <c r="G16" s="49"/>
      <c r="H16" s="49"/>
      <c r="I16" s="49"/>
      <c r="J16" s="98"/>
      <c r="K16" s="99"/>
      <c r="L16" s="100" t="s">
        <v>132</v>
      </c>
      <c r="M16" s="100" t="s">
        <v>132</v>
      </c>
      <c r="N16" s="101" t="s">
        <v>133</v>
      </c>
      <c r="O16" s="102" t="s">
        <v>111</v>
      </c>
      <c r="P16" s="103" t="s">
        <v>117</v>
      </c>
      <c r="Q16" s="48" t="s">
        <v>92</v>
      </c>
      <c r="R16" s="154"/>
      <c r="S16" s="155" t="s">
        <v>42</v>
      </c>
      <c r="T16" s="100" t="s">
        <v>104</v>
      </c>
      <c r="U16" s="156" t="s">
        <v>97</v>
      </c>
      <c r="V16" s="157" t="s">
        <v>94</v>
      </c>
      <c r="W16" s="158" t="s">
        <v>93</v>
      </c>
      <c r="X16" s="159" t="s">
        <v>122</v>
      </c>
      <c r="Y16" s="212" t="s">
        <v>123</v>
      </c>
      <c r="Z16" s="156" t="s">
        <v>124</v>
      </c>
      <c r="AA16" s="213" t="s">
        <v>134</v>
      </c>
      <c r="AB16" s="214"/>
      <c r="AC16" s="215"/>
      <c r="AD16" s="216" t="s">
        <v>126</v>
      </c>
      <c r="AE16" s="217"/>
      <c r="AF16" s="217"/>
      <c r="AG16" s="217"/>
      <c r="AH16" s="267"/>
      <c r="AI16" s="268"/>
      <c r="AJ16" s="269"/>
      <c r="AK16" s="269"/>
      <c r="AL16" s="269"/>
      <c r="AM16" s="269"/>
      <c r="AN16" s="270" t="s">
        <v>127</v>
      </c>
      <c r="AO16" s="270" t="s">
        <v>128</v>
      </c>
      <c r="AP16" s="303"/>
      <c r="AQ16" s="304"/>
      <c r="AR16" s="305">
        <v>1</v>
      </c>
    </row>
    <row r="17" s="17" customFormat="1" ht="39.95" customHeight="1" spans="1:44">
      <c r="A17" s="42">
        <f t="shared" si="0"/>
        <v>9</v>
      </c>
      <c r="B17" s="48"/>
      <c r="C17" s="49"/>
      <c r="D17" s="49">
        <v>2</v>
      </c>
      <c r="E17" s="49"/>
      <c r="F17" s="49"/>
      <c r="G17" s="49"/>
      <c r="H17" s="49"/>
      <c r="I17" s="49"/>
      <c r="J17" s="98"/>
      <c r="K17" s="104"/>
      <c r="L17" s="406" t="s">
        <v>135</v>
      </c>
      <c r="M17" s="100" t="s">
        <v>136</v>
      </c>
      <c r="N17" s="105" t="s">
        <v>137</v>
      </c>
      <c r="O17" s="102" t="s">
        <v>111</v>
      </c>
      <c r="P17" s="103" t="s">
        <v>117</v>
      </c>
      <c r="Q17" s="48" t="s">
        <v>92</v>
      </c>
      <c r="R17" s="154"/>
      <c r="S17" s="155" t="s">
        <v>42</v>
      </c>
      <c r="T17" s="100" t="s">
        <v>104</v>
      </c>
      <c r="U17" s="156" t="s">
        <v>97</v>
      </c>
      <c r="V17" s="157" t="s">
        <v>94</v>
      </c>
      <c r="W17" s="158" t="s">
        <v>93</v>
      </c>
      <c r="X17" s="159" t="s">
        <v>138</v>
      </c>
      <c r="Y17" s="212" t="s">
        <v>97</v>
      </c>
      <c r="Z17" s="156" t="s">
        <v>139</v>
      </c>
      <c r="AA17" s="213" t="s">
        <v>97</v>
      </c>
      <c r="AB17" s="214">
        <v>0.05</v>
      </c>
      <c r="AC17" s="215"/>
      <c r="AD17" s="218"/>
      <c r="AE17" s="219">
        <v>800</v>
      </c>
      <c r="AF17" s="219">
        <v>600</v>
      </c>
      <c r="AG17" s="219"/>
      <c r="AH17" s="271"/>
      <c r="AI17" s="272"/>
      <c r="AJ17" s="269"/>
      <c r="AK17" s="269"/>
      <c r="AL17" s="269"/>
      <c r="AM17" s="269"/>
      <c r="AN17" s="270" t="s">
        <v>127</v>
      </c>
      <c r="AO17" s="270"/>
      <c r="AP17" s="303"/>
      <c r="AQ17" s="304" t="s">
        <v>140</v>
      </c>
      <c r="AR17" s="305">
        <v>1</v>
      </c>
    </row>
    <row r="18" ht="39.95" customHeight="1" spans="1:44">
      <c r="A18" s="42">
        <f t="shared" si="0"/>
        <v>10</v>
      </c>
      <c r="B18" s="43"/>
      <c r="C18" s="46">
        <v>1</v>
      </c>
      <c r="D18" s="46"/>
      <c r="E18" s="47"/>
      <c r="F18" s="47"/>
      <c r="G18" s="46"/>
      <c r="H18" s="46"/>
      <c r="I18" s="46"/>
      <c r="J18" s="95"/>
      <c r="K18" s="106"/>
      <c r="L18" s="109" t="s">
        <v>141</v>
      </c>
      <c r="M18" s="87" t="s">
        <v>141</v>
      </c>
      <c r="N18" s="90" t="s">
        <v>142</v>
      </c>
      <c r="O18" s="107" t="s">
        <v>143</v>
      </c>
      <c r="P18" s="108" t="s">
        <v>144</v>
      </c>
      <c r="Q18" s="43" t="s">
        <v>92</v>
      </c>
      <c r="R18" s="153"/>
      <c r="S18" s="149" t="s">
        <v>42</v>
      </c>
      <c r="T18" s="129" t="s">
        <v>104</v>
      </c>
      <c r="U18" s="152" t="s">
        <v>97</v>
      </c>
      <c r="V18" s="146" t="s">
        <v>93</v>
      </c>
      <c r="W18" s="150" t="s">
        <v>94</v>
      </c>
      <c r="X18" s="108" t="s">
        <v>112</v>
      </c>
      <c r="Y18" s="45" t="s">
        <v>96</v>
      </c>
      <c r="Z18" s="152" t="s">
        <v>97</v>
      </c>
      <c r="AA18" s="210" t="s">
        <v>97</v>
      </c>
      <c r="AB18" s="205">
        <v>0.2</v>
      </c>
      <c r="AC18" s="201" t="s">
        <v>97</v>
      </c>
      <c r="AD18" s="220" t="s">
        <v>145</v>
      </c>
      <c r="AE18" s="220"/>
      <c r="AF18" s="220"/>
      <c r="AG18" s="220"/>
      <c r="AH18" s="220"/>
      <c r="AI18" s="220"/>
      <c r="AJ18" s="220"/>
      <c r="AK18" s="220"/>
      <c r="AL18" s="220"/>
      <c r="AM18" s="220"/>
      <c r="AN18" s="273" t="s">
        <v>99</v>
      </c>
      <c r="AO18" s="273" t="s">
        <v>146</v>
      </c>
      <c r="AP18" s="302"/>
      <c r="AQ18" s="301"/>
      <c r="AR18" s="289">
        <v>1</v>
      </c>
    </row>
    <row r="19" ht="39.95" customHeight="1" spans="1:44">
      <c r="A19" s="42">
        <f t="shared" si="0"/>
        <v>11</v>
      </c>
      <c r="B19" s="43"/>
      <c r="C19" s="46">
        <v>1</v>
      </c>
      <c r="D19" s="46"/>
      <c r="E19" s="47"/>
      <c r="F19" s="47"/>
      <c r="G19" s="46"/>
      <c r="H19" s="46"/>
      <c r="I19" s="46"/>
      <c r="J19" s="95"/>
      <c r="K19" s="106"/>
      <c r="L19" s="109" t="s">
        <v>147</v>
      </c>
      <c r="M19" s="87" t="s">
        <v>148</v>
      </c>
      <c r="N19" s="90" t="s">
        <v>149</v>
      </c>
      <c r="O19" s="110" t="s">
        <v>97</v>
      </c>
      <c r="P19" s="108" t="s">
        <v>144</v>
      </c>
      <c r="Q19" s="43" t="s">
        <v>92</v>
      </c>
      <c r="R19" s="160"/>
      <c r="S19" s="149" t="s">
        <v>42</v>
      </c>
      <c r="T19" s="129" t="s">
        <v>104</v>
      </c>
      <c r="U19" s="152" t="s">
        <v>97</v>
      </c>
      <c r="V19" s="150" t="s">
        <v>94</v>
      </c>
      <c r="W19" s="146" t="s">
        <v>93</v>
      </c>
      <c r="X19" s="43" t="s">
        <v>122</v>
      </c>
      <c r="Y19" s="152" t="s">
        <v>97</v>
      </c>
      <c r="Z19" s="152" t="s">
        <v>97</v>
      </c>
      <c r="AA19" s="210" t="s">
        <v>97</v>
      </c>
      <c r="AB19" s="205">
        <v>0.001</v>
      </c>
      <c r="AC19" s="201" t="s">
        <v>97</v>
      </c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73" t="s">
        <v>127</v>
      </c>
      <c r="AO19" s="310" t="s">
        <v>150</v>
      </c>
      <c r="AP19" s="302"/>
      <c r="AQ19" s="301"/>
      <c r="AR19" s="306">
        <v>26</v>
      </c>
    </row>
    <row r="20" ht="39.95" customHeight="1" spans="1:44">
      <c r="A20" s="42">
        <f t="shared" ref="A20:A29" si="1">ROW()-8</f>
        <v>12</v>
      </c>
      <c r="B20" s="43"/>
      <c r="C20" s="46"/>
      <c r="D20" s="46"/>
      <c r="E20" s="47"/>
      <c r="F20" s="47"/>
      <c r="G20" s="46"/>
      <c r="H20" s="46"/>
      <c r="I20" s="46"/>
      <c r="J20" s="95"/>
      <c r="K20" s="106"/>
      <c r="L20" s="87"/>
      <c r="M20" s="87" t="s">
        <v>151</v>
      </c>
      <c r="N20" s="90" t="s">
        <v>152</v>
      </c>
      <c r="O20" s="110" t="s">
        <v>153</v>
      </c>
      <c r="P20" s="108" t="s">
        <v>42</v>
      </c>
      <c r="Q20" s="43" t="s">
        <v>92</v>
      </c>
      <c r="R20" s="160"/>
      <c r="S20" s="149" t="s">
        <v>42</v>
      </c>
      <c r="T20" s="129" t="s">
        <v>104</v>
      </c>
      <c r="U20" s="152" t="s">
        <v>97</v>
      </c>
      <c r="V20" s="146" t="s">
        <v>93</v>
      </c>
      <c r="W20" s="150" t="s">
        <v>94</v>
      </c>
      <c r="X20" s="108" t="s">
        <v>112</v>
      </c>
      <c r="Y20" s="45" t="s">
        <v>96</v>
      </c>
      <c r="Z20" s="43" t="s">
        <v>97</v>
      </c>
      <c r="AA20" s="210" t="s">
        <v>97</v>
      </c>
      <c r="AB20" s="208" t="e">
        <f>AB21+AB61*AR61+AB62+AB64+#REF!*#REF!</f>
        <v>#REF!</v>
      </c>
      <c r="AC20" s="201" t="s">
        <v>97</v>
      </c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73" t="s">
        <v>105</v>
      </c>
      <c r="AO20" s="273"/>
      <c r="AP20" s="302"/>
      <c r="AQ20" s="301"/>
      <c r="AR20" s="289">
        <v>1</v>
      </c>
    </row>
    <row r="21" s="402" customFormat="1" ht="39.95" customHeight="1" spans="1:44">
      <c r="A21" s="42">
        <f t="shared" si="1"/>
        <v>13</v>
      </c>
      <c r="B21" s="43"/>
      <c r="C21" s="46">
        <v>1</v>
      </c>
      <c r="D21" s="46"/>
      <c r="E21" s="47"/>
      <c r="F21" s="47"/>
      <c r="G21" s="46"/>
      <c r="H21" s="46"/>
      <c r="I21" s="46"/>
      <c r="J21" s="95"/>
      <c r="K21" s="106"/>
      <c r="L21" s="109" t="s">
        <v>154</v>
      </c>
      <c r="M21" s="87" t="s">
        <v>155</v>
      </c>
      <c r="N21" s="90" t="s">
        <v>156</v>
      </c>
      <c r="O21" s="91" t="s">
        <v>111</v>
      </c>
      <c r="P21" s="108" t="s">
        <v>117</v>
      </c>
      <c r="Q21" s="43" t="s">
        <v>92</v>
      </c>
      <c r="R21" s="160"/>
      <c r="S21" s="149" t="s">
        <v>117</v>
      </c>
      <c r="T21" s="129" t="s">
        <v>104</v>
      </c>
      <c r="U21" s="152" t="s">
        <v>97</v>
      </c>
      <c r="V21" s="146" t="s">
        <v>94</v>
      </c>
      <c r="W21" s="150" t="s">
        <v>93</v>
      </c>
      <c r="X21" s="108" t="s">
        <v>112</v>
      </c>
      <c r="Y21" s="45" t="s">
        <v>96</v>
      </c>
      <c r="Z21" s="43" t="s">
        <v>97</v>
      </c>
      <c r="AA21" s="210" t="s">
        <v>97</v>
      </c>
      <c r="AB21" s="205" t="e">
        <f>#REF!+#REF!+AB26+AB32+AB38+AB39+AB58+AB59+AB51+AB60</f>
        <v>#REF!</v>
      </c>
      <c r="AC21" s="201"/>
      <c r="AD21" s="221" t="s">
        <v>157</v>
      </c>
      <c r="AE21" s="211"/>
      <c r="AF21" s="211"/>
      <c r="AG21" s="211"/>
      <c r="AH21" s="265"/>
      <c r="AI21" s="274"/>
      <c r="AJ21" s="275">
        <v>10</v>
      </c>
      <c r="AK21" s="265"/>
      <c r="AL21" s="266">
        <f>9*AJ21/600+10*8/60</f>
        <v>1.48333333333333</v>
      </c>
      <c r="AM21" s="276">
        <v>1</v>
      </c>
      <c r="AN21" s="263" t="s">
        <v>99</v>
      </c>
      <c r="AO21" s="263" t="s">
        <v>158</v>
      </c>
      <c r="AP21" s="302"/>
      <c r="AQ21" s="301"/>
      <c r="AR21" s="289">
        <v>1</v>
      </c>
    </row>
    <row r="22" s="402" customFormat="1" ht="39.95" customHeight="1" spans="1:44">
      <c r="A22" s="42">
        <f t="shared" si="1"/>
        <v>14</v>
      </c>
      <c r="B22" s="43"/>
      <c r="C22" s="46"/>
      <c r="D22" s="46">
        <v>2</v>
      </c>
      <c r="E22" s="47"/>
      <c r="F22" s="47"/>
      <c r="G22" s="46"/>
      <c r="H22" s="46"/>
      <c r="I22" s="46"/>
      <c r="J22" s="95"/>
      <c r="K22" s="106"/>
      <c r="L22" s="109"/>
      <c r="M22" s="87"/>
      <c r="N22" s="120" t="s">
        <v>159</v>
      </c>
      <c r="O22" s="121" t="s">
        <v>111</v>
      </c>
      <c r="P22" s="122" t="s">
        <v>117</v>
      </c>
      <c r="Q22" s="174" t="s">
        <v>160</v>
      </c>
      <c r="R22" s="175"/>
      <c r="S22" s="176" t="s">
        <v>117</v>
      </c>
      <c r="T22" s="177" t="s">
        <v>104</v>
      </c>
      <c r="U22" s="177" t="s">
        <v>97</v>
      </c>
      <c r="V22" s="178" t="s">
        <v>94</v>
      </c>
      <c r="W22" s="166" t="s">
        <v>93</v>
      </c>
      <c r="X22" s="122" t="s">
        <v>161</v>
      </c>
      <c r="Y22" s="120" t="s">
        <v>96</v>
      </c>
      <c r="Z22" s="174" t="s">
        <v>97</v>
      </c>
      <c r="AA22" s="174" t="s">
        <v>97</v>
      </c>
      <c r="AB22" s="229">
        <f>AB27+AB30+AB31+AB44+AB50+AB51</f>
        <v>1.0521</v>
      </c>
      <c r="AC22" s="118" t="s">
        <v>97</v>
      </c>
      <c r="AD22" s="221" t="s">
        <v>157</v>
      </c>
      <c r="AE22" s="211"/>
      <c r="AF22" s="211"/>
      <c r="AG22" s="211"/>
      <c r="AH22" s="265"/>
      <c r="AI22" s="274"/>
      <c r="AJ22" s="211">
        <v>46</v>
      </c>
      <c r="AK22" s="265"/>
      <c r="AL22" s="266">
        <f>9*AJ22/600+10*6/60</f>
        <v>1.69</v>
      </c>
      <c r="AM22" s="276">
        <v>1</v>
      </c>
      <c r="AN22" s="263" t="s">
        <v>105</v>
      </c>
      <c r="AO22" s="263" t="s">
        <v>158</v>
      </c>
      <c r="AP22" s="411"/>
      <c r="AQ22" s="412"/>
      <c r="AR22" s="413">
        <v>1</v>
      </c>
    </row>
    <row r="23" ht="39.95" customHeight="1" spans="1:44">
      <c r="A23" s="42">
        <f t="shared" si="1"/>
        <v>15</v>
      </c>
      <c r="B23" s="43"/>
      <c r="C23" s="46"/>
      <c r="D23" s="46"/>
      <c r="E23" s="47">
        <v>3</v>
      </c>
      <c r="F23" s="47"/>
      <c r="G23" s="46"/>
      <c r="H23" s="46"/>
      <c r="I23" s="46"/>
      <c r="J23" s="95"/>
      <c r="K23" s="106"/>
      <c r="L23" s="109" t="s">
        <v>162</v>
      </c>
      <c r="M23" s="87" t="s">
        <v>163</v>
      </c>
      <c r="N23" s="90" t="s">
        <v>164</v>
      </c>
      <c r="O23" s="91" t="s">
        <v>111</v>
      </c>
      <c r="P23" s="108" t="s">
        <v>144</v>
      </c>
      <c r="Q23" s="43" t="s">
        <v>92</v>
      </c>
      <c r="R23" s="160"/>
      <c r="S23" s="149" t="s">
        <v>42</v>
      </c>
      <c r="T23" s="129" t="s">
        <v>104</v>
      </c>
      <c r="U23" s="152" t="s">
        <v>97</v>
      </c>
      <c r="V23" s="146" t="s">
        <v>94</v>
      </c>
      <c r="W23" s="150" t="s">
        <v>93</v>
      </c>
      <c r="X23" s="108" t="s">
        <v>112</v>
      </c>
      <c r="Y23" s="45" t="s">
        <v>96</v>
      </c>
      <c r="Z23" s="43" t="s">
        <v>97</v>
      </c>
      <c r="AA23" s="210" t="s">
        <v>97</v>
      </c>
      <c r="AB23" s="205">
        <f>AB24+AB25</f>
        <v>1.6812</v>
      </c>
      <c r="AC23" s="201"/>
      <c r="AD23" s="221" t="s">
        <v>165</v>
      </c>
      <c r="AE23" s="211"/>
      <c r="AF23" s="211"/>
      <c r="AG23" s="211"/>
      <c r="AH23" s="265"/>
      <c r="AI23" s="274"/>
      <c r="AJ23" s="211"/>
      <c r="AK23" s="265"/>
      <c r="AL23" s="266">
        <f>0.0195*60</f>
        <v>1.17</v>
      </c>
      <c r="AM23" s="276">
        <v>1</v>
      </c>
      <c r="AN23" s="263" t="s">
        <v>99</v>
      </c>
      <c r="AO23" s="263" t="s">
        <v>166</v>
      </c>
      <c r="AP23" s="302"/>
      <c r="AQ23" s="301"/>
      <c r="AR23" s="289">
        <v>1</v>
      </c>
    </row>
    <row r="24" ht="39.95" customHeight="1" spans="1:44">
      <c r="A24" s="42">
        <f t="shared" si="1"/>
        <v>16</v>
      </c>
      <c r="B24" s="43"/>
      <c r="C24" s="46"/>
      <c r="D24" s="46"/>
      <c r="E24" s="47"/>
      <c r="F24" s="47">
        <v>4</v>
      </c>
      <c r="G24" s="46"/>
      <c r="H24" s="46"/>
      <c r="I24" s="46"/>
      <c r="J24" s="95"/>
      <c r="K24" s="106"/>
      <c r="L24" s="109"/>
      <c r="M24" s="87" t="s">
        <v>167</v>
      </c>
      <c r="N24" s="90" t="s">
        <v>168</v>
      </c>
      <c r="O24" s="91" t="s">
        <v>111</v>
      </c>
      <c r="P24" s="108" t="s">
        <v>144</v>
      </c>
      <c r="Q24" s="43" t="s">
        <v>92</v>
      </c>
      <c r="R24" s="160"/>
      <c r="S24" s="149" t="s">
        <v>42</v>
      </c>
      <c r="T24" s="129" t="s">
        <v>104</v>
      </c>
      <c r="U24" s="152" t="s">
        <v>97</v>
      </c>
      <c r="V24" s="146" t="s">
        <v>94</v>
      </c>
      <c r="W24" s="150" t="s">
        <v>93</v>
      </c>
      <c r="X24" s="43" t="s">
        <v>169</v>
      </c>
      <c r="Y24" s="45" t="s">
        <v>170</v>
      </c>
      <c r="Z24" s="152" t="s">
        <v>171</v>
      </c>
      <c r="AA24" s="210" t="s">
        <v>172</v>
      </c>
      <c r="AB24" s="205">
        <v>1.5622</v>
      </c>
      <c r="AC24" s="201"/>
      <c r="AD24" s="221"/>
      <c r="AE24" s="211">
        <f>AB24/1.134*1000+10</f>
        <v>1387.60141093474</v>
      </c>
      <c r="AF24" s="211">
        <v>25</v>
      </c>
      <c r="AG24" s="211">
        <v>2</v>
      </c>
      <c r="AH24" s="265">
        <f>AE24*1.134/1000</f>
        <v>1.57354</v>
      </c>
      <c r="AI24" s="261">
        <f>AB24/AH24</f>
        <v>0.992793319521588</v>
      </c>
      <c r="AJ24" s="211"/>
      <c r="AK24" s="265"/>
      <c r="AL24" s="266"/>
      <c r="AM24" s="266"/>
      <c r="AN24" s="279"/>
      <c r="AO24" s="279"/>
      <c r="AP24" s="302"/>
      <c r="AQ24" s="301"/>
      <c r="AR24" s="289">
        <v>1</v>
      </c>
    </row>
    <row r="25" ht="39.95" customHeight="1" spans="1:44">
      <c r="A25" s="42">
        <f t="shared" si="1"/>
        <v>17</v>
      </c>
      <c r="B25" s="43"/>
      <c r="C25" s="46"/>
      <c r="D25" s="46"/>
      <c r="E25" s="47"/>
      <c r="F25" s="47">
        <v>4</v>
      </c>
      <c r="G25" s="46"/>
      <c r="H25" s="46"/>
      <c r="I25" s="46"/>
      <c r="J25" s="95"/>
      <c r="K25" s="106"/>
      <c r="L25" s="109"/>
      <c r="M25" s="87" t="s">
        <v>173</v>
      </c>
      <c r="N25" s="90" t="s">
        <v>174</v>
      </c>
      <c r="O25" s="110" t="s">
        <v>175</v>
      </c>
      <c r="P25" s="108" t="s">
        <v>144</v>
      </c>
      <c r="Q25" s="43" t="s">
        <v>92</v>
      </c>
      <c r="R25" s="160"/>
      <c r="S25" s="149" t="s">
        <v>42</v>
      </c>
      <c r="T25" s="129" t="s">
        <v>104</v>
      </c>
      <c r="U25" s="152" t="s">
        <v>97</v>
      </c>
      <c r="V25" s="146" t="s">
        <v>94</v>
      </c>
      <c r="W25" s="150" t="s">
        <v>93</v>
      </c>
      <c r="X25" s="43" t="s">
        <v>169</v>
      </c>
      <c r="Y25" s="45" t="s">
        <v>176</v>
      </c>
      <c r="Z25" s="152" t="s">
        <v>171</v>
      </c>
      <c r="AA25" s="210" t="s">
        <v>177</v>
      </c>
      <c r="AB25" s="205">
        <v>0.119</v>
      </c>
      <c r="AC25" s="201"/>
      <c r="AD25" s="221"/>
      <c r="AE25" s="211">
        <f>AB25/0.684*1000+10</f>
        <v>183.976608187134</v>
      </c>
      <c r="AF25" s="211">
        <v>20</v>
      </c>
      <c r="AG25" s="211">
        <v>1.5</v>
      </c>
      <c r="AH25" s="265">
        <f>AE25*0.684/1000</f>
        <v>0.12584</v>
      </c>
      <c r="AI25" s="261">
        <f>AB25/AH25</f>
        <v>0.945645263827082</v>
      </c>
      <c r="AJ25" s="211"/>
      <c r="AK25" s="265"/>
      <c r="AL25" s="266"/>
      <c r="AM25" s="266"/>
      <c r="AN25" s="279"/>
      <c r="AO25" s="279"/>
      <c r="AP25" s="302"/>
      <c r="AQ25" s="301"/>
      <c r="AR25" s="289">
        <v>1</v>
      </c>
    </row>
    <row r="26" ht="39.95" customHeight="1" spans="1:44">
      <c r="A26" s="42">
        <f t="shared" si="1"/>
        <v>18</v>
      </c>
      <c r="B26" s="43"/>
      <c r="C26" s="46"/>
      <c r="D26" s="46"/>
      <c r="E26" s="47">
        <v>3</v>
      </c>
      <c r="F26" s="47"/>
      <c r="G26" s="46"/>
      <c r="H26" s="46"/>
      <c r="I26" s="46"/>
      <c r="J26" s="95"/>
      <c r="K26" s="106"/>
      <c r="L26" s="109" t="s">
        <v>178</v>
      </c>
      <c r="M26" s="87" t="s">
        <v>179</v>
      </c>
      <c r="N26" s="90" t="s">
        <v>180</v>
      </c>
      <c r="O26" s="91" t="s">
        <v>175</v>
      </c>
      <c r="P26" s="108" t="s">
        <v>144</v>
      </c>
      <c r="Q26" s="43" t="s">
        <v>92</v>
      </c>
      <c r="R26" s="160"/>
      <c r="S26" s="149" t="s">
        <v>42</v>
      </c>
      <c r="T26" s="129" t="s">
        <v>104</v>
      </c>
      <c r="U26" s="152" t="s">
        <v>97</v>
      </c>
      <c r="V26" s="146" t="s">
        <v>94</v>
      </c>
      <c r="W26" s="150" t="s">
        <v>93</v>
      </c>
      <c r="X26" s="43" t="s">
        <v>169</v>
      </c>
      <c r="Y26" s="45" t="s">
        <v>181</v>
      </c>
      <c r="Z26" s="152" t="s">
        <v>182</v>
      </c>
      <c r="AA26" s="210" t="s">
        <v>183</v>
      </c>
      <c r="AB26" s="205">
        <v>0.3634</v>
      </c>
      <c r="AC26" s="201"/>
      <c r="AD26" s="221" t="s">
        <v>165</v>
      </c>
      <c r="AE26" s="211">
        <f>AB26/0.684*1000+10</f>
        <v>541.286549707602</v>
      </c>
      <c r="AF26" s="211">
        <v>20</v>
      </c>
      <c r="AG26" s="211">
        <v>1.5</v>
      </c>
      <c r="AH26" s="265">
        <f>AE26*0.684/1000</f>
        <v>0.37024</v>
      </c>
      <c r="AI26" s="261">
        <f>AB26/AH26</f>
        <v>0.981525496974935</v>
      </c>
      <c r="AJ26" s="211"/>
      <c r="AK26" s="265"/>
      <c r="AL26" s="266">
        <f>0.0056*60</f>
        <v>0.336</v>
      </c>
      <c r="AM26" s="276">
        <v>1</v>
      </c>
      <c r="AN26" s="263" t="s">
        <v>99</v>
      </c>
      <c r="AO26" s="263" t="s">
        <v>166</v>
      </c>
      <c r="AP26" s="302"/>
      <c r="AQ26" s="301"/>
      <c r="AR26" s="289">
        <v>1</v>
      </c>
    </row>
    <row r="27" ht="39.95" customHeight="1" spans="1:44">
      <c r="A27" s="42">
        <f t="shared" si="1"/>
        <v>19</v>
      </c>
      <c r="B27" s="43"/>
      <c r="C27" s="46"/>
      <c r="D27" s="46"/>
      <c r="E27" s="47">
        <v>3</v>
      </c>
      <c r="F27" s="47"/>
      <c r="G27" s="46"/>
      <c r="H27" s="46"/>
      <c r="I27" s="46"/>
      <c r="J27" s="95"/>
      <c r="K27" s="106"/>
      <c r="L27" s="109"/>
      <c r="M27" s="87" t="s">
        <v>184</v>
      </c>
      <c r="N27" s="90" t="s">
        <v>185</v>
      </c>
      <c r="O27" s="91" t="s">
        <v>111</v>
      </c>
      <c r="P27" s="108" t="s">
        <v>144</v>
      </c>
      <c r="Q27" s="43" t="s">
        <v>92</v>
      </c>
      <c r="R27" s="160"/>
      <c r="S27" s="149" t="s">
        <v>117</v>
      </c>
      <c r="T27" s="129" t="s">
        <v>104</v>
      </c>
      <c r="U27" s="152" t="s">
        <v>97</v>
      </c>
      <c r="V27" s="146" t="s">
        <v>94</v>
      </c>
      <c r="W27" s="150" t="s">
        <v>93</v>
      </c>
      <c r="X27" s="108" t="s">
        <v>112</v>
      </c>
      <c r="Y27" s="45" t="s">
        <v>96</v>
      </c>
      <c r="Z27" s="43" t="s">
        <v>97</v>
      </c>
      <c r="AA27" s="210" t="s">
        <v>97</v>
      </c>
      <c r="AB27" s="205">
        <f>AB28+AB29+AB30</f>
        <v>0.3181</v>
      </c>
      <c r="AC27" s="201"/>
      <c r="AD27" s="221" t="s">
        <v>157</v>
      </c>
      <c r="AE27" s="211"/>
      <c r="AF27" s="211"/>
      <c r="AG27" s="211"/>
      <c r="AH27" s="265"/>
      <c r="AI27" s="274"/>
      <c r="AJ27" s="211">
        <v>8</v>
      </c>
      <c r="AK27" s="265"/>
      <c r="AL27" s="266">
        <f>9*AJ27/600+10*4/60</f>
        <v>0.786666666666667</v>
      </c>
      <c r="AM27" s="276">
        <v>1</v>
      </c>
      <c r="AN27" s="263" t="s">
        <v>105</v>
      </c>
      <c r="AO27" s="263" t="s">
        <v>158</v>
      </c>
      <c r="AP27" s="302"/>
      <c r="AQ27" s="301"/>
      <c r="AR27" s="289">
        <v>1</v>
      </c>
    </row>
    <row r="28" ht="39.95" customHeight="1" spans="1:44">
      <c r="A28" s="42">
        <f t="shared" si="1"/>
        <v>20</v>
      </c>
      <c r="B28" s="43"/>
      <c r="C28" s="46"/>
      <c r="D28" s="46"/>
      <c r="E28" s="47"/>
      <c r="F28" s="47">
        <v>4</v>
      </c>
      <c r="G28" s="46"/>
      <c r="H28" s="46"/>
      <c r="I28" s="46"/>
      <c r="J28" s="95"/>
      <c r="K28" s="106"/>
      <c r="L28" s="109" t="s">
        <v>186</v>
      </c>
      <c r="M28" s="87" t="s">
        <v>187</v>
      </c>
      <c r="N28" s="90" t="s">
        <v>188</v>
      </c>
      <c r="O28" s="110" t="s">
        <v>175</v>
      </c>
      <c r="P28" s="108" t="s">
        <v>144</v>
      </c>
      <c r="Q28" s="43" t="s">
        <v>92</v>
      </c>
      <c r="R28" s="160"/>
      <c r="S28" s="149" t="s">
        <v>117</v>
      </c>
      <c r="T28" s="129" t="s">
        <v>104</v>
      </c>
      <c r="U28" s="152" t="s">
        <v>97</v>
      </c>
      <c r="V28" s="146" t="s">
        <v>94</v>
      </c>
      <c r="W28" s="150" t="s">
        <v>93</v>
      </c>
      <c r="X28" s="43" t="s">
        <v>189</v>
      </c>
      <c r="Y28" s="45" t="s">
        <v>190</v>
      </c>
      <c r="Z28" s="152" t="s">
        <v>191</v>
      </c>
      <c r="AA28" s="210" t="s">
        <v>192</v>
      </c>
      <c r="AB28" s="205">
        <v>0.2944</v>
      </c>
      <c r="AC28" s="201"/>
      <c r="AD28" s="223" t="s">
        <v>193</v>
      </c>
      <c r="AE28" s="224">
        <v>285</v>
      </c>
      <c r="AF28" s="224">
        <v>79</v>
      </c>
      <c r="AG28" s="224">
        <v>2.5</v>
      </c>
      <c r="AH28" s="277">
        <f>AE28*AF28*AG28*7860/1000000000</f>
        <v>0.44241975</v>
      </c>
      <c r="AI28" s="278">
        <f>AB28/AH28</f>
        <v>0.665431414397752</v>
      </c>
      <c r="AJ28" s="224"/>
      <c r="AK28" s="277"/>
      <c r="AL28" s="266"/>
      <c r="AM28" s="266"/>
      <c r="AN28" s="263" t="s">
        <v>127</v>
      </c>
      <c r="AO28" s="263" t="s">
        <v>194</v>
      </c>
      <c r="AP28" s="302"/>
      <c r="AQ28" s="301"/>
      <c r="AR28" s="289">
        <v>1</v>
      </c>
    </row>
    <row r="29" ht="39.95" customHeight="1" spans="1:44">
      <c r="A29" s="42">
        <f t="shared" si="1"/>
        <v>21</v>
      </c>
      <c r="B29" s="43"/>
      <c r="C29" s="46"/>
      <c r="D29" s="46"/>
      <c r="E29" s="47"/>
      <c r="F29" s="47">
        <v>4</v>
      </c>
      <c r="G29" s="46"/>
      <c r="H29" s="46"/>
      <c r="I29" s="46"/>
      <c r="J29" s="95"/>
      <c r="K29" s="106"/>
      <c r="L29" s="109" t="s">
        <v>195</v>
      </c>
      <c r="M29" s="87" t="s">
        <v>196</v>
      </c>
      <c r="N29" s="90" t="s">
        <v>197</v>
      </c>
      <c r="O29" s="110" t="s">
        <v>175</v>
      </c>
      <c r="P29" s="108" t="s">
        <v>144</v>
      </c>
      <c r="Q29" s="43" t="s">
        <v>92</v>
      </c>
      <c r="R29" s="160"/>
      <c r="S29" s="149" t="s">
        <v>117</v>
      </c>
      <c r="T29" s="129" t="s">
        <v>104</v>
      </c>
      <c r="U29" s="152" t="s">
        <v>97</v>
      </c>
      <c r="V29" s="146" t="s">
        <v>94</v>
      </c>
      <c r="W29" s="150" t="s">
        <v>93</v>
      </c>
      <c r="X29" s="43" t="s">
        <v>189</v>
      </c>
      <c r="Y29" s="45" t="s">
        <v>198</v>
      </c>
      <c r="Z29" s="152" t="s">
        <v>191</v>
      </c>
      <c r="AA29" s="210" t="s">
        <v>199</v>
      </c>
      <c r="AB29" s="205">
        <v>0.0157</v>
      </c>
      <c r="AC29" s="201"/>
      <c r="AD29" s="223" t="s">
        <v>193</v>
      </c>
      <c r="AE29" s="224">
        <v>40</v>
      </c>
      <c r="AF29" s="224">
        <v>33</v>
      </c>
      <c r="AG29" s="224">
        <v>3</v>
      </c>
      <c r="AH29" s="277">
        <f>AE29*AF29*AG29*7860/1000000000</f>
        <v>0.0311256</v>
      </c>
      <c r="AI29" s="278">
        <f>AB29/AH29</f>
        <v>0.504407947156039</v>
      </c>
      <c r="AJ29" s="224"/>
      <c r="AK29" s="277"/>
      <c r="AL29" s="266"/>
      <c r="AM29" s="266"/>
      <c r="AN29" s="263" t="s">
        <v>127</v>
      </c>
      <c r="AO29" s="263" t="s">
        <v>200</v>
      </c>
      <c r="AP29" s="302"/>
      <c r="AQ29" s="301"/>
      <c r="AR29" s="289">
        <v>1</v>
      </c>
    </row>
    <row r="30" ht="39.95" customHeight="1" spans="1:44">
      <c r="A30" s="42">
        <f t="shared" ref="A30:A39" si="2">ROW()-8</f>
        <v>22</v>
      </c>
      <c r="B30" s="43"/>
      <c r="C30" s="46"/>
      <c r="D30" s="46"/>
      <c r="E30" s="47"/>
      <c r="F30" s="47">
        <v>4</v>
      </c>
      <c r="G30" s="46"/>
      <c r="H30" s="46"/>
      <c r="I30" s="46"/>
      <c r="J30" s="95"/>
      <c r="K30" s="106"/>
      <c r="L30" s="109" t="s">
        <v>201</v>
      </c>
      <c r="M30" s="87" t="s">
        <v>202</v>
      </c>
      <c r="N30" s="90" t="s">
        <v>203</v>
      </c>
      <c r="O30" s="91" t="s">
        <v>111</v>
      </c>
      <c r="P30" s="108" t="s">
        <v>144</v>
      </c>
      <c r="Q30" s="43" t="s">
        <v>92</v>
      </c>
      <c r="R30" s="160"/>
      <c r="S30" s="149" t="s">
        <v>42</v>
      </c>
      <c r="T30" s="129" t="s">
        <v>104</v>
      </c>
      <c r="U30" s="152" t="s">
        <v>97</v>
      </c>
      <c r="V30" s="146" t="s">
        <v>94</v>
      </c>
      <c r="W30" s="150" t="s">
        <v>93</v>
      </c>
      <c r="X30" s="43" t="s">
        <v>189</v>
      </c>
      <c r="Y30" s="45" t="s">
        <v>198</v>
      </c>
      <c r="Z30" s="152" t="s">
        <v>191</v>
      </c>
      <c r="AA30" s="210" t="s">
        <v>204</v>
      </c>
      <c r="AB30" s="205">
        <v>0.008</v>
      </c>
      <c r="AC30" s="201"/>
      <c r="AD30" s="223" t="s">
        <v>193</v>
      </c>
      <c r="AE30" s="224">
        <v>38</v>
      </c>
      <c r="AF30" s="224">
        <v>24</v>
      </c>
      <c r="AG30" s="224">
        <v>3</v>
      </c>
      <c r="AH30" s="277">
        <f>AE30*AF30*AG30*7860/1000000000</f>
        <v>0.02150496</v>
      </c>
      <c r="AI30" s="278">
        <f>AB30/AH30</f>
        <v>0.372007202059432</v>
      </c>
      <c r="AJ30" s="224"/>
      <c r="AK30" s="277"/>
      <c r="AL30" s="266"/>
      <c r="AM30" s="266"/>
      <c r="AN30" s="263" t="s">
        <v>127</v>
      </c>
      <c r="AO30" s="263" t="s">
        <v>205</v>
      </c>
      <c r="AP30" s="302"/>
      <c r="AQ30" s="301"/>
      <c r="AR30" s="289">
        <v>1</v>
      </c>
    </row>
    <row r="31" ht="39.95" customHeight="1" spans="1:44">
      <c r="A31" s="42">
        <f t="shared" si="2"/>
        <v>23</v>
      </c>
      <c r="B31" s="43"/>
      <c r="C31" s="46"/>
      <c r="D31" s="46"/>
      <c r="E31" s="47"/>
      <c r="F31" s="47">
        <v>4</v>
      </c>
      <c r="G31" s="46"/>
      <c r="H31" s="46"/>
      <c r="I31" s="46"/>
      <c r="J31" s="95"/>
      <c r="K31" s="106"/>
      <c r="L31" s="109" t="s">
        <v>206</v>
      </c>
      <c r="M31" s="87" t="s">
        <v>207</v>
      </c>
      <c r="N31" s="90" t="s">
        <v>208</v>
      </c>
      <c r="O31" s="110" t="s">
        <v>175</v>
      </c>
      <c r="P31" s="108" t="s">
        <v>144</v>
      </c>
      <c r="Q31" s="43" t="s">
        <v>92</v>
      </c>
      <c r="R31" s="160"/>
      <c r="S31" s="179" t="s">
        <v>117</v>
      </c>
      <c r="T31" s="129" t="s">
        <v>104</v>
      </c>
      <c r="U31" s="152" t="s">
        <v>97</v>
      </c>
      <c r="V31" s="146" t="s">
        <v>94</v>
      </c>
      <c r="W31" s="150" t="s">
        <v>93</v>
      </c>
      <c r="X31" s="108" t="s">
        <v>112</v>
      </c>
      <c r="Y31" s="45" t="s">
        <v>96</v>
      </c>
      <c r="Z31" s="43" t="s">
        <v>97</v>
      </c>
      <c r="AA31" s="210" t="s">
        <v>97</v>
      </c>
      <c r="AB31" s="205">
        <v>0.2299</v>
      </c>
      <c r="AC31" s="201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73" t="s">
        <v>127</v>
      </c>
      <c r="AO31" s="273" t="s">
        <v>209</v>
      </c>
      <c r="AP31" s="302"/>
      <c r="AQ31" s="301"/>
      <c r="AR31" s="289">
        <v>1</v>
      </c>
    </row>
    <row r="32" ht="39.95" customHeight="1" spans="1:44">
      <c r="A32" s="42">
        <f t="shared" si="2"/>
        <v>24</v>
      </c>
      <c r="B32" s="43"/>
      <c r="C32" s="46"/>
      <c r="D32" s="46"/>
      <c r="E32" s="47">
        <v>3</v>
      </c>
      <c r="F32" s="47"/>
      <c r="G32" s="46"/>
      <c r="H32" s="46"/>
      <c r="I32" s="46"/>
      <c r="J32" s="95"/>
      <c r="K32" s="106"/>
      <c r="L32" s="109" t="s">
        <v>210</v>
      </c>
      <c r="M32" s="87" t="s">
        <v>211</v>
      </c>
      <c r="N32" s="90" t="s">
        <v>212</v>
      </c>
      <c r="O32" s="91" t="s">
        <v>111</v>
      </c>
      <c r="P32" s="108" t="s">
        <v>117</v>
      </c>
      <c r="Q32" s="43" t="s">
        <v>92</v>
      </c>
      <c r="R32" s="160"/>
      <c r="S32" s="149" t="s">
        <v>42</v>
      </c>
      <c r="T32" s="129" t="s">
        <v>104</v>
      </c>
      <c r="U32" s="152" t="s">
        <v>97</v>
      </c>
      <c r="V32" s="146" t="s">
        <v>94</v>
      </c>
      <c r="W32" s="150" t="s">
        <v>93</v>
      </c>
      <c r="X32" s="108" t="s">
        <v>112</v>
      </c>
      <c r="Y32" s="45" t="s">
        <v>96</v>
      </c>
      <c r="Z32" s="152" t="s">
        <v>97</v>
      </c>
      <c r="AA32" s="210" t="s">
        <v>97</v>
      </c>
      <c r="AB32" s="205">
        <f>AB33+AB35*AR34+AB35+AB36+AB37</f>
        <v>0.4379</v>
      </c>
      <c r="AC32" s="201"/>
      <c r="AD32" s="221" t="s">
        <v>157</v>
      </c>
      <c r="AE32" s="211"/>
      <c r="AF32" s="211"/>
      <c r="AG32" s="211"/>
      <c r="AH32" s="265"/>
      <c r="AI32" s="274"/>
      <c r="AJ32" s="211">
        <v>8</v>
      </c>
      <c r="AK32" s="265"/>
      <c r="AL32" s="266"/>
      <c r="AM32" s="276"/>
      <c r="AN32" s="263" t="s">
        <v>127</v>
      </c>
      <c r="AO32" s="263" t="s">
        <v>213</v>
      </c>
      <c r="AP32" s="302"/>
      <c r="AQ32" s="301"/>
      <c r="AR32" s="289">
        <v>1</v>
      </c>
    </row>
    <row r="33" ht="39.95" customHeight="1" spans="1:44">
      <c r="A33" s="42">
        <f t="shared" si="2"/>
        <v>25</v>
      </c>
      <c r="B33" s="43"/>
      <c r="C33" s="46"/>
      <c r="D33" s="46"/>
      <c r="E33" s="47"/>
      <c r="F33" s="47">
        <v>4</v>
      </c>
      <c r="G33" s="46"/>
      <c r="H33" s="46"/>
      <c r="I33" s="46"/>
      <c r="J33" s="95"/>
      <c r="K33" s="106"/>
      <c r="L33" s="109"/>
      <c r="M33" s="87" t="s">
        <v>214</v>
      </c>
      <c r="N33" s="90" t="s">
        <v>215</v>
      </c>
      <c r="O33" s="91" t="s">
        <v>111</v>
      </c>
      <c r="P33" s="108" t="s">
        <v>144</v>
      </c>
      <c r="Q33" s="43" t="s">
        <v>92</v>
      </c>
      <c r="R33" s="160"/>
      <c r="S33" s="149" t="s">
        <v>42</v>
      </c>
      <c r="T33" s="129" t="s">
        <v>104</v>
      </c>
      <c r="U33" s="152" t="s">
        <v>97</v>
      </c>
      <c r="V33" s="146" t="s">
        <v>94</v>
      </c>
      <c r="W33" s="150" t="s">
        <v>93</v>
      </c>
      <c r="X33" s="43" t="s">
        <v>216</v>
      </c>
      <c r="Y33" s="45" t="s">
        <v>217</v>
      </c>
      <c r="Z33" s="152" t="s">
        <v>218</v>
      </c>
      <c r="AA33" s="210" t="s">
        <v>219</v>
      </c>
      <c r="AB33" s="205">
        <v>0.059</v>
      </c>
      <c r="AC33" s="201"/>
      <c r="AD33" s="223" t="s">
        <v>126</v>
      </c>
      <c r="AE33" s="224">
        <f>AB33/0.154*1000</f>
        <v>383.116883116883</v>
      </c>
      <c r="AF33" s="224">
        <v>5</v>
      </c>
      <c r="AG33" s="224"/>
      <c r="AH33" s="277">
        <f>AE33*0.154/1000</f>
        <v>0.059</v>
      </c>
      <c r="AI33" s="278">
        <f t="shared" ref="AI33:AI39" si="3">AB33/AH33</f>
        <v>1</v>
      </c>
      <c r="AJ33" s="211"/>
      <c r="AK33" s="265"/>
      <c r="AL33" s="266"/>
      <c r="AM33" s="266"/>
      <c r="AN33" s="279"/>
      <c r="AO33" s="279"/>
      <c r="AP33" s="302"/>
      <c r="AQ33" s="301"/>
      <c r="AR33" s="289">
        <v>1</v>
      </c>
    </row>
    <row r="34" s="403" customFormat="1" ht="39.95" customHeight="1" spans="1:44">
      <c r="A34" s="42">
        <f t="shared" si="2"/>
        <v>26</v>
      </c>
      <c r="B34" s="43"/>
      <c r="C34" s="46"/>
      <c r="D34" s="46"/>
      <c r="E34" s="47"/>
      <c r="F34" s="47">
        <v>4</v>
      </c>
      <c r="G34" s="46"/>
      <c r="H34" s="46"/>
      <c r="I34" s="46"/>
      <c r="J34" s="95"/>
      <c r="K34" s="106"/>
      <c r="L34" s="109"/>
      <c r="M34" s="87" t="s">
        <v>220</v>
      </c>
      <c r="N34" s="90" t="s">
        <v>221</v>
      </c>
      <c r="O34" s="91" t="s">
        <v>111</v>
      </c>
      <c r="P34" s="108" t="s">
        <v>144</v>
      </c>
      <c r="Q34" s="43" t="s">
        <v>92</v>
      </c>
      <c r="R34" s="160"/>
      <c r="S34" s="149" t="s">
        <v>42</v>
      </c>
      <c r="T34" s="129" t="s">
        <v>104</v>
      </c>
      <c r="U34" s="152" t="s">
        <v>97</v>
      </c>
      <c r="V34" s="146" t="s">
        <v>94</v>
      </c>
      <c r="W34" s="150" t="s">
        <v>93</v>
      </c>
      <c r="X34" s="43" t="s">
        <v>216</v>
      </c>
      <c r="Y34" s="45" t="s">
        <v>217</v>
      </c>
      <c r="Z34" s="152" t="s">
        <v>218</v>
      </c>
      <c r="AA34" s="210" t="s">
        <v>222</v>
      </c>
      <c r="AB34" s="205">
        <v>0.0654</v>
      </c>
      <c r="AC34" s="201"/>
      <c r="AD34" s="223" t="s">
        <v>126</v>
      </c>
      <c r="AE34" s="224">
        <f>AB34/0.154*1000</f>
        <v>424.675324675325</v>
      </c>
      <c r="AF34" s="224">
        <v>5</v>
      </c>
      <c r="AG34" s="224"/>
      <c r="AH34" s="277">
        <f>AE34*0.154/1000</f>
        <v>0.0654</v>
      </c>
      <c r="AI34" s="278">
        <f t="shared" si="3"/>
        <v>1</v>
      </c>
      <c r="AJ34" s="211"/>
      <c r="AK34" s="265"/>
      <c r="AL34" s="266"/>
      <c r="AM34" s="266"/>
      <c r="AN34" s="279"/>
      <c r="AO34" s="279"/>
      <c r="AP34" s="302"/>
      <c r="AQ34" s="301"/>
      <c r="AR34" s="289">
        <v>2</v>
      </c>
    </row>
    <row r="35" s="403" customFormat="1" ht="39.95" customHeight="1" spans="1:44">
      <c r="A35" s="42">
        <f t="shared" si="2"/>
        <v>27</v>
      </c>
      <c r="B35" s="43"/>
      <c r="C35" s="46"/>
      <c r="D35" s="46"/>
      <c r="E35" s="47"/>
      <c r="F35" s="47">
        <v>4</v>
      </c>
      <c r="G35" s="46"/>
      <c r="H35" s="46"/>
      <c r="I35" s="46"/>
      <c r="J35" s="95"/>
      <c r="K35" s="106"/>
      <c r="L35" s="109"/>
      <c r="M35" s="87" t="s">
        <v>223</v>
      </c>
      <c r="N35" s="90" t="s">
        <v>224</v>
      </c>
      <c r="O35" s="91" t="s">
        <v>111</v>
      </c>
      <c r="P35" s="108" t="s">
        <v>144</v>
      </c>
      <c r="Q35" s="43" t="s">
        <v>92</v>
      </c>
      <c r="R35" s="160"/>
      <c r="S35" s="149" t="s">
        <v>42</v>
      </c>
      <c r="T35" s="129" t="s">
        <v>104</v>
      </c>
      <c r="U35" s="152" t="s">
        <v>97</v>
      </c>
      <c r="V35" s="146" t="s">
        <v>94</v>
      </c>
      <c r="W35" s="150" t="s">
        <v>93</v>
      </c>
      <c r="X35" s="43" t="s">
        <v>216</v>
      </c>
      <c r="Y35" s="45" t="s">
        <v>217</v>
      </c>
      <c r="Z35" s="152" t="s">
        <v>218</v>
      </c>
      <c r="AA35" s="210" t="s">
        <v>225</v>
      </c>
      <c r="AB35" s="205">
        <v>0.0887</v>
      </c>
      <c r="AC35" s="201"/>
      <c r="AD35" s="223" t="s">
        <v>126</v>
      </c>
      <c r="AE35" s="224">
        <f>AB35/0.154*1000</f>
        <v>575.974025974026</v>
      </c>
      <c r="AF35" s="224">
        <v>5</v>
      </c>
      <c r="AG35" s="224"/>
      <c r="AH35" s="277">
        <f>AE35*0.154/1000</f>
        <v>0.0887</v>
      </c>
      <c r="AI35" s="278">
        <f t="shared" si="3"/>
        <v>1</v>
      </c>
      <c r="AJ35" s="211"/>
      <c r="AK35" s="265"/>
      <c r="AL35" s="266"/>
      <c r="AM35" s="266"/>
      <c r="AN35" s="279"/>
      <c r="AO35" s="279"/>
      <c r="AP35" s="302"/>
      <c r="AQ35" s="301"/>
      <c r="AR35" s="289">
        <v>1</v>
      </c>
    </row>
    <row r="36" ht="39.95" customHeight="1" spans="1:44">
      <c r="A36" s="42">
        <f t="shared" si="2"/>
        <v>28</v>
      </c>
      <c r="B36" s="43"/>
      <c r="C36" s="46"/>
      <c r="D36" s="46"/>
      <c r="E36" s="47"/>
      <c r="F36" s="47">
        <v>4</v>
      </c>
      <c r="G36" s="46"/>
      <c r="H36" s="46"/>
      <c r="I36" s="46"/>
      <c r="J36" s="95"/>
      <c r="K36" s="106"/>
      <c r="L36" s="109"/>
      <c r="M36" s="87" t="s">
        <v>226</v>
      </c>
      <c r="N36" s="90" t="s">
        <v>227</v>
      </c>
      <c r="O36" s="110" t="s">
        <v>175</v>
      </c>
      <c r="P36" s="108" t="s">
        <v>144</v>
      </c>
      <c r="Q36" s="43" t="s">
        <v>92</v>
      </c>
      <c r="R36" s="160"/>
      <c r="S36" s="149" t="s">
        <v>42</v>
      </c>
      <c r="T36" s="129" t="s">
        <v>104</v>
      </c>
      <c r="U36" s="152" t="s">
        <v>97</v>
      </c>
      <c r="V36" s="146" t="s">
        <v>94</v>
      </c>
      <c r="W36" s="150" t="s">
        <v>93</v>
      </c>
      <c r="X36" s="43" t="s">
        <v>216</v>
      </c>
      <c r="Y36" s="45" t="s">
        <v>217</v>
      </c>
      <c r="Z36" s="152" t="s">
        <v>218</v>
      </c>
      <c r="AA36" s="210" t="s">
        <v>228</v>
      </c>
      <c r="AB36" s="205">
        <v>0.0241</v>
      </c>
      <c r="AC36" s="201"/>
      <c r="AD36" s="223" t="s">
        <v>126</v>
      </c>
      <c r="AE36" s="224">
        <f>AB36/0.154*1000</f>
        <v>156.493506493506</v>
      </c>
      <c r="AF36" s="224">
        <v>5</v>
      </c>
      <c r="AG36" s="224"/>
      <c r="AH36" s="277">
        <f>AE36*0.154/1000</f>
        <v>0.0241</v>
      </c>
      <c r="AI36" s="278">
        <f t="shared" si="3"/>
        <v>1</v>
      </c>
      <c r="AJ36" s="211"/>
      <c r="AK36" s="265"/>
      <c r="AL36" s="266"/>
      <c r="AM36" s="266"/>
      <c r="AN36" s="279"/>
      <c r="AO36" s="279"/>
      <c r="AP36" s="302"/>
      <c r="AQ36" s="301"/>
      <c r="AR36" s="289">
        <v>1</v>
      </c>
    </row>
    <row r="37" ht="39.95" customHeight="1" spans="1:44">
      <c r="A37" s="42">
        <f t="shared" si="2"/>
        <v>29</v>
      </c>
      <c r="B37" s="43"/>
      <c r="C37" s="46"/>
      <c r="D37" s="46"/>
      <c r="E37" s="47"/>
      <c r="F37" s="47">
        <v>4</v>
      </c>
      <c r="G37" s="46"/>
      <c r="H37" s="46"/>
      <c r="I37" s="46"/>
      <c r="J37" s="95"/>
      <c r="K37" s="106"/>
      <c r="L37" s="109"/>
      <c r="M37" s="87" t="s">
        <v>229</v>
      </c>
      <c r="N37" s="90" t="s">
        <v>230</v>
      </c>
      <c r="O37" s="91" t="s">
        <v>111</v>
      </c>
      <c r="P37" s="108" t="s">
        <v>144</v>
      </c>
      <c r="Q37" s="43" t="s">
        <v>92</v>
      </c>
      <c r="R37" s="160"/>
      <c r="S37" s="149" t="s">
        <v>42</v>
      </c>
      <c r="T37" s="129" t="s">
        <v>104</v>
      </c>
      <c r="U37" s="152" t="s">
        <v>97</v>
      </c>
      <c r="V37" s="146" t="s">
        <v>94</v>
      </c>
      <c r="W37" s="150" t="s">
        <v>93</v>
      </c>
      <c r="X37" s="43" t="s">
        <v>216</v>
      </c>
      <c r="Y37" s="45" t="s">
        <v>217</v>
      </c>
      <c r="Z37" s="152" t="s">
        <v>218</v>
      </c>
      <c r="AA37" s="210" t="s">
        <v>225</v>
      </c>
      <c r="AB37" s="205">
        <v>0.0887</v>
      </c>
      <c r="AC37" s="201"/>
      <c r="AD37" s="223" t="s">
        <v>126</v>
      </c>
      <c r="AE37" s="224">
        <f>AB37/0.154*1000</f>
        <v>575.974025974026</v>
      </c>
      <c r="AF37" s="224">
        <v>5</v>
      </c>
      <c r="AG37" s="224"/>
      <c r="AH37" s="277">
        <f>AE37*0.154/1000</f>
        <v>0.0887</v>
      </c>
      <c r="AI37" s="278">
        <f t="shared" si="3"/>
        <v>1</v>
      </c>
      <c r="AJ37" s="211"/>
      <c r="AK37" s="265"/>
      <c r="AL37" s="266"/>
      <c r="AM37" s="266"/>
      <c r="AN37" s="279"/>
      <c r="AO37" s="279"/>
      <c r="AP37" s="302"/>
      <c r="AQ37" s="301"/>
      <c r="AR37" s="289">
        <v>1</v>
      </c>
    </row>
    <row r="38" ht="39.95" customHeight="1" spans="1:44">
      <c r="A38" s="42">
        <f t="shared" si="2"/>
        <v>30</v>
      </c>
      <c r="B38" s="53"/>
      <c r="C38" s="54"/>
      <c r="D38" s="46"/>
      <c r="E38" s="47">
        <v>3</v>
      </c>
      <c r="F38" s="47"/>
      <c r="G38" s="46"/>
      <c r="H38" s="54"/>
      <c r="I38" s="54"/>
      <c r="J38" s="407"/>
      <c r="K38" s="408"/>
      <c r="L38" s="109" t="s">
        <v>231</v>
      </c>
      <c r="M38" s="87" t="s">
        <v>232</v>
      </c>
      <c r="N38" s="90" t="s">
        <v>233</v>
      </c>
      <c r="O38" s="91" t="s">
        <v>111</v>
      </c>
      <c r="P38" s="108" t="s">
        <v>144</v>
      </c>
      <c r="Q38" s="43" t="s">
        <v>92</v>
      </c>
      <c r="R38" s="173"/>
      <c r="S38" s="149" t="s">
        <v>42</v>
      </c>
      <c r="T38" s="129" t="s">
        <v>104</v>
      </c>
      <c r="U38" s="152" t="s">
        <v>97</v>
      </c>
      <c r="V38" s="146" t="s">
        <v>94</v>
      </c>
      <c r="W38" s="150" t="s">
        <v>93</v>
      </c>
      <c r="X38" s="43" t="s">
        <v>216</v>
      </c>
      <c r="Y38" s="45" t="s">
        <v>234</v>
      </c>
      <c r="Z38" s="152" t="s">
        <v>218</v>
      </c>
      <c r="AA38" s="210" t="s">
        <v>235</v>
      </c>
      <c r="AB38" s="205">
        <v>0.1914</v>
      </c>
      <c r="AC38" s="201"/>
      <c r="AD38" s="223" t="s">
        <v>126</v>
      </c>
      <c r="AE38" s="224">
        <f>AB38/0.395*1000</f>
        <v>484.556962025316</v>
      </c>
      <c r="AF38" s="224">
        <v>8</v>
      </c>
      <c r="AG38" s="224"/>
      <c r="AH38" s="277">
        <f>AE38*0.395/1000</f>
        <v>0.1914</v>
      </c>
      <c r="AI38" s="278">
        <f t="shared" si="3"/>
        <v>1</v>
      </c>
      <c r="AJ38" s="211"/>
      <c r="AK38" s="265"/>
      <c r="AL38" s="266"/>
      <c r="AM38" s="266"/>
      <c r="AN38" s="263" t="s">
        <v>127</v>
      </c>
      <c r="AO38" s="263" t="s">
        <v>213</v>
      </c>
      <c r="AP38" s="302"/>
      <c r="AQ38" s="301"/>
      <c r="AR38" s="289">
        <v>1</v>
      </c>
    </row>
    <row r="39" ht="39.95" customHeight="1" spans="1:44">
      <c r="A39" s="42">
        <f t="shared" si="2"/>
        <v>31</v>
      </c>
      <c r="B39" s="53"/>
      <c r="C39" s="54"/>
      <c r="D39" s="46"/>
      <c r="E39" s="47">
        <v>3</v>
      </c>
      <c r="F39" s="47"/>
      <c r="G39" s="54"/>
      <c r="H39" s="54"/>
      <c r="I39" s="54"/>
      <c r="J39" s="407"/>
      <c r="K39" s="408"/>
      <c r="L39" s="109" t="s">
        <v>236</v>
      </c>
      <c r="M39" s="87" t="s">
        <v>237</v>
      </c>
      <c r="N39" s="90" t="s">
        <v>238</v>
      </c>
      <c r="O39" s="91" t="s">
        <v>111</v>
      </c>
      <c r="P39" s="108" t="s">
        <v>144</v>
      </c>
      <c r="Q39" s="43" t="s">
        <v>92</v>
      </c>
      <c r="R39" s="173"/>
      <c r="S39" s="149" t="s">
        <v>42</v>
      </c>
      <c r="T39" s="129" t="s">
        <v>104</v>
      </c>
      <c r="U39" s="152" t="s">
        <v>97</v>
      </c>
      <c r="V39" s="146" t="s">
        <v>94</v>
      </c>
      <c r="W39" s="150" t="s">
        <v>93</v>
      </c>
      <c r="X39" s="43" t="s">
        <v>216</v>
      </c>
      <c r="Y39" s="45" t="s">
        <v>217</v>
      </c>
      <c r="Z39" s="152" t="s">
        <v>218</v>
      </c>
      <c r="AA39" s="210" t="s">
        <v>239</v>
      </c>
      <c r="AB39" s="205">
        <v>0.0975</v>
      </c>
      <c r="AC39" s="201"/>
      <c r="AD39" s="223" t="s">
        <v>126</v>
      </c>
      <c r="AE39" s="224">
        <f>AB39/0.154*1000</f>
        <v>633.116883116883</v>
      </c>
      <c r="AF39" s="224">
        <v>5</v>
      </c>
      <c r="AG39" s="224"/>
      <c r="AH39" s="277">
        <f>AE39*0.154/1000</f>
        <v>0.0975</v>
      </c>
      <c r="AI39" s="278">
        <f t="shared" si="3"/>
        <v>1</v>
      </c>
      <c r="AJ39" s="211"/>
      <c r="AK39" s="265"/>
      <c r="AL39" s="266"/>
      <c r="AM39" s="266"/>
      <c r="AN39" s="263" t="s">
        <v>127</v>
      </c>
      <c r="AO39" s="263" t="s">
        <v>213</v>
      </c>
      <c r="AP39" s="302"/>
      <c r="AQ39" s="301"/>
      <c r="AR39" s="289">
        <v>1</v>
      </c>
    </row>
    <row r="40" ht="39.95" customHeight="1" spans="1:44">
      <c r="A40" s="42">
        <f t="shared" ref="A40:A49" si="4">ROW()-8</f>
        <v>32</v>
      </c>
      <c r="B40" s="43"/>
      <c r="C40" s="46"/>
      <c r="D40" s="46">
        <v>2</v>
      </c>
      <c r="E40" s="47"/>
      <c r="F40" s="47"/>
      <c r="G40" s="46"/>
      <c r="H40" s="46"/>
      <c r="I40" s="46"/>
      <c r="J40" s="95"/>
      <c r="K40" s="106"/>
      <c r="L40" s="118" t="s">
        <v>240</v>
      </c>
      <c r="M40" s="119"/>
      <c r="N40" s="120" t="s">
        <v>241</v>
      </c>
      <c r="O40" s="121" t="s">
        <v>111</v>
      </c>
      <c r="P40" s="122" t="s">
        <v>144</v>
      </c>
      <c r="Q40" s="174" t="s">
        <v>160</v>
      </c>
      <c r="R40" s="175"/>
      <c r="S40" s="176" t="s">
        <v>117</v>
      </c>
      <c r="T40" s="177" t="s">
        <v>104</v>
      </c>
      <c r="U40" s="177" t="s">
        <v>97</v>
      </c>
      <c r="V40" s="178" t="s">
        <v>94</v>
      </c>
      <c r="W40" s="166" t="s">
        <v>93</v>
      </c>
      <c r="X40" s="122" t="s">
        <v>242</v>
      </c>
      <c r="Y40" s="120" t="s">
        <v>96</v>
      </c>
      <c r="Z40" s="174"/>
      <c r="AA40" s="174" t="s">
        <v>97</v>
      </c>
      <c r="AB40" s="229">
        <f>AB41</f>
        <v>2.1054</v>
      </c>
      <c r="AC40" s="230" t="s">
        <v>243</v>
      </c>
      <c r="AD40" s="221" t="s">
        <v>243</v>
      </c>
      <c r="AE40" s="211"/>
      <c r="AF40" s="211"/>
      <c r="AG40" s="211"/>
      <c r="AH40" s="265"/>
      <c r="AI40" s="274"/>
      <c r="AJ40" s="211"/>
      <c r="AK40" s="265">
        <f>SUM(AK43:AK54)</f>
        <v>0.290598702857143</v>
      </c>
      <c r="AL40" s="262">
        <f>0.0024*60</f>
        <v>0.144</v>
      </c>
      <c r="AM40" s="276">
        <v>7</v>
      </c>
      <c r="AN40" s="263" t="s">
        <v>99</v>
      </c>
      <c r="AO40" s="263" t="s">
        <v>244</v>
      </c>
      <c r="AP40" s="411"/>
      <c r="AQ40" s="412"/>
      <c r="AR40" s="413">
        <v>1</v>
      </c>
    </row>
    <row r="41" ht="39.95" customHeight="1" spans="1:44">
      <c r="A41" s="42">
        <f t="shared" si="4"/>
        <v>33</v>
      </c>
      <c r="B41" s="43"/>
      <c r="C41" s="46"/>
      <c r="D41" s="46"/>
      <c r="E41" s="47">
        <v>3</v>
      </c>
      <c r="F41" s="47"/>
      <c r="G41" s="46"/>
      <c r="H41" s="46"/>
      <c r="I41" s="46"/>
      <c r="J41" s="95"/>
      <c r="K41" s="106"/>
      <c r="L41" s="118" t="s">
        <v>245</v>
      </c>
      <c r="M41" s="119"/>
      <c r="N41" s="120" t="s">
        <v>246</v>
      </c>
      <c r="O41" s="121" t="s">
        <v>111</v>
      </c>
      <c r="P41" s="122" t="s">
        <v>144</v>
      </c>
      <c r="Q41" s="174" t="s">
        <v>160</v>
      </c>
      <c r="R41" s="175"/>
      <c r="S41" s="176" t="s">
        <v>117</v>
      </c>
      <c r="T41" s="177" t="s">
        <v>104</v>
      </c>
      <c r="U41" s="177" t="s">
        <v>97</v>
      </c>
      <c r="V41" s="178" t="s">
        <v>94</v>
      </c>
      <c r="W41" s="166" t="s">
        <v>93</v>
      </c>
      <c r="X41" s="122" t="s">
        <v>161</v>
      </c>
      <c r="Y41" s="120" t="s">
        <v>96</v>
      </c>
      <c r="Z41" s="174"/>
      <c r="AA41" s="174" t="s">
        <v>97</v>
      </c>
      <c r="AB41" s="229">
        <f>AB42+AB47+AB51</f>
        <v>2.1054</v>
      </c>
      <c r="AC41" s="118" t="s">
        <v>97</v>
      </c>
      <c r="AD41" s="221" t="s">
        <v>157</v>
      </c>
      <c r="AE41" s="211"/>
      <c r="AF41" s="211"/>
      <c r="AG41" s="211"/>
      <c r="AH41" s="265"/>
      <c r="AI41" s="274"/>
      <c r="AJ41" s="211">
        <v>12</v>
      </c>
      <c r="AK41" s="265"/>
      <c r="AL41" s="266">
        <f>9*AJ41/600+10*3/60</f>
        <v>0.68</v>
      </c>
      <c r="AM41" s="276">
        <v>1</v>
      </c>
      <c r="AN41" s="263" t="s">
        <v>99</v>
      </c>
      <c r="AO41" s="263" t="s">
        <v>158</v>
      </c>
      <c r="AP41" s="411"/>
      <c r="AQ41" s="412"/>
      <c r="AR41" s="413">
        <v>1</v>
      </c>
    </row>
    <row r="42" ht="39.95" customHeight="1" spans="1:44">
      <c r="A42" s="42">
        <f t="shared" si="4"/>
        <v>34</v>
      </c>
      <c r="B42" s="43"/>
      <c r="C42" s="46"/>
      <c r="D42" s="46"/>
      <c r="E42" s="47"/>
      <c r="F42" s="47">
        <v>4</v>
      </c>
      <c r="G42" s="46"/>
      <c r="H42" s="46"/>
      <c r="I42" s="46"/>
      <c r="J42" s="95"/>
      <c r="K42" s="106"/>
      <c r="L42" s="109"/>
      <c r="M42" s="87" t="s">
        <v>247</v>
      </c>
      <c r="N42" s="90" t="s">
        <v>248</v>
      </c>
      <c r="O42" s="110" t="s">
        <v>175</v>
      </c>
      <c r="P42" s="108" t="s">
        <v>144</v>
      </c>
      <c r="Q42" s="43" t="s">
        <v>92</v>
      </c>
      <c r="R42" s="160"/>
      <c r="S42" s="179" t="s">
        <v>117</v>
      </c>
      <c r="T42" s="129" t="s">
        <v>104</v>
      </c>
      <c r="U42" s="152" t="s">
        <v>97</v>
      </c>
      <c r="V42" s="146" t="s">
        <v>94</v>
      </c>
      <c r="W42" s="150" t="s">
        <v>93</v>
      </c>
      <c r="X42" s="108" t="s">
        <v>112</v>
      </c>
      <c r="Y42" s="45" t="s">
        <v>96</v>
      </c>
      <c r="Z42" s="43" t="s">
        <v>97</v>
      </c>
      <c r="AA42" s="210" t="s">
        <v>97</v>
      </c>
      <c r="AB42" s="205">
        <f>AB43+AB44+AB45+AB46</f>
        <v>0.999</v>
      </c>
      <c r="AC42" s="201"/>
      <c r="AD42" s="221" t="s">
        <v>157</v>
      </c>
      <c r="AE42" s="211"/>
      <c r="AF42" s="211"/>
      <c r="AG42" s="211"/>
      <c r="AH42" s="265"/>
      <c r="AI42" s="274"/>
      <c r="AJ42" s="211">
        <v>13</v>
      </c>
      <c r="AK42" s="265"/>
      <c r="AL42" s="266">
        <f>9*AJ42/600+10*4/60</f>
        <v>0.861666666666667</v>
      </c>
      <c r="AM42" s="276">
        <v>1</v>
      </c>
      <c r="AN42" s="263" t="s">
        <v>105</v>
      </c>
      <c r="AO42" s="263" t="s">
        <v>158</v>
      </c>
      <c r="AP42" s="302"/>
      <c r="AQ42" s="301"/>
      <c r="AR42" s="289">
        <v>1</v>
      </c>
    </row>
    <row r="43" ht="39.95" customHeight="1" spans="1:44">
      <c r="A43" s="42">
        <f t="shared" si="4"/>
        <v>35</v>
      </c>
      <c r="B43" s="43"/>
      <c r="C43" s="46"/>
      <c r="D43" s="46"/>
      <c r="E43" s="47"/>
      <c r="F43" s="47"/>
      <c r="G43" s="46">
        <v>5</v>
      </c>
      <c r="H43" s="46"/>
      <c r="I43" s="46"/>
      <c r="J43" s="95"/>
      <c r="K43" s="106"/>
      <c r="L43" s="109" t="s">
        <v>249</v>
      </c>
      <c r="M43" s="87" t="s">
        <v>250</v>
      </c>
      <c r="N43" s="90" t="s">
        <v>251</v>
      </c>
      <c r="O43" s="110" t="s">
        <v>175</v>
      </c>
      <c r="P43" s="108" t="s">
        <v>144</v>
      </c>
      <c r="Q43" s="43" t="s">
        <v>92</v>
      </c>
      <c r="R43" s="160"/>
      <c r="S43" s="149" t="s">
        <v>117</v>
      </c>
      <c r="T43" s="129" t="s">
        <v>104</v>
      </c>
      <c r="U43" s="152" t="s">
        <v>97</v>
      </c>
      <c r="V43" s="146" t="s">
        <v>94</v>
      </c>
      <c r="W43" s="150" t="s">
        <v>93</v>
      </c>
      <c r="X43" s="43" t="s">
        <v>189</v>
      </c>
      <c r="Y43" s="45" t="s">
        <v>252</v>
      </c>
      <c r="Z43" s="152" t="s">
        <v>191</v>
      </c>
      <c r="AA43" s="210" t="s">
        <v>253</v>
      </c>
      <c r="AB43" s="205">
        <v>0.8465</v>
      </c>
      <c r="AC43" s="201"/>
      <c r="AD43" s="223" t="s">
        <v>193</v>
      </c>
      <c r="AE43" s="224">
        <v>258</v>
      </c>
      <c r="AF43" s="224">
        <v>251</v>
      </c>
      <c r="AG43" s="224">
        <v>3.5</v>
      </c>
      <c r="AH43" s="277">
        <f>AE43*AF43*AG43*7860/1000000000</f>
        <v>1.78149258</v>
      </c>
      <c r="AI43" s="278">
        <f>AB43/AH43</f>
        <v>0.475163359928224</v>
      </c>
      <c r="AJ43" s="224"/>
      <c r="AK43" s="277">
        <f>AE43*AF43*2/1000000</f>
        <v>0.129516</v>
      </c>
      <c r="AL43" s="266"/>
      <c r="AM43" s="266"/>
      <c r="AN43" s="263" t="s">
        <v>127</v>
      </c>
      <c r="AO43" s="263" t="s">
        <v>254</v>
      </c>
      <c r="AP43" s="302"/>
      <c r="AQ43" s="301"/>
      <c r="AR43" s="289">
        <v>1</v>
      </c>
    </row>
    <row r="44" ht="39.95" customHeight="1" spans="1:44">
      <c r="A44" s="42">
        <f t="shared" si="4"/>
        <v>36</v>
      </c>
      <c r="B44" s="43"/>
      <c r="C44" s="46"/>
      <c r="D44" s="46"/>
      <c r="E44" s="47"/>
      <c r="F44" s="47"/>
      <c r="G44" s="46">
        <v>5</v>
      </c>
      <c r="H44" s="46"/>
      <c r="I44" s="46"/>
      <c r="J44" s="95"/>
      <c r="K44" s="106"/>
      <c r="L44" s="109" t="s">
        <v>255</v>
      </c>
      <c r="M44" s="90" t="s">
        <v>256</v>
      </c>
      <c r="N44" s="90" t="s">
        <v>257</v>
      </c>
      <c r="O44" s="110" t="s">
        <v>175</v>
      </c>
      <c r="P44" s="108" t="s">
        <v>144</v>
      </c>
      <c r="Q44" s="43" t="s">
        <v>92</v>
      </c>
      <c r="R44" s="160"/>
      <c r="S44" s="149" t="s">
        <v>117</v>
      </c>
      <c r="T44" s="129" t="s">
        <v>104</v>
      </c>
      <c r="U44" s="152" t="s">
        <v>97</v>
      </c>
      <c r="V44" s="146" t="s">
        <v>94</v>
      </c>
      <c r="W44" s="150" t="s">
        <v>93</v>
      </c>
      <c r="X44" s="43" t="s">
        <v>189</v>
      </c>
      <c r="Y44" s="45" t="s">
        <v>258</v>
      </c>
      <c r="Z44" s="152" t="s">
        <v>191</v>
      </c>
      <c r="AA44" s="210" t="s">
        <v>259</v>
      </c>
      <c r="AB44" s="205">
        <v>0.0359</v>
      </c>
      <c r="AC44" s="201"/>
      <c r="AD44" s="223" t="s">
        <v>193</v>
      </c>
      <c r="AE44" s="224">
        <v>61</v>
      </c>
      <c r="AF44" s="224">
        <v>32</v>
      </c>
      <c r="AG44" s="224">
        <v>4</v>
      </c>
      <c r="AH44" s="277">
        <f>AE44*AF44*AG44*7860/1000000000</f>
        <v>0.06137088</v>
      </c>
      <c r="AI44" s="278">
        <f>AB44/AH44</f>
        <v>0.584967984816252</v>
      </c>
      <c r="AJ44" s="224"/>
      <c r="AK44" s="277">
        <f>AE44*AF44*2/1000000</f>
        <v>0.003904</v>
      </c>
      <c r="AL44" s="266"/>
      <c r="AM44" s="266"/>
      <c r="AN44" s="263" t="s">
        <v>127</v>
      </c>
      <c r="AO44" s="263" t="s">
        <v>200</v>
      </c>
      <c r="AP44" s="302"/>
      <c r="AQ44" s="301"/>
      <c r="AR44" s="289">
        <v>1</v>
      </c>
    </row>
    <row r="45" ht="39.95" customHeight="1" spans="1:44">
      <c r="A45" s="42">
        <f t="shared" si="4"/>
        <v>37</v>
      </c>
      <c r="B45" s="43"/>
      <c r="C45" s="46"/>
      <c r="D45" s="46"/>
      <c r="E45" s="47"/>
      <c r="F45" s="47"/>
      <c r="G45" s="46">
        <v>5</v>
      </c>
      <c r="H45" s="46"/>
      <c r="I45" s="46"/>
      <c r="J45" s="95"/>
      <c r="K45" s="106"/>
      <c r="L45" s="109" t="s">
        <v>260</v>
      </c>
      <c r="M45" s="90" t="s">
        <v>261</v>
      </c>
      <c r="N45" s="90" t="s">
        <v>262</v>
      </c>
      <c r="O45" s="110" t="s">
        <v>175</v>
      </c>
      <c r="P45" s="108" t="s">
        <v>144</v>
      </c>
      <c r="Q45" s="43" t="s">
        <v>92</v>
      </c>
      <c r="R45" s="160"/>
      <c r="S45" s="149" t="s">
        <v>42</v>
      </c>
      <c r="T45" s="129" t="s">
        <v>104</v>
      </c>
      <c r="U45" s="152" t="s">
        <v>97</v>
      </c>
      <c r="V45" s="146" t="s">
        <v>94</v>
      </c>
      <c r="W45" s="150" t="s">
        <v>93</v>
      </c>
      <c r="X45" s="43" t="s">
        <v>189</v>
      </c>
      <c r="Y45" s="45" t="s">
        <v>190</v>
      </c>
      <c r="Z45" s="152" t="s">
        <v>191</v>
      </c>
      <c r="AA45" s="210" t="s">
        <v>263</v>
      </c>
      <c r="AB45" s="205">
        <v>0.0765</v>
      </c>
      <c r="AC45" s="201"/>
      <c r="AD45" s="223" t="s">
        <v>193</v>
      </c>
      <c r="AE45" s="224">
        <v>89</v>
      </c>
      <c r="AF45" s="224">
        <v>78</v>
      </c>
      <c r="AG45" s="224">
        <v>2.5</v>
      </c>
      <c r="AH45" s="277">
        <f>AE45*AF45*AG45*7860/1000000000</f>
        <v>0.1364103</v>
      </c>
      <c r="AI45" s="278">
        <f>AB45/AH45</f>
        <v>0.560808091471099</v>
      </c>
      <c r="AJ45" s="224"/>
      <c r="AK45" s="277">
        <f>AE45*AF45*2/1000000</f>
        <v>0.013884</v>
      </c>
      <c r="AL45" s="266"/>
      <c r="AM45" s="266"/>
      <c r="AN45" s="263" t="s">
        <v>127</v>
      </c>
      <c r="AO45" s="263" t="s">
        <v>200</v>
      </c>
      <c r="AP45" s="302"/>
      <c r="AQ45" s="301"/>
      <c r="AR45" s="289">
        <v>1</v>
      </c>
    </row>
    <row r="46" ht="39.95" customHeight="1" spans="1:44">
      <c r="A46" s="42">
        <f t="shared" si="4"/>
        <v>38</v>
      </c>
      <c r="B46" s="43"/>
      <c r="C46" s="46"/>
      <c r="D46" s="46"/>
      <c r="E46" s="47"/>
      <c r="F46" s="47"/>
      <c r="G46" s="46">
        <v>5</v>
      </c>
      <c r="H46" s="46"/>
      <c r="I46" s="46"/>
      <c r="J46" s="95"/>
      <c r="K46" s="106"/>
      <c r="L46" s="109" t="s">
        <v>264</v>
      </c>
      <c r="M46" s="90" t="s">
        <v>265</v>
      </c>
      <c r="N46" s="90" t="s">
        <v>266</v>
      </c>
      <c r="O46" s="110" t="s">
        <v>175</v>
      </c>
      <c r="P46" s="108" t="s">
        <v>144</v>
      </c>
      <c r="Q46" s="43" t="s">
        <v>92</v>
      </c>
      <c r="R46" s="160"/>
      <c r="S46" s="149" t="s">
        <v>42</v>
      </c>
      <c r="T46" s="129" t="s">
        <v>104</v>
      </c>
      <c r="U46" s="152" t="s">
        <v>97</v>
      </c>
      <c r="V46" s="146" t="s">
        <v>94</v>
      </c>
      <c r="W46" s="150" t="s">
        <v>93</v>
      </c>
      <c r="X46" s="43" t="s">
        <v>189</v>
      </c>
      <c r="Y46" s="45" t="s">
        <v>190</v>
      </c>
      <c r="Z46" s="152" t="s">
        <v>191</v>
      </c>
      <c r="AA46" s="210" t="s">
        <v>267</v>
      </c>
      <c r="AB46" s="205">
        <v>0.0401</v>
      </c>
      <c r="AC46" s="201"/>
      <c r="AD46" s="223" t="s">
        <v>193</v>
      </c>
      <c r="AE46" s="224">
        <v>63</v>
      </c>
      <c r="AF46" s="224">
        <v>41</v>
      </c>
      <c r="AG46" s="224">
        <v>2.5</v>
      </c>
      <c r="AH46" s="277">
        <f>AE46*AF46*AG46*7860/1000000000</f>
        <v>0.05075595</v>
      </c>
      <c r="AI46" s="278">
        <f>AB46/AH46</f>
        <v>0.790055156095</v>
      </c>
      <c r="AJ46" s="224"/>
      <c r="AK46" s="277">
        <f>AE46*AF46*2/1000000</f>
        <v>0.005166</v>
      </c>
      <c r="AL46" s="266"/>
      <c r="AM46" s="266"/>
      <c r="AN46" s="263" t="s">
        <v>127</v>
      </c>
      <c r="AO46" s="263" t="s">
        <v>200</v>
      </c>
      <c r="AP46" s="302"/>
      <c r="AQ46" s="301"/>
      <c r="AR46" s="289">
        <v>1</v>
      </c>
    </row>
    <row r="47" ht="39.95" customHeight="1" spans="1:44">
      <c r="A47" s="42">
        <f t="shared" si="4"/>
        <v>39</v>
      </c>
      <c r="B47" s="43"/>
      <c r="C47" s="46"/>
      <c r="D47" s="46"/>
      <c r="E47" s="47"/>
      <c r="F47" s="47">
        <v>4</v>
      </c>
      <c r="G47" s="46"/>
      <c r="H47" s="46"/>
      <c r="I47" s="46"/>
      <c r="J47" s="95"/>
      <c r="K47" s="106"/>
      <c r="L47" s="109" t="s">
        <v>268</v>
      </c>
      <c r="M47" s="87" t="s">
        <v>269</v>
      </c>
      <c r="N47" s="90" t="s">
        <v>270</v>
      </c>
      <c r="O47" s="91" t="s">
        <v>175</v>
      </c>
      <c r="P47" s="108" t="s">
        <v>117</v>
      </c>
      <c r="Q47" s="43" t="s">
        <v>92</v>
      </c>
      <c r="R47" s="160"/>
      <c r="S47" s="149" t="s">
        <v>42</v>
      </c>
      <c r="T47" s="129" t="s">
        <v>104</v>
      </c>
      <c r="U47" s="152" t="s">
        <v>97</v>
      </c>
      <c r="V47" s="146" t="s">
        <v>94</v>
      </c>
      <c r="W47" s="150" t="s">
        <v>93</v>
      </c>
      <c r="X47" s="108" t="s">
        <v>112</v>
      </c>
      <c r="Y47" s="45" t="s">
        <v>96</v>
      </c>
      <c r="Z47" s="152" t="s">
        <v>97</v>
      </c>
      <c r="AA47" s="210" t="s">
        <v>97</v>
      </c>
      <c r="AB47" s="205">
        <f>AB48+AB49+AB50</f>
        <v>0.6566</v>
      </c>
      <c r="AC47" s="201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73" t="s">
        <v>99</v>
      </c>
      <c r="AO47" s="310" t="s">
        <v>271</v>
      </c>
      <c r="AP47" s="302"/>
      <c r="AQ47" s="301"/>
      <c r="AR47" s="289">
        <v>1</v>
      </c>
    </row>
    <row r="48" ht="39.95" customHeight="1" spans="1:44">
      <c r="A48" s="42">
        <f t="shared" si="4"/>
        <v>40</v>
      </c>
      <c r="B48" s="43"/>
      <c r="C48" s="46"/>
      <c r="D48" s="46"/>
      <c r="E48" s="58"/>
      <c r="F48" s="47"/>
      <c r="G48" s="46">
        <v>5</v>
      </c>
      <c r="H48" s="46"/>
      <c r="I48" s="46"/>
      <c r="J48" s="95"/>
      <c r="K48" s="106"/>
      <c r="L48" s="109" t="s">
        <v>272</v>
      </c>
      <c r="M48" s="129" t="s">
        <v>273</v>
      </c>
      <c r="N48" s="90" t="s">
        <v>274</v>
      </c>
      <c r="O48" s="110" t="s">
        <v>275</v>
      </c>
      <c r="P48" s="108" t="s">
        <v>144</v>
      </c>
      <c r="Q48" s="43" t="s">
        <v>92</v>
      </c>
      <c r="R48" s="160"/>
      <c r="S48" s="149" t="s">
        <v>42</v>
      </c>
      <c r="T48" s="129" t="s">
        <v>104</v>
      </c>
      <c r="U48" s="152" t="s">
        <v>97</v>
      </c>
      <c r="V48" s="186" t="s">
        <v>94</v>
      </c>
      <c r="W48" s="150" t="s">
        <v>93</v>
      </c>
      <c r="X48" s="43" t="s">
        <v>189</v>
      </c>
      <c r="Y48" s="45" t="s">
        <v>276</v>
      </c>
      <c r="Z48" s="152" t="s">
        <v>97</v>
      </c>
      <c r="AA48" s="210" t="s">
        <v>277</v>
      </c>
      <c r="AB48" s="205">
        <v>0.0002</v>
      </c>
      <c r="AC48" s="235" t="s">
        <v>97</v>
      </c>
      <c r="AD48" s="223"/>
      <c r="AE48" s="224"/>
      <c r="AF48" s="224"/>
      <c r="AG48" s="224"/>
      <c r="AH48" s="277"/>
      <c r="AI48" s="278"/>
      <c r="AJ48" s="224"/>
      <c r="AK48" s="277"/>
      <c r="AL48" s="266"/>
      <c r="AM48" s="266"/>
      <c r="AN48" s="263" t="s">
        <v>127</v>
      </c>
      <c r="AO48" s="263" t="s">
        <v>278</v>
      </c>
      <c r="AP48" s="302"/>
      <c r="AQ48" s="314"/>
      <c r="AR48" s="90">
        <v>1</v>
      </c>
    </row>
    <row r="49" ht="39.95" customHeight="1" spans="1:44">
      <c r="A49" s="42">
        <f t="shared" si="4"/>
        <v>41</v>
      </c>
      <c r="B49" s="43"/>
      <c r="C49" s="46"/>
      <c r="D49" s="46"/>
      <c r="E49" s="47"/>
      <c r="F49" s="47"/>
      <c r="G49" s="46">
        <v>5</v>
      </c>
      <c r="H49" s="46"/>
      <c r="I49" s="46"/>
      <c r="J49" s="95"/>
      <c r="K49" s="106"/>
      <c r="L49" s="109" t="s">
        <v>279</v>
      </c>
      <c r="M49" s="87" t="s">
        <v>280</v>
      </c>
      <c r="N49" s="90" t="s">
        <v>281</v>
      </c>
      <c r="O49" s="110" t="s">
        <v>175</v>
      </c>
      <c r="P49" s="108" t="s">
        <v>144</v>
      </c>
      <c r="Q49" s="43" t="s">
        <v>92</v>
      </c>
      <c r="R49" s="160"/>
      <c r="S49" s="149" t="s">
        <v>42</v>
      </c>
      <c r="T49" s="129" t="s">
        <v>104</v>
      </c>
      <c r="U49" s="152" t="s">
        <v>97</v>
      </c>
      <c r="V49" s="146" t="s">
        <v>94</v>
      </c>
      <c r="W49" s="150" t="s">
        <v>93</v>
      </c>
      <c r="X49" s="43" t="s">
        <v>189</v>
      </c>
      <c r="Y49" s="45" t="s">
        <v>190</v>
      </c>
      <c r="Z49" s="152" t="s">
        <v>191</v>
      </c>
      <c r="AA49" s="210" t="s">
        <v>282</v>
      </c>
      <c r="AB49" s="205">
        <v>0.646</v>
      </c>
      <c r="AC49" s="201"/>
      <c r="AD49" s="223" t="s">
        <v>193</v>
      </c>
      <c r="AE49" s="224">
        <v>228</v>
      </c>
      <c r="AF49" s="224">
        <v>221</v>
      </c>
      <c r="AG49" s="224">
        <v>2.5</v>
      </c>
      <c r="AH49" s="277">
        <f>AE49*AF49*AG49*7860/1000000000</f>
        <v>0.9901242</v>
      </c>
      <c r="AI49" s="278">
        <f>AB49/AH49</f>
        <v>0.652443400535004</v>
      </c>
      <c r="AJ49" s="224"/>
      <c r="AK49" s="277">
        <f>AE49*AF49*2/1000000</f>
        <v>0.100776</v>
      </c>
      <c r="AL49" s="266"/>
      <c r="AM49" s="266"/>
      <c r="AN49" s="263" t="s">
        <v>127</v>
      </c>
      <c r="AO49" s="263" t="s">
        <v>200</v>
      </c>
      <c r="AP49" s="302"/>
      <c r="AQ49" s="301"/>
      <c r="AR49" s="289">
        <v>1</v>
      </c>
    </row>
    <row r="50" s="11" customFormat="1" ht="39.95" customHeight="1" spans="1:44">
      <c r="A50" s="42">
        <f t="shared" ref="A50:A59" si="5">ROW()-8</f>
        <v>42</v>
      </c>
      <c r="B50" s="55"/>
      <c r="C50" s="56"/>
      <c r="D50" s="56"/>
      <c r="E50" s="57"/>
      <c r="F50" s="57">
        <v>4</v>
      </c>
      <c r="G50" s="56"/>
      <c r="H50" s="56"/>
      <c r="I50" s="56"/>
      <c r="J50" s="123"/>
      <c r="K50" s="125"/>
      <c r="L50" s="409" t="s">
        <v>283</v>
      </c>
      <c r="M50" s="126" t="s">
        <v>284</v>
      </c>
      <c r="N50" s="124" t="s">
        <v>285</v>
      </c>
      <c r="O50" s="130" t="s">
        <v>175</v>
      </c>
      <c r="P50" s="128" t="s">
        <v>144</v>
      </c>
      <c r="Q50" s="55" t="s">
        <v>92</v>
      </c>
      <c r="R50" s="180"/>
      <c r="S50" s="181" t="s">
        <v>42</v>
      </c>
      <c r="T50" s="182" t="s">
        <v>104</v>
      </c>
      <c r="U50" s="183" t="s">
        <v>97</v>
      </c>
      <c r="V50" s="165" t="s">
        <v>94</v>
      </c>
      <c r="W50" s="184" t="s">
        <v>93</v>
      </c>
      <c r="X50" s="55" t="s">
        <v>286</v>
      </c>
      <c r="Y50" s="183" t="s">
        <v>97</v>
      </c>
      <c r="Z50" s="183" t="s">
        <v>97</v>
      </c>
      <c r="AA50" s="232" t="s">
        <v>97</v>
      </c>
      <c r="AB50" s="233">
        <v>0.0104</v>
      </c>
      <c r="AC50" s="234"/>
      <c r="AD50" s="221"/>
      <c r="AE50" s="211"/>
      <c r="AF50" s="211"/>
      <c r="AG50" s="211"/>
      <c r="AH50" s="265"/>
      <c r="AI50" s="274"/>
      <c r="AJ50" s="211"/>
      <c r="AK50" s="265"/>
      <c r="AL50" s="266"/>
      <c r="AM50" s="266"/>
      <c r="AN50" s="263" t="s">
        <v>127</v>
      </c>
      <c r="AO50" s="263" t="s">
        <v>287</v>
      </c>
      <c r="AP50" s="311"/>
      <c r="AQ50" s="312"/>
      <c r="AR50" s="313">
        <v>1</v>
      </c>
    </row>
    <row r="51" ht="39.95" customHeight="1" spans="1:44">
      <c r="A51" s="42">
        <f t="shared" si="5"/>
        <v>43</v>
      </c>
      <c r="B51" s="43"/>
      <c r="C51" s="46"/>
      <c r="D51" s="46"/>
      <c r="E51" s="47"/>
      <c r="F51" s="47">
        <v>4</v>
      </c>
      <c r="G51" s="46"/>
      <c r="H51" s="46"/>
      <c r="I51" s="46"/>
      <c r="J51" s="95"/>
      <c r="K51" s="106"/>
      <c r="L51" s="109"/>
      <c r="M51" s="87" t="s">
        <v>288</v>
      </c>
      <c r="N51" s="90" t="s">
        <v>289</v>
      </c>
      <c r="O51" s="91" t="s">
        <v>175</v>
      </c>
      <c r="P51" s="108" t="s">
        <v>117</v>
      </c>
      <c r="Q51" s="43" t="s">
        <v>92</v>
      </c>
      <c r="R51" s="160"/>
      <c r="S51" s="149" t="s">
        <v>42</v>
      </c>
      <c r="T51" s="129" t="s">
        <v>104</v>
      </c>
      <c r="U51" s="152" t="s">
        <v>97</v>
      </c>
      <c r="V51" s="146" t="s">
        <v>94</v>
      </c>
      <c r="W51" s="150" t="s">
        <v>93</v>
      </c>
      <c r="X51" s="108" t="s">
        <v>112</v>
      </c>
      <c r="Y51" s="45" t="s">
        <v>96</v>
      </c>
      <c r="Z51" s="152" t="s">
        <v>97</v>
      </c>
      <c r="AA51" s="210" t="s">
        <v>97</v>
      </c>
      <c r="AB51" s="205">
        <f>AB52+AB53*AR53+AB54</f>
        <v>0.4498</v>
      </c>
      <c r="AC51" s="201"/>
      <c r="AD51" s="221" t="s">
        <v>157</v>
      </c>
      <c r="AE51" s="211"/>
      <c r="AF51" s="211"/>
      <c r="AG51" s="211"/>
      <c r="AH51" s="265"/>
      <c r="AI51" s="274"/>
      <c r="AJ51" s="211">
        <v>8</v>
      </c>
      <c r="AK51" s="265"/>
      <c r="AL51" s="266">
        <f>9*AJ51/600+10*4/60</f>
        <v>0.786666666666667</v>
      </c>
      <c r="AM51" s="276">
        <v>1</v>
      </c>
      <c r="AN51" s="263" t="s">
        <v>105</v>
      </c>
      <c r="AO51" s="263" t="s">
        <v>158</v>
      </c>
      <c r="AP51" s="302"/>
      <c r="AQ51" s="301"/>
      <c r="AR51" s="289">
        <v>1</v>
      </c>
    </row>
    <row r="52" ht="39.95" customHeight="1" spans="1:44">
      <c r="A52" s="42">
        <f t="shared" si="5"/>
        <v>44</v>
      </c>
      <c r="B52" s="43"/>
      <c r="C52" s="46"/>
      <c r="D52" s="46"/>
      <c r="E52" s="47"/>
      <c r="F52" s="47"/>
      <c r="G52" s="46">
        <v>5</v>
      </c>
      <c r="H52" s="46"/>
      <c r="I52" s="46"/>
      <c r="J52" s="95"/>
      <c r="K52" s="106"/>
      <c r="L52" s="109" t="s">
        <v>290</v>
      </c>
      <c r="M52" s="87" t="s">
        <v>291</v>
      </c>
      <c r="N52" s="90" t="s">
        <v>292</v>
      </c>
      <c r="O52" s="91" t="s">
        <v>175</v>
      </c>
      <c r="P52" s="108" t="s">
        <v>144</v>
      </c>
      <c r="Q52" s="43" t="s">
        <v>92</v>
      </c>
      <c r="R52" s="160"/>
      <c r="S52" s="149" t="s">
        <v>42</v>
      </c>
      <c r="T52" s="129" t="s">
        <v>104</v>
      </c>
      <c r="U52" s="152" t="s">
        <v>97</v>
      </c>
      <c r="V52" s="146" t="s">
        <v>94</v>
      </c>
      <c r="W52" s="150" t="s">
        <v>93</v>
      </c>
      <c r="X52" s="43" t="s">
        <v>169</v>
      </c>
      <c r="Y52" s="45" t="s">
        <v>293</v>
      </c>
      <c r="Z52" s="152" t="s">
        <v>294</v>
      </c>
      <c r="AA52" s="210" t="s">
        <v>295</v>
      </c>
      <c r="AB52" s="205">
        <v>0.3508</v>
      </c>
      <c r="AC52" s="201"/>
      <c r="AD52" s="223" t="s">
        <v>165</v>
      </c>
      <c r="AE52" s="224">
        <v>357</v>
      </c>
      <c r="AF52" s="224">
        <v>22</v>
      </c>
      <c r="AG52" s="224">
        <v>2</v>
      </c>
      <c r="AH52" s="277">
        <f>AE52*0.9864/1000</f>
        <v>0.3521448</v>
      </c>
      <c r="AI52" s="278">
        <f>AB52/AH52</f>
        <v>0.996181116404388</v>
      </c>
      <c r="AJ52" s="224"/>
      <c r="AK52" s="277">
        <f>AE52*AF52*3.14/1000000</f>
        <v>0.02466156</v>
      </c>
      <c r="AL52" s="266">
        <f>0.0028*60</f>
        <v>0.168</v>
      </c>
      <c r="AM52" s="276">
        <v>1</v>
      </c>
      <c r="AN52" s="263" t="s">
        <v>99</v>
      </c>
      <c r="AO52" s="263" t="s">
        <v>166</v>
      </c>
      <c r="AP52" s="302"/>
      <c r="AQ52" s="301"/>
      <c r="AR52" s="289">
        <v>1</v>
      </c>
    </row>
    <row r="53" ht="39.95" customHeight="1" spans="1:44">
      <c r="A53" s="42">
        <f t="shared" si="5"/>
        <v>45</v>
      </c>
      <c r="B53" s="43"/>
      <c r="C53" s="46"/>
      <c r="D53" s="46"/>
      <c r="E53" s="47"/>
      <c r="F53" s="47"/>
      <c r="G53" s="46">
        <v>5</v>
      </c>
      <c r="H53" s="46"/>
      <c r="I53" s="46"/>
      <c r="J53" s="95"/>
      <c r="K53" s="106"/>
      <c r="L53" s="109" t="s">
        <v>296</v>
      </c>
      <c r="M53" s="87" t="s">
        <v>297</v>
      </c>
      <c r="N53" s="90" t="s">
        <v>298</v>
      </c>
      <c r="O53" s="91" t="s">
        <v>175</v>
      </c>
      <c r="P53" s="108" t="s">
        <v>144</v>
      </c>
      <c r="Q53" s="43" t="s">
        <v>92</v>
      </c>
      <c r="R53" s="160"/>
      <c r="S53" s="149" t="s">
        <v>42</v>
      </c>
      <c r="T53" s="129" t="s">
        <v>104</v>
      </c>
      <c r="U53" s="152" t="s">
        <v>97</v>
      </c>
      <c r="V53" s="146" t="s">
        <v>94</v>
      </c>
      <c r="W53" s="150" t="s">
        <v>93</v>
      </c>
      <c r="X53" s="43" t="s">
        <v>189</v>
      </c>
      <c r="Y53" s="45" t="s">
        <v>299</v>
      </c>
      <c r="Z53" s="152" t="s">
        <v>191</v>
      </c>
      <c r="AA53" s="210" t="s">
        <v>300</v>
      </c>
      <c r="AB53" s="205">
        <v>0.0374</v>
      </c>
      <c r="AC53" s="201"/>
      <c r="AD53" s="223" t="s">
        <v>193</v>
      </c>
      <c r="AE53" s="224">
        <v>72</v>
      </c>
      <c r="AF53" s="224">
        <v>71</v>
      </c>
      <c r="AG53" s="224">
        <v>2</v>
      </c>
      <c r="AH53" s="277">
        <f>AE53*AF53*AG53*7860/1000000000</f>
        <v>0.08036064</v>
      </c>
      <c r="AI53" s="278">
        <f>AB53/AH53</f>
        <v>0.465401967928578</v>
      </c>
      <c r="AJ53" s="224"/>
      <c r="AK53" s="277">
        <f>AE53*AF53*2/1000000</f>
        <v>0.010224</v>
      </c>
      <c r="AL53" s="266"/>
      <c r="AM53" s="266"/>
      <c r="AN53" s="263" t="s">
        <v>127</v>
      </c>
      <c r="AO53" s="263" t="s">
        <v>301</v>
      </c>
      <c r="AP53" s="302"/>
      <c r="AQ53" s="301"/>
      <c r="AR53" s="289">
        <v>2</v>
      </c>
    </row>
    <row r="54" s="402" customFormat="1" ht="39.95" customHeight="1" spans="1:45">
      <c r="A54" s="42">
        <f t="shared" si="5"/>
        <v>46</v>
      </c>
      <c r="B54" s="43"/>
      <c r="C54" s="46"/>
      <c r="D54" s="46"/>
      <c r="E54" s="58"/>
      <c r="F54" s="47"/>
      <c r="G54" s="46">
        <v>5</v>
      </c>
      <c r="H54" s="46"/>
      <c r="I54" s="46"/>
      <c r="J54" s="95"/>
      <c r="K54" s="106"/>
      <c r="L54" s="109" t="s">
        <v>302</v>
      </c>
      <c r="M54" s="129" t="s">
        <v>302</v>
      </c>
      <c r="N54" s="90" t="s">
        <v>303</v>
      </c>
      <c r="O54" s="91" t="s">
        <v>175</v>
      </c>
      <c r="P54" s="108" t="s">
        <v>144</v>
      </c>
      <c r="Q54" s="43" t="s">
        <v>92</v>
      </c>
      <c r="R54" s="160"/>
      <c r="S54" s="179" t="s">
        <v>42</v>
      </c>
      <c r="T54" s="129" t="s">
        <v>104</v>
      </c>
      <c r="U54" s="152" t="s">
        <v>97</v>
      </c>
      <c r="V54" s="146" t="s">
        <v>94</v>
      </c>
      <c r="W54" s="150" t="s">
        <v>93</v>
      </c>
      <c r="X54" s="43" t="s">
        <v>216</v>
      </c>
      <c r="Y54" s="45" t="s">
        <v>217</v>
      </c>
      <c r="Z54" s="152" t="s">
        <v>218</v>
      </c>
      <c r="AA54" s="210" t="s">
        <v>97</v>
      </c>
      <c r="AB54" s="205">
        <v>0.0242</v>
      </c>
      <c r="AC54" s="235" t="s">
        <v>97</v>
      </c>
      <c r="AD54" s="223" t="s">
        <v>126</v>
      </c>
      <c r="AE54" s="224">
        <f>AB54/0.154*1000</f>
        <v>157.142857142857</v>
      </c>
      <c r="AF54" s="224">
        <v>5</v>
      </c>
      <c r="AG54" s="224"/>
      <c r="AH54" s="277">
        <f>AE54*0.154/1000</f>
        <v>0.0242</v>
      </c>
      <c r="AI54" s="278">
        <f>AB54/AH54</f>
        <v>1</v>
      </c>
      <c r="AJ54" s="211"/>
      <c r="AK54" s="265">
        <f>AF54*3.14*AE54*AR54/1000000</f>
        <v>0.00246714285714286</v>
      </c>
      <c r="AL54" s="266"/>
      <c r="AM54" s="266"/>
      <c r="AN54" s="263" t="s">
        <v>127</v>
      </c>
      <c r="AO54" s="263" t="s">
        <v>213</v>
      </c>
      <c r="AP54" s="302"/>
      <c r="AQ54" s="314"/>
      <c r="AR54" s="90">
        <v>1</v>
      </c>
      <c r="AS54" s="315"/>
    </row>
    <row r="55" s="18" customFormat="1" ht="39.95" customHeight="1" spans="1:45">
      <c r="A55" s="42">
        <f t="shared" si="5"/>
        <v>47</v>
      </c>
      <c r="B55" s="43"/>
      <c r="C55" s="46"/>
      <c r="D55" s="46">
        <v>2</v>
      </c>
      <c r="E55" s="58"/>
      <c r="F55" s="47"/>
      <c r="G55" s="46"/>
      <c r="H55" s="46"/>
      <c r="I55" s="46"/>
      <c r="J55" s="95"/>
      <c r="K55" s="106"/>
      <c r="L55" s="88" t="s">
        <v>304</v>
      </c>
      <c r="M55" s="132" t="s">
        <v>305</v>
      </c>
      <c r="N55" s="133" t="s">
        <v>306</v>
      </c>
      <c r="O55" s="134" t="s">
        <v>307</v>
      </c>
      <c r="P55" s="135" t="s">
        <v>144</v>
      </c>
      <c r="Q55" s="187" t="s">
        <v>92</v>
      </c>
      <c r="R55" s="188"/>
      <c r="S55" s="149" t="s">
        <v>42</v>
      </c>
      <c r="T55" s="129" t="s">
        <v>104</v>
      </c>
      <c r="U55" s="152" t="s">
        <v>97</v>
      </c>
      <c r="V55" s="186" t="s">
        <v>94</v>
      </c>
      <c r="W55" s="150" t="s">
        <v>93</v>
      </c>
      <c r="X55" s="187" t="s">
        <v>308</v>
      </c>
      <c r="Y55" s="238" t="s">
        <v>309</v>
      </c>
      <c r="Z55" s="239" t="s">
        <v>124</v>
      </c>
      <c r="AA55" s="240" t="s">
        <v>310</v>
      </c>
      <c r="AB55" s="241">
        <v>0.0181</v>
      </c>
      <c r="AC55" s="201"/>
      <c r="AD55" s="242" t="s">
        <v>311</v>
      </c>
      <c r="AE55" s="243">
        <v>25</v>
      </c>
      <c r="AF55" s="243">
        <v>12</v>
      </c>
      <c r="AG55" s="243"/>
      <c r="AH55" s="280">
        <f>AF55/2*AF55/2*3.14*AE55*7860/1000000000</f>
        <v>0.02221236</v>
      </c>
      <c r="AI55" s="278">
        <f>AB55/AH55</f>
        <v>0.814861635593877</v>
      </c>
      <c r="AJ55" s="281"/>
      <c r="AK55" s="280"/>
      <c r="AL55" s="282"/>
      <c r="AM55" s="282"/>
      <c r="AN55" s="283" t="s">
        <v>127</v>
      </c>
      <c r="AO55" s="283" t="s">
        <v>312</v>
      </c>
      <c r="AP55" s="316"/>
      <c r="AQ55" s="301"/>
      <c r="AR55" s="317">
        <v>1</v>
      </c>
      <c r="AS55" s="19"/>
    </row>
    <row r="56" s="402" customFormat="1" ht="39.95" customHeight="1" spans="1:44">
      <c r="A56" s="42">
        <f t="shared" si="5"/>
        <v>48</v>
      </c>
      <c r="B56" s="43"/>
      <c r="C56" s="46"/>
      <c r="D56" s="46">
        <v>2</v>
      </c>
      <c r="E56" s="58"/>
      <c r="F56" s="47"/>
      <c r="G56" s="46"/>
      <c r="H56" s="46"/>
      <c r="I56" s="46"/>
      <c r="J56" s="95"/>
      <c r="K56" s="106"/>
      <c r="L56" s="109" t="s">
        <v>313</v>
      </c>
      <c r="M56" s="129" t="s">
        <v>314</v>
      </c>
      <c r="N56" s="90" t="s">
        <v>315</v>
      </c>
      <c r="O56" s="134" t="s">
        <v>307</v>
      </c>
      <c r="P56" s="108" t="s">
        <v>144</v>
      </c>
      <c r="Q56" s="43" t="s">
        <v>92</v>
      </c>
      <c r="R56" s="160"/>
      <c r="S56" s="149" t="s">
        <v>42</v>
      </c>
      <c r="T56" s="129" t="s">
        <v>104</v>
      </c>
      <c r="U56" s="152" t="s">
        <v>97</v>
      </c>
      <c r="V56" s="186" t="s">
        <v>94</v>
      </c>
      <c r="W56" s="150" t="s">
        <v>93</v>
      </c>
      <c r="X56" s="43" t="s">
        <v>286</v>
      </c>
      <c r="Y56" s="152" t="s">
        <v>316</v>
      </c>
      <c r="Z56" s="152" t="s">
        <v>97</v>
      </c>
      <c r="AA56" s="205" t="s">
        <v>317</v>
      </c>
      <c r="AB56" s="244">
        <v>0.0062</v>
      </c>
      <c r="AC56" s="235" t="s">
        <v>97</v>
      </c>
      <c r="AD56" s="236"/>
      <c r="AE56" s="236"/>
      <c r="AF56" s="236"/>
      <c r="AG56" s="236"/>
      <c r="AH56" s="236"/>
      <c r="AI56" s="236"/>
      <c r="AJ56" s="236"/>
      <c r="AK56" s="236"/>
      <c r="AL56" s="236"/>
      <c r="AM56" s="236"/>
      <c r="AN56" s="284" t="s">
        <v>127</v>
      </c>
      <c r="AO56" s="284" t="s">
        <v>318</v>
      </c>
      <c r="AP56" s="302"/>
      <c r="AQ56" s="314"/>
      <c r="AR56" s="90">
        <v>1</v>
      </c>
    </row>
    <row r="57" s="402" customFormat="1" ht="39.95" customHeight="1" spans="1:44">
      <c r="A57" s="42">
        <f t="shared" si="5"/>
        <v>49</v>
      </c>
      <c r="B57" s="43"/>
      <c r="C57" s="46"/>
      <c r="D57" s="46">
        <v>2</v>
      </c>
      <c r="E57" s="58"/>
      <c r="F57" s="47"/>
      <c r="G57" s="46"/>
      <c r="H57" s="46"/>
      <c r="I57" s="46"/>
      <c r="J57" s="95"/>
      <c r="K57" s="106"/>
      <c r="L57" s="109" t="s">
        <v>319</v>
      </c>
      <c r="M57" s="129" t="s">
        <v>320</v>
      </c>
      <c r="N57" s="90" t="s">
        <v>321</v>
      </c>
      <c r="O57" s="134" t="s">
        <v>307</v>
      </c>
      <c r="P57" s="108" t="s">
        <v>144</v>
      </c>
      <c r="Q57" s="43" t="s">
        <v>92</v>
      </c>
      <c r="R57" s="160"/>
      <c r="S57" s="149" t="s">
        <v>42</v>
      </c>
      <c r="T57" s="129" t="s">
        <v>104</v>
      </c>
      <c r="U57" s="152" t="s">
        <v>97</v>
      </c>
      <c r="V57" s="186" t="s">
        <v>94</v>
      </c>
      <c r="W57" s="150" t="s">
        <v>93</v>
      </c>
      <c r="X57" s="43" t="s">
        <v>286</v>
      </c>
      <c r="Y57" s="152" t="s">
        <v>322</v>
      </c>
      <c r="Z57" s="152" t="s">
        <v>97</v>
      </c>
      <c r="AA57" s="205" t="s">
        <v>323</v>
      </c>
      <c r="AB57" s="244">
        <v>0.0076</v>
      </c>
      <c r="AC57" s="235" t="s">
        <v>97</v>
      </c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84" t="s">
        <v>127</v>
      </c>
      <c r="AO57" s="284" t="s">
        <v>318</v>
      </c>
      <c r="AP57" s="302"/>
      <c r="AQ57" s="314"/>
      <c r="AR57" s="90">
        <v>1</v>
      </c>
    </row>
    <row r="58" ht="39.95" customHeight="1" spans="1:44">
      <c r="A58" s="42">
        <f t="shared" si="5"/>
        <v>50</v>
      </c>
      <c r="B58" s="43"/>
      <c r="C58" s="46"/>
      <c r="D58" s="46">
        <v>2</v>
      </c>
      <c r="E58" s="47"/>
      <c r="F58" s="47"/>
      <c r="G58" s="46"/>
      <c r="H58" s="46"/>
      <c r="I58" s="46"/>
      <c r="J58" s="95"/>
      <c r="K58" s="106"/>
      <c r="L58" s="109" t="s">
        <v>324</v>
      </c>
      <c r="M58" s="87" t="s">
        <v>325</v>
      </c>
      <c r="N58" s="90" t="s">
        <v>326</v>
      </c>
      <c r="O58" s="91" t="s">
        <v>175</v>
      </c>
      <c r="P58" s="108" t="s">
        <v>144</v>
      </c>
      <c r="Q58" s="43" t="s">
        <v>92</v>
      </c>
      <c r="R58" s="160"/>
      <c r="S58" s="149" t="s">
        <v>42</v>
      </c>
      <c r="T58" s="129" t="s">
        <v>104</v>
      </c>
      <c r="U58" s="152" t="s">
        <v>97</v>
      </c>
      <c r="V58" s="146" t="s">
        <v>94</v>
      </c>
      <c r="W58" s="150" t="s">
        <v>93</v>
      </c>
      <c r="X58" s="43" t="s">
        <v>216</v>
      </c>
      <c r="Y58" s="45" t="s">
        <v>327</v>
      </c>
      <c r="Z58" s="152" t="s">
        <v>218</v>
      </c>
      <c r="AA58" s="210" t="s">
        <v>328</v>
      </c>
      <c r="AB58" s="205">
        <v>0.071</v>
      </c>
      <c r="AC58" s="201"/>
      <c r="AD58" s="223" t="s">
        <v>126</v>
      </c>
      <c r="AE58" s="224">
        <f>AB58/0.2219*1000</f>
        <v>319.9639477242</v>
      </c>
      <c r="AF58" s="224">
        <v>6</v>
      </c>
      <c r="AG58" s="224"/>
      <c r="AH58" s="277">
        <f>AE58*0.2219/1000</f>
        <v>0.071</v>
      </c>
      <c r="AI58" s="278">
        <f>AB58/AH58</f>
        <v>1</v>
      </c>
      <c r="AJ58" s="211"/>
      <c r="AK58" s="265"/>
      <c r="AL58" s="266"/>
      <c r="AM58" s="266"/>
      <c r="AN58" s="263" t="s">
        <v>127</v>
      </c>
      <c r="AO58" s="263" t="s">
        <v>213</v>
      </c>
      <c r="AP58" s="302"/>
      <c r="AQ58" s="301"/>
      <c r="AR58" s="289">
        <v>1</v>
      </c>
    </row>
    <row r="59" ht="39.95" customHeight="1" spans="1:44">
      <c r="A59" s="42">
        <f t="shared" si="5"/>
        <v>51</v>
      </c>
      <c r="B59" s="43"/>
      <c r="C59" s="46"/>
      <c r="D59" s="46">
        <v>2</v>
      </c>
      <c r="E59" s="47"/>
      <c r="F59" s="47"/>
      <c r="G59" s="46"/>
      <c r="H59" s="46"/>
      <c r="I59" s="46"/>
      <c r="J59" s="95"/>
      <c r="K59" s="106"/>
      <c r="L59" s="109" t="s">
        <v>329</v>
      </c>
      <c r="M59" s="87" t="s">
        <v>330</v>
      </c>
      <c r="N59" s="90" t="s">
        <v>331</v>
      </c>
      <c r="O59" s="91" t="s">
        <v>175</v>
      </c>
      <c r="P59" s="108" t="s">
        <v>144</v>
      </c>
      <c r="Q59" s="43" t="s">
        <v>92</v>
      </c>
      <c r="R59" s="160"/>
      <c r="S59" s="149" t="s">
        <v>42</v>
      </c>
      <c r="T59" s="129" t="s">
        <v>104</v>
      </c>
      <c r="U59" s="152" t="s">
        <v>97</v>
      </c>
      <c r="V59" s="146" t="s">
        <v>94</v>
      </c>
      <c r="W59" s="150" t="s">
        <v>93</v>
      </c>
      <c r="X59" s="43" t="s">
        <v>216</v>
      </c>
      <c r="Y59" s="45" t="s">
        <v>327</v>
      </c>
      <c r="Z59" s="152" t="s">
        <v>218</v>
      </c>
      <c r="AA59" s="210" t="s">
        <v>332</v>
      </c>
      <c r="AB59" s="205">
        <v>0.0747</v>
      </c>
      <c r="AC59" s="201"/>
      <c r="AD59" s="223" t="s">
        <v>126</v>
      </c>
      <c r="AE59" s="224">
        <f>AB59/0.2219*1000</f>
        <v>336.638125281658</v>
      </c>
      <c r="AF59" s="224">
        <v>6</v>
      </c>
      <c r="AG59" s="224"/>
      <c r="AH59" s="277">
        <f>AE59*0.2219/1000</f>
        <v>0.0747</v>
      </c>
      <c r="AI59" s="278">
        <f>AB59/AH59</f>
        <v>1</v>
      </c>
      <c r="AJ59" s="211"/>
      <c r="AK59" s="265"/>
      <c r="AL59" s="266"/>
      <c r="AM59" s="266"/>
      <c r="AN59" s="263" t="s">
        <v>127</v>
      </c>
      <c r="AO59" s="263" t="s">
        <v>213</v>
      </c>
      <c r="AP59" s="302"/>
      <c r="AQ59" s="301"/>
      <c r="AR59" s="289">
        <v>1</v>
      </c>
    </row>
    <row r="60" ht="39.95" customHeight="1" spans="1:44">
      <c r="A60" s="42">
        <f t="shared" ref="A60:A69" si="6">ROW()-8</f>
        <v>52</v>
      </c>
      <c r="B60" s="43"/>
      <c r="C60" s="46"/>
      <c r="D60" s="46">
        <v>2</v>
      </c>
      <c r="E60" s="47"/>
      <c r="F60" s="47"/>
      <c r="G60" s="46"/>
      <c r="H60" s="46"/>
      <c r="I60" s="46"/>
      <c r="J60" s="95"/>
      <c r="K60" s="106"/>
      <c r="L60" s="109" t="s">
        <v>333</v>
      </c>
      <c r="M60" s="87" t="s">
        <v>334</v>
      </c>
      <c r="N60" s="90" t="s">
        <v>335</v>
      </c>
      <c r="O60" s="110" t="s">
        <v>175</v>
      </c>
      <c r="P60" s="108" t="s">
        <v>144</v>
      </c>
      <c r="Q60" s="43" t="s">
        <v>92</v>
      </c>
      <c r="R60" s="160"/>
      <c r="S60" s="149" t="s">
        <v>117</v>
      </c>
      <c r="T60" s="129" t="s">
        <v>104</v>
      </c>
      <c r="U60" s="152" t="s">
        <v>97</v>
      </c>
      <c r="V60" s="146" t="s">
        <v>94</v>
      </c>
      <c r="W60" s="150" t="s">
        <v>93</v>
      </c>
      <c r="X60" s="43" t="s">
        <v>336</v>
      </c>
      <c r="Y60" s="45" t="s">
        <v>337</v>
      </c>
      <c r="Z60" s="152" t="s">
        <v>338</v>
      </c>
      <c r="AA60" s="210" t="s">
        <v>339</v>
      </c>
      <c r="AB60" s="205">
        <v>0.14</v>
      </c>
      <c r="AC60" s="201"/>
      <c r="AD60" s="220"/>
      <c r="AE60" s="220"/>
      <c r="AF60" s="220"/>
      <c r="AG60" s="220"/>
      <c r="AH60" s="265">
        <f>AB60</f>
        <v>0.14</v>
      </c>
      <c r="AI60" s="220"/>
      <c r="AJ60" s="220"/>
      <c r="AK60" s="220"/>
      <c r="AL60" s="220"/>
      <c r="AM60" s="220"/>
      <c r="AN60" s="263" t="s">
        <v>127</v>
      </c>
      <c r="AO60" s="263" t="s">
        <v>340</v>
      </c>
      <c r="AP60" s="302"/>
      <c r="AQ60" s="301"/>
      <c r="AR60" s="289">
        <v>1</v>
      </c>
    </row>
    <row r="61" ht="39.95" customHeight="1" spans="1:44">
      <c r="A61" s="42">
        <f t="shared" si="6"/>
        <v>53</v>
      </c>
      <c r="B61" s="43"/>
      <c r="C61" s="46">
        <v>1</v>
      </c>
      <c r="D61" s="46"/>
      <c r="E61" s="47"/>
      <c r="F61" s="47"/>
      <c r="G61" s="46"/>
      <c r="H61" s="46"/>
      <c r="I61" s="46"/>
      <c r="J61" s="95"/>
      <c r="K61" s="106"/>
      <c r="L61" s="109" t="s">
        <v>341</v>
      </c>
      <c r="M61" s="87" t="s">
        <v>341</v>
      </c>
      <c r="N61" s="90" t="s">
        <v>342</v>
      </c>
      <c r="O61" s="110" t="s">
        <v>343</v>
      </c>
      <c r="P61" s="108" t="s">
        <v>117</v>
      </c>
      <c r="Q61" s="43" t="s">
        <v>92</v>
      </c>
      <c r="R61" s="160"/>
      <c r="S61" s="149" t="s">
        <v>42</v>
      </c>
      <c r="T61" s="87" t="s">
        <v>341</v>
      </c>
      <c r="U61" s="152" t="s">
        <v>42</v>
      </c>
      <c r="V61" s="150" t="s">
        <v>93</v>
      </c>
      <c r="W61" s="146" t="s">
        <v>94</v>
      </c>
      <c r="X61" s="108" t="s">
        <v>112</v>
      </c>
      <c r="Y61" s="45" t="s">
        <v>96</v>
      </c>
      <c r="Z61" s="152" t="s">
        <v>97</v>
      </c>
      <c r="AA61" s="210" t="s">
        <v>97</v>
      </c>
      <c r="AB61" s="205">
        <v>1.3844</v>
      </c>
      <c r="AC61" s="201" t="s">
        <v>243</v>
      </c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63" t="s">
        <v>127</v>
      </c>
      <c r="AO61" s="273" t="s">
        <v>344</v>
      </c>
      <c r="AP61" s="302"/>
      <c r="AQ61" s="301"/>
      <c r="AR61" s="289">
        <v>2</v>
      </c>
    </row>
    <row r="62" ht="39.95" customHeight="1" spans="1:44">
      <c r="A62" s="42">
        <f t="shared" si="6"/>
        <v>54</v>
      </c>
      <c r="B62" s="43"/>
      <c r="C62" s="46">
        <v>1</v>
      </c>
      <c r="D62" s="46"/>
      <c r="E62" s="47"/>
      <c r="F62" s="47"/>
      <c r="G62" s="46"/>
      <c r="H62" s="46"/>
      <c r="I62" s="46"/>
      <c r="J62" s="95"/>
      <c r="K62" s="106"/>
      <c r="L62" s="109" t="s">
        <v>345</v>
      </c>
      <c r="M62" s="87" t="s">
        <v>346</v>
      </c>
      <c r="N62" s="90" t="s">
        <v>347</v>
      </c>
      <c r="O62" s="110" t="s">
        <v>175</v>
      </c>
      <c r="P62" s="108" t="s">
        <v>144</v>
      </c>
      <c r="Q62" s="43" t="s">
        <v>92</v>
      </c>
      <c r="R62" s="160"/>
      <c r="S62" s="149" t="s">
        <v>42</v>
      </c>
      <c r="T62" s="129" t="s">
        <v>104</v>
      </c>
      <c r="U62" s="152" t="s">
        <v>97</v>
      </c>
      <c r="V62" s="146" t="s">
        <v>94</v>
      </c>
      <c r="W62" s="150" t="s">
        <v>93</v>
      </c>
      <c r="X62" s="43" t="s">
        <v>169</v>
      </c>
      <c r="Y62" s="45" t="s">
        <v>348</v>
      </c>
      <c r="Z62" s="152" t="s">
        <v>218</v>
      </c>
      <c r="AA62" s="210" t="s">
        <v>349</v>
      </c>
      <c r="AB62" s="205">
        <v>0.1328</v>
      </c>
      <c r="AC62" s="201" t="s">
        <v>243</v>
      </c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63" t="s">
        <v>127</v>
      </c>
      <c r="AO62" s="273" t="s">
        <v>344</v>
      </c>
      <c r="AP62" s="302"/>
      <c r="AQ62" s="301"/>
      <c r="AR62" s="289">
        <v>1</v>
      </c>
    </row>
    <row r="63" ht="39.95" customHeight="1" spans="1:44">
      <c r="A63" s="42">
        <f t="shared" si="6"/>
        <v>55</v>
      </c>
      <c r="B63" s="43"/>
      <c r="C63" s="46">
        <v>1</v>
      </c>
      <c r="D63" s="46"/>
      <c r="E63" s="47"/>
      <c r="F63" s="47"/>
      <c r="G63" s="46"/>
      <c r="H63" s="46"/>
      <c r="I63" s="46"/>
      <c r="J63" s="95"/>
      <c r="K63" s="106"/>
      <c r="L63" s="109" t="s">
        <v>350</v>
      </c>
      <c r="M63" s="87"/>
      <c r="N63" s="90" t="s">
        <v>351</v>
      </c>
      <c r="O63" s="134" t="s">
        <v>175</v>
      </c>
      <c r="P63" s="108" t="s">
        <v>117</v>
      </c>
      <c r="Q63" s="174" t="s">
        <v>160</v>
      </c>
      <c r="R63" s="175"/>
      <c r="S63" s="176" t="s">
        <v>42</v>
      </c>
      <c r="T63" s="177" t="s">
        <v>104</v>
      </c>
      <c r="U63" s="177" t="s">
        <v>97</v>
      </c>
      <c r="V63" s="178" t="s">
        <v>94</v>
      </c>
      <c r="W63" s="166" t="s">
        <v>93</v>
      </c>
      <c r="X63" s="122" t="s">
        <v>242</v>
      </c>
      <c r="Y63" s="120" t="s">
        <v>96</v>
      </c>
      <c r="Z63" s="177" t="s">
        <v>97</v>
      </c>
      <c r="AA63" s="174" t="s">
        <v>97</v>
      </c>
      <c r="AB63" s="229">
        <f>AB64</f>
        <v>0.6453</v>
      </c>
      <c r="AC63" s="230" t="s">
        <v>243</v>
      </c>
      <c r="AD63" s="221" t="s">
        <v>243</v>
      </c>
      <c r="AE63" s="211"/>
      <c r="AF63" s="211"/>
      <c r="AG63" s="211"/>
      <c r="AH63" s="265"/>
      <c r="AI63" s="274"/>
      <c r="AJ63" s="211"/>
      <c r="AK63" s="265">
        <f>SUM(AK65:AK68)</f>
        <v>0.06101556</v>
      </c>
      <c r="AL63" s="266">
        <f>0.001*60</f>
        <v>0.06</v>
      </c>
      <c r="AM63" s="276">
        <v>7</v>
      </c>
      <c r="AN63" s="263" t="s">
        <v>99</v>
      </c>
      <c r="AO63" s="263" t="s">
        <v>244</v>
      </c>
      <c r="AP63" s="302"/>
      <c r="AQ63" s="301"/>
      <c r="AR63" s="289">
        <v>1</v>
      </c>
    </row>
    <row r="64" ht="39.95" customHeight="1" spans="1:44">
      <c r="A64" s="42">
        <f t="shared" si="6"/>
        <v>56</v>
      </c>
      <c r="B64" s="43"/>
      <c r="C64" s="46"/>
      <c r="D64" s="46">
        <v>2</v>
      </c>
      <c r="E64" s="47"/>
      <c r="F64" s="47"/>
      <c r="G64" s="46"/>
      <c r="H64" s="46"/>
      <c r="I64" s="46"/>
      <c r="J64" s="95"/>
      <c r="K64" s="106"/>
      <c r="L64" s="118" t="s">
        <v>352</v>
      </c>
      <c r="M64" s="87" t="s">
        <v>353</v>
      </c>
      <c r="N64" s="90" t="s">
        <v>354</v>
      </c>
      <c r="O64" s="91" t="s">
        <v>175</v>
      </c>
      <c r="P64" s="108" t="s">
        <v>117</v>
      </c>
      <c r="Q64" s="43" t="s">
        <v>92</v>
      </c>
      <c r="R64" s="160"/>
      <c r="S64" s="149" t="s">
        <v>42</v>
      </c>
      <c r="T64" s="129" t="s">
        <v>104</v>
      </c>
      <c r="U64" s="152" t="s">
        <v>97</v>
      </c>
      <c r="V64" s="146" t="s">
        <v>94</v>
      </c>
      <c r="W64" s="150" t="s">
        <v>93</v>
      </c>
      <c r="X64" s="108" t="s">
        <v>112</v>
      </c>
      <c r="Y64" s="45" t="s">
        <v>96</v>
      </c>
      <c r="Z64" s="152" t="s">
        <v>97</v>
      </c>
      <c r="AA64" s="210" t="s">
        <v>97</v>
      </c>
      <c r="AB64" s="205">
        <f>AB65+AB66*AR66+AB67*AR67+AB68</f>
        <v>0.6453</v>
      </c>
      <c r="AC64" s="201" t="s">
        <v>243</v>
      </c>
      <c r="AD64" s="221" t="s">
        <v>157</v>
      </c>
      <c r="AE64" s="211"/>
      <c r="AF64" s="211"/>
      <c r="AG64" s="211"/>
      <c r="AH64" s="265"/>
      <c r="AI64" s="274"/>
      <c r="AJ64" s="211">
        <v>20</v>
      </c>
      <c r="AK64" s="265"/>
      <c r="AL64" s="266">
        <f>9*AJ64/600+10*6/60</f>
        <v>1.3</v>
      </c>
      <c r="AM64" s="276">
        <v>1</v>
      </c>
      <c r="AN64" s="263" t="s">
        <v>99</v>
      </c>
      <c r="AO64" s="263" t="s">
        <v>158</v>
      </c>
      <c r="AP64" s="302"/>
      <c r="AQ64" s="301"/>
      <c r="AR64" s="289">
        <v>1</v>
      </c>
    </row>
    <row r="65" ht="39.95" customHeight="1" spans="1:44">
      <c r="A65" s="42">
        <f t="shared" si="6"/>
        <v>57</v>
      </c>
      <c r="B65" s="43"/>
      <c r="C65" s="46"/>
      <c r="D65" s="46"/>
      <c r="E65" s="47">
        <v>3</v>
      </c>
      <c r="F65" s="47"/>
      <c r="G65" s="46"/>
      <c r="H65" s="46"/>
      <c r="I65" s="46"/>
      <c r="J65" s="95"/>
      <c r="K65" s="106"/>
      <c r="L65" s="118" t="s">
        <v>355</v>
      </c>
      <c r="M65" s="87" t="s">
        <v>356</v>
      </c>
      <c r="N65" s="90" t="s">
        <v>357</v>
      </c>
      <c r="O65" s="91" t="s">
        <v>175</v>
      </c>
      <c r="P65" s="108" t="s">
        <v>144</v>
      </c>
      <c r="Q65" s="43" t="s">
        <v>92</v>
      </c>
      <c r="R65" s="160"/>
      <c r="S65" s="149" t="s">
        <v>42</v>
      </c>
      <c r="T65" s="129" t="s">
        <v>104</v>
      </c>
      <c r="U65" s="152" t="s">
        <v>97</v>
      </c>
      <c r="V65" s="146" t="s">
        <v>94</v>
      </c>
      <c r="W65" s="150" t="s">
        <v>93</v>
      </c>
      <c r="X65" s="43" t="s">
        <v>169</v>
      </c>
      <c r="Y65" s="45" t="s">
        <v>358</v>
      </c>
      <c r="Z65" s="152" t="s">
        <v>294</v>
      </c>
      <c r="AA65" s="210" t="s">
        <v>359</v>
      </c>
      <c r="AB65" s="205">
        <v>0.3427</v>
      </c>
      <c r="AC65" s="235" t="s">
        <v>97</v>
      </c>
      <c r="AD65" s="223" t="s">
        <v>165</v>
      </c>
      <c r="AE65" s="224">
        <v>357</v>
      </c>
      <c r="AF65" s="224">
        <v>22</v>
      </c>
      <c r="AG65" s="224">
        <v>2</v>
      </c>
      <c r="AH65" s="277">
        <f>AE65*0.9864/1000</f>
        <v>0.3521448</v>
      </c>
      <c r="AI65" s="278">
        <f>AB65/AH65</f>
        <v>0.973179214913865</v>
      </c>
      <c r="AJ65" s="224"/>
      <c r="AK65" s="277">
        <f>AE65*AF65*3.14/1000000</f>
        <v>0.02466156</v>
      </c>
      <c r="AL65" s="266">
        <f>0.0028*60</f>
        <v>0.168</v>
      </c>
      <c r="AM65" s="276">
        <v>1</v>
      </c>
      <c r="AN65" s="263" t="s">
        <v>99</v>
      </c>
      <c r="AO65" s="263" t="s">
        <v>166</v>
      </c>
      <c r="AP65" s="302"/>
      <c r="AQ65" s="301"/>
      <c r="AR65" s="289">
        <v>1</v>
      </c>
    </row>
    <row r="66" ht="39.95" customHeight="1" spans="1:44">
      <c r="A66" s="42">
        <f t="shared" si="6"/>
        <v>58</v>
      </c>
      <c r="B66" s="43"/>
      <c r="C66" s="46"/>
      <c r="D66" s="46"/>
      <c r="E66" s="47">
        <v>3</v>
      </c>
      <c r="F66" s="47"/>
      <c r="G66" s="46"/>
      <c r="H66" s="46"/>
      <c r="I66" s="46"/>
      <c r="J66" s="95"/>
      <c r="K66" s="106"/>
      <c r="L66" s="118" t="s">
        <v>360</v>
      </c>
      <c r="M66" s="87" t="s">
        <v>361</v>
      </c>
      <c r="N66" s="90" t="s">
        <v>362</v>
      </c>
      <c r="O66" s="91" t="s">
        <v>175</v>
      </c>
      <c r="P66" s="108" t="s">
        <v>144</v>
      </c>
      <c r="Q66" s="43" t="s">
        <v>92</v>
      </c>
      <c r="R66" s="160"/>
      <c r="S66" s="149" t="s">
        <v>42</v>
      </c>
      <c r="T66" s="129" t="s">
        <v>104</v>
      </c>
      <c r="U66" s="152" t="s">
        <v>97</v>
      </c>
      <c r="V66" s="146" t="s">
        <v>94</v>
      </c>
      <c r="W66" s="150" t="s">
        <v>93</v>
      </c>
      <c r="X66" s="43" t="s">
        <v>189</v>
      </c>
      <c r="Y66" s="45" t="s">
        <v>363</v>
      </c>
      <c r="Z66" s="152" t="s">
        <v>191</v>
      </c>
      <c r="AA66" s="210" t="s">
        <v>364</v>
      </c>
      <c r="AB66" s="205">
        <v>0.1009</v>
      </c>
      <c r="AC66" s="235" t="s">
        <v>97</v>
      </c>
      <c r="AD66" s="223" t="s">
        <v>193</v>
      </c>
      <c r="AE66" s="224">
        <v>124</v>
      </c>
      <c r="AF66" s="224">
        <v>80</v>
      </c>
      <c r="AG66" s="224">
        <v>2.5</v>
      </c>
      <c r="AH66" s="277">
        <f>AE66*AF66*AG66*7860/1000000000</f>
        <v>0.194928</v>
      </c>
      <c r="AI66" s="278">
        <f>AB66/AH66</f>
        <v>0.517627021259132</v>
      </c>
      <c r="AJ66" s="224"/>
      <c r="AK66" s="277">
        <f>AE66*AF66*2/1000000</f>
        <v>0.01984</v>
      </c>
      <c r="AL66" s="266"/>
      <c r="AM66" s="266"/>
      <c r="AN66" s="263" t="s">
        <v>127</v>
      </c>
      <c r="AO66" s="263" t="s">
        <v>200</v>
      </c>
      <c r="AP66" s="302"/>
      <c r="AQ66" s="301"/>
      <c r="AR66" s="289">
        <v>2</v>
      </c>
    </row>
    <row r="67" ht="39.95" customHeight="1" spans="1:44">
      <c r="A67" s="42">
        <f t="shared" si="6"/>
        <v>59</v>
      </c>
      <c r="B67" s="43"/>
      <c r="C67" s="46"/>
      <c r="D67" s="46"/>
      <c r="E67" s="47">
        <v>3</v>
      </c>
      <c r="F67" s="47"/>
      <c r="G67" s="46"/>
      <c r="H67" s="46"/>
      <c r="I67" s="46"/>
      <c r="J67" s="95"/>
      <c r="K67" s="106"/>
      <c r="L67" s="118" t="s">
        <v>296</v>
      </c>
      <c r="M67" s="87" t="s">
        <v>297</v>
      </c>
      <c r="N67" s="90" t="s">
        <v>298</v>
      </c>
      <c r="O67" s="91" t="s">
        <v>175</v>
      </c>
      <c r="P67" s="108" t="s">
        <v>144</v>
      </c>
      <c r="Q67" s="43" t="s">
        <v>92</v>
      </c>
      <c r="R67" s="160"/>
      <c r="S67" s="149" t="s">
        <v>42</v>
      </c>
      <c r="T67" s="129" t="s">
        <v>104</v>
      </c>
      <c r="U67" s="152" t="s">
        <v>97</v>
      </c>
      <c r="V67" s="146" t="s">
        <v>94</v>
      </c>
      <c r="W67" s="150" t="s">
        <v>93</v>
      </c>
      <c r="X67" s="43" t="s">
        <v>189</v>
      </c>
      <c r="Y67" s="45" t="s">
        <v>299</v>
      </c>
      <c r="Z67" s="152" t="s">
        <v>191</v>
      </c>
      <c r="AA67" s="210" t="s">
        <v>300</v>
      </c>
      <c r="AB67" s="205">
        <v>0.0374</v>
      </c>
      <c r="AC67" s="235" t="s">
        <v>97</v>
      </c>
      <c r="AD67" s="223" t="s">
        <v>193</v>
      </c>
      <c r="AE67" s="224">
        <v>72</v>
      </c>
      <c r="AF67" s="224">
        <v>71</v>
      </c>
      <c r="AG67" s="224">
        <v>2</v>
      </c>
      <c r="AH67" s="277">
        <f>AE67*AF67*AG67*7860/1000000000</f>
        <v>0.08036064</v>
      </c>
      <c r="AI67" s="278">
        <f>AB67/AH67</f>
        <v>0.465401967928578</v>
      </c>
      <c r="AJ67" s="224"/>
      <c r="AK67" s="277">
        <f>AE67*AF67*2/1000000</f>
        <v>0.010224</v>
      </c>
      <c r="AL67" s="266"/>
      <c r="AM67" s="266"/>
      <c r="AN67" s="263" t="s">
        <v>127</v>
      </c>
      <c r="AO67" s="263" t="s">
        <v>301</v>
      </c>
      <c r="AP67" s="302"/>
      <c r="AQ67" s="301"/>
      <c r="AR67" s="289">
        <v>2</v>
      </c>
    </row>
    <row r="68" ht="39.95" customHeight="1" spans="1:44">
      <c r="A68" s="42">
        <f t="shared" si="6"/>
        <v>60</v>
      </c>
      <c r="B68" s="43"/>
      <c r="C68" s="46"/>
      <c r="D68" s="46"/>
      <c r="E68" s="47">
        <v>3</v>
      </c>
      <c r="F68" s="47"/>
      <c r="G68" s="46"/>
      <c r="H68" s="46"/>
      <c r="I68" s="46"/>
      <c r="J68" s="95"/>
      <c r="K68" s="106"/>
      <c r="L68" s="118" t="s">
        <v>365</v>
      </c>
      <c r="M68" s="87" t="s">
        <v>366</v>
      </c>
      <c r="N68" s="90" t="s">
        <v>367</v>
      </c>
      <c r="O68" s="91" t="s">
        <v>175</v>
      </c>
      <c r="P68" s="108" t="s">
        <v>144</v>
      </c>
      <c r="Q68" s="43" t="s">
        <v>92</v>
      </c>
      <c r="R68" s="160"/>
      <c r="S68" s="149" t="s">
        <v>42</v>
      </c>
      <c r="T68" s="129" t="s">
        <v>104</v>
      </c>
      <c r="U68" s="152" t="s">
        <v>97</v>
      </c>
      <c r="V68" s="146" t="s">
        <v>94</v>
      </c>
      <c r="W68" s="150" t="s">
        <v>93</v>
      </c>
      <c r="X68" s="43" t="s">
        <v>189</v>
      </c>
      <c r="Y68" s="45" t="s">
        <v>368</v>
      </c>
      <c r="Z68" s="152" t="s">
        <v>182</v>
      </c>
      <c r="AA68" s="210" t="s">
        <v>369</v>
      </c>
      <c r="AB68" s="205">
        <v>0.026</v>
      </c>
      <c r="AC68" s="235" t="s">
        <v>97</v>
      </c>
      <c r="AD68" s="223" t="s">
        <v>193</v>
      </c>
      <c r="AE68" s="211">
        <v>85</v>
      </c>
      <c r="AF68" s="211">
        <v>37</v>
      </c>
      <c r="AG68" s="224">
        <v>2</v>
      </c>
      <c r="AH68" s="277">
        <f>AE68*AF68*AG68*7860/1000000000</f>
        <v>0.0494394</v>
      </c>
      <c r="AI68" s="278">
        <f>AB68/AH68</f>
        <v>0.525896349874796</v>
      </c>
      <c r="AJ68" s="224"/>
      <c r="AK68" s="277">
        <f>AE68*AF68*2/1000000</f>
        <v>0.00629</v>
      </c>
      <c r="AL68" s="266"/>
      <c r="AM68" s="266"/>
      <c r="AN68" s="263" t="s">
        <v>127</v>
      </c>
      <c r="AO68" s="263" t="s">
        <v>370</v>
      </c>
      <c r="AP68" s="302"/>
      <c r="AQ68" s="301"/>
      <c r="AR68" s="289">
        <v>1</v>
      </c>
    </row>
    <row r="69" ht="39.95" customHeight="1" spans="1:44">
      <c r="A69" s="42">
        <f t="shared" si="6"/>
        <v>61</v>
      </c>
      <c r="B69" s="43"/>
      <c r="C69" s="46">
        <v>1</v>
      </c>
      <c r="D69" s="46"/>
      <c r="E69" s="58"/>
      <c r="F69" s="47"/>
      <c r="G69" s="46"/>
      <c r="H69" s="46"/>
      <c r="I69" s="46"/>
      <c r="J69" s="95"/>
      <c r="K69" s="106"/>
      <c r="L69" s="109" t="s">
        <v>371</v>
      </c>
      <c r="M69" s="87"/>
      <c r="N69" s="90" t="s">
        <v>372</v>
      </c>
      <c r="O69" s="91" t="s">
        <v>373</v>
      </c>
      <c r="P69" s="417" t="s">
        <v>144</v>
      </c>
      <c r="Q69" s="174" t="s">
        <v>160</v>
      </c>
      <c r="R69" s="426"/>
      <c r="S69" s="176" t="s">
        <v>42</v>
      </c>
      <c r="T69" s="427" t="s">
        <v>374</v>
      </c>
      <c r="U69" s="176" t="s">
        <v>42</v>
      </c>
      <c r="V69" s="166" t="s">
        <v>93</v>
      </c>
      <c r="W69" s="426" t="s">
        <v>94</v>
      </c>
      <c r="X69" s="122" t="s">
        <v>242</v>
      </c>
      <c r="Y69" s="120" t="s">
        <v>96</v>
      </c>
      <c r="Z69" s="177" t="s">
        <v>97</v>
      </c>
      <c r="AA69" s="177" t="s">
        <v>97</v>
      </c>
      <c r="AB69" s="229">
        <f>AB70+AB77+AB87*AR87</f>
        <v>7.701</v>
      </c>
      <c r="AC69" s="118" t="s">
        <v>375</v>
      </c>
      <c r="AD69" s="246" t="s">
        <v>243</v>
      </c>
      <c r="AE69" s="207"/>
      <c r="AF69" s="207"/>
      <c r="AG69" s="207"/>
      <c r="AH69" s="260"/>
      <c r="AI69" s="261"/>
      <c r="AJ69" s="207"/>
      <c r="AK69" s="260">
        <f>SUM(AK72:AK88)</f>
        <v>0.70366968</v>
      </c>
      <c r="AL69" s="262">
        <f>0.0032*60</f>
        <v>0.192</v>
      </c>
      <c r="AM69" s="276">
        <v>7</v>
      </c>
      <c r="AN69" s="263" t="s">
        <v>127</v>
      </c>
      <c r="AO69" s="263" t="s">
        <v>376</v>
      </c>
      <c r="AP69" s="302"/>
      <c r="AQ69" s="301"/>
      <c r="AR69" s="289">
        <v>1</v>
      </c>
    </row>
    <row r="70" ht="39.95" customHeight="1" spans="1:44">
      <c r="A70" s="42">
        <f t="shared" ref="A70:A80" si="7">ROW()-8</f>
        <v>62</v>
      </c>
      <c r="B70" s="43"/>
      <c r="C70" s="46"/>
      <c r="D70" s="59">
        <v>2</v>
      </c>
      <c r="E70" s="59"/>
      <c r="F70" s="46"/>
      <c r="G70" s="59"/>
      <c r="H70" s="46"/>
      <c r="I70" s="46"/>
      <c r="J70" s="95"/>
      <c r="K70" s="95"/>
      <c r="L70" s="109" t="s">
        <v>374</v>
      </c>
      <c r="M70" s="129" t="s">
        <v>374</v>
      </c>
      <c r="N70" s="90" t="s">
        <v>377</v>
      </c>
      <c r="O70" s="139" t="s">
        <v>373</v>
      </c>
      <c r="P70" s="97" t="s">
        <v>144</v>
      </c>
      <c r="Q70" s="43" t="s">
        <v>92</v>
      </c>
      <c r="R70" s="153"/>
      <c r="S70" s="149" t="s">
        <v>42</v>
      </c>
      <c r="T70" s="129" t="s">
        <v>374</v>
      </c>
      <c r="U70" s="149" t="s">
        <v>42</v>
      </c>
      <c r="V70" s="150" t="s">
        <v>93</v>
      </c>
      <c r="W70" s="186" t="s">
        <v>94</v>
      </c>
      <c r="X70" s="108" t="s">
        <v>112</v>
      </c>
      <c r="Y70" s="45" t="s">
        <v>96</v>
      </c>
      <c r="Z70" s="152" t="s">
        <v>97</v>
      </c>
      <c r="AA70" s="129" t="s">
        <v>97</v>
      </c>
      <c r="AB70" s="205">
        <f>AB71+AB81+AB88*AR88</f>
        <v>7.4664</v>
      </c>
      <c r="AC70" s="235"/>
      <c r="AD70" s="246" t="s">
        <v>157</v>
      </c>
      <c r="AE70" s="207"/>
      <c r="AF70" s="207"/>
      <c r="AG70" s="207"/>
      <c r="AH70" s="260"/>
      <c r="AI70" s="261"/>
      <c r="AJ70" s="207">
        <v>12</v>
      </c>
      <c r="AK70" s="260"/>
      <c r="AL70" s="266">
        <f>9*AJ70/600+10*5/60</f>
        <v>1.01333333333333</v>
      </c>
      <c r="AM70" s="276">
        <v>1</v>
      </c>
      <c r="AN70" s="263" t="s">
        <v>99</v>
      </c>
      <c r="AO70" s="263" t="s">
        <v>158</v>
      </c>
      <c r="AP70" s="302"/>
      <c r="AQ70" s="314"/>
      <c r="AR70" s="109">
        <v>1</v>
      </c>
    </row>
    <row r="71" ht="39.95" customHeight="1" spans="1:44">
      <c r="A71" s="42">
        <f t="shared" si="7"/>
        <v>63</v>
      </c>
      <c r="B71" s="43"/>
      <c r="C71" s="46"/>
      <c r="D71" s="59"/>
      <c r="E71" s="59">
        <v>3</v>
      </c>
      <c r="F71" s="46"/>
      <c r="G71" s="59"/>
      <c r="H71" s="46"/>
      <c r="I71" s="46"/>
      <c r="J71" s="95"/>
      <c r="K71" s="95"/>
      <c r="L71" s="109"/>
      <c r="M71" s="129" t="s">
        <v>378</v>
      </c>
      <c r="N71" s="90" t="s">
        <v>379</v>
      </c>
      <c r="O71" s="139" t="s">
        <v>373</v>
      </c>
      <c r="P71" s="97" t="s">
        <v>144</v>
      </c>
      <c r="Q71" s="43" t="s">
        <v>92</v>
      </c>
      <c r="R71" s="153"/>
      <c r="S71" s="149" t="s">
        <v>42</v>
      </c>
      <c r="T71" s="129" t="s">
        <v>378</v>
      </c>
      <c r="U71" s="149" t="s">
        <v>42</v>
      </c>
      <c r="V71" s="150" t="s">
        <v>93</v>
      </c>
      <c r="W71" s="186" t="s">
        <v>94</v>
      </c>
      <c r="X71" s="108" t="s">
        <v>112</v>
      </c>
      <c r="Y71" s="45" t="s">
        <v>96</v>
      </c>
      <c r="Z71" s="152" t="s">
        <v>97</v>
      </c>
      <c r="AA71" s="129" t="s">
        <v>97</v>
      </c>
      <c r="AB71" s="205">
        <f>AB72+AB73+AB74+AB75*AR75+AB76+AB77</f>
        <v>3.439</v>
      </c>
      <c r="AC71" s="235" t="s">
        <v>97</v>
      </c>
      <c r="AD71" s="246" t="s">
        <v>157</v>
      </c>
      <c r="AE71" s="207"/>
      <c r="AF71" s="207"/>
      <c r="AG71" s="207"/>
      <c r="AH71" s="260"/>
      <c r="AI71" s="261"/>
      <c r="AJ71" s="207">
        <v>73</v>
      </c>
      <c r="AK71" s="260"/>
      <c r="AL71" s="266">
        <f>9*AJ71/600+10*8/60</f>
        <v>2.42833333333333</v>
      </c>
      <c r="AM71" s="276">
        <v>1</v>
      </c>
      <c r="AN71" s="263" t="s">
        <v>105</v>
      </c>
      <c r="AO71" s="263" t="s">
        <v>158</v>
      </c>
      <c r="AP71" s="302"/>
      <c r="AQ71" s="314"/>
      <c r="AR71" s="109">
        <v>1</v>
      </c>
    </row>
    <row r="72" ht="39.95" customHeight="1" spans="1:44">
      <c r="A72" s="42">
        <f t="shared" si="7"/>
        <v>64</v>
      </c>
      <c r="B72" s="43"/>
      <c r="C72" s="46"/>
      <c r="D72" s="59"/>
      <c r="E72" s="59"/>
      <c r="F72" s="46">
        <v>4</v>
      </c>
      <c r="G72" s="59"/>
      <c r="H72" s="46"/>
      <c r="I72" s="46"/>
      <c r="J72" s="95"/>
      <c r="K72" s="95"/>
      <c r="L72" s="109" t="s">
        <v>380</v>
      </c>
      <c r="M72" s="129" t="s">
        <v>380</v>
      </c>
      <c r="N72" s="90" t="s">
        <v>381</v>
      </c>
      <c r="O72" s="139" t="s">
        <v>373</v>
      </c>
      <c r="P72" s="97" t="s">
        <v>144</v>
      </c>
      <c r="Q72" s="43" t="s">
        <v>92</v>
      </c>
      <c r="R72" s="153"/>
      <c r="S72" s="149" t="s">
        <v>42</v>
      </c>
      <c r="T72" s="129" t="s">
        <v>380</v>
      </c>
      <c r="U72" s="149" t="s">
        <v>42</v>
      </c>
      <c r="V72" s="150" t="s">
        <v>93</v>
      </c>
      <c r="W72" s="186" t="s">
        <v>94</v>
      </c>
      <c r="X72" s="43" t="s">
        <v>169</v>
      </c>
      <c r="Y72" s="336" t="s">
        <v>382</v>
      </c>
      <c r="Z72" s="152" t="s">
        <v>182</v>
      </c>
      <c r="AA72" s="129" t="s">
        <v>383</v>
      </c>
      <c r="AB72" s="205">
        <v>0.947</v>
      </c>
      <c r="AC72" s="235" t="s">
        <v>97</v>
      </c>
      <c r="AD72" s="246" t="s">
        <v>384</v>
      </c>
      <c r="AE72" s="207">
        <v>420</v>
      </c>
      <c r="AF72" s="207"/>
      <c r="AG72" s="207"/>
      <c r="AH72" s="260">
        <f>AE72*2.4/1000</f>
        <v>1.008</v>
      </c>
      <c r="AI72" s="278">
        <f t="shared" ref="AI72:AI77" si="8">AB72/AH72</f>
        <v>0.939484126984127</v>
      </c>
      <c r="AJ72" s="207"/>
      <c r="AK72" s="260">
        <f>(40+20+34+14)*2*AE72/1000000</f>
        <v>0.09072</v>
      </c>
      <c r="AL72" s="262">
        <f>0.0028*60</f>
        <v>0.168</v>
      </c>
      <c r="AM72" s="264">
        <v>1</v>
      </c>
      <c r="AN72" s="263" t="s">
        <v>99</v>
      </c>
      <c r="AO72" s="263" t="s">
        <v>166</v>
      </c>
      <c r="AP72" s="302"/>
      <c r="AQ72" s="314"/>
      <c r="AR72" s="109">
        <v>1</v>
      </c>
    </row>
    <row r="73" ht="39.95" customHeight="1" spans="1:44">
      <c r="A73" s="42">
        <f t="shared" si="7"/>
        <v>65</v>
      </c>
      <c r="B73" s="43"/>
      <c r="C73" s="46"/>
      <c r="D73" s="59"/>
      <c r="E73" s="59"/>
      <c r="F73" s="46">
        <v>4</v>
      </c>
      <c r="G73" s="59"/>
      <c r="H73" s="46"/>
      <c r="I73" s="46"/>
      <c r="J73" s="95"/>
      <c r="K73" s="95"/>
      <c r="L73" s="109" t="s">
        <v>385</v>
      </c>
      <c r="M73" s="129" t="s">
        <v>385</v>
      </c>
      <c r="N73" s="90" t="s">
        <v>386</v>
      </c>
      <c r="O73" s="139" t="s">
        <v>373</v>
      </c>
      <c r="P73" s="97" t="s">
        <v>144</v>
      </c>
      <c r="Q73" s="43" t="s">
        <v>92</v>
      </c>
      <c r="R73" s="153"/>
      <c r="S73" s="149" t="s">
        <v>42</v>
      </c>
      <c r="T73" s="129" t="s">
        <v>385</v>
      </c>
      <c r="U73" s="149" t="s">
        <v>42</v>
      </c>
      <c r="V73" s="150" t="s">
        <v>93</v>
      </c>
      <c r="W73" s="186" t="s">
        <v>94</v>
      </c>
      <c r="X73" s="43" t="s">
        <v>169</v>
      </c>
      <c r="Y73" s="336" t="s">
        <v>382</v>
      </c>
      <c r="Z73" s="152" t="s">
        <v>182</v>
      </c>
      <c r="AA73" s="129" t="s">
        <v>387</v>
      </c>
      <c r="AB73" s="205">
        <v>1.6985</v>
      </c>
      <c r="AC73" s="235" t="s">
        <v>97</v>
      </c>
      <c r="AD73" s="246" t="s">
        <v>165</v>
      </c>
      <c r="AE73" s="207">
        <f>AB73/2.4*1000+10</f>
        <v>717.708333333333</v>
      </c>
      <c r="AF73" s="207"/>
      <c r="AG73" s="207"/>
      <c r="AH73" s="260">
        <f>AE73*2.4/1000</f>
        <v>1.7225</v>
      </c>
      <c r="AI73" s="278">
        <f t="shared" si="8"/>
        <v>0.986066763425254</v>
      </c>
      <c r="AJ73" s="207"/>
      <c r="AK73" s="260">
        <f>(40+20+34+14)*2*AE73/1000000</f>
        <v>0.155025</v>
      </c>
      <c r="AL73" s="266">
        <f>0.0195*60</f>
        <v>1.17</v>
      </c>
      <c r="AM73" s="276">
        <v>1</v>
      </c>
      <c r="AN73" s="263" t="s">
        <v>99</v>
      </c>
      <c r="AO73" s="263" t="s">
        <v>166</v>
      </c>
      <c r="AP73" s="302"/>
      <c r="AQ73" s="314"/>
      <c r="AR73" s="109">
        <v>1</v>
      </c>
    </row>
    <row r="74" ht="39.95" customHeight="1" spans="1:44">
      <c r="A74" s="42">
        <f t="shared" si="7"/>
        <v>66</v>
      </c>
      <c r="B74" s="43"/>
      <c r="C74" s="46"/>
      <c r="D74" s="59"/>
      <c r="E74" s="59"/>
      <c r="F74" s="46">
        <v>4</v>
      </c>
      <c r="G74" s="59"/>
      <c r="H74" s="46"/>
      <c r="I74" s="46"/>
      <c r="J74" s="95"/>
      <c r="K74" s="95"/>
      <c r="L74" s="109" t="s">
        <v>388</v>
      </c>
      <c r="M74" s="129" t="s">
        <v>388</v>
      </c>
      <c r="N74" s="90" t="s">
        <v>389</v>
      </c>
      <c r="O74" s="139" t="s">
        <v>373</v>
      </c>
      <c r="P74" s="97" t="s">
        <v>144</v>
      </c>
      <c r="Q74" s="43" t="s">
        <v>92</v>
      </c>
      <c r="R74" s="153"/>
      <c r="S74" s="149" t="s">
        <v>42</v>
      </c>
      <c r="T74" s="129" t="s">
        <v>388</v>
      </c>
      <c r="U74" s="149" t="s">
        <v>42</v>
      </c>
      <c r="V74" s="150" t="s">
        <v>93</v>
      </c>
      <c r="W74" s="186" t="s">
        <v>94</v>
      </c>
      <c r="X74" s="43" t="s">
        <v>169</v>
      </c>
      <c r="Y74" s="336" t="s">
        <v>382</v>
      </c>
      <c r="Z74" s="152" t="s">
        <v>182</v>
      </c>
      <c r="AA74" s="129" t="s">
        <v>390</v>
      </c>
      <c r="AB74" s="205">
        <v>0.4609</v>
      </c>
      <c r="AC74" s="235" t="s">
        <v>97</v>
      </c>
      <c r="AD74" s="246" t="s">
        <v>384</v>
      </c>
      <c r="AE74" s="207">
        <v>202</v>
      </c>
      <c r="AF74" s="207"/>
      <c r="AG74" s="207"/>
      <c r="AH74" s="260">
        <f>AE74*2.4/1000</f>
        <v>0.4848</v>
      </c>
      <c r="AI74" s="278">
        <f t="shared" si="8"/>
        <v>0.950701320132013</v>
      </c>
      <c r="AJ74" s="207"/>
      <c r="AK74" s="260">
        <f>(40+20+34+14)*2*AE74/1000000</f>
        <v>0.043632</v>
      </c>
      <c r="AL74" s="262">
        <f>0.0028*60</f>
        <v>0.168</v>
      </c>
      <c r="AM74" s="264">
        <v>1</v>
      </c>
      <c r="AN74" s="263" t="s">
        <v>99</v>
      </c>
      <c r="AO74" s="263" t="s">
        <v>166</v>
      </c>
      <c r="AP74" s="302"/>
      <c r="AQ74" s="314"/>
      <c r="AR74" s="109">
        <v>1</v>
      </c>
    </row>
    <row r="75" s="11" customFormat="1" ht="39.95" customHeight="1" spans="1:44">
      <c r="A75" s="414">
        <f t="shared" si="7"/>
        <v>67</v>
      </c>
      <c r="B75" s="55"/>
      <c r="C75" s="56"/>
      <c r="D75" s="415"/>
      <c r="E75" s="415"/>
      <c r="F75" s="56">
        <v>4</v>
      </c>
      <c r="G75" s="415"/>
      <c r="H75" s="56"/>
      <c r="I75" s="56"/>
      <c r="J75" s="123"/>
      <c r="K75" s="123"/>
      <c r="L75" s="409" t="s">
        <v>391</v>
      </c>
      <c r="M75" s="182" t="s">
        <v>391</v>
      </c>
      <c r="N75" s="124" t="s">
        <v>392</v>
      </c>
      <c r="O75" s="418" t="s">
        <v>393</v>
      </c>
      <c r="P75" s="419" t="s">
        <v>144</v>
      </c>
      <c r="Q75" s="55" t="s">
        <v>92</v>
      </c>
      <c r="R75" s="428"/>
      <c r="S75" s="181" t="s">
        <v>42</v>
      </c>
      <c r="T75" s="182" t="s">
        <v>391</v>
      </c>
      <c r="U75" s="181" t="s">
        <v>42</v>
      </c>
      <c r="V75" s="184" t="s">
        <v>93</v>
      </c>
      <c r="W75" s="185" t="s">
        <v>94</v>
      </c>
      <c r="X75" s="128" t="s">
        <v>394</v>
      </c>
      <c r="Y75" s="231" t="s">
        <v>395</v>
      </c>
      <c r="Z75" s="183" t="s">
        <v>97</v>
      </c>
      <c r="AA75" s="182" t="s">
        <v>396</v>
      </c>
      <c r="AB75" s="233">
        <v>0.0268</v>
      </c>
      <c r="AC75" s="432" t="s">
        <v>97</v>
      </c>
      <c r="AD75" s="246" t="s">
        <v>397</v>
      </c>
      <c r="AE75" s="207">
        <v>20</v>
      </c>
      <c r="AF75" s="207">
        <v>16</v>
      </c>
      <c r="AG75" s="207"/>
      <c r="AH75" s="260">
        <f>AF75/2*AF75/2*3.14*AE75*7860/1000000000</f>
        <v>0.031590912</v>
      </c>
      <c r="AI75" s="278">
        <f t="shared" si="8"/>
        <v>0.848345245620006</v>
      </c>
      <c r="AJ75" s="207"/>
      <c r="AK75" s="260">
        <f>3.14*AF75*AE75*AR75/1000000</f>
        <v>0.0030144</v>
      </c>
      <c r="AL75" s="262"/>
      <c r="AM75" s="262"/>
      <c r="AN75" s="263" t="s">
        <v>127</v>
      </c>
      <c r="AO75" s="263" t="s">
        <v>398</v>
      </c>
      <c r="AP75" s="311"/>
      <c r="AQ75" s="436"/>
      <c r="AR75" s="409">
        <v>3</v>
      </c>
    </row>
    <row r="76" ht="39.95" customHeight="1" spans="1:44">
      <c r="A76" s="42">
        <f t="shared" si="7"/>
        <v>68</v>
      </c>
      <c r="B76" s="43"/>
      <c r="C76" s="46"/>
      <c r="D76" s="59"/>
      <c r="E76" s="59"/>
      <c r="F76" s="46">
        <v>4</v>
      </c>
      <c r="G76" s="59"/>
      <c r="H76" s="46"/>
      <c r="I76" s="46"/>
      <c r="J76" s="95"/>
      <c r="K76" s="95"/>
      <c r="L76" s="109" t="s">
        <v>399</v>
      </c>
      <c r="M76" s="129" t="s">
        <v>399</v>
      </c>
      <c r="N76" s="90" t="s">
        <v>400</v>
      </c>
      <c r="O76" s="139" t="s">
        <v>393</v>
      </c>
      <c r="P76" s="97"/>
      <c r="Q76" s="43" t="s">
        <v>92</v>
      </c>
      <c r="R76" s="153"/>
      <c r="S76" s="149" t="s">
        <v>42</v>
      </c>
      <c r="T76" s="129" t="s">
        <v>399</v>
      </c>
      <c r="U76" s="149" t="s">
        <v>42</v>
      </c>
      <c r="V76" s="150" t="s">
        <v>93</v>
      </c>
      <c r="W76" s="186" t="s">
        <v>94</v>
      </c>
      <c r="X76" s="108" t="s">
        <v>394</v>
      </c>
      <c r="Y76" s="45" t="s">
        <v>395</v>
      </c>
      <c r="Z76" s="152" t="s">
        <v>97</v>
      </c>
      <c r="AA76" s="129" t="s">
        <v>401</v>
      </c>
      <c r="AB76" s="205">
        <v>0.1349</v>
      </c>
      <c r="AC76" s="235" t="s">
        <v>97</v>
      </c>
      <c r="AD76" s="246" t="s">
        <v>397</v>
      </c>
      <c r="AE76" s="207">
        <v>30</v>
      </c>
      <c r="AF76" s="207">
        <v>28</v>
      </c>
      <c r="AG76" s="207"/>
      <c r="AH76" s="260">
        <f>AF76/2*AF76/2*3.14*AE76*7860/1000000000</f>
        <v>0.145120752</v>
      </c>
      <c r="AI76" s="278">
        <f t="shared" si="8"/>
        <v>0.92957070674496</v>
      </c>
      <c r="AJ76" s="207"/>
      <c r="AK76" s="260">
        <f>3.14*AF76*AE76*AR76/1000000</f>
        <v>0.0026376</v>
      </c>
      <c r="AL76" s="262"/>
      <c r="AM76" s="262"/>
      <c r="AN76" s="263" t="s">
        <v>127</v>
      </c>
      <c r="AO76" s="263" t="s">
        <v>398</v>
      </c>
      <c r="AP76" s="302"/>
      <c r="AQ76" s="314"/>
      <c r="AR76" s="109">
        <v>1</v>
      </c>
    </row>
    <row r="77" ht="39.95" customHeight="1" spans="1:44">
      <c r="A77" s="42">
        <f t="shared" si="7"/>
        <v>69</v>
      </c>
      <c r="B77" s="43"/>
      <c r="C77" s="46"/>
      <c r="D77" s="59"/>
      <c r="E77" s="59"/>
      <c r="F77" s="46">
        <v>4</v>
      </c>
      <c r="G77" s="59"/>
      <c r="H77" s="46"/>
      <c r="I77" s="46"/>
      <c r="J77" s="95"/>
      <c r="K77" s="95"/>
      <c r="L77" s="109" t="s">
        <v>402</v>
      </c>
      <c r="M77" s="129" t="s">
        <v>402</v>
      </c>
      <c r="N77" s="90" t="s">
        <v>403</v>
      </c>
      <c r="O77" s="139" t="s">
        <v>393</v>
      </c>
      <c r="P77" s="97"/>
      <c r="Q77" s="43" t="s">
        <v>92</v>
      </c>
      <c r="R77" s="153"/>
      <c r="S77" s="149" t="s">
        <v>42</v>
      </c>
      <c r="T77" s="129" t="s">
        <v>402</v>
      </c>
      <c r="U77" s="149" t="s">
        <v>42</v>
      </c>
      <c r="V77" s="150" t="s">
        <v>93</v>
      </c>
      <c r="W77" s="186" t="s">
        <v>94</v>
      </c>
      <c r="X77" s="108" t="s">
        <v>394</v>
      </c>
      <c r="Y77" s="45" t="s">
        <v>395</v>
      </c>
      <c r="Z77" s="152" t="s">
        <v>97</v>
      </c>
      <c r="AA77" s="129" t="s">
        <v>401</v>
      </c>
      <c r="AB77" s="205">
        <v>0.1173</v>
      </c>
      <c r="AC77" s="235" t="s">
        <v>97</v>
      </c>
      <c r="AD77" s="246" t="s">
        <v>397</v>
      </c>
      <c r="AE77" s="207">
        <v>26</v>
      </c>
      <c r="AF77" s="207">
        <v>28</v>
      </c>
      <c r="AG77" s="207"/>
      <c r="AH77" s="260">
        <f>AF77/2*AF77/2*3.14*AE77*7860/1000000000</f>
        <v>0.1257713184</v>
      </c>
      <c r="AI77" s="278">
        <f t="shared" si="8"/>
        <v>0.932645069577326</v>
      </c>
      <c r="AJ77" s="207"/>
      <c r="AK77" s="260">
        <f>3.14*AF77*AE77*AR77/1000000</f>
        <v>0.00228592</v>
      </c>
      <c r="AL77" s="262"/>
      <c r="AM77" s="262"/>
      <c r="AN77" s="263" t="s">
        <v>127</v>
      </c>
      <c r="AO77" s="263" t="s">
        <v>398</v>
      </c>
      <c r="AP77" s="302"/>
      <c r="AQ77" s="314"/>
      <c r="AR77" s="109">
        <v>1</v>
      </c>
    </row>
    <row r="78" s="11" customFormat="1" ht="39.95" customHeight="1" spans="1:44">
      <c r="A78" s="414">
        <f t="shared" si="7"/>
        <v>70</v>
      </c>
      <c r="B78" s="55"/>
      <c r="C78" s="56"/>
      <c r="D78" s="415"/>
      <c r="E78" s="415"/>
      <c r="F78" s="56">
        <v>4</v>
      </c>
      <c r="G78" s="415"/>
      <c r="H78" s="56"/>
      <c r="I78" s="56"/>
      <c r="J78" s="123"/>
      <c r="K78" s="123"/>
      <c r="L78" s="420" t="s">
        <v>404</v>
      </c>
      <c r="M78" s="420" t="s">
        <v>404</v>
      </c>
      <c r="N78" s="420" t="s">
        <v>405</v>
      </c>
      <c r="O78" s="420"/>
      <c r="P78" s="419"/>
      <c r="Q78" s="55"/>
      <c r="R78" s="428"/>
      <c r="S78" s="181" t="s">
        <v>42</v>
      </c>
      <c r="T78" s="429" t="s">
        <v>404</v>
      </c>
      <c r="U78" s="181" t="s">
        <v>42</v>
      </c>
      <c r="V78" s="430" t="s">
        <v>93</v>
      </c>
      <c r="W78" s="431" t="s">
        <v>94</v>
      </c>
      <c r="X78" s="128" t="s">
        <v>406</v>
      </c>
      <c r="Y78" s="231" t="s">
        <v>96</v>
      </c>
      <c r="Z78" s="183"/>
      <c r="AA78" s="182"/>
      <c r="AB78" s="233"/>
      <c r="AC78" s="432"/>
      <c r="AD78" s="246"/>
      <c r="AE78" s="207"/>
      <c r="AF78" s="207"/>
      <c r="AG78" s="207"/>
      <c r="AH78" s="260"/>
      <c r="AI78" s="278"/>
      <c r="AJ78" s="207"/>
      <c r="AK78" s="260"/>
      <c r="AL78" s="262"/>
      <c r="AM78" s="262"/>
      <c r="AN78" s="263" t="s">
        <v>127</v>
      </c>
      <c r="AO78" s="263"/>
      <c r="AP78" s="311"/>
      <c r="AQ78" s="436" t="s">
        <v>407</v>
      </c>
      <c r="AR78" s="409">
        <v>1</v>
      </c>
    </row>
    <row r="79" s="11" customFormat="1" ht="39.95" customHeight="1" spans="1:44">
      <c r="A79" s="414">
        <f t="shared" si="7"/>
        <v>71</v>
      </c>
      <c r="B79" s="55"/>
      <c r="C79" s="56"/>
      <c r="D79" s="415"/>
      <c r="E79" s="415"/>
      <c r="F79" s="56"/>
      <c r="G79" s="415">
        <v>5</v>
      </c>
      <c r="H79" s="56"/>
      <c r="I79" s="56"/>
      <c r="J79" s="123"/>
      <c r="K79" s="123"/>
      <c r="L79" s="421"/>
      <c r="M79" s="420" t="s">
        <v>408</v>
      </c>
      <c r="N79" s="420" t="s">
        <v>409</v>
      </c>
      <c r="O79" s="420"/>
      <c r="P79" s="419"/>
      <c r="Q79" s="55"/>
      <c r="R79" s="428"/>
      <c r="S79" s="181" t="s">
        <v>42</v>
      </c>
      <c r="T79" s="429" t="s">
        <v>408</v>
      </c>
      <c r="U79" s="181" t="s">
        <v>42</v>
      </c>
      <c r="V79" s="430" t="s">
        <v>93</v>
      </c>
      <c r="W79" s="431" t="s">
        <v>94</v>
      </c>
      <c r="X79" s="128" t="s">
        <v>189</v>
      </c>
      <c r="Y79" s="231"/>
      <c r="Z79" s="183"/>
      <c r="AA79" s="182"/>
      <c r="AB79" s="233"/>
      <c r="AC79" s="432"/>
      <c r="AD79" s="246"/>
      <c r="AE79" s="207"/>
      <c r="AF79" s="207"/>
      <c r="AG79" s="207"/>
      <c r="AH79" s="260"/>
      <c r="AI79" s="278"/>
      <c r="AJ79" s="207"/>
      <c r="AK79" s="260"/>
      <c r="AL79" s="262"/>
      <c r="AM79" s="262"/>
      <c r="AN79" s="279"/>
      <c r="AO79" s="279"/>
      <c r="AP79" s="311"/>
      <c r="AQ79" s="436" t="s">
        <v>407</v>
      </c>
      <c r="AR79" s="409">
        <v>1</v>
      </c>
    </row>
    <row r="80" s="11" customFormat="1" ht="39.95" customHeight="1" spans="1:44">
      <c r="A80" s="414">
        <f t="shared" si="7"/>
        <v>72</v>
      </c>
      <c r="B80" s="55"/>
      <c r="C80" s="56"/>
      <c r="D80" s="415"/>
      <c r="E80" s="415"/>
      <c r="F80" s="56"/>
      <c r="G80" s="415">
        <v>5</v>
      </c>
      <c r="H80" s="56"/>
      <c r="I80" s="56"/>
      <c r="J80" s="123"/>
      <c r="K80" s="123"/>
      <c r="L80" s="421"/>
      <c r="M80" s="420" t="s">
        <v>410</v>
      </c>
      <c r="N80" s="420" t="s">
        <v>411</v>
      </c>
      <c r="O80" s="420"/>
      <c r="P80" s="419"/>
      <c r="Q80" s="55"/>
      <c r="R80" s="428"/>
      <c r="S80" s="181" t="s">
        <v>42</v>
      </c>
      <c r="T80" s="429" t="s">
        <v>408</v>
      </c>
      <c r="U80" s="181" t="s">
        <v>42</v>
      </c>
      <c r="V80" s="430" t="s">
        <v>93</v>
      </c>
      <c r="W80" s="431" t="s">
        <v>94</v>
      </c>
      <c r="X80" s="128" t="s">
        <v>286</v>
      </c>
      <c r="Y80" s="231" t="s">
        <v>412</v>
      </c>
      <c r="Z80" s="183"/>
      <c r="AA80" s="182"/>
      <c r="AB80" s="233"/>
      <c r="AC80" s="432"/>
      <c r="AD80" s="246"/>
      <c r="AE80" s="207"/>
      <c r="AF80" s="207"/>
      <c r="AG80" s="207"/>
      <c r="AH80" s="260"/>
      <c r="AI80" s="278"/>
      <c r="AJ80" s="207"/>
      <c r="AK80" s="260"/>
      <c r="AL80" s="262"/>
      <c r="AM80" s="262"/>
      <c r="AN80" s="279"/>
      <c r="AO80" s="279"/>
      <c r="AP80" s="311"/>
      <c r="AQ80" s="436" t="s">
        <v>407</v>
      </c>
      <c r="AR80" s="409">
        <v>1</v>
      </c>
    </row>
    <row r="81" ht="39.95" customHeight="1" spans="1:44">
      <c r="A81" s="42">
        <f t="shared" ref="A81:A90" si="9">ROW()-8</f>
        <v>73</v>
      </c>
      <c r="B81" s="43"/>
      <c r="C81" s="46"/>
      <c r="D81" s="59"/>
      <c r="E81" s="59">
        <v>3</v>
      </c>
      <c r="F81" s="46"/>
      <c r="G81" s="59"/>
      <c r="H81" s="46"/>
      <c r="I81" s="46"/>
      <c r="J81" s="95"/>
      <c r="K81" s="95"/>
      <c r="L81" s="109"/>
      <c r="M81" s="129" t="s">
        <v>413</v>
      </c>
      <c r="N81" s="90" t="s">
        <v>414</v>
      </c>
      <c r="O81" s="139" t="s">
        <v>373</v>
      </c>
      <c r="P81" s="97" t="s">
        <v>144</v>
      </c>
      <c r="Q81" s="43" t="s">
        <v>92</v>
      </c>
      <c r="R81" s="153"/>
      <c r="S81" s="149" t="s">
        <v>42</v>
      </c>
      <c r="T81" s="129" t="s">
        <v>413</v>
      </c>
      <c r="U81" s="149" t="s">
        <v>42</v>
      </c>
      <c r="V81" s="150" t="s">
        <v>93</v>
      </c>
      <c r="W81" s="186" t="s">
        <v>94</v>
      </c>
      <c r="X81" s="108" t="s">
        <v>112</v>
      </c>
      <c r="Y81" s="45" t="s">
        <v>96</v>
      </c>
      <c r="Z81" s="152" t="s">
        <v>97</v>
      </c>
      <c r="AA81" s="129" t="s">
        <v>97</v>
      </c>
      <c r="AB81" s="205">
        <f>AB82+AB83+AB84+AB85*AR85+AB86+AB87</f>
        <v>3.4514</v>
      </c>
      <c r="AC81" s="235" t="s">
        <v>97</v>
      </c>
      <c r="AD81" s="246" t="s">
        <v>157</v>
      </c>
      <c r="AE81" s="207"/>
      <c r="AF81" s="207"/>
      <c r="AG81" s="207"/>
      <c r="AH81" s="260"/>
      <c r="AI81" s="261"/>
      <c r="AJ81" s="207">
        <v>73</v>
      </c>
      <c r="AK81" s="260"/>
      <c r="AL81" s="266">
        <f>9*AJ81/600+10*8/60</f>
        <v>2.42833333333333</v>
      </c>
      <c r="AM81" s="276">
        <v>1</v>
      </c>
      <c r="AN81" s="263" t="s">
        <v>105</v>
      </c>
      <c r="AO81" s="263" t="s">
        <v>158</v>
      </c>
      <c r="AP81" s="302"/>
      <c r="AQ81" s="314"/>
      <c r="AR81" s="109">
        <v>1</v>
      </c>
    </row>
    <row r="82" ht="39.95" customHeight="1" spans="1:44">
      <c r="A82" s="42">
        <f t="shared" si="9"/>
        <v>74</v>
      </c>
      <c r="B82" s="43"/>
      <c r="C82" s="46"/>
      <c r="D82" s="59"/>
      <c r="E82" s="59"/>
      <c r="F82" s="46">
        <v>4</v>
      </c>
      <c r="G82" s="59"/>
      <c r="H82" s="46"/>
      <c r="I82" s="46"/>
      <c r="J82" s="95"/>
      <c r="K82" s="95"/>
      <c r="L82" s="109" t="s">
        <v>380</v>
      </c>
      <c r="M82" s="129" t="s">
        <v>380</v>
      </c>
      <c r="N82" s="90" t="s">
        <v>381</v>
      </c>
      <c r="O82" s="139" t="s">
        <v>373</v>
      </c>
      <c r="P82" s="97" t="s">
        <v>144</v>
      </c>
      <c r="Q82" s="43" t="s">
        <v>92</v>
      </c>
      <c r="R82" s="153"/>
      <c r="S82" s="149" t="s">
        <v>42</v>
      </c>
      <c r="T82" s="129" t="s">
        <v>380</v>
      </c>
      <c r="U82" s="149" t="s">
        <v>42</v>
      </c>
      <c r="V82" s="150" t="s">
        <v>93</v>
      </c>
      <c r="W82" s="186" t="s">
        <v>94</v>
      </c>
      <c r="X82" s="43" t="s">
        <v>169</v>
      </c>
      <c r="Y82" s="336" t="s">
        <v>382</v>
      </c>
      <c r="Z82" s="152" t="s">
        <v>182</v>
      </c>
      <c r="AA82" s="129" t="s">
        <v>383</v>
      </c>
      <c r="AB82" s="205">
        <v>0.947</v>
      </c>
      <c r="AC82" s="235" t="s">
        <v>97</v>
      </c>
      <c r="AD82" s="246" t="s">
        <v>384</v>
      </c>
      <c r="AE82" s="207">
        <v>420</v>
      </c>
      <c r="AF82" s="207"/>
      <c r="AG82" s="207"/>
      <c r="AH82" s="260">
        <f>AE82*2.4/1000</f>
        <v>1.008</v>
      </c>
      <c r="AI82" s="278">
        <f t="shared" ref="AI82:AI88" si="10">AB82/AH82</f>
        <v>0.939484126984127</v>
      </c>
      <c r="AJ82" s="207"/>
      <c r="AK82" s="260">
        <f>(40+20+34+14)*2*AE82/1000000</f>
        <v>0.09072</v>
      </c>
      <c r="AL82" s="262">
        <f>0.0028*60</f>
        <v>0.168</v>
      </c>
      <c r="AM82" s="264">
        <v>1</v>
      </c>
      <c r="AN82" s="263" t="s">
        <v>99</v>
      </c>
      <c r="AO82" s="263" t="s">
        <v>166</v>
      </c>
      <c r="AP82" s="302"/>
      <c r="AQ82" s="314"/>
      <c r="AR82" s="109">
        <v>1</v>
      </c>
    </row>
    <row r="83" ht="39.95" customHeight="1" spans="1:44">
      <c r="A83" s="42">
        <f t="shared" si="9"/>
        <v>75</v>
      </c>
      <c r="B83" s="43"/>
      <c r="C83" s="46"/>
      <c r="D83" s="59"/>
      <c r="E83" s="59"/>
      <c r="F83" s="46">
        <v>4</v>
      </c>
      <c r="G83" s="59"/>
      <c r="H83" s="46"/>
      <c r="I83" s="46"/>
      <c r="J83" s="95"/>
      <c r="K83" s="95"/>
      <c r="L83" s="109" t="s">
        <v>385</v>
      </c>
      <c r="M83" s="129" t="s">
        <v>385</v>
      </c>
      <c r="N83" s="90" t="s">
        <v>386</v>
      </c>
      <c r="O83" s="139" t="s">
        <v>373</v>
      </c>
      <c r="P83" s="97" t="s">
        <v>144</v>
      </c>
      <c r="Q83" s="43" t="s">
        <v>92</v>
      </c>
      <c r="R83" s="153"/>
      <c r="S83" s="149" t="s">
        <v>42</v>
      </c>
      <c r="T83" s="129" t="s">
        <v>385</v>
      </c>
      <c r="U83" s="149" t="s">
        <v>42</v>
      </c>
      <c r="V83" s="150" t="s">
        <v>93</v>
      </c>
      <c r="W83" s="186" t="s">
        <v>94</v>
      </c>
      <c r="X83" s="43" t="s">
        <v>169</v>
      </c>
      <c r="Y83" s="336" t="s">
        <v>382</v>
      </c>
      <c r="Z83" s="152" t="s">
        <v>182</v>
      </c>
      <c r="AA83" s="129" t="s">
        <v>387</v>
      </c>
      <c r="AB83" s="205">
        <v>1.6985</v>
      </c>
      <c r="AC83" s="235" t="s">
        <v>97</v>
      </c>
      <c r="AD83" s="246" t="s">
        <v>165</v>
      </c>
      <c r="AE83" s="207">
        <f>AB83/2.4*1000+10</f>
        <v>717.708333333333</v>
      </c>
      <c r="AF83" s="207"/>
      <c r="AG83" s="207"/>
      <c r="AH83" s="260">
        <f>AE83*2.4/1000</f>
        <v>1.7225</v>
      </c>
      <c r="AI83" s="278">
        <f t="shared" si="10"/>
        <v>0.986066763425254</v>
      </c>
      <c r="AJ83" s="207"/>
      <c r="AK83" s="260">
        <f>(40+20+34+14)*2*AE83/1000000</f>
        <v>0.155025</v>
      </c>
      <c r="AL83" s="266">
        <f>0.0195*60</f>
        <v>1.17</v>
      </c>
      <c r="AM83" s="276">
        <v>1</v>
      </c>
      <c r="AN83" s="263" t="s">
        <v>99</v>
      </c>
      <c r="AO83" s="263" t="s">
        <v>166</v>
      </c>
      <c r="AP83" s="302"/>
      <c r="AQ83" s="314"/>
      <c r="AR83" s="109">
        <v>1</v>
      </c>
    </row>
    <row r="84" ht="39.95" customHeight="1" spans="1:44">
      <c r="A84" s="42">
        <f t="shared" si="9"/>
        <v>76</v>
      </c>
      <c r="B84" s="43"/>
      <c r="C84" s="46"/>
      <c r="D84" s="59"/>
      <c r="E84" s="59"/>
      <c r="F84" s="46">
        <v>4</v>
      </c>
      <c r="G84" s="59"/>
      <c r="H84" s="46"/>
      <c r="I84" s="46"/>
      <c r="J84" s="95"/>
      <c r="K84" s="95"/>
      <c r="L84" s="109" t="s">
        <v>388</v>
      </c>
      <c r="M84" s="129" t="s">
        <v>388</v>
      </c>
      <c r="N84" s="90" t="s">
        <v>389</v>
      </c>
      <c r="O84" s="139" t="s">
        <v>373</v>
      </c>
      <c r="P84" s="97"/>
      <c r="Q84" s="43" t="s">
        <v>92</v>
      </c>
      <c r="R84" s="153"/>
      <c r="S84" s="149" t="s">
        <v>42</v>
      </c>
      <c r="T84" s="129" t="s">
        <v>388</v>
      </c>
      <c r="U84" s="149" t="s">
        <v>42</v>
      </c>
      <c r="V84" s="150" t="s">
        <v>93</v>
      </c>
      <c r="W84" s="186" t="s">
        <v>94</v>
      </c>
      <c r="X84" s="43" t="s">
        <v>169</v>
      </c>
      <c r="Y84" s="336" t="s">
        <v>382</v>
      </c>
      <c r="Z84" s="152" t="s">
        <v>182</v>
      </c>
      <c r="AA84" s="129" t="s">
        <v>390</v>
      </c>
      <c r="AB84" s="205">
        <v>0.4609</v>
      </c>
      <c r="AC84" s="235" t="s">
        <v>97</v>
      </c>
      <c r="AD84" s="246" t="s">
        <v>384</v>
      </c>
      <c r="AE84" s="207">
        <v>202</v>
      </c>
      <c r="AF84" s="207"/>
      <c r="AG84" s="207"/>
      <c r="AH84" s="260">
        <f>AE84*2.4/1000</f>
        <v>0.4848</v>
      </c>
      <c r="AI84" s="278">
        <f t="shared" si="10"/>
        <v>0.950701320132013</v>
      </c>
      <c r="AJ84" s="207"/>
      <c r="AK84" s="260">
        <f>(40+20+34+14)*2*AE84/1000000</f>
        <v>0.043632</v>
      </c>
      <c r="AL84" s="262">
        <f>0.0028*60</f>
        <v>0.168</v>
      </c>
      <c r="AM84" s="264">
        <v>1</v>
      </c>
      <c r="AN84" s="263" t="s">
        <v>99</v>
      </c>
      <c r="AO84" s="263" t="s">
        <v>166</v>
      </c>
      <c r="AP84" s="302"/>
      <c r="AQ84" s="314"/>
      <c r="AR84" s="109">
        <v>1</v>
      </c>
    </row>
    <row r="85" s="11" customFormat="1" ht="39.95" customHeight="1" spans="1:44">
      <c r="A85" s="414">
        <f t="shared" si="9"/>
        <v>77</v>
      </c>
      <c r="B85" s="55"/>
      <c r="C85" s="56"/>
      <c r="D85" s="415"/>
      <c r="E85" s="415"/>
      <c r="F85" s="56">
        <v>4</v>
      </c>
      <c r="G85" s="415"/>
      <c r="H85" s="56"/>
      <c r="I85" s="56"/>
      <c r="J85" s="123"/>
      <c r="K85" s="123"/>
      <c r="L85" s="409" t="s">
        <v>391</v>
      </c>
      <c r="M85" s="182" t="s">
        <v>391</v>
      </c>
      <c r="N85" s="124" t="s">
        <v>392</v>
      </c>
      <c r="O85" s="418" t="s">
        <v>393</v>
      </c>
      <c r="P85" s="419" t="s">
        <v>144</v>
      </c>
      <c r="Q85" s="55" t="s">
        <v>92</v>
      </c>
      <c r="R85" s="428"/>
      <c r="S85" s="181" t="s">
        <v>42</v>
      </c>
      <c r="T85" s="182" t="s">
        <v>391</v>
      </c>
      <c r="U85" s="181" t="s">
        <v>42</v>
      </c>
      <c r="V85" s="184" t="s">
        <v>93</v>
      </c>
      <c r="W85" s="185" t="s">
        <v>94</v>
      </c>
      <c r="X85" s="128" t="s">
        <v>394</v>
      </c>
      <c r="Y85" s="231" t="s">
        <v>395</v>
      </c>
      <c r="Z85" s="183" t="s">
        <v>97</v>
      </c>
      <c r="AA85" s="182" t="s">
        <v>396</v>
      </c>
      <c r="AB85" s="233">
        <v>0.0268</v>
      </c>
      <c r="AC85" s="432" t="s">
        <v>97</v>
      </c>
      <c r="AD85" s="246" t="s">
        <v>397</v>
      </c>
      <c r="AE85" s="207">
        <v>20</v>
      </c>
      <c r="AF85" s="207">
        <v>16</v>
      </c>
      <c r="AG85" s="207"/>
      <c r="AH85" s="260">
        <f>AF85/2*AF85/2*3.14*AE85*7860/1000000000</f>
        <v>0.031590912</v>
      </c>
      <c r="AI85" s="278">
        <f t="shared" si="10"/>
        <v>0.848345245620006</v>
      </c>
      <c r="AJ85" s="207"/>
      <c r="AK85" s="260">
        <f>3.14*AF85*AE85*AR85/1000000</f>
        <v>0.0030144</v>
      </c>
      <c r="AL85" s="262"/>
      <c r="AM85" s="262"/>
      <c r="AN85" s="263" t="s">
        <v>127</v>
      </c>
      <c r="AO85" s="263" t="s">
        <v>398</v>
      </c>
      <c r="AP85" s="311"/>
      <c r="AQ85" s="436"/>
      <c r="AR85" s="409">
        <v>3</v>
      </c>
    </row>
    <row r="86" ht="39.95" customHeight="1" spans="1:44">
      <c r="A86" s="42">
        <f t="shared" si="9"/>
        <v>78</v>
      </c>
      <c r="B86" s="43"/>
      <c r="C86" s="46"/>
      <c r="D86" s="59"/>
      <c r="E86" s="59"/>
      <c r="F86" s="46">
        <v>4</v>
      </c>
      <c r="G86" s="59"/>
      <c r="H86" s="46"/>
      <c r="I86" s="46"/>
      <c r="J86" s="95"/>
      <c r="K86" s="95"/>
      <c r="L86" s="109" t="s">
        <v>415</v>
      </c>
      <c r="M86" s="129" t="s">
        <v>415</v>
      </c>
      <c r="N86" s="90" t="s">
        <v>416</v>
      </c>
      <c r="O86" s="139" t="s">
        <v>393</v>
      </c>
      <c r="P86" s="97" t="s">
        <v>144</v>
      </c>
      <c r="Q86" s="43" t="s">
        <v>92</v>
      </c>
      <c r="R86" s="153"/>
      <c r="S86" s="149" t="s">
        <v>42</v>
      </c>
      <c r="T86" s="129" t="s">
        <v>415</v>
      </c>
      <c r="U86" s="149" t="s">
        <v>42</v>
      </c>
      <c r="V86" s="150" t="s">
        <v>93</v>
      </c>
      <c r="W86" s="186" t="s">
        <v>94</v>
      </c>
      <c r="X86" s="108" t="s">
        <v>394</v>
      </c>
      <c r="Y86" s="45" t="s">
        <v>395</v>
      </c>
      <c r="Z86" s="152" t="s">
        <v>97</v>
      </c>
      <c r="AA86" s="129" t="s">
        <v>401</v>
      </c>
      <c r="AB86" s="205">
        <v>0.1473</v>
      </c>
      <c r="AC86" s="235" t="s">
        <v>97</v>
      </c>
      <c r="AD86" s="246" t="s">
        <v>397</v>
      </c>
      <c r="AE86" s="207">
        <v>32</v>
      </c>
      <c r="AF86" s="207">
        <v>28</v>
      </c>
      <c r="AG86" s="207"/>
      <c r="AH86" s="260">
        <f>AF86/2*AF86/2*3.14*AE86*7860/1000000000</f>
        <v>0.1547954688</v>
      </c>
      <c r="AI86" s="278">
        <f t="shared" si="10"/>
        <v>0.951578241546047</v>
      </c>
      <c r="AJ86" s="207"/>
      <c r="AK86" s="260">
        <f>3.14*AF86*AE86*AR86/1000000</f>
        <v>0.00281344</v>
      </c>
      <c r="AL86" s="262"/>
      <c r="AM86" s="262"/>
      <c r="AN86" s="263" t="s">
        <v>127</v>
      </c>
      <c r="AO86" s="263" t="s">
        <v>398</v>
      </c>
      <c r="AP86" s="302"/>
      <c r="AQ86" s="314"/>
      <c r="AR86" s="109">
        <v>1</v>
      </c>
    </row>
    <row r="87" ht="39.95" customHeight="1" spans="1:44">
      <c r="A87" s="42">
        <f t="shared" si="9"/>
        <v>79</v>
      </c>
      <c r="B87" s="43"/>
      <c r="C87" s="46"/>
      <c r="D87" s="59"/>
      <c r="E87" s="59"/>
      <c r="F87" s="46">
        <v>4</v>
      </c>
      <c r="G87" s="59"/>
      <c r="H87" s="46"/>
      <c r="I87" s="46"/>
      <c r="J87" s="95"/>
      <c r="K87" s="95"/>
      <c r="L87" s="109" t="s">
        <v>402</v>
      </c>
      <c r="M87" s="129" t="s">
        <v>402</v>
      </c>
      <c r="N87" s="90" t="s">
        <v>403</v>
      </c>
      <c r="O87" s="139" t="s">
        <v>393</v>
      </c>
      <c r="P87" s="97" t="s">
        <v>144</v>
      </c>
      <c r="Q87" s="43" t="s">
        <v>92</v>
      </c>
      <c r="R87" s="153"/>
      <c r="S87" s="149" t="s">
        <v>42</v>
      </c>
      <c r="T87" s="129" t="s">
        <v>402</v>
      </c>
      <c r="U87" s="149" t="s">
        <v>42</v>
      </c>
      <c r="V87" s="150" t="s">
        <v>93</v>
      </c>
      <c r="W87" s="186" t="s">
        <v>94</v>
      </c>
      <c r="X87" s="108" t="s">
        <v>394</v>
      </c>
      <c r="Y87" s="45" t="s">
        <v>395</v>
      </c>
      <c r="Z87" s="152" t="s">
        <v>97</v>
      </c>
      <c r="AA87" s="129" t="s">
        <v>401</v>
      </c>
      <c r="AB87" s="205">
        <v>0.1173</v>
      </c>
      <c r="AC87" s="235" t="s">
        <v>97</v>
      </c>
      <c r="AD87" s="246" t="s">
        <v>397</v>
      </c>
      <c r="AE87" s="207">
        <v>26</v>
      </c>
      <c r="AF87" s="207">
        <v>28</v>
      </c>
      <c r="AG87" s="207"/>
      <c r="AH87" s="260">
        <f>AF87/2*AF87/2*3.14*AE87*7860/1000000000</f>
        <v>0.1257713184</v>
      </c>
      <c r="AI87" s="278">
        <f t="shared" si="10"/>
        <v>0.932645069577326</v>
      </c>
      <c r="AJ87" s="207"/>
      <c r="AK87" s="260">
        <f>3.14*AF87*AE87*AR87/1000000</f>
        <v>0.00228592</v>
      </c>
      <c r="AL87" s="262"/>
      <c r="AM87" s="262"/>
      <c r="AN87" s="263" t="s">
        <v>127</v>
      </c>
      <c r="AO87" s="263" t="s">
        <v>398</v>
      </c>
      <c r="AP87" s="302"/>
      <c r="AQ87" s="314"/>
      <c r="AR87" s="109">
        <v>1</v>
      </c>
    </row>
    <row r="88" s="18" customFormat="1" ht="39.95" customHeight="1" spans="1:44">
      <c r="A88" s="42">
        <f t="shared" si="9"/>
        <v>80</v>
      </c>
      <c r="B88" s="43"/>
      <c r="C88" s="46"/>
      <c r="D88" s="46"/>
      <c r="E88" s="47">
        <v>3</v>
      </c>
      <c r="F88" s="47"/>
      <c r="G88" s="46"/>
      <c r="H88" s="46"/>
      <c r="I88" s="46"/>
      <c r="J88" s="95"/>
      <c r="K88" s="106"/>
      <c r="L88" s="109" t="s">
        <v>417</v>
      </c>
      <c r="M88" s="129" t="s">
        <v>417</v>
      </c>
      <c r="N88" s="90" t="s">
        <v>418</v>
      </c>
      <c r="O88" s="107" t="s">
        <v>373</v>
      </c>
      <c r="P88" s="97" t="s">
        <v>144</v>
      </c>
      <c r="Q88" s="43" t="s">
        <v>92</v>
      </c>
      <c r="R88" s="152"/>
      <c r="S88" s="149" t="s">
        <v>42</v>
      </c>
      <c r="T88" s="129" t="s">
        <v>419</v>
      </c>
      <c r="U88" s="152" t="s">
        <v>97</v>
      </c>
      <c r="V88" s="150" t="s">
        <v>93</v>
      </c>
      <c r="W88" s="186" t="s">
        <v>94</v>
      </c>
      <c r="X88" s="108" t="s">
        <v>216</v>
      </c>
      <c r="Y88" s="336" t="s">
        <v>420</v>
      </c>
      <c r="Z88" s="337" t="s">
        <v>218</v>
      </c>
      <c r="AA88" s="129" t="s">
        <v>421</v>
      </c>
      <c r="AB88" s="205">
        <v>0.192</v>
      </c>
      <c r="AC88" s="235" t="s">
        <v>97</v>
      </c>
      <c r="AD88" s="246" t="s">
        <v>384</v>
      </c>
      <c r="AE88" s="207">
        <v>336</v>
      </c>
      <c r="AF88" s="207"/>
      <c r="AG88" s="207"/>
      <c r="AH88" s="260">
        <f>AE88*0.5893/1000</f>
        <v>0.1980048</v>
      </c>
      <c r="AI88" s="278">
        <f t="shared" si="10"/>
        <v>0.969673462461516</v>
      </c>
      <c r="AJ88" s="207"/>
      <c r="AK88" s="260">
        <f>(20+10+17+7)*2*AE88*AR88/1000000</f>
        <v>0.108864</v>
      </c>
      <c r="AL88" s="262">
        <f>0.0028*60</f>
        <v>0.168</v>
      </c>
      <c r="AM88" s="264">
        <v>1</v>
      </c>
      <c r="AN88" s="263" t="s">
        <v>99</v>
      </c>
      <c r="AO88" s="263" t="s">
        <v>166</v>
      </c>
      <c r="AP88" s="302"/>
      <c r="AQ88" s="314"/>
      <c r="AR88" s="289">
        <v>3</v>
      </c>
    </row>
    <row r="89" s="18" customFormat="1" ht="39.95" customHeight="1" spans="1:44">
      <c r="A89" s="42">
        <f t="shared" si="9"/>
        <v>81</v>
      </c>
      <c r="B89" s="43"/>
      <c r="C89" s="46">
        <v>1</v>
      </c>
      <c r="D89" s="46"/>
      <c r="E89" s="58"/>
      <c r="F89" s="47"/>
      <c r="G89" s="46"/>
      <c r="H89" s="46"/>
      <c r="I89" s="46"/>
      <c r="J89" s="95"/>
      <c r="K89" s="106"/>
      <c r="L89" s="321" t="s">
        <v>422</v>
      </c>
      <c r="M89" s="322" t="s">
        <v>422</v>
      </c>
      <c r="N89" s="93" t="s">
        <v>423</v>
      </c>
      <c r="O89" s="116" t="s">
        <v>424</v>
      </c>
      <c r="P89" s="97" t="s">
        <v>144</v>
      </c>
      <c r="Q89" s="43" t="s">
        <v>92</v>
      </c>
      <c r="R89" s="160"/>
      <c r="S89" s="149" t="s">
        <v>42</v>
      </c>
      <c r="T89" s="129" t="s">
        <v>104</v>
      </c>
      <c r="U89" s="152" t="s">
        <v>97</v>
      </c>
      <c r="V89" s="186" t="s">
        <v>94</v>
      </c>
      <c r="W89" s="150" t="s">
        <v>93</v>
      </c>
      <c r="X89" s="108" t="s">
        <v>286</v>
      </c>
      <c r="Y89" s="152" t="s">
        <v>425</v>
      </c>
      <c r="Z89" s="152" t="s">
        <v>97</v>
      </c>
      <c r="AA89" s="129" t="s">
        <v>97</v>
      </c>
      <c r="AB89" s="205">
        <v>0.0237</v>
      </c>
      <c r="AC89" s="235" t="s">
        <v>426</v>
      </c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84" t="s">
        <v>127</v>
      </c>
      <c r="AO89" s="284" t="s">
        <v>427</v>
      </c>
      <c r="AP89" s="302"/>
      <c r="AQ89" s="314"/>
      <c r="AR89" s="289">
        <v>6</v>
      </c>
    </row>
    <row r="90" s="18" customFormat="1" ht="39.95" customHeight="1" spans="1:44">
      <c r="A90" s="42">
        <f t="shared" si="9"/>
        <v>82</v>
      </c>
      <c r="B90" s="43"/>
      <c r="C90" s="46">
        <v>1</v>
      </c>
      <c r="D90" s="46"/>
      <c r="E90" s="58"/>
      <c r="F90" s="47"/>
      <c r="G90" s="46"/>
      <c r="H90" s="46"/>
      <c r="I90" s="46"/>
      <c r="J90" s="95"/>
      <c r="K90" s="106"/>
      <c r="L90" s="109" t="s">
        <v>313</v>
      </c>
      <c r="M90" s="129" t="s">
        <v>428</v>
      </c>
      <c r="N90" s="323" t="s">
        <v>429</v>
      </c>
      <c r="O90" s="110" t="s">
        <v>430</v>
      </c>
      <c r="P90" s="97"/>
      <c r="Q90" s="43" t="s">
        <v>92</v>
      </c>
      <c r="R90" s="160"/>
      <c r="S90" s="149" t="s">
        <v>42</v>
      </c>
      <c r="T90" s="129" t="s">
        <v>104</v>
      </c>
      <c r="U90" s="152" t="s">
        <v>97</v>
      </c>
      <c r="V90" s="186" t="s">
        <v>94</v>
      </c>
      <c r="W90" s="150" t="s">
        <v>93</v>
      </c>
      <c r="X90" s="108" t="s">
        <v>286</v>
      </c>
      <c r="Y90" s="152" t="s">
        <v>322</v>
      </c>
      <c r="Z90" s="152" t="s">
        <v>97</v>
      </c>
      <c r="AA90" s="129" t="s">
        <v>97</v>
      </c>
      <c r="AB90" s="205">
        <v>0.0017</v>
      </c>
      <c r="AC90" s="235" t="s">
        <v>426</v>
      </c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84" t="s">
        <v>127</v>
      </c>
      <c r="AO90" s="284" t="s">
        <v>427</v>
      </c>
      <c r="AP90" s="302"/>
      <c r="AQ90" s="314"/>
      <c r="AR90" s="289">
        <v>6</v>
      </c>
    </row>
    <row r="91" ht="39.95" customHeight="1" spans="1:44">
      <c r="A91" s="42">
        <f t="shared" ref="A91:A100" si="11">ROW()-8</f>
        <v>83</v>
      </c>
      <c r="B91" s="43"/>
      <c r="C91" s="46"/>
      <c r="D91" s="46"/>
      <c r="E91" s="47"/>
      <c r="F91" s="47"/>
      <c r="G91" s="46"/>
      <c r="H91" s="46"/>
      <c r="I91" s="46"/>
      <c r="J91" s="95"/>
      <c r="K91" s="106"/>
      <c r="L91" s="109"/>
      <c r="M91" s="129" t="s">
        <v>431</v>
      </c>
      <c r="N91" s="90" t="s">
        <v>432</v>
      </c>
      <c r="O91" s="110" t="s">
        <v>373</v>
      </c>
      <c r="P91" s="108" t="s">
        <v>42</v>
      </c>
      <c r="Q91" s="43" t="s">
        <v>92</v>
      </c>
      <c r="R91" s="160"/>
      <c r="S91" s="149" t="s">
        <v>42</v>
      </c>
      <c r="T91" s="129" t="s">
        <v>104</v>
      </c>
      <c r="U91" s="152" t="s">
        <v>97</v>
      </c>
      <c r="V91" s="186" t="s">
        <v>93</v>
      </c>
      <c r="W91" s="150" t="s">
        <v>94</v>
      </c>
      <c r="X91" s="43" t="s">
        <v>112</v>
      </c>
      <c r="Y91" s="45" t="s">
        <v>96</v>
      </c>
      <c r="Z91" s="45" t="s">
        <v>97</v>
      </c>
      <c r="AA91" s="90" t="s">
        <v>97</v>
      </c>
      <c r="AB91" s="205" t="e">
        <f>AB92+AB100</f>
        <v>#REF!</v>
      </c>
      <c r="AC91" s="235" t="s">
        <v>97</v>
      </c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84" t="s">
        <v>105</v>
      </c>
      <c r="AO91" s="284"/>
      <c r="AP91" s="302"/>
      <c r="AQ91" s="314"/>
      <c r="AR91" s="289">
        <v>1</v>
      </c>
    </row>
    <row r="92" ht="39.95" customHeight="1" spans="1:44">
      <c r="A92" s="42">
        <f t="shared" si="11"/>
        <v>84</v>
      </c>
      <c r="B92" s="43"/>
      <c r="C92" s="46"/>
      <c r="D92" s="46"/>
      <c r="E92" s="46"/>
      <c r="F92" s="46"/>
      <c r="G92" s="59"/>
      <c r="H92" s="46"/>
      <c r="I92" s="46"/>
      <c r="J92" s="95"/>
      <c r="K92" s="95"/>
      <c r="L92" s="109"/>
      <c r="M92" s="129" t="s">
        <v>433</v>
      </c>
      <c r="N92" s="90" t="s">
        <v>434</v>
      </c>
      <c r="O92" s="110" t="s">
        <v>373</v>
      </c>
      <c r="P92" s="97" t="s">
        <v>117</v>
      </c>
      <c r="Q92" s="43" t="s">
        <v>92</v>
      </c>
      <c r="R92" s="153"/>
      <c r="S92" s="149" t="s">
        <v>42</v>
      </c>
      <c r="T92" s="129" t="s">
        <v>104</v>
      </c>
      <c r="U92" s="152" t="s">
        <v>97</v>
      </c>
      <c r="V92" s="186" t="s">
        <v>93</v>
      </c>
      <c r="W92" s="150" t="s">
        <v>94</v>
      </c>
      <c r="X92" s="43" t="s">
        <v>112</v>
      </c>
      <c r="Y92" s="45" t="s">
        <v>96</v>
      </c>
      <c r="Z92" s="45" t="s">
        <v>97</v>
      </c>
      <c r="AA92" s="90" t="s">
        <v>97</v>
      </c>
      <c r="AB92" s="205" t="e">
        <f>AB93+AB98+AB99*AR99</f>
        <v>#REF!</v>
      </c>
      <c r="AC92" s="235" t="s">
        <v>97</v>
      </c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84" t="s">
        <v>105</v>
      </c>
      <c r="AO92" s="284"/>
      <c r="AP92" s="302"/>
      <c r="AQ92" s="314"/>
      <c r="AR92" s="289">
        <v>1</v>
      </c>
    </row>
    <row r="93" ht="39.95" customHeight="1" spans="1:44">
      <c r="A93" s="42">
        <f t="shared" si="11"/>
        <v>85</v>
      </c>
      <c r="B93" s="43"/>
      <c r="C93" s="46">
        <v>1</v>
      </c>
      <c r="D93" s="46"/>
      <c r="E93" s="46"/>
      <c r="F93" s="46"/>
      <c r="G93" s="59"/>
      <c r="H93" s="46"/>
      <c r="I93" s="46"/>
      <c r="J93" s="95"/>
      <c r="K93" s="95"/>
      <c r="L93" s="322" t="s">
        <v>435</v>
      </c>
      <c r="M93" s="322" t="s">
        <v>435</v>
      </c>
      <c r="N93" s="93" t="s">
        <v>436</v>
      </c>
      <c r="O93" s="116" t="s">
        <v>373</v>
      </c>
      <c r="P93" s="97" t="s">
        <v>144</v>
      </c>
      <c r="Q93" s="43" t="s">
        <v>92</v>
      </c>
      <c r="R93" s="153"/>
      <c r="S93" s="149" t="s">
        <v>42</v>
      </c>
      <c r="T93" s="129" t="s">
        <v>104</v>
      </c>
      <c r="U93" s="152" t="s">
        <v>97</v>
      </c>
      <c r="V93" s="146" t="s">
        <v>94</v>
      </c>
      <c r="W93" s="150" t="s">
        <v>93</v>
      </c>
      <c r="X93" s="43" t="s">
        <v>112</v>
      </c>
      <c r="Y93" s="45" t="s">
        <v>96</v>
      </c>
      <c r="Z93" s="45" t="s">
        <v>97</v>
      </c>
      <c r="AA93" s="90" t="s">
        <v>97</v>
      </c>
      <c r="AB93" s="205" t="e">
        <f>AB94+AB95+AB96+#REF!+AB97</f>
        <v>#REF!</v>
      </c>
      <c r="AC93" s="235" t="s">
        <v>97</v>
      </c>
      <c r="AD93" s="209" t="s">
        <v>113</v>
      </c>
      <c r="AE93" s="207"/>
      <c r="AF93" s="207"/>
      <c r="AG93" s="207"/>
      <c r="AH93" s="260"/>
      <c r="AI93" s="261"/>
      <c r="AJ93" s="207"/>
      <c r="AK93" s="260"/>
      <c r="AL93" s="262">
        <f>0.0025*60</f>
        <v>0.15</v>
      </c>
      <c r="AM93" s="264">
        <v>18</v>
      </c>
      <c r="AN93" s="263" t="s">
        <v>99</v>
      </c>
      <c r="AO93" s="263" t="s">
        <v>114</v>
      </c>
      <c r="AP93" s="302"/>
      <c r="AQ93" s="314"/>
      <c r="AR93" s="289">
        <v>1</v>
      </c>
    </row>
    <row r="94" ht="39.95" customHeight="1" spans="1:44">
      <c r="A94" s="42">
        <f t="shared" si="11"/>
        <v>86</v>
      </c>
      <c r="B94" s="43"/>
      <c r="C94" s="46"/>
      <c r="D94" s="46">
        <v>2</v>
      </c>
      <c r="E94" s="46"/>
      <c r="F94" s="46"/>
      <c r="G94" s="59"/>
      <c r="H94" s="46"/>
      <c r="I94" s="46"/>
      <c r="J94" s="95"/>
      <c r="K94" s="95"/>
      <c r="L94" s="321"/>
      <c r="M94" s="322" t="s">
        <v>437</v>
      </c>
      <c r="N94" s="93" t="s">
        <v>438</v>
      </c>
      <c r="O94" s="116" t="s">
        <v>373</v>
      </c>
      <c r="P94" s="97" t="s">
        <v>144</v>
      </c>
      <c r="Q94" s="43" t="s">
        <v>92</v>
      </c>
      <c r="R94" s="153"/>
      <c r="S94" s="149" t="s">
        <v>42</v>
      </c>
      <c r="T94" s="129" t="s">
        <v>104</v>
      </c>
      <c r="U94" s="152" t="s">
        <v>97</v>
      </c>
      <c r="V94" s="146" t="s">
        <v>94</v>
      </c>
      <c r="W94" s="150" t="s">
        <v>93</v>
      </c>
      <c r="X94" s="108" t="s">
        <v>439</v>
      </c>
      <c r="Y94" s="45" t="s">
        <v>440</v>
      </c>
      <c r="Z94" s="45" t="s">
        <v>441</v>
      </c>
      <c r="AA94" s="90" t="s">
        <v>97</v>
      </c>
      <c r="AB94" s="205">
        <v>0.8278</v>
      </c>
      <c r="AC94" s="235" t="s">
        <v>97</v>
      </c>
      <c r="AD94" s="209"/>
      <c r="AE94" s="211"/>
      <c r="AF94" s="211"/>
      <c r="AG94" s="211"/>
      <c r="AH94" s="265">
        <v>1.3</v>
      </c>
      <c r="AI94" s="261">
        <f>AB94/AH94</f>
        <v>0.636769230769231</v>
      </c>
      <c r="AJ94" s="211"/>
      <c r="AK94" s="265"/>
      <c r="AL94" s="266"/>
      <c r="AM94" s="266"/>
      <c r="AN94" s="284" t="s">
        <v>105</v>
      </c>
      <c r="AO94" s="263"/>
      <c r="AP94" s="302"/>
      <c r="AQ94" s="314"/>
      <c r="AR94" s="289">
        <v>1</v>
      </c>
    </row>
    <row r="95" s="17" customFormat="1" ht="39.95" customHeight="1" spans="1:44">
      <c r="A95" s="416">
        <f t="shared" si="11"/>
        <v>87</v>
      </c>
      <c r="B95" s="48"/>
      <c r="C95" s="49"/>
      <c r="D95" s="49">
        <v>2</v>
      </c>
      <c r="E95" s="49"/>
      <c r="F95" s="49"/>
      <c r="G95" s="319"/>
      <c r="H95" s="49"/>
      <c r="I95" s="49"/>
      <c r="J95" s="98"/>
      <c r="K95" s="98"/>
      <c r="L95" s="100" t="s">
        <v>442</v>
      </c>
      <c r="M95" s="100" t="s">
        <v>442</v>
      </c>
      <c r="N95" s="101" t="s">
        <v>443</v>
      </c>
      <c r="O95" s="324"/>
      <c r="P95" s="103"/>
      <c r="Q95" s="48"/>
      <c r="R95" s="154"/>
      <c r="S95" s="155" t="s">
        <v>42</v>
      </c>
      <c r="T95" s="101" t="s">
        <v>104</v>
      </c>
      <c r="U95" s="156" t="s">
        <v>97</v>
      </c>
      <c r="V95" s="157" t="s">
        <v>94</v>
      </c>
      <c r="W95" s="158" t="s">
        <v>93</v>
      </c>
      <c r="X95" s="159" t="s">
        <v>122</v>
      </c>
      <c r="Y95" s="212" t="s">
        <v>444</v>
      </c>
      <c r="Z95" s="48" t="s">
        <v>124</v>
      </c>
      <c r="AA95" s="105" t="s">
        <v>445</v>
      </c>
      <c r="AB95" s="214"/>
      <c r="AC95" s="338" t="s">
        <v>97</v>
      </c>
      <c r="AD95" s="339" t="s">
        <v>126</v>
      </c>
      <c r="AE95" s="340"/>
      <c r="AF95" s="340"/>
      <c r="AG95" s="340"/>
      <c r="AH95" s="343"/>
      <c r="AI95" s="344"/>
      <c r="AJ95" s="219"/>
      <c r="AK95" s="271"/>
      <c r="AL95" s="345"/>
      <c r="AM95" s="345"/>
      <c r="AN95" s="346" t="s">
        <v>127</v>
      </c>
      <c r="AO95" s="346" t="s">
        <v>128</v>
      </c>
      <c r="AP95" s="303"/>
      <c r="AQ95" s="351"/>
      <c r="AR95" s="305">
        <v>2</v>
      </c>
    </row>
    <row r="96" s="17" customFormat="1" ht="39.95" customHeight="1" spans="1:44">
      <c r="A96" s="416">
        <f t="shared" si="11"/>
        <v>88</v>
      </c>
      <c r="B96" s="48"/>
      <c r="C96" s="49"/>
      <c r="D96" s="49">
        <v>2</v>
      </c>
      <c r="E96" s="49"/>
      <c r="F96" s="49"/>
      <c r="G96" s="319"/>
      <c r="H96" s="49"/>
      <c r="I96" s="49"/>
      <c r="J96" s="98"/>
      <c r="K96" s="98"/>
      <c r="L96" s="100" t="s">
        <v>129</v>
      </c>
      <c r="M96" s="100" t="s">
        <v>129</v>
      </c>
      <c r="N96" s="101" t="s">
        <v>130</v>
      </c>
      <c r="O96" s="324"/>
      <c r="P96" s="103"/>
      <c r="Q96" s="48"/>
      <c r="R96" s="154"/>
      <c r="S96" s="155" t="s">
        <v>42</v>
      </c>
      <c r="T96" s="101" t="s">
        <v>104</v>
      </c>
      <c r="U96" s="156" t="s">
        <v>97</v>
      </c>
      <c r="V96" s="332" t="s">
        <v>94</v>
      </c>
      <c r="W96" s="158" t="s">
        <v>93</v>
      </c>
      <c r="X96" s="159" t="s">
        <v>122</v>
      </c>
      <c r="Y96" s="212" t="s">
        <v>444</v>
      </c>
      <c r="Z96" s="48" t="s">
        <v>124</v>
      </c>
      <c r="AA96" s="105" t="s">
        <v>131</v>
      </c>
      <c r="AB96" s="214"/>
      <c r="AC96" s="338" t="s">
        <v>97</v>
      </c>
      <c r="AD96" s="339" t="s">
        <v>126</v>
      </c>
      <c r="AE96" s="340"/>
      <c r="AF96" s="340"/>
      <c r="AG96" s="340"/>
      <c r="AH96" s="343"/>
      <c r="AI96" s="344"/>
      <c r="AJ96" s="219"/>
      <c r="AK96" s="271"/>
      <c r="AL96" s="345"/>
      <c r="AM96" s="345"/>
      <c r="AN96" s="346" t="s">
        <v>127</v>
      </c>
      <c r="AO96" s="346" t="s">
        <v>128</v>
      </c>
      <c r="AP96" s="303"/>
      <c r="AQ96" s="351"/>
      <c r="AR96" s="305">
        <v>4</v>
      </c>
    </row>
    <row r="97" s="17" customFormat="1" ht="39.95" customHeight="1" spans="1:44">
      <c r="A97" s="42">
        <f t="shared" si="11"/>
        <v>89</v>
      </c>
      <c r="B97" s="48"/>
      <c r="C97" s="49"/>
      <c r="D97" s="49">
        <v>2</v>
      </c>
      <c r="E97" s="319"/>
      <c r="F97" s="49"/>
      <c r="G97" s="319"/>
      <c r="H97" s="49"/>
      <c r="I97" s="49"/>
      <c r="J97" s="98"/>
      <c r="K97" s="98"/>
      <c r="L97" s="406" t="s">
        <v>446</v>
      </c>
      <c r="M97" s="101" t="s">
        <v>447</v>
      </c>
      <c r="N97" s="105" t="s">
        <v>448</v>
      </c>
      <c r="O97" s="324" t="s">
        <v>175</v>
      </c>
      <c r="P97" s="103" t="s">
        <v>144</v>
      </c>
      <c r="Q97" s="48" t="s">
        <v>92</v>
      </c>
      <c r="R97" s="212"/>
      <c r="S97" s="155" t="s">
        <v>42</v>
      </c>
      <c r="T97" s="101" t="s">
        <v>104</v>
      </c>
      <c r="U97" s="156" t="s">
        <v>97</v>
      </c>
      <c r="V97" s="332" t="s">
        <v>94</v>
      </c>
      <c r="W97" s="158" t="s">
        <v>93</v>
      </c>
      <c r="X97" s="159" t="s">
        <v>138</v>
      </c>
      <c r="Y97" s="212" t="s">
        <v>97</v>
      </c>
      <c r="Z97" s="156" t="s">
        <v>139</v>
      </c>
      <c r="AA97" s="213" t="s">
        <v>97</v>
      </c>
      <c r="AB97" s="214">
        <v>0.05</v>
      </c>
      <c r="AC97" s="338" t="s">
        <v>97</v>
      </c>
      <c r="AD97" s="339"/>
      <c r="AE97" s="340"/>
      <c r="AF97" s="340"/>
      <c r="AG97" s="340"/>
      <c r="AH97" s="343"/>
      <c r="AI97" s="344"/>
      <c r="AJ97" s="219"/>
      <c r="AK97" s="271"/>
      <c r="AL97" s="345"/>
      <c r="AM97" s="345"/>
      <c r="AN97" s="346" t="s">
        <v>127</v>
      </c>
      <c r="AO97" s="346"/>
      <c r="AP97" s="303"/>
      <c r="AQ97" s="304" t="s">
        <v>140</v>
      </c>
      <c r="AR97" s="305">
        <v>1</v>
      </c>
    </row>
    <row r="98" s="3" customFormat="1" ht="39.95" customHeight="1" spans="1:44">
      <c r="A98" s="42">
        <f t="shared" si="11"/>
        <v>90</v>
      </c>
      <c r="B98" s="43"/>
      <c r="C98" s="46">
        <v>1</v>
      </c>
      <c r="D98" s="59"/>
      <c r="E98" s="46"/>
      <c r="F98" s="46"/>
      <c r="G98" s="59"/>
      <c r="H98" s="46"/>
      <c r="I98" s="46"/>
      <c r="J98" s="95"/>
      <c r="K98" s="95"/>
      <c r="L98" s="129" t="s">
        <v>449</v>
      </c>
      <c r="M98" s="129" t="s">
        <v>449</v>
      </c>
      <c r="N98" s="90" t="s">
        <v>450</v>
      </c>
      <c r="O98" s="107" t="s">
        <v>451</v>
      </c>
      <c r="P98" s="97" t="s">
        <v>117</v>
      </c>
      <c r="Q98" s="43" t="s">
        <v>92</v>
      </c>
      <c r="R98" s="153"/>
      <c r="S98" s="149" t="s">
        <v>42</v>
      </c>
      <c r="T98" s="129" t="s">
        <v>104</v>
      </c>
      <c r="U98" s="152" t="s">
        <v>97</v>
      </c>
      <c r="V98" s="186" t="s">
        <v>93</v>
      </c>
      <c r="W98" s="150" t="s">
        <v>94</v>
      </c>
      <c r="X98" s="108" t="s">
        <v>112</v>
      </c>
      <c r="Y98" s="45" t="s">
        <v>96</v>
      </c>
      <c r="Z98" s="45" t="s">
        <v>97</v>
      </c>
      <c r="AA98" s="90" t="s">
        <v>97</v>
      </c>
      <c r="AB98" s="205">
        <v>0.2</v>
      </c>
      <c r="AC98" s="235" t="s">
        <v>97</v>
      </c>
      <c r="AD98" s="221" t="s">
        <v>145</v>
      </c>
      <c r="AE98" s="211"/>
      <c r="AF98" s="211"/>
      <c r="AG98" s="211"/>
      <c r="AH98" s="265"/>
      <c r="AI98" s="274"/>
      <c r="AJ98" s="211"/>
      <c r="AK98" s="265"/>
      <c r="AL98" s="266"/>
      <c r="AM98" s="276"/>
      <c r="AN98" s="263" t="s">
        <v>99</v>
      </c>
      <c r="AO98" s="263" t="s">
        <v>146</v>
      </c>
      <c r="AP98" s="302"/>
      <c r="AQ98" s="314"/>
      <c r="AR98" s="289">
        <v>1</v>
      </c>
    </row>
    <row r="99" ht="39.95" customHeight="1" spans="1:44">
      <c r="A99" s="42">
        <f t="shared" si="11"/>
        <v>91</v>
      </c>
      <c r="B99" s="43"/>
      <c r="C99" s="46">
        <v>1</v>
      </c>
      <c r="D99" s="59"/>
      <c r="E99" s="59"/>
      <c r="F99" s="46"/>
      <c r="G99" s="59"/>
      <c r="H99" s="46"/>
      <c r="I99" s="46"/>
      <c r="J99" s="95"/>
      <c r="K99" s="95"/>
      <c r="L99" s="109" t="s">
        <v>147</v>
      </c>
      <c r="M99" s="129" t="s">
        <v>148</v>
      </c>
      <c r="N99" s="90" t="s">
        <v>149</v>
      </c>
      <c r="O99" s="110" t="s">
        <v>97</v>
      </c>
      <c r="P99" s="97" t="s">
        <v>144</v>
      </c>
      <c r="Q99" s="43" t="s">
        <v>92</v>
      </c>
      <c r="R99" s="45" t="s">
        <v>97</v>
      </c>
      <c r="S99" s="149" t="s">
        <v>42</v>
      </c>
      <c r="T99" s="129" t="s">
        <v>104</v>
      </c>
      <c r="U99" s="152" t="s">
        <v>97</v>
      </c>
      <c r="V99" s="186" t="s">
        <v>94</v>
      </c>
      <c r="W99" s="150" t="s">
        <v>93</v>
      </c>
      <c r="X99" s="45" t="s">
        <v>97</v>
      </c>
      <c r="Y99" s="45" t="s">
        <v>97</v>
      </c>
      <c r="Z99" s="45" t="s">
        <v>97</v>
      </c>
      <c r="AA99" s="90" t="s">
        <v>97</v>
      </c>
      <c r="AB99" s="205">
        <v>0.001</v>
      </c>
      <c r="AC99" s="235" t="s">
        <v>97</v>
      </c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63" t="s">
        <v>127</v>
      </c>
      <c r="AO99" s="263" t="s">
        <v>150</v>
      </c>
      <c r="AP99" s="302"/>
      <c r="AQ99" s="314"/>
      <c r="AR99" s="306">
        <v>26</v>
      </c>
    </row>
    <row r="100" ht="39.95" customHeight="1" spans="1:44">
      <c r="A100" s="42">
        <f t="shared" si="11"/>
        <v>92</v>
      </c>
      <c r="B100" s="83"/>
      <c r="C100" s="46">
        <v>1</v>
      </c>
      <c r="D100" s="46"/>
      <c r="E100" s="46"/>
      <c r="F100" s="46"/>
      <c r="G100" s="46"/>
      <c r="H100" s="46"/>
      <c r="I100" s="46"/>
      <c r="J100" s="83"/>
      <c r="K100" s="83"/>
      <c r="L100" s="204" t="s">
        <v>452</v>
      </c>
      <c r="M100" s="129" t="s">
        <v>453</v>
      </c>
      <c r="N100" s="87" t="s">
        <v>454</v>
      </c>
      <c r="O100" s="110" t="s">
        <v>175</v>
      </c>
      <c r="P100" s="97" t="s">
        <v>144</v>
      </c>
      <c r="Q100" s="43" t="s">
        <v>92</v>
      </c>
      <c r="R100" s="150"/>
      <c r="S100" s="149" t="s">
        <v>42</v>
      </c>
      <c r="T100" s="129" t="s">
        <v>104</v>
      </c>
      <c r="U100" s="152" t="s">
        <v>97</v>
      </c>
      <c r="V100" s="186" t="s">
        <v>94</v>
      </c>
      <c r="W100" s="150" t="s">
        <v>93</v>
      </c>
      <c r="X100" s="108" t="s">
        <v>112</v>
      </c>
      <c r="Y100" s="45" t="s">
        <v>96</v>
      </c>
      <c r="Z100" s="152" t="s">
        <v>97</v>
      </c>
      <c r="AA100" s="210" t="s">
        <v>97</v>
      </c>
      <c r="AB100" s="205">
        <f>AB101+AB102+AB103+AB104+AB105+AB106+AB107+AB108+AB110*AR110+AB109+AB111*AR111</f>
        <v>1.3483</v>
      </c>
      <c r="AC100" s="235" t="s">
        <v>243</v>
      </c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84" t="s">
        <v>127</v>
      </c>
      <c r="AO100" s="284" t="s">
        <v>213</v>
      </c>
      <c r="AP100" s="302"/>
      <c r="AQ100" s="314"/>
      <c r="AR100" s="289">
        <v>1</v>
      </c>
    </row>
    <row r="101" ht="39.95" customHeight="1" spans="1:44">
      <c r="A101" s="42">
        <f t="shared" ref="A101:A110" si="12">ROW()-8</f>
        <v>93</v>
      </c>
      <c r="B101" s="43"/>
      <c r="C101" s="46"/>
      <c r="D101" s="59">
        <v>2</v>
      </c>
      <c r="E101" s="59"/>
      <c r="F101" s="46"/>
      <c r="G101" s="59"/>
      <c r="H101" s="46"/>
      <c r="I101" s="46"/>
      <c r="J101" s="95"/>
      <c r="K101" s="95"/>
      <c r="L101" s="109"/>
      <c r="M101" s="129" t="s">
        <v>455</v>
      </c>
      <c r="N101" s="90" t="s">
        <v>456</v>
      </c>
      <c r="O101" s="110" t="s">
        <v>175</v>
      </c>
      <c r="P101" s="97" t="s">
        <v>144</v>
      </c>
      <c r="Q101" s="43" t="s">
        <v>92</v>
      </c>
      <c r="R101" s="153"/>
      <c r="S101" s="149" t="s">
        <v>42</v>
      </c>
      <c r="T101" s="129" t="s">
        <v>104</v>
      </c>
      <c r="U101" s="152" t="s">
        <v>97</v>
      </c>
      <c r="V101" s="186" t="s">
        <v>94</v>
      </c>
      <c r="W101" s="150" t="s">
        <v>93</v>
      </c>
      <c r="X101" s="108" t="s">
        <v>216</v>
      </c>
      <c r="Y101" s="45" t="s">
        <v>234</v>
      </c>
      <c r="Z101" s="337" t="s">
        <v>218</v>
      </c>
      <c r="AA101" s="210" t="s">
        <v>457</v>
      </c>
      <c r="AB101" s="205">
        <v>0.3204</v>
      </c>
      <c r="AC101" s="235" t="s">
        <v>97</v>
      </c>
      <c r="AD101" s="223" t="s">
        <v>126</v>
      </c>
      <c r="AE101" s="224">
        <f>AB101/0.395*1000</f>
        <v>811.139240506329</v>
      </c>
      <c r="AF101" s="224">
        <v>8</v>
      </c>
      <c r="AG101" s="224"/>
      <c r="AH101" s="277">
        <f>AE101*0.395/1000</f>
        <v>0.3204</v>
      </c>
      <c r="AI101" s="278">
        <f>AB101/AH101</f>
        <v>1</v>
      </c>
      <c r="AJ101" s="236"/>
      <c r="AK101" s="236"/>
      <c r="AL101" s="236"/>
      <c r="AM101" s="236"/>
      <c r="AN101" s="348"/>
      <c r="AO101" s="348"/>
      <c r="AP101" s="302"/>
      <c r="AQ101" s="314"/>
      <c r="AR101" s="289">
        <v>1</v>
      </c>
    </row>
    <row r="102" s="3" customFormat="1" ht="39.95" customHeight="1" spans="1:44">
      <c r="A102" s="42">
        <f t="shared" si="12"/>
        <v>94</v>
      </c>
      <c r="B102" s="43"/>
      <c r="C102" s="46"/>
      <c r="D102" s="59">
        <v>2</v>
      </c>
      <c r="E102" s="59"/>
      <c r="F102" s="46"/>
      <c r="G102" s="59"/>
      <c r="H102" s="46"/>
      <c r="I102" s="46"/>
      <c r="J102" s="95"/>
      <c r="K102" s="95"/>
      <c r="L102" s="109"/>
      <c r="M102" s="129" t="s">
        <v>458</v>
      </c>
      <c r="N102" s="90" t="s">
        <v>459</v>
      </c>
      <c r="O102" s="110" t="s">
        <v>175</v>
      </c>
      <c r="P102" s="97" t="s">
        <v>144</v>
      </c>
      <c r="Q102" s="43" t="s">
        <v>92</v>
      </c>
      <c r="R102" s="153"/>
      <c r="S102" s="149" t="s">
        <v>42</v>
      </c>
      <c r="T102" s="129" t="s">
        <v>104</v>
      </c>
      <c r="U102" s="152" t="s">
        <v>97</v>
      </c>
      <c r="V102" s="186" t="s">
        <v>94</v>
      </c>
      <c r="W102" s="150" t="s">
        <v>93</v>
      </c>
      <c r="X102" s="108" t="s">
        <v>216</v>
      </c>
      <c r="Y102" s="45" t="s">
        <v>234</v>
      </c>
      <c r="Z102" s="337" t="s">
        <v>218</v>
      </c>
      <c r="AA102" s="210" t="s">
        <v>457</v>
      </c>
      <c r="AB102" s="205">
        <v>0.3062</v>
      </c>
      <c r="AC102" s="235" t="s">
        <v>97</v>
      </c>
      <c r="AD102" s="223" t="s">
        <v>126</v>
      </c>
      <c r="AE102" s="224">
        <f>AB102/0.395*1000</f>
        <v>775.189873417722</v>
      </c>
      <c r="AF102" s="224">
        <v>8</v>
      </c>
      <c r="AG102" s="224"/>
      <c r="AH102" s="277">
        <f>AE102*0.395/1000</f>
        <v>0.3062</v>
      </c>
      <c r="AI102" s="278">
        <f>AB102/AH102</f>
        <v>1</v>
      </c>
      <c r="AJ102" s="236"/>
      <c r="AK102" s="236"/>
      <c r="AL102" s="236"/>
      <c r="AM102" s="236"/>
      <c r="AN102" s="348"/>
      <c r="AO102" s="348"/>
      <c r="AP102" s="302"/>
      <c r="AQ102" s="314"/>
      <c r="AR102" s="289">
        <v>1</v>
      </c>
    </row>
    <row r="103" s="3" customFormat="1" ht="39.95" customHeight="1" spans="1:44">
      <c r="A103" s="42">
        <f t="shared" si="12"/>
        <v>95</v>
      </c>
      <c r="B103" s="43"/>
      <c r="C103" s="46"/>
      <c r="D103" s="59">
        <v>2</v>
      </c>
      <c r="E103" s="59"/>
      <c r="F103" s="46"/>
      <c r="G103" s="59"/>
      <c r="H103" s="46"/>
      <c r="I103" s="46"/>
      <c r="J103" s="95"/>
      <c r="K103" s="95"/>
      <c r="L103" s="109"/>
      <c r="M103" s="129" t="s">
        <v>460</v>
      </c>
      <c r="N103" s="90" t="s">
        <v>461</v>
      </c>
      <c r="O103" s="110" t="s">
        <v>175</v>
      </c>
      <c r="P103" s="97" t="s">
        <v>144</v>
      </c>
      <c r="Q103" s="43" t="s">
        <v>92</v>
      </c>
      <c r="R103" s="160"/>
      <c r="S103" s="149" t="s">
        <v>42</v>
      </c>
      <c r="T103" s="129" t="s">
        <v>104</v>
      </c>
      <c r="U103" s="152" t="s">
        <v>97</v>
      </c>
      <c r="V103" s="186" t="s">
        <v>94</v>
      </c>
      <c r="W103" s="150" t="s">
        <v>93</v>
      </c>
      <c r="X103" s="108" t="s">
        <v>216</v>
      </c>
      <c r="Y103" s="45" t="s">
        <v>234</v>
      </c>
      <c r="Z103" s="337" t="s">
        <v>218</v>
      </c>
      <c r="AA103" s="210" t="s">
        <v>462</v>
      </c>
      <c r="AB103" s="205">
        <v>0.1886</v>
      </c>
      <c r="AC103" s="235" t="s">
        <v>97</v>
      </c>
      <c r="AD103" s="223" t="s">
        <v>126</v>
      </c>
      <c r="AE103" s="224">
        <f>AB103/0.395*1000</f>
        <v>477.46835443038</v>
      </c>
      <c r="AF103" s="224">
        <v>8</v>
      </c>
      <c r="AG103" s="224"/>
      <c r="AH103" s="277">
        <f>AE103*0.395/1000</f>
        <v>0.1886</v>
      </c>
      <c r="AI103" s="278">
        <f>AB103/AH103</f>
        <v>1</v>
      </c>
      <c r="AJ103" s="236"/>
      <c r="AK103" s="236"/>
      <c r="AL103" s="236"/>
      <c r="AM103" s="236"/>
      <c r="AN103" s="348"/>
      <c r="AO103" s="348"/>
      <c r="AP103" s="302"/>
      <c r="AQ103" s="314"/>
      <c r="AR103" s="289">
        <v>1</v>
      </c>
    </row>
    <row r="104" ht="39.95" customHeight="1" spans="1:44">
      <c r="A104" s="42">
        <f t="shared" si="12"/>
        <v>96</v>
      </c>
      <c r="B104" s="43"/>
      <c r="C104" s="46"/>
      <c r="D104" s="59">
        <v>2</v>
      </c>
      <c r="E104" s="59"/>
      <c r="F104" s="46"/>
      <c r="G104" s="59"/>
      <c r="H104" s="46"/>
      <c r="I104" s="46"/>
      <c r="J104" s="95"/>
      <c r="K104" s="95"/>
      <c r="L104" s="109"/>
      <c r="M104" s="129" t="s">
        <v>463</v>
      </c>
      <c r="N104" s="90" t="s">
        <v>464</v>
      </c>
      <c r="O104" s="110" t="s">
        <v>175</v>
      </c>
      <c r="P104" s="97" t="s">
        <v>144</v>
      </c>
      <c r="Q104" s="43" t="s">
        <v>92</v>
      </c>
      <c r="R104" s="153"/>
      <c r="S104" s="149" t="s">
        <v>42</v>
      </c>
      <c r="T104" s="129" t="s">
        <v>104</v>
      </c>
      <c r="U104" s="152" t="s">
        <v>97</v>
      </c>
      <c r="V104" s="186" t="s">
        <v>94</v>
      </c>
      <c r="W104" s="150" t="s">
        <v>93</v>
      </c>
      <c r="X104" s="108" t="s">
        <v>216</v>
      </c>
      <c r="Y104" s="45" t="s">
        <v>217</v>
      </c>
      <c r="Z104" s="337" t="s">
        <v>218</v>
      </c>
      <c r="AA104" s="210" t="s">
        <v>465</v>
      </c>
      <c r="AB104" s="205">
        <v>0.0779</v>
      </c>
      <c r="AC104" s="235" t="s">
        <v>97</v>
      </c>
      <c r="AD104" s="223" t="s">
        <v>126</v>
      </c>
      <c r="AE104" s="224">
        <f>AB104/0.154*1000</f>
        <v>505.844155844156</v>
      </c>
      <c r="AF104" s="224">
        <v>5</v>
      </c>
      <c r="AG104" s="224"/>
      <c r="AH104" s="277">
        <f>AE104*0.154/1000</f>
        <v>0.0779</v>
      </c>
      <c r="AI104" s="278">
        <f>AB104/AH104</f>
        <v>1</v>
      </c>
      <c r="AJ104" s="236"/>
      <c r="AK104" s="236"/>
      <c r="AL104" s="236"/>
      <c r="AM104" s="236"/>
      <c r="AN104" s="348"/>
      <c r="AO104" s="348"/>
      <c r="AP104" s="302"/>
      <c r="AQ104" s="314"/>
      <c r="AR104" s="289">
        <v>1</v>
      </c>
    </row>
    <row r="105" ht="39.95" customHeight="1" spans="1:44">
      <c r="A105" s="42">
        <f t="shared" si="12"/>
        <v>97</v>
      </c>
      <c r="B105" s="43"/>
      <c r="C105" s="46"/>
      <c r="D105" s="59">
        <v>2</v>
      </c>
      <c r="E105" s="59"/>
      <c r="F105" s="46"/>
      <c r="G105" s="59"/>
      <c r="H105" s="46"/>
      <c r="I105" s="46"/>
      <c r="J105" s="95"/>
      <c r="K105" s="95"/>
      <c r="L105" s="109"/>
      <c r="M105" s="129" t="s">
        <v>466</v>
      </c>
      <c r="N105" s="90" t="s">
        <v>467</v>
      </c>
      <c r="O105" s="110" t="s">
        <v>175</v>
      </c>
      <c r="P105" s="97" t="s">
        <v>144</v>
      </c>
      <c r="Q105" s="43" t="s">
        <v>92</v>
      </c>
      <c r="R105" s="153"/>
      <c r="S105" s="149" t="s">
        <v>42</v>
      </c>
      <c r="T105" s="129" t="s">
        <v>104</v>
      </c>
      <c r="U105" s="152" t="s">
        <v>97</v>
      </c>
      <c r="V105" s="186" t="s">
        <v>94</v>
      </c>
      <c r="W105" s="150" t="s">
        <v>93</v>
      </c>
      <c r="X105" s="108" t="s">
        <v>216</v>
      </c>
      <c r="Y105" s="45" t="s">
        <v>217</v>
      </c>
      <c r="Z105" s="337" t="s">
        <v>218</v>
      </c>
      <c r="AA105" s="210" t="s">
        <v>468</v>
      </c>
      <c r="AB105" s="205">
        <v>0.0801</v>
      </c>
      <c r="AC105" s="235" t="s">
        <v>97</v>
      </c>
      <c r="AD105" s="223" t="s">
        <v>126</v>
      </c>
      <c r="AE105" s="224">
        <f t="shared" ref="AE105:AE110" si="13">AB105/0.154*1000</f>
        <v>520.12987012987</v>
      </c>
      <c r="AF105" s="224">
        <v>5</v>
      </c>
      <c r="AG105" s="224"/>
      <c r="AH105" s="277">
        <f t="shared" ref="AH105:AH110" si="14">AE105*0.154/1000</f>
        <v>0.0801</v>
      </c>
      <c r="AI105" s="278">
        <f t="shared" ref="AI105:AI110" si="15">AB105/AH105</f>
        <v>1</v>
      </c>
      <c r="AJ105" s="236"/>
      <c r="AK105" s="236"/>
      <c r="AL105" s="236"/>
      <c r="AM105" s="236"/>
      <c r="AN105" s="348"/>
      <c r="AO105" s="348"/>
      <c r="AP105" s="302"/>
      <c r="AQ105" s="314"/>
      <c r="AR105" s="289">
        <v>1</v>
      </c>
    </row>
    <row r="106" ht="39.95" customHeight="1" spans="1:44">
      <c r="A106" s="42">
        <f t="shared" si="12"/>
        <v>98</v>
      </c>
      <c r="B106" s="43"/>
      <c r="C106" s="46"/>
      <c r="D106" s="59">
        <v>2</v>
      </c>
      <c r="E106" s="59"/>
      <c r="F106" s="46"/>
      <c r="G106" s="59"/>
      <c r="H106" s="46"/>
      <c r="I106" s="46"/>
      <c r="J106" s="95"/>
      <c r="K106" s="95"/>
      <c r="L106" s="109"/>
      <c r="M106" s="129" t="s">
        <v>469</v>
      </c>
      <c r="N106" s="90" t="s">
        <v>470</v>
      </c>
      <c r="O106" s="110" t="s">
        <v>175</v>
      </c>
      <c r="P106" s="97" t="s">
        <v>144</v>
      </c>
      <c r="Q106" s="43" t="s">
        <v>92</v>
      </c>
      <c r="R106" s="153"/>
      <c r="S106" s="149" t="s">
        <v>42</v>
      </c>
      <c r="T106" s="129" t="s">
        <v>104</v>
      </c>
      <c r="U106" s="152" t="s">
        <v>97</v>
      </c>
      <c r="V106" s="186" t="s">
        <v>94</v>
      </c>
      <c r="W106" s="150" t="s">
        <v>93</v>
      </c>
      <c r="X106" s="108" t="s">
        <v>216</v>
      </c>
      <c r="Y106" s="45" t="s">
        <v>217</v>
      </c>
      <c r="Z106" s="337" t="s">
        <v>218</v>
      </c>
      <c r="AA106" s="210" t="s">
        <v>471</v>
      </c>
      <c r="AB106" s="205">
        <v>0.0505</v>
      </c>
      <c r="AC106" s="235" t="s">
        <v>97</v>
      </c>
      <c r="AD106" s="223" t="s">
        <v>126</v>
      </c>
      <c r="AE106" s="224">
        <f t="shared" si="13"/>
        <v>327.922077922078</v>
      </c>
      <c r="AF106" s="224">
        <v>5</v>
      </c>
      <c r="AG106" s="224"/>
      <c r="AH106" s="277">
        <f t="shared" si="14"/>
        <v>0.0505</v>
      </c>
      <c r="AI106" s="278">
        <f t="shared" si="15"/>
        <v>1</v>
      </c>
      <c r="AJ106" s="236"/>
      <c r="AK106" s="236"/>
      <c r="AL106" s="236"/>
      <c r="AM106" s="236"/>
      <c r="AN106" s="348"/>
      <c r="AO106" s="348"/>
      <c r="AP106" s="302"/>
      <c r="AQ106" s="314"/>
      <c r="AR106" s="289">
        <v>1</v>
      </c>
    </row>
    <row r="107" ht="39.95" customHeight="1" spans="1:44">
      <c r="A107" s="42">
        <f t="shared" si="12"/>
        <v>99</v>
      </c>
      <c r="B107" s="43"/>
      <c r="C107" s="46"/>
      <c r="D107" s="59">
        <v>2</v>
      </c>
      <c r="E107" s="59"/>
      <c r="F107" s="46"/>
      <c r="G107" s="59"/>
      <c r="H107" s="46"/>
      <c r="I107" s="46"/>
      <c r="J107" s="95"/>
      <c r="K107" s="95"/>
      <c r="L107" s="109"/>
      <c r="M107" s="129" t="s">
        <v>472</v>
      </c>
      <c r="N107" s="90" t="s">
        <v>473</v>
      </c>
      <c r="O107" s="110" t="s">
        <v>175</v>
      </c>
      <c r="P107" s="97" t="s">
        <v>144</v>
      </c>
      <c r="Q107" s="43" t="s">
        <v>92</v>
      </c>
      <c r="R107" s="153"/>
      <c r="S107" s="149" t="s">
        <v>42</v>
      </c>
      <c r="T107" s="129" t="s">
        <v>104</v>
      </c>
      <c r="U107" s="152" t="s">
        <v>97</v>
      </c>
      <c r="V107" s="186" t="s">
        <v>94</v>
      </c>
      <c r="W107" s="150" t="s">
        <v>93</v>
      </c>
      <c r="X107" s="108" t="s">
        <v>216</v>
      </c>
      <c r="Y107" s="45" t="s">
        <v>217</v>
      </c>
      <c r="Z107" s="337" t="s">
        <v>218</v>
      </c>
      <c r="AA107" s="210" t="s">
        <v>471</v>
      </c>
      <c r="AB107" s="205">
        <v>0.0505</v>
      </c>
      <c r="AC107" s="235" t="s">
        <v>97</v>
      </c>
      <c r="AD107" s="223" t="s">
        <v>126</v>
      </c>
      <c r="AE107" s="224">
        <f t="shared" si="13"/>
        <v>327.922077922078</v>
      </c>
      <c r="AF107" s="224">
        <v>5</v>
      </c>
      <c r="AG107" s="224"/>
      <c r="AH107" s="277">
        <f t="shared" si="14"/>
        <v>0.0505</v>
      </c>
      <c r="AI107" s="278">
        <f t="shared" si="15"/>
        <v>1</v>
      </c>
      <c r="AJ107" s="236"/>
      <c r="AK107" s="236"/>
      <c r="AL107" s="236"/>
      <c r="AM107" s="236"/>
      <c r="AN107" s="348"/>
      <c r="AO107" s="348"/>
      <c r="AP107" s="302"/>
      <c r="AQ107" s="314"/>
      <c r="AR107" s="289">
        <v>1</v>
      </c>
    </row>
    <row r="108" s="3" customFormat="1" ht="39.95" customHeight="1" spans="1:44">
      <c r="A108" s="42">
        <f t="shared" si="12"/>
        <v>100</v>
      </c>
      <c r="B108" s="83"/>
      <c r="C108" s="46"/>
      <c r="D108" s="59">
        <v>2</v>
      </c>
      <c r="E108" s="46"/>
      <c r="F108" s="46"/>
      <c r="G108" s="46"/>
      <c r="H108" s="46"/>
      <c r="I108" s="46"/>
      <c r="J108" s="83"/>
      <c r="K108" s="83"/>
      <c r="L108" s="204"/>
      <c r="M108" s="129" t="s">
        <v>474</v>
      </c>
      <c r="N108" s="90" t="s">
        <v>475</v>
      </c>
      <c r="O108" s="110" t="s">
        <v>175</v>
      </c>
      <c r="P108" s="97" t="s">
        <v>144</v>
      </c>
      <c r="Q108" s="43" t="s">
        <v>92</v>
      </c>
      <c r="R108" s="150"/>
      <c r="S108" s="149" t="s">
        <v>42</v>
      </c>
      <c r="T108" s="129" t="s">
        <v>104</v>
      </c>
      <c r="U108" s="152" t="s">
        <v>97</v>
      </c>
      <c r="V108" s="186" t="s">
        <v>94</v>
      </c>
      <c r="W108" s="150" t="s">
        <v>93</v>
      </c>
      <c r="X108" s="108" t="s">
        <v>216</v>
      </c>
      <c r="Y108" s="45" t="s">
        <v>217</v>
      </c>
      <c r="Z108" s="337" t="s">
        <v>218</v>
      </c>
      <c r="AA108" s="210" t="s">
        <v>476</v>
      </c>
      <c r="AB108" s="205">
        <v>0.0653</v>
      </c>
      <c r="AC108" s="235" t="s">
        <v>97</v>
      </c>
      <c r="AD108" s="223" t="s">
        <v>126</v>
      </c>
      <c r="AE108" s="224">
        <f t="shared" si="13"/>
        <v>424.025974025974</v>
      </c>
      <c r="AF108" s="224">
        <v>5</v>
      </c>
      <c r="AG108" s="224"/>
      <c r="AH108" s="277">
        <f t="shared" si="14"/>
        <v>0.0653</v>
      </c>
      <c r="AI108" s="278">
        <f t="shared" si="15"/>
        <v>1</v>
      </c>
      <c r="AJ108" s="236"/>
      <c r="AK108" s="236"/>
      <c r="AL108" s="236"/>
      <c r="AM108" s="236"/>
      <c r="AN108" s="348"/>
      <c r="AO108" s="348"/>
      <c r="AP108" s="302"/>
      <c r="AQ108" s="314"/>
      <c r="AR108" s="289">
        <v>1</v>
      </c>
    </row>
    <row r="109" ht="39.95" customHeight="1" spans="1:44">
      <c r="A109" s="42">
        <f t="shared" si="12"/>
        <v>101</v>
      </c>
      <c r="B109" s="83"/>
      <c r="C109" s="46"/>
      <c r="D109" s="59">
        <v>2</v>
      </c>
      <c r="E109" s="46"/>
      <c r="F109" s="46"/>
      <c r="G109" s="46"/>
      <c r="H109" s="46"/>
      <c r="I109" s="46"/>
      <c r="J109" s="83"/>
      <c r="K109" s="83"/>
      <c r="L109" s="204"/>
      <c r="M109" s="129" t="s">
        <v>477</v>
      </c>
      <c r="N109" s="90" t="s">
        <v>478</v>
      </c>
      <c r="O109" s="110" t="s">
        <v>175</v>
      </c>
      <c r="P109" s="97" t="s">
        <v>144</v>
      </c>
      <c r="Q109" s="43" t="s">
        <v>92</v>
      </c>
      <c r="R109" s="150"/>
      <c r="S109" s="149" t="s">
        <v>42</v>
      </c>
      <c r="T109" s="129" t="s">
        <v>104</v>
      </c>
      <c r="U109" s="152" t="s">
        <v>97</v>
      </c>
      <c r="V109" s="186" t="s">
        <v>94</v>
      </c>
      <c r="W109" s="150" t="s">
        <v>93</v>
      </c>
      <c r="X109" s="108" t="s">
        <v>216</v>
      </c>
      <c r="Y109" s="45" t="s">
        <v>217</v>
      </c>
      <c r="Z109" s="337" t="s">
        <v>218</v>
      </c>
      <c r="AA109" s="210" t="s">
        <v>479</v>
      </c>
      <c r="AB109" s="205">
        <v>0.041</v>
      </c>
      <c r="AC109" s="235" t="s">
        <v>97</v>
      </c>
      <c r="AD109" s="223" t="s">
        <v>126</v>
      </c>
      <c r="AE109" s="224">
        <f t="shared" si="13"/>
        <v>266.233766233766</v>
      </c>
      <c r="AF109" s="224">
        <v>5</v>
      </c>
      <c r="AG109" s="224"/>
      <c r="AH109" s="277">
        <f t="shared" si="14"/>
        <v>0.041</v>
      </c>
      <c r="AI109" s="278">
        <f t="shared" si="15"/>
        <v>1</v>
      </c>
      <c r="AJ109" s="236"/>
      <c r="AK109" s="236"/>
      <c r="AL109" s="236"/>
      <c r="AM109" s="236"/>
      <c r="AN109" s="348"/>
      <c r="AO109" s="348"/>
      <c r="AP109" s="302"/>
      <c r="AQ109" s="314"/>
      <c r="AR109" s="289">
        <v>1</v>
      </c>
    </row>
    <row r="110" ht="39.95" customHeight="1" spans="1:44">
      <c r="A110" s="42">
        <f t="shared" si="12"/>
        <v>102</v>
      </c>
      <c r="B110" s="43"/>
      <c r="C110" s="46"/>
      <c r="D110" s="59">
        <v>2</v>
      </c>
      <c r="E110" s="47"/>
      <c r="F110" s="47"/>
      <c r="G110" s="46"/>
      <c r="H110" s="46"/>
      <c r="I110" s="46"/>
      <c r="J110" s="95"/>
      <c r="K110" s="106"/>
      <c r="L110" s="109"/>
      <c r="M110" s="129" t="s">
        <v>226</v>
      </c>
      <c r="N110" s="90" t="s">
        <v>227</v>
      </c>
      <c r="O110" s="110" t="s">
        <v>175</v>
      </c>
      <c r="P110" s="108" t="s">
        <v>144</v>
      </c>
      <c r="Q110" s="43" t="s">
        <v>92</v>
      </c>
      <c r="R110" s="160"/>
      <c r="S110" s="149" t="s">
        <v>42</v>
      </c>
      <c r="T110" s="129" t="s">
        <v>104</v>
      </c>
      <c r="U110" s="152" t="s">
        <v>97</v>
      </c>
      <c r="V110" s="186" t="s">
        <v>94</v>
      </c>
      <c r="W110" s="150" t="s">
        <v>93</v>
      </c>
      <c r="X110" s="43" t="s">
        <v>216</v>
      </c>
      <c r="Y110" s="45" t="s">
        <v>217</v>
      </c>
      <c r="Z110" s="152" t="s">
        <v>218</v>
      </c>
      <c r="AA110" s="210" t="s">
        <v>228</v>
      </c>
      <c r="AB110" s="205">
        <v>0.0241</v>
      </c>
      <c r="AC110" s="235" t="s">
        <v>97</v>
      </c>
      <c r="AD110" s="223" t="s">
        <v>126</v>
      </c>
      <c r="AE110" s="224">
        <f t="shared" si="13"/>
        <v>156.493506493506</v>
      </c>
      <c r="AF110" s="224">
        <v>5</v>
      </c>
      <c r="AG110" s="224"/>
      <c r="AH110" s="277">
        <f t="shared" si="14"/>
        <v>0.0241</v>
      </c>
      <c r="AI110" s="278">
        <f t="shared" si="15"/>
        <v>1</v>
      </c>
      <c r="AJ110" s="236"/>
      <c r="AK110" s="236"/>
      <c r="AL110" s="236"/>
      <c r="AM110" s="236"/>
      <c r="AN110" s="348"/>
      <c r="AO110" s="348"/>
      <c r="AP110" s="302"/>
      <c r="AQ110" s="314"/>
      <c r="AR110" s="289">
        <v>2</v>
      </c>
    </row>
    <row r="111" ht="39.95" customHeight="1" spans="1:44">
      <c r="A111" s="42">
        <f t="shared" ref="A111:A120" si="16">ROW()-8</f>
        <v>103</v>
      </c>
      <c r="B111" s="43"/>
      <c r="C111" s="46"/>
      <c r="D111" s="59">
        <v>2</v>
      </c>
      <c r="E111" s="59"/>
      <c r="F111" s="46"/>
      <c r="G111" s="59"/>
      <c r="H111" s="46"/>
      <c r="I111" s="46"/>
      <c r="J111" s="95"/>
      <c r="K111" s="95"/>
      <c r="L111" s="109"/>
      <c r="M111" s="129" t="s">
        <v>480</v>
      </c>
      <c r="N111" s="90" t="s">
        <v>481</v>
      </c>
      <c r="O111" s="110" t="s">
        <v>175</v>
      </c>
      <c r="P111" s="97" t="s">
        <v>144</v>
      </c>
      <c r="Q111" s="43" t="s">
        <v>92</v>
      </c>
      <c r="R111" s="153"/>
      <c r="S111" s="149" t="s">
        <v>42</v>
      </c>
      <c r="T111" s="129" t="s">
        <v>104</v>
      </c>
      <c r="U111" s="152" t="s">
        <v>97</v>
      </c>
      <c r="V111" s="186" t="s">
        <v>94</v>
      </c>
      <c r="W111" s="150" t="s">
        <v>93</v>
      </c>
      <c r="X111" s="108" t="s">
        <v>112</v>
      </c>
      <c r="Y111" s="45" t="s">
        <v>96</v>
      </c>
      <c r="Z111" s="152" t="s">
        <v>97</v>
      </c>
      <c r="AA111" s="210" t="s">
        <v>97</v>
      </c>
      <c r="AB111" s="205">
        <f>AB112+AB113</f>
        <v>0.0299</v>
      </c>
      <c r="AC111" s="235" t="s">
        <v>97</v>
      </c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348"/>
      <c r="AO111" s="348"/>
      <c r="AP111" s="302"/>
      <c r="AQ111" s="314"/>
      <c r="AR111" s="289">
        <v>4</v>
      </c>
    </row>
    <row r="112" ht="39.95" customHeight="1" spans="1:44">
      <c r="A112" s="42">
        <f t="shared" si="16"/>
        <v>104</v>
      </c>
      <c r="B112" s="43"/>
      <c r="C112" s="46"/>
      <c r="D112" s="59"/>
      <c r="E112" s="59">
        <v>3</v>
      </c>
      <c r="F112" s="46"/>
      <c r="G112" s="59"/>
      <c r="H112" s="46"/>
      <c r="I112" s="46"/>
      <c r="J112" s="95"/>
      <c r="K112" s="95"/>
      <c r="L112" s="109"/>
      <c r="M112" s="129" t="s">
        <v>482</v>
      </c>
      <c r="N112" s="90" t="s">
        <v>483</v>
      </c>
      <c r="O112" s="110" t="s">
        <v>175</v>
      </c>
      <c r="P112" s="97" t="s">
        <v>144</v>
      </c>
      <c r="Q112" s="43" t="s">
        <v>92</v>
      </c>
      <c r="R112" s="153"/>
      <c r="S112" s="149" t="s">
        <v>42</v>
      </c>
      <c r="T112" s="129" t="s">
        <v>104</v>
      </c>
      <c r="U112" s="152" t="s">
        <v>97</v>
      </c>
      <c r="V112" s="186" t="s">
        <v>94</v>
      </c>
      <c r="W112" s="150" t="s">
        <v>93</v>
      </c>
      <c r="X112" s="108" t="s">
        <v>189</v>
      </c>
      <c r="Y112" s="45" t="s">
        <v>299</v>
      </c>
      <c r="Z112" s="152" t="s">
        <v>191</v>
      </c>
      <c r="AA112" s="210" t="s">
        <v>484</v>
      </c>
      <c r="AB112" s="205">
        <v>0.0161</v>
      </c>
      <c r="AC112" s="235" t="s">
        <v>97</v>
      </c>
      <c r="AD112" s="236"/>
      <c r="AE112" s="236"/>
      <c r="AF112" s="236"/>
      <c r="AG112" s="236"/>
      <c r="AH112" s="236"/>
      <c r="AI112" s="236"/>
      <c r="AJ112" s="236"/>
      <c r="AK112" s="236"/>
      <c r="AL112" s="236"/>
      <c r="AM112" s="236"/>
      <c r="AN112" s="348"/>
      <c r="AO112" s="348"/>
      <c r="AP112" s="302"/>
      <c r="AQ112" s="314"/>
      <c r="AR112" s="289">
        <v>1</v>
      </c>
    </row>
    <row r="113" ht="39.95" customHeight="1" spans="1:44">
      <c r="A113" s="42">
        <f t="shared" si="16"/>
        <v>105</v>
      </c>
      <c r="B113" s="43"/>
      <c r="C113" s="46"/>
      <c r="D113" s="59"/>
      <c r="E113" s="59">
        <v>3</v>
      </c>
      <c r="F113" s="46"/>
      <c r="G113" s="59"/>
      <c r="H113" s="46"/>
      <c r="I113" s="46"/>
      <c r="J113" s="95"/>
      <c r="K113" s="95"/>
      <c r="L113" s="109"/>
      <c r="M113" s="129" t="s">
        <v>485</v>
      </c>
      <c r="N113" s="90" t="s">
        <v>486</v>
      </c>
      <c r="O113" s="110" t="s">
        <v>175</v>
      </c>
      <c r="P113" s="97" t="s">
        <v>144</v>
      </c>
      <c r="Q113" s="43" t="s">
        <v>92</v>
      </c>
      <c r="R113" s="153"/>
      <c r="S113" s="149" t="s">
        <v>42</v>
      </c>
      <c r="T113" s="129" t="s">
        <v>104</v>
      </c>
      <c r="U113" s="152" t="s">
        <v>97</v>
      </c>
      <c r="V113" s="186" t="s">
        <v>94</v>
      </c>
      <c r="W113" s="150" t="s">
        <v>93</v>
      </c>
      <c r="X113" s="108" t="s">
        <v>189</v>
      </c>
      <c r="Y113" s="45" t="s">
        <v>322</v>
      </c>
      <c r="Z113" s="152" t="s">
        <v>97</v>
      </c>
      <c r="AA113" s="210" t="s">
        <v>97</v>
      </c>
      <c r="AB113" s="205">
        <v>0.0138</v>
      </c>
      <c r="AC113" s="235" t="s">
        <v>97</v>
      </c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348"/>
      <c r="AO113" s="348"/>
      <c r="AP113" s="302"/>
      <c r="AQ113" s="314"/>
      <c r="AR113" s="289">
        <v>1</v>
      </c>
    </row>
    <row r="114" ht="39.95" customHeight="1" spans="1:44">
      <c r="A114" s="42">
        <f t="shared" si="16"/>
        <v>106</v>
      </c>
      <c r="B114" s="43"/>
      <c r="C114" s="46">
        <v>1</v>
      </c>
      <c r="D114" s="59"/>
      <c r="E114" s="59"/>
      <c r="F114" s="46"/>
      <c r="G114" s="59"/>
      <c r="H114" s="46"/>
      <c r="I114" s="46"/>
      <c r="J114" s="95"/>
      <c r="K114" s="95"/>
      <c r="L114" s="109" t="s">
        <v>487</v>
      </c>
      <c r="M114" s="129" t="s">
        <v>488</v>
      </c>
      <c r="N114" s="90" t="s">
        <v>489</v>
      </c>
      <c r="O114" s="325" t="s">
        <v>175</v>
      </c>
      <c r="P114" s="97" t="s">
        <v>144</v>
      </c>
      <c r="Q114" s="43" t="s">
        <v>92</v>
      </c>
      <c r="R114" s="153"/>
      <c r="S114" s="149" t="s">
        <v>42</v>
      </c>
      <c r="T114" s="129" t="s">
        <v>104</v>
      </c>
      <c r="U114" s="152" t="s">
        <v>97</v>
      </c>
      <c r="V114" s="186" t="s">
        <v>94</v>
      </c>
      <c r="W114" s="150" t="s">
        <v>93</v>
      </c>
      <c r="X114" s="108" t="s">
        <v>216</v>
      </c>
      <c r="Y114" s="45" t="s">
        <v>327</v>
      </c>
      <c r="Z114" s="337" t="s">
        <v>218</v>
      </c>
      <c r="AA114" s="210" t="s">
        <v>490</v>
      </c>
      <c r="AB114" s="205">
        <v>0.0421</v>
      </c>
      <c r="AC114" s="235" t="s">
        <v>97</v>
      </c>
      <c r="AD114" s="223" t="s">
        <v>126</v>
      </c>
      <c r="AE114" s="224">
        <f>AB114/0.2219*1000</f>
        <v>189.725101397026</v>
      </c>
      <c r="AF114" s="224">
        <v>6</v>
      </c>
      <c r="AG114" s="224"/>
      <c r="AH114" s="277">
        <f>AE114*0.2219/1000</f>
        <v>0.0421</v>
      </c>
      <c r="AI114" s="278">
        <f>AB114/AH114</f>
        <v>1</v>
      </c>
      <c r="AJ114" s="207"/>
      <c r="AK114" s="260"/>
      <c r="AL114" s="262"/>
      <c r="AM114" s="262"/>
      <c r="AN114" s="263" t="s">
        <v>127</v>
      </c>
      <c r="AO114" s="263" t="s">
        <v>213</v>
      </c>
      <c r="AP114" s="302"/>
      <c r="AQ114" s="314"/>
      <c r="AR114" s="289">
        <v>1</v>
      </c>
    </row>
    <row r="115" s="11" customFormat="1" ht="39.95" customHeight="1" spans="1:44">
      <c r="A115" s="42">
        <f t="shared" si="16"/>
        <v>107</v>
      </c>
      <c r="B115" s="55"/>
      <c r="C115" s="56">
        <v>1</v>
      </c>
      <c r="D115" s="415"/>
      <c r="E115" s="56"/>
      <c r="F115" s="415"/>
      <c r="G115" s="415"/>
      <c r="H115" s="56"/>
      <c r="I115" s="56"/>
      <c r="J115" s="123"/>
      <c r="K115" s="123"/>
      <c r="L115" s="409" t="s">
        <v>491</v>
      </c>
      <c r="M115" s="182" t="s">
        <v>492</v>
      </c>
      <c r="N115" s="124" t="s">
        <v>493</v>
      </c>
      <c r="O115" s="422" t="s">
        <v>175</v>
      </c>
      <c r="P115" s="419" t="s">
        <v>144</v>
      </c>
      <c r="Q115" s="55" t="s">
        <v>92</v>
      </c>
      <c r="R115" s="428"/>
      <c r="S115" s="181" t="s">
        <v>42</v>
      </c>
      <c r="T115" s="182" t="s">
        <v>104</v>
      </c>
      <c r="U115" s="183" t="s">
        <v>97</v>
      </c>
      <c r="V115" s="185" t="s">
        <v>94</v>
      </c>
      <c r="W115" s="184" t="s">
        <v>93</v>
      </c>
      <c r="X115" s="128" t="s">
        <v>494</v>
      </c>
      <c r="Y115" s="231" t="s">
        <v>495</v>
      </c>
      <c r="Z115" s="183" t="s">
        <v>97</v>
      </c>
      <c r="AA115" s="182" t="s">
        <v>97</v>
      </c>
      <c r="AB115" s="233">
        <v>0.1722</v>
      </c>
      <c r="AC115" s="432" t="s">
        <v>97</v>
      </c>
      <c r="AD115" s="246" t="s">
        <v>496</v>
      </c>
      <c r="AE115" s="207" t="s">
        <v>497</v>
      </c>
      <c r="AF115" s="207"/>
      <c r="AG115" s="207"/>
      <c r="AH115" s="260">
        <f>AB115*1.04</f>
        <v>0.179088</v>
      </c>
      <c r="AI115" s="261"/>
      <c r="AJ115" s="207"/>
      <c r="AK115" s="260"/>
      <c r="AL115" s="262">
        <f>50/60</f>
        <v>0.833333333333333</v>
      </c>
      <c r="AM115" s="264">
        <v>1</v>
      </c>
      <c r="AN115" s="263" t="s">
        <v>127</v>
      </c>
      <c r="AO115" s="437" t="s">
        <v>498</v>
      </c>
      <c r="AP115" s="311"/>
      <c r="AQ115" s="436"/>
      <c r="AR115" s="313">
        <v>1</v>
      </c>
    </row>
    <row r="116" ht="39.95" customHeight="1" spans="1:44">
      <c r="A116" s="42">
        <f t="shared" si="16"/>
        <v>108</v>
      </c>
      <c r="B116" s="43"/>
      <c r="C116" s="46">
        <v>1</v>
      </c>
      <c r="D116" s="46"/>
      <c r="E116" s="46"/>
      <c r="F116" s="59"/>
      <c r="G116" s="59"/>
      <c r="H116" s="46"/>
      <c r="I116" s="46"/>
      <c r="J116" s="95"/>
      <c r="K116" s="95"/>
      <c r="L116" s="109" t="s">
        <v>499</v>
      </c>
      <c r="M116" s="129" t="s">
        <v>500</v>
      </c>
      <c r="N116" s="90" t="s">
        <v>501</v>
      </c>
      <c r="O116" s="325" t="s">
        <v>175</v>
      </c>
      <c r="P116" s="108" t="s">
        <v>117</v>
      </c>
      <c r="Q116" s="43" t="s">
        <v>92</v>
      </c>
      <c r="R116" s="153"/>
      <c r="S116" s="149" t="s">
        <v>42</v>
      </c>
      <c r="T116" s="129" t="s">
        <v>104</v>
      </c>
      <c r="U116" s="152" t="s">
        <v>97</v>
      </c>
      <c r="V116" s="186" t="s">
        <v>94</v>
      </c>
      <c r="W116" s="150" t="s">
        <v>93</v>
      </c>
      <c r="X116" s="108" t="s">
        <v>494</v>
      </c>
      <c r="Y116" s="45" t="s">
        <v>495</v>
      </c>
      <c r="Z116" s="152" t="s">
        <v>97</v>
      </c>
      <c r="AA116" s="129" t="s">
        <v>97</v>
      </c>
      <c r="AB116" s="205">
        <v>0.0807</v>
      </c>
      <c r="AC116" s="235" t="s">
        <v>97</v>
      </c>
      <c r="AD116" s="246" t="s">
        <v>496</v>
      </c>
      <c r="AE116" s="207" t="s">
        <v>497</v>
      </c>
      <c r="AF116" s="207"/>
      <c r="AG116" s="207"/>
      <c r="AH116" s="260">
        <f>AB116*1.04</f>
        <v>0.083928</v>
      </c>
      <c r="AI116" s="261"/>
      <c r="AJ116" s="207"/>
      <c r="AK116" s="260"/>
      <c r="AL116" s="262">
        <f>40/60</f>
        <v>0.666666666666667</v>
      </c>
      <c r="AM116" s="264">
        <v>1</v>
      </c>
      <c r="AN116" s="263" t="s">
        <v>127</v>
      </c>
      <c r="AO116" s="437" t="s">
        <v>498</v>
      </c>
      <c r="AP116" s="302"/>
      <c r="AQ116" s="314"/>
      <c r="AR116" s="289">
        <v>1</v>
      </c>
    </row>
    <row r="117" ht="39.95" customHeight="1" spans="1:44">
      <c r="A117" s="42">
        <f t="shared" si="16"/>
        <v>109</v>
      </c>
      <c r="B117" s="43"/>
      <c r="C117" s="46">
        <v>1</v>
      </c>
      <c r="D117" s="46"/>
      <c r="E117" s="46"/>
      <c r="F117" s="59"/>
      <c r="G117" s="59"/>
      <c r="H117" s="46"/>
      <c r="I117" s="46"/>
      <c r="J117" s="95"/>
      <c r="K117" s="95"/>
      <c r="L117" s="109" t="s">
        <v>502</v>
      </c>
      <c r="M117" s="129" t="s">
        <v>503</v>
      </c>
      <c r="N117" s="90" t="s">
        <v>504</v>
      </c>
      <c r="O117" s="139" t="s">
        <v>505</v>
      </c>
      <c r="P117" s="97" t="s">
        <v>144</v>
      </c>
      <c r="Q117" s="43" t="s">
        <v>92</v>
      </c>
      <c r="R117" s="153"/>
      <c r="S117" s="149" t="s">
        <v>42</v>
      </c>
      <c r="T117" s="129" t="s">
        <v>104</v>
      </c>
      <c r="U117" s="152" t="s">
        <v>97</v>
      </c>
      <c r="V117" s="186" t="s">
        <v>94</v>
      </c>
      <c r="W117" s="150" t="s">
        <v>93</v>
      </c>
      <c r="X117" s="108" t="s">
        <v>286</v>
      </c>
      <c r="Y117" s="45" t="s">
        <v>506</v>
      </c>
      <c r="Z117" s="45" t="s">
        <v>97</v>
      </c>
      <c r="AA117" s="129" t="s">
        <v>97</v>
      </c>
      <c r="AB117" s="205">
        <v>0.0013</v>
      </c>
      <c r="AC117" s="235" t="s">
        <v>97</v>
      </c>
      <c r="AD117" s="236"/>
      <c r="AE117" s="236"/>
      <c r="AF117" s="236"/>
      <c r="AG117" s="236"/>
      <c r="AH117" s="236"/>
      <c r="AI117" s="236"/>
      <c r="AJ117" s="236"/>
      <c r="AK117" s="236"/>
      <c r="AL117" s="236"/>
      <c r="AM117" s="236"/>
      <c r="AN117" s="284" t="s">
        <v>127</v>
      </c>
      <c r="AO117" s="284" t="s">
        <v>427</v>
      </c>
      <c r="AP117" s="302"/>
      <c r="AQ117" s="314"/>
      <c r="AR117" s="289">
        <v>2</v>
      </c>
    </row>
    <row r="118" ht="39.95" customHeight="1" spans="1:44">
      <c r="A118" s="42">
        <f t="shared" si="16"/>
        <v>110</v>
      </c>
      <c r="B118" s="43"/>
      <c r="C118" s="46">
        <v>1</v>
      </c>
      <c r="D118" s="46"/>
      <c r="E118" s="59"/>
      <c r="F118" s="46"/>
      <c r="G118" s="59"/>
      <c r="H118" s="46"/>
      <c r="I118" s="46"/>
      <c r="J118" s="95"/>
      <c r="K118" s="95"/>
      <c r="L118" s="321" t="s">
        <v>507</v>
      </c>
      <c r="M118" s="322" t="s">
        <v>508</v>
      </c>
      <c r="N118" s="93" t="s">
        <v>509</v>
      </c>
      <c r="O118" s="139" t="s">
        <v>510</v>
      </c>
      <c r="P118" s="97" t="s">
        <v>144</v>
      </c>
      <c r="Q118" s="43" t="s">
        <v>92</v>
      </c>
      <c r="R118" s="153"/>
      <c r="S118" s="149" t="s">
        <v>42</v>
      </c>
      <c r="T118" s="129" t="s">
        <v>104</v>
      </c>
      <c r="U118" s="152" t="s">
        <v>97</v>
      </c>
      <c r="V118" s="186" t="s">
        <v>94</v>
      </c>
      <c r="W118" s="150" t="s">
        <v>93</v>
      </c>
      <c r="X118" s="108" t="s">
        <v>286</v>
      </c>
      <c r="Y118" s="45" t="s">
        <v>511</v>
      </c>
      <c r="Z118" s="45" t="s">
        <v>97</v>
      </c>
      <c r="AA118" s="129" t="s">
        <v>97</v>
      </c>
      <c r="AB118" s="205">
        <v>0.0023</v>
      </c>
      <c r="AC118" s="235" t="s">
        <v>512</v>
      </c>
      <c r="AD118" s="236"/>
      <c r="AE118" s="236"/>
      <c r="AF118" s="236"/>
      <c r="AG118" s="236"/>
      <c r="AH118" s="236"/>
      <c r="AI118" s="236"/>
      <c r="AJ118" s="236"/>
      <c r="AK118" s="236"/>
      <c r="AL118" s="236"/>
      <c r="AM118" s="236"/>
      <c r="AN118" s="284" t="s">
        <v>127</v>
      </c>
      <c r="AO118" s="284" t="s">
        <v>427</v>
      </c>
      <c r="AP118" s="302"/>
      <c r="AQ118" s="314"/>
      <c r="AR118" s="289">
        <v>4</v>
      </c>
    </row>
    <row r="119" ht="39.95" customHeight="1" spans="1:44">
      <c r="A119" s="42">
        <f t="shared" si="16"/>
        <v>111</v>
      </c>
      <c r="B119" s="43"/>
      <c r="C119" s="46">
        <v>1</v>
      </c>
      <c r="D119" s="46"/>
      <c r="E119" s="59"/>
      <c r="F119" s="46"/>
      <c r="G119" s="59"/>
      <c r="H119" s="46"/>
      <c r="I119" s="46"/>
      <c r="J119" s="95"/>
      <c r="K119" s="95"/>
      <c r="L119" s="109" t="s">
        <v>513</v>
      </c>
      <c r="M119" s="129" t="s">
        <v>514</v>
      </c>
      <c r="N119" s="90" t="s">
        <v>515</v>
      </c>
      <c r="O119" s="139" t="s">
        <v>516</v>
      </c>
      <c r="P119" s="97" t="s">
        <v>144</v>
      </c>
      <c r="Q119" s="43" t="s">
        <v>92</v>
      </c>
      <c r="R119" s="153"/>
      <c r="S119" s="149" t="s">
        <v>42</v>
      </c>
      <c r="T119" s="129" t="s">
        <v>104</v>
      </c>
      <c r="U119" s="152" t="s">
        <v>97</v>
      </c>
      <c r="V119" s="186" t="s">
        <v>94</v>
      </c>
      <c r="W119" s="150" t="s">
        <v>93</v>
      </c>
      <c r="X119" s="108" t="s">
        <v>122</v>
      </c>
      <c r="Y119" s="45" t="s">
        <v>97</v>
      </c>
      <c r="Z119" s="337" t="s">
        <v>218</v>
      </c>
      <c r="AA119" s="129" t="s">
        <v>97</v>
      </c>
      <c r="AB119" s="205">
        <v>0.0003</v>
      </c>
      <c r="AC119" s="235" t="s">
        <v>97</v>
      </c>
      <c r="AD119" s="236"/>
      <c r="AE119" s="236"/>
      <c r="AF119" s="236"/>
      <c r="AG119" s="236"/>
      <c r="AH119" s="236"/>
      <c r="AI119" s="236"/>
      <c r="AJ119" s="236"/>
      <c r="AK119" s="236"/>
      <c r="AL119" s="236"/>
      <c r="AM119" s="236"/>
      <c r="AN119" s="284" t="s">
        <v>127</v>
      </c>
      <c r="AO119" s="263" t="s">
        <v>213</v>
      </c>
      <c r="AP119" s="302"/>
      <c r="AQ119" s="314"/>
      <c r="AR119" s="289">
        <v>1</v>
      </c>
    </row>
    <row r="120" ht="39.95" customHeight="1" spans="1:44">
      <c r="A120" s="42">
        <f t="shared" si="16"/>
        <v>112</v>
      </c>
      <c r="B120" s="43"/>
      <c r="C120" s="46">
        <v>1</v>
      </c>
      <c r="D120" s="46"/>
      <c r="E120" s="59"/>
      <c r="F120" s="46"/>
      <c r="G120" s="59"/>
      <c r="H120" s="46"/>
      <c r="I120" s="46"/>
      <c r="J120" s="95"/>
      <c r="K120" s="95"/>
      <c r="L120" s="109" t="s">
        <v>517</v>
      </c>
      <c r="M120" s="129" t="s">
        <v>518</v>
      </c>
      <c r="N120" s="90" t="s">
        <v>519</v>
      </c>
      <c r="O120" s="325" t="s">
        <v>175</v>
      </c>
      <c r="P120" s="97" t="s">
        <v>117</v>
      </c>
      <c r="Q120" s="43" t="s">
        <v>92</v>
      </c>
      <c r="R120" s="153"/>
      <c r="S120" s="149" t="s">
        <v>42</v>
      </c>
      <c r="T120" s="129" t="s">
        <v>104</v>
      </c>
      <c r="U120" s="152" t="s">
        <v>97</v>
      </c>
      <c r="V120" s="186" t="s">
        <v>94</v>
      </c>
      <c r="W120" s="150" t="s">
        <v>93</v>
      </c>
      <c r="X120" s="108" t="s">
        <v>494</v>
      </c>
      <c r="Y120" s="45" t="s">
        <v>520</v>
      </c>
      <c r="Z120" s="152" t="s">
        <v>97</v>
      </c>
      <c r="AA120" s="129" t="s">
        <v>97</v>
      </c>
      <c r="AB120" s="205">
        <v>0.0707</v>
      </c>
      <c r="AC120" s="235" t="s">
        <v>97</v>
      </c>
      <c r="AD120" s="246" t="s">
        <v>496</v>
      </c>
      <c r="AE120" s="433"/>
      <c r="AF120" s="433"/>
      <c r="AG120" s="433"/>
      <c r="AH120" s="434">
        <v>0.072</v>
      </c>
      <c r="AI120" s="435"/>
      <c r="AJ120" s="433"/>
      <c r="AK120" s="434"/>
      <c r="AL120" s="262">
        <f>45/60</f>
        <v>0.75</v>
      </c>
      <c r="AM120" s="264">
        <v>1</v>
      </c>
      <c r="AN120" s="263" t="s">
        <v>127</v>
      </c>
      <c r="AO120" s="437" t="s">
        <v>498</v>
      </c>
      <c r="AP120" s="152" t="s">
        <v>97</v>
      </c>
      <c r="AQ120" s="314"/>
      <c r="AR120" s="289">
        <v>1</v>
      </c>
    </row>
    <row r="121" ht="39.95" customHeight="1" spans="1:44">
      <c r="A121" s="42">
        <f t="shared" ref="A121:A128" si="17">ROW()-8</f>
        <v>113</v>
      </c>
      <c r="B121" s="43"/>
      <c r="C121" s="46">
        <v>1</v>
      </c>
      <c r="D121" s="46"/>
      <c r="E121" s="58"/>
      <c r="F121" s="47"/>
      <c r="G121" s="46"/>
      <c r="H121" s="46"/>
      <c r="I121" s="46"/>
      <c r="J121" s="95"/>
      <c r="K121" s="106"/>
      <c r="L121" s="109" t="s">
        <v>521</v>
      </c>
      <c r="M121" s="129" t="s">
        <v>522</v>
      </c>
      <c r="N121" s="90" t="s">
        <v>523</v>
      </c>
      <c r="O121" s="110" t="s">
        <v>524</v>
      </c>
      <c r="P121" s="97" t="s">
        <v>144</v>
      </c>
      <c r="Q121" s="43" t="s">
        <v>92</v>
      </c>
      <c r="R121" s="160"/>
      <c r="S121" s="149" t="s">
        <v>42</v>
      </c>
      <c r="T121" s="129" t="s">
        <v>104</v>
      </c>
      <c r="U121" s="152" t="s">
        <v>97</v>
      </c>
      <c r="V121" s="186" t="s">
        <v>94</v>
      </c>
      <c r="W121" s="150" t="s">
        <v>93</v>
      </c>
      <c r="X121" s="108" t="s">
        <v>286</v>
      </c>
      <c r="Y121" s="152" t="s">
        <v>97</v>
      </c>
      <c r="Z121" s="152" t="s">
        <v>97</v>
      </c>
      <c r="AA121" s="129" t="s">
        <v>97</v>
      </c>
      <c r="AB121" s="205">
        <v>0.006</v>
      </c>
      <c r="AC121" s="235" t="s">
        <v>512</v>
      </c>
      <c r="AD121" s="236"/>
      <c r="AE121" s="236"/>
      <c r="AF121" s="236"/>
      <c r="AG121" s="236"/>
      <c r="AH121" s="236"/>
      <c r="AI121" s="236"/>
      <c r="AJ121" s="236"/>
      <c r="AK121" s="236"/>
      <c r="AL121" s="236"/>
      <c r="AM121" s="236"/>
      <c r="AN121" s="284" t="s">
        <v>127</v>
      </c>
      <c r="AO121" s="284" t="s">
        <v>427</v>
      </c>
      <c r="AP121" s="302"/>
      <c r="AQ121" s="314"/>
      <c r="AR121" s="289">
        <v>4</v>
      </c>
    </row>
    <row r="122" s="18" customFormat="1" ht="39.95" customHeight="1" spans="1:44">
      <c r="A122" s="42">
        <f t="shared" si="17"/>
        <v>114</v>
      </c>
      <c r="B122" s="43"/>
      <c r="C122" s="46">
        <v>1</v>
      </c>
      <c r="D122" s="46"/>
      <c r="E122" s="47"/>
      <c r="F122" s="47"/>
      <c r="G122" s="46"/>
      <c r="H122" s="46"/>
      <c r="I122" s="46"/>
      <c r="J122" s="95"/>
      <c r="K122" s="106"/>
      <c r="L122" s="92" t="s">
        <v>525</v>
      </c>
      <c r="M122" s="92" t="s">
        <v>525</v>
      </c>
      <c r="N122" s="93" t="s">
        <v>526</v>
      </c>
      <c r="O122" s="107"/>
      <c r="P122" s="97" t="s">
        <v>144</v>
      </c>
      <c r="Q122" s="43" t="s">
        <v>92</v>
      </c>
      <c r="R122" s="152" t="s">
        <v>97</v>
      </c>
      <c r="S122" s="152" t="s">
        <v>97</v>
      </c>
      <c r="T122" s="129" t="s">
        <v>104</v>
      </c>
      <c r="U122" s="152" t="s">
        <v>97</v>
      </c>
      <c r="V122" s="186" t="s">
        <v>94</v>
      </c>
      <c r="W122" s="150" t="s">
        <v>93</v>
      </c>
      <c r="X122" s="333" t="s">
        <v>527</v>
      </c>
      <c r="Y122" s="333" t="s">
        <v>527</v>
      </c>
      <c r="Z122" s="152" t="s">
        <v>97</v>
      </c>
      <c r="AA122" s="129" t="s">
        <v>97</v>
      </c>
      <c r="AB122" s="205">
        <v>0.02</v>
      </c>
      <c r="AC122" s="235" t="s">
        <v>97</v>
      </c>
      <c r="AD122" s="236"/>
      <c r="AE122" s="236"/>
      <c r="AF122" s="236"/>
      <c r="AG122" s="236"/>
      <c r="AH122" s="236"/>
      <c r="AI122" s="236"/>
      <c r="AJ122" s="236"/>
      <c r="AK122" s="236"/>
      <c r="AL122" s="236"/>
      <c r="AM122" s="236"/>
      <c r="AN122" s="284" t="s">
        <v>127</v>
      </c>
      <c r="AO122" s="284" t="s">
        <v>528</v>
      </c>
      <c r="AP122" s="302"/>
      <c r="AQ122" s="314"/>
      <c r="AR122" s="289">
        <v>1</v>
      </c>
    </row>
    <row r="123" s="18" customFormat="1" ht="39.95" customHeight="1" spans="1:44">
      <c r="A123" s="42">
        <f t="shared" si="17"/>
        <v>115</v>
      </c>
      <c r="B123" s="43"/>
      <c r="C123" s="46">
        <v>1</v>
      </c>
      <c r="D123" s="46"/>
      <c r="E123" s="47"/>
      <c r="F123" s="47"/>
      <c r="G123" s="46"/>
      <c r="H123" s="46"/>
      <c r="I123" s="46"/>
      <c r="J123" s="95"/>
      <c r="K123" s="106"/>
      <c r="L123" s="92" t="s">
        <v>529</v>
      </c>
      <c r="M123" s="92" t="s">
        <v>529</v>
      </c>
      <c r="N123" s="93" t="s">
        <v>526</v>
      </c>
      <c r="O123" s="107"/>
      <c r="P123" s="97"/>
      <c r="Q123" s="43" t="s">
        <v>92</v>
      </c>
      <c r="R123" s="152"/>
      <c r="S123" s="152"/>
      <c r="T123" s="129" t="s">
        <v>104</v>
      </c>
      <c r="U123" s="152" t="s">
        <v>97</v>
      </c>
      <c r="V123" s="186" t="s">
        <v>94</v>
      </c>
      <c r="W123" s="150" t="s">
        <v>93</v>
      </c>
      <c r="X123" s="333" t="s">
        <v>527</v>
      </c>
      <c r="Y123" s="333" t="s">
        <v>527</v>
      </c>
      <c r="Z123" s="152"/>
      <c r="AA123" s="129"/>
      <c r="AB123" s="205"/>
      <c r="AC123" s="235"/>
      <c r="AD123" s="236"/>
      <c r="AE123" s="236"/>
      <c r="AF123" s="236"/>
      <c r="AG123" s="236"/>
      <c r="AH123" s="236"/>
      <c r="AI123" s="236"/>
      <c r="AJ123" s="236"/>
      <c r="AK123" s="236"/>
      <c r="AL123" s="236"/>
      <c r="AM123" s="236"/>
      <c r="AN123" s="284" t="s">
        <v>127</v>
      </c>
      <c r="AO123" s="284" t="s">
        <v>528</v>
      </c>
      <c r="AP123" s="302"/>
      <c r="AQ123" s="314"/>
      <c r="AR123" s="289">
        <v>1</v>
      </c>
    </row>
    <row r="124" s="18" customFormat="1" ht="39.95" customHeight="1" spans="1:44">
      <c r="A124" s="42">
        <f t="shared" si="17"/>
        <v>116</v>
      </c>
      <c r="B124" s="43"/>
      <c r="C124" s="46">
        <v>1</v>
      </c>
      <c r="D124" s="46"/>
      <c r="E124" s="47"/>
      <c r="F124" s="47"/>
      <c r="G124" s="46"/>
      <c r="H124" s="46"/>
      <c r="I124" s="46"/>
      <c r="J124" s="95"/>
      <c r="K124" s="106"/>
      <c r="L124" s="92" t="s">
        <v>530</v>
      </c>
      <c r="M124" s="92" t="s">
        <v>530</v>
      </c>
      <c r="N124" s="328" t="s">
        <v>531</v>
      </c>
      <c r="O124" s="107"/>
      <c r="P124" s="97"/>
      <c r="Q124" s="43" t="s">
        <v>92</v>
      </c>
      <c r="R124" s="152"/>
      <c r="S124" s="152"/>
      <c r="T124" s="129"/>
      <c r="U124" s="152"/>
      <c r="V124" s="186"/>
      <c r="W124" s="150" t="s">
        <v>93</v>
      </c>
      <c r="X124" s="333"/>
      <c r="Y124" s="333"/>
      <c r="Z124" s="152"/>
      <c r="AA124" s="129"/>
      <c r="AB124" s="205"/>
      <c r="AC124" s="235"/>
      <c r="AD124" s="236"/>
      <c r="AE124" s="236"/>
      <c r="AF124" s="236"/>
      <c r="AG124" s="236"/>
      <c r="AH124" s="236"/>
      <c r="AI124" s="236"/>
      <c r="AJ124" s="236"/>
      <c r="AK124" s="236"/>
      <c r="AL124" s="236"/>
      <c r="AM124" s="236"/>
      <c r="AN124" s="284" t="s">
        <v>127</v>
      </c>
      <c r="AO124" s="284" t="s">
        <v>532</v>
      </c>
      <c r="AP124" s="302"/>
      <c r="AQ124" s="314"/>
      <c r="AR124" s="289">
        <v>3</v>
      </c>
    </row>
    <row r="125" ht="39.95" customHeight="1" spans="1:44">
      <c r="A125" s="42">
        <f t="shared" si="17"/>
        <v>117</v>
      </c>
      <c r="B125" s="43">
        <v>0</v>
      </c>
      <c r="C125" s="46"/>
      <c r="D125" s="46"/>
      <c r="E125" s="58"/>
      <c r="F125" s="47"/>
      <c r="G125" s="46"/>
      <c r="H125" s="46"/>
      <c r="I125" s="46"/>
      <c r="J125" s="95"/>
      <c r="K125" s="106"/>
      <c r="L125" s="331" t="s">
        <v>533</v>
      </c>
      <c r="M125" s="331" t="s">
        <v>533</v>
      </c>
      <c r="N125" s="331" t="s">
        <v>534</v>
      </c>
      <c r="O125" s="423"/>
      <c r="P125" s="424"/>
      <c r="Q125" s="50"/>
      <c r="R125" s="170"/>
      <c r="S125" s="170" t="s">
        <v>97</v>
      </c>
      <c r="T125" s="169" t="s">
        <v>104</v>
      </c>
      <c r="U125" s="170"/>
      <c r="V125" s="334" t="s">
        <v>93</v>
      </c>
      <c r="W125" s="334" t="s">
        <v>94</v>
      </c>
      <c r="X125" s="335"/>
      <c r="Y125" s="335"/>
      <c r="Z125" s="170"/>
      <c r="AA125" s="169"/>
      <c r="AB125" s="227"/>
      <c r="AC125" s="341"/>
      <c r="AD125" s="236"/>
      <c r="AE125" s="236"/>
      <c r="AF125" s="236"/>
      <c r="AG125" s="236"/>
      <c r="AH125" s="236"/>
      <c r="AI125" s="236"/>
      <c r="AJ125" s="236"/>
      <c r="AK125" s="236"/>
      <c r="AL125" s="236"/>
      <c r="AM125" s="236"/>
      <c r="AN125" s="284" t="s">
        <v>127</v>
      </c>
      <c r="AO125" s="284"/>
      <c r="AP125" s="302"/>
      <c r="AQ125" s="314"/>
      <c r="AR125" s="289">
        <v>5</v>
      </c>
    </row>
    <row r="126" ht="39.95" customHeight="1" spans="1:44">
      <c r="A126" s="42">
        <f t="shared" si="17"/>
        <v>118</v>
      </c>
      <c r="B126" s="43">
        <v>0</v>
      </c>
      <c r="C126" s="46"/>
      <c r="D126" s="46"/>
      <c r="E126" s="58"/>
      <c r="F126" s="47"/>
      <c r="G126" s="46"/>
      <c r="H126" s="46"/>
      <c r="I126" s="46"/>
      <c r="J126" s="95"/>
      <c r="K126" s="106"/>
      <c r="L126" s="331" t="s">
        <v>535</v>
      </c>
      <c r="M126" s="331" t="s">
        <v>535</v>
      </c>
      <c r="N126" s="331" t="s">
        <v>536</v>
      </c>
      <c r="O126" s="423"/>
      <c r="P126" s="424"/>
      <c r="Q126" s="50"/>
      <c r="R126" s="170"/>
      <c r="S126" s="170" t="s">
        <v>97</v>
      </c>
      <c r="T126" s="169" t="s">
        <v>104</v>
      </c>
      <c r="U126" s="170"/>
      <c r="V126" s="334" t="s">
        <v>93</v>
      </c>
      <c r="W126" s="334" t="s">
        <v>94</v>
      </c>
      <c r="X126" s="335"/>
      <c r="Y126" s="335"/>
      <c r="Z126" s="170"/>
      <c r="AA126" s="169"/>
      <c r="AB126" s="227"/>
      <c r="AC126" s="341"/>
      <c r="AD126" s="236"/>
      <c r="AE126" s="236"/>
      <c r="AF126" s="236"/>
      <c r="AG126" s="236"/>
      <c r="AH126" s="236"/>
      <c r="AI126" s="236"/>
      <c r="AJ126" s="236"/>
      <c r="AK126" s="236"/>
      <c r="AL126" s="236"/>
      <c r="AM126" s="236"/>
      <c r="AN126" s="284" t="s">
        <v>99</v>
      </c>
      <c r="AO126" s="284" t="s">
        <v>146</v>
      </c>
      <c r="AP126" s="302"/>
      <c r="AQ126" s="314"/>
      <c r="AR126" s="289">
        <v>1</v>
      </c>
    </row>
    <row r="127" ht="39.95" customHeight="1" spans="1:44">
      <c r="A127" s="42">
        <f t="shared" si="17"/>
        <v>119</v>
      </c>
      <c r="B127" s="43"/>
      <c r="C127" s="46">
        <v>1</v>
      </c>
      <c r="D127" s="46"/>
      <c r="E127" s="58"/>
      <c r="F127" s="47"/>
      <c r="G127" s="46"/>
      <c r="H127" s="46"/>
      <c r="I127" s="46"/>
      <c r="J127" s="95"/>
      <c r="K127" s="106"/>
      <c r="L127" s="329" t="s">
        <v>537</v>
      </c>
      <c r="M127" s="329" t="s">
        <v>537</v>
      </c>
      <c r="N127" s="329" t="s">
        <v>538</v>
      </c>
      <c r="O127" s="423"/>
      <c r="P127" s="424"/>
      <c r="Q127" s="50"/>
      <c r="R127" s="170"/>
      <c r="S127" s="170" t="s">
        <v>97</v>
      </c>
      <c r="T127" s="169" t="s">
        <v>104</v>
      </c>
      <c r="U127" s="170"/>
      <c r="V127" s="334" t="s">
        <v>93</v>
      </c>
      <c r="W127" s="334" t="s">
        <v>94</v>
      </c>
      <c r="X127" s="335" t="s">
        <v>539</v>
      </c>
      <c r="Y127" s="335"/>
      <c r="Z127" s="170"/>
      <c r="AA127" s="169"/>
      <c r="AB127" s="227"/>
      <c r="AC127" s="341"/>
      <c r="AD127" s="236"/>
      <c r="AE127" s="236"/>
      <c r="AF127" s="236"/>
      <c r="AG127" s="236"/>
      <c r="AH127" s="236"/>
      <c r="AI127" s="236"/>
      <c r="AJ127" s="236"/>
      <c r="AK127" s="236"/>
      <c r="AL127" s="236"/>
      <c r="AM127" s="236"/>
      <c r="AN127" s="284" t="s">
        <v>127</v>
      </c>
      <c r="AO127" s="284"/>
      <c r="AP127" s="302"/>
      <c r="AQ127" s="314"/>
      <c r="AR127" s="289">
        <v>1</v>
      </c>
    </row>
    <row r="128" ht="39.95" customHeight="1" spans="1:44">
      <c r="A128" s="42">
        <f t="shared" si="17"/>
        <v>120</v>
      </c>
      <c r="B128" s="43"/>
      <c r="C128" s="46">
        <v>1</v>
      </c>
      <c r="D128" s="46"/>
      <c r="E128" s="58"/>
      <c r="F128" s="47"/>
      <c r="G128" s="46"/>
      <c r="H128" s="46"/>
      <c r="I128" s="46"/>
      <c r="J128" s="95"/>
      <c r="K128" s="106"/>
      <c r="L128" s="329" t="s">
        <v>540</v>
      </c>
      <c r="M128" s="329" t="s">
        <v>540</v>
      </c>
      <c r="N128" s="425" t="s">
        <v>541</v>
      </c>
      <c r="O128" s="423"/>
      <c r="P128" s="424"/>
      <c r="Q128" s="50"/>
      <c r="R128" s="170"/>
      <c r="S128" s="170" t="s">
        <v>97</v>
      </c>
      <c r="T128" s="169" t="s">
        <v>104</v>
      </c>
      <c r="U128" s="170"/>
      <c r="V128" s="334" t="s">
        <v>93</v>
      </c>
      <c r="W128" s="334" t="s">
        <v>94</v>
      </c>
      <c r="X128" s="335"/>
      <c r="Y128" s="335"/>
      <c r="Z128" s="170"/>
      <c r="AA128" s="169"/>
      <c r="AB128" s="227"/>
      <c r="AC128" s="341"/>
      <c r="AD128" s="236"/>
      <c r="AE128" s="236"/>
      <c r="AF128" s="236"/>
      <c r="AG128" s="236"/>
      <c r="AH128" s="236"/>
      <c r="AI128" s="236"/>
      <c r="AJ128" s="236"/>
      <c r="AK128" s="236"/>
      <c r="AL128" s="236"/>
      <c r="AM128" s="236"/>
      <c r="AN128" s="284" t="s">
        <v>99</v>
      </c>
      <c r="AO128" s="284" t="s">
        <v>146</v>
      </c>
      <c r="AP128" s="302"/>
      <c r="AQ128" s="314"/>
      <c r="AR128" s="289">
        <v>1</v>
      </c>
    </row>
    <row r="129" ht="15" customHeight="1" spans="19:26">
      <c r="S129" s="19"/>
      <c r="U129" s="19"/>
      <c r="V129" s="19"/>
      <c r="W129" s="19"/>
      <c r="X129" s="19"/>
      <c r="Y129" s="19"/>
      <c r="Z129" s="19"/>
    </row>
    <row r="130" ht="15" customHeight="1" spans="19:26">
      <c r="S130" s="19"/>
      <c r="U130" s="19"/>
      <c r="V130" s="19"/>
      <c r="W130" s="19"/>
      <c r="X130" s="19"/>
      <c r="Y130" s="19"/>
      <c r="Z130" s="19"/>
    </row>
    <row r="131" ht="15" customHeight="1" spans="19:26">
      <c r="S131" s="19"/>
      <c r="U131" s="19"/>
      <c r="V131" s="19"/>
      <c r="W131" s="19"/>
      <c r="X131" s="19"/>
      <c r="Y131" s="19"/>
      <c r="Z131" s="19"/>
    </row>
    <row r="132" ht="15" customHeight="1" spans="19:26">
      <c r="S132" s="19"/>
      <c r="U132" s="19"/>
      <c r="V132" s="19"/>
      <c r="W132" s="19"/>
      <c r="X132" s="19"/>
      <c r="Y132" s="19"/>
      <c r="Z132" s="19"/>
    </row>
    <row r="133" ht="15" customHeight="1" spans="19:26">
      <c r="S133" s="19"/>
      <c r="U133" s="19"/>
      <c r="V133" s="19"/>
      <c r="W133" s="19"/>
      <c r="X133" s="19"/>
      <c r="Y133" s="19"/>
      <c r="Z133" s="19"/>
    </row>
    <row r="134" ht="15" customHeight="1" spans="19:26">
      <c r="S134" s="19"/>
      <c r="U134" s="19"/>
      <c r="V134" s="19"/>
      <c r="W134" s="19"/>
      <c r="X134" s="19"/>
      <c r="Y134" s="19"/>
      <c r="Z134" s="19"/>
    </row>
    <row r="135" ht="15" customHeight="1" spans="19:26">
      <c r="S135" s="19"/>
      <c r="U135" s="19"/>
      <c r="V135" s="19"/>
      <c r="W135" s="19"/>
      <c r="X135" s="19"/>
      <c r="Y135" s="19"/>
      <c r="Z135" s="19"/>
    </row>
    <row r="136" ht="15" customHeight="1" spans="19:26">
      <c r="S136" s="19"/>
      <c r="U136" s="19"/>
      <c r="V136" s="19"/>
      <c r="W136" s="19"/>
      <c r="X136" s="19"/>
      <c r="Y136" s="19"/>
      <c r="Z136" s="19"/>
    </row>
    <row r="137" ht="15" customHeight="1" spans="19:26">
      <c r="S137" s="19"/>
      <c r="U137" s="19"/>
      <c r="V137" s="19"/>
      <c r="W137" s="19"/>
      <c r="X137" s="19"/>
      <c r="Y137" s="19"/>
      <c r="Z137" s="19"/>
    </row>
    <row r="138" ht="15" customHeight="1" spans="19:26">
      <c r="S138" s="19"/>
      <c r="U138" s="19"/>
      <c r="V138" s="19"/>
      <c r="W138" s="19"/>
      <c r="X138" s="19"/>
      <c r="Y138" s="19"/>
      <c r="Z138" s="19"/>
    </row>
    <row r="139" ht="15" customHeight="1" spans="19:26">
      <c r="S139" s="19"/>
      <c r="U139" s="19"/>
      <c r="V139" s="19"/>
      <c r="W139" s="19"/>
      <c r="X139" s="19"/>
      <c r="Y139" s="19"/>
      <c r="Z139" s="19"/>
    </row>
    <row r="140" ht="15" customHeight="1" spans="19:26">
      <c r="S140" s="19"/>
      <c r="U140" s="19"/>
      <c r="V140" s="19"/>
      <c r="W140" s="19"/>
      <c r="X140" s="19"/>
      <c r="Y140" s="19"/>
      <c r="Z140" s="19"/>
    </row>
    <row r="141" ht="15" customHeight="1" spans="19:26">
      <c r="S141" s="19"/>
      <c r="U141" s="19"/>
      <c r="V141" s="19"/>
      <c r="W141" s="19"/>
      <c r="X141" s="19"/>
      <c r="Y141" s="19"/>
      <c r="Z141" s="19"/>
    </row>
    <row r="142" ht="15" customHeight="1" spans="19:26">
      <c r="S142" s="19"/>
      <c r="U142" s="19"/>
      <c r="V142" s="19"/>
      <c r="W142" s="19"/>
      <c r="X142" s="19"/>
      <c r="Y142" s="19"/>
      <c r="Z142" s="19"/>
    </row>
    <row r="143" ht="15" customHeight="1" spans="19:26">
      <c r="S143" s="19"/>
      <c r="U143" s="19"/>
      <c r="V143" s="19"/>
      <c r="W143" s="19"/>
      <c r="X143" s="19"/>
      <c r="Y143" s="19"/>
      <c r="Z143" s="19"/>
    </row>
    <row r="144" ht="15" customHeight="1" spans="19:26">
      <c r="S144" s="19"/>
      <c r="U144" s="19"/>
      <c r="V144" s="19"/>
      <c r="W144" s="19"/>
      <c r="X144" s="19"/>
      <c r="Y144" s="19"/>
      <c r="Z144" s="19"/>
    </row>
    <row r="145" ht="15" customHeight="1" spans="19:26">
      <c r="S145" s="19"/>
      <c r="U145" s="19"/>
      <c r="V145" s="19"/>
      <c r="W145" s="19"/>
      <c r="X145" s="19"/>
      <c r="Y145" s="19"/>
      <c r="Z145" s="19"/>
    </row>
    <row r="146" ht="15" customHeight="1" spans="19:26">
      <c r="S146" s="19"/>
      <c r="U146" s="19"/>
      <c r="V146" s="19"/>
      <c r="W146" s="19"/>
      <c r="X146" s="19"/>
      <c r="Y146" s="19"/>
      <c r="Z146" s="19"/>
    </row>
    <row r="147" ht="15" customHeight="1" spans="19:26">
      <c r="S147" s="19"/>
      <c r="U147" s="19"/>
      <c r="V147" s="19"/>
      <c r="W147" s="19"/>
      <c r="X147" s="19"/>
      <c r="Y147" s="19"/>
      <c r="Z147" s="19"/>
    </row>
    <row r="148" spans="19:26">
      <c r="S148" s="19"/>
      <c r="U148" s="19"/>
      <c r="V148" s="19"/>
      <c r="W148" s="19"/>
      <c r="X148" s="19"/>
      <c r="Y148" s="19"/>
      <c r="Z148" s="19"/>
    </row>
    <row r="149" spans="19:26">
      <c r="S149" s="19"/>
      <c r="U149" s="19"/>
      <c r="V149" s="19"/>
      <c r="W149" s="19"/>
      <c r="X149" s="19"/>
      <c r="Y149" s="19"/>
      <c r="Z149" s="19"/>
    </row>
    <row r="150" spans="19:26">
      <c r="S150" s="19"/>
      <c r="U150" s="19"/>
      <c r="V150" s="19"/>
      <c r="W150" s="19"/>
      <c r="X150" s="19"/>
      <c r="Y150" s="19"/>
      <c r="Z150" s="19"/>
    </row>
    <row r="151" spans="19:26">
      <c r="S151" s="19"/>
      <c r="U151" s="19"/>
      <c r="V151" s="19"/>
      <c r="W151" s="19"/>
      <c r="X151" s="19"/>
      <c r="Y151" s="19"/>
      <c r="Z151" s="19"/>
    </row>
    <row r="152" spans="19:26">
      <c r="S152" s="19"/>
      <c r="U152" s="19"/>
      <c r="V152" s="19"/>
      <c r="W152" s="19"/>
      <c r="X152" s="19"/>
      <c r="Y152" s="19"/>
      <c r="Z152" s="19"/>
    </row>
    <row r="153" spans="19:26">
      <c r="S153" s="19"/>
      <c r="U153" s="19"/>
      <c r="V153" s="19"/>
      <c r="W153" s="19"/>
      <c r="X153" s="19"/>
      <c r="Y153" s="19"/>
      <c r="Z153" s="19"/>
    </row>
    <row r="154" spans="19:26">
      <c r="S154" s="19"/>
      <c r="U154" s="19"/>
      <c r="V154" s="19"/>
      <c r="W154" s="19"/>
      <c r="X154" s="19"/>
      <c r="Y154" s="19"/>
      <c r="Z154" s="19"/>
    </row>
    <row r="155" spans="19:26">
      <c r="S155" s="19"/>
      <c r="U155" s="19"/>
      <c r="V155" s="19"/>
      <c r="W155" s="19"/>
      <c r="X155" s="19"/>
      <c r="Y155" s="19"/>
      <c r="Z155" s="19"/>
    </row>
  </sheetData>
  <autoFilter ref="A8:AR128">
    <extLst/>
  </autoFilter>
  <mergeCells count="42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O1:AP6"/>
    <mergeCell ref="A5:N6"/>
  </mergeCells>
  <conditionalFormatting sqref="K33">
    <cfRule type="duplicateValues" dxfId="4" priority="150"/>
    <cfRule type="duplicateValues" dxfId="4" priority="151"/>
  </conditionalFormatting>
  <conditionalFormatting sqref="K48">
    <cfRule type="duplicateValues" dxfId="4" priority="140"/>
    <cfRule type="duplicateValues" dxfId="4" priority="141"/>
    <cfRule type="duplicateValues" dxfId="4" priority="142"/>
  </conditionalFormatting>
  <conditionalFormatting sqref="K54">
    <cfRule type="duplicateValues" dxfId="4" priority="129"/>
    <cfRule type="duplicateValues" dxfId="4" priority="130"/>
    <cfRule type="duplicateValues" dxfId="4" priority="131"/>
  </conditionalFormatting>
  <conditionalFormatting sqref="K55">
    <cfRule type="duplicateValues" dxfId="4" priority="143"/>
    <cfRule type="duplicateValues" dxfId="4" priority="144"/>
    <cfRule type="duplicateValues" dxfId="4" priority="145"/>
  </conditionalFormatting>
  <conditionalFormatting sqref="K69">
    <cfRule type="duplicateValues" dxfId="4" priority="579"/>
  </conditionalFormatting>
  <conditionalFormatting sqref="K70">
    <cfRule type="duplicateValues" dxfId="4" priority="33"/>
  </conditionalFormatting>
  <conditionalFormatting sqref="V70">
    <cfRule type="cellIs" dxfId="5" priority="31" operator="equal">
      <formula>"Y"</formula>
    </cfRule>
    <cfRule type="cellIs" dxfId="6" priority="32" operator="equal">
      <formula>"N"</formula>
    </cfRule>
  </conditionalFormatting>
  <conditionalFormatting sqref="W70">
    <cfRule type="cellIs" dxfId="5" priority="29" operator="equal">
      <formula>"Y"</formula>
    </cfRule>
    <cfRule type="cellIs" dxfId="6" priority="30" operator="equal">
      <formula>"N"</formula>
    </cfRule>
  </conditionalFormatting>
  <conditionalFormatting sqref="K71">
    <cfRule type="duplicateValues" dxfId="4" priority="111"/>
  </conditionalFormatting>
  <conditionalFormatting sqref="V71">
    <cfRule type="cellIs" dxfId="5" priority="109" operator="equal">
      <formula>"Y"</formula>
    </cfRule>
    <cfRule type="cellIs" dxfId="6" priority="110" operator="equal">
      <formula>"N"</formula>
    </cfRule>
  </conditionalFormatting>
  <conditionalFormatting sqref="W71">
    <cfRule type="cellIs" dxfId="5" priority="107" operator="equal">
      <formula>"Y"</formula>
    </cfRule>
    <cfRule type="cellIs" dxfId="6" priority="108" operator="equal">
      <formula>"N"</formula>
    </cfRule>
  </conditionalFormatting>
  <conditionalFormatting sqref="K72">
    <cfRule type="duplicateValues" dxfId="4" priority="106"/>
  </conditionalFormatting>
  <conditionalFormatting sqref="V72">
    <cfRule type="cellIs" dxfId="5" priority="104" operator="equal">
      <formula>"Y"</formula>
    </cfRule>
    <cfRule type="cellIs" dxfId="6" priority="105" operator="equal">
      <formula>"N"</formula>
    </cfRule>
  </conditionalFormatting>
  <conditionalFormatting sqref="W72">
    <cfRule type="cellIs" dxfId="5" priority="102" operator="equal">
      <formula>"Y"</formula>
    </cfRule>
    <cfRule type="cellIs" dxfId="6" priority="103" operator="equal">
      <formula>"N"</formula>
    </cfRule>
  </conditionalFormatting>
  <conditionalFormatting sqref="K73">
    <cfRule type="duplicateValues" dxfId="4" priority="101"/>
  </conditionalFormatting>
  <conditionalFormatting sqref="V73">
    <cfRule type="cellIs" dxfId="5" priority="99" operator="equal">
      <formula>"Y"</formula>
    </cfRule>
    <cfRule type="cellIs" dxfId="6" priority="100" operator="equal">
      <formula>"N"</formula>
    </cfRule>
  </conditionalFormatting>
  <conditionalFormatting sqref="W73">
    <cfRule type="cellIs" dxfId="5" priority="97" operator="equal">
      <formula>"Y"</formula>
    </cfRule>
    <cfRule type="cellIs" dxfId="6" priority="98" operator="equal">
      <formula>"N"</formula>
    </cfRule>
  </conditionalFormatting>
  <conditionalFormatting sqref="K74">
    <cfRule type="duplicateValues" dxfId="4" priority="96"/>
  </conditionalFormatting>
  <conditionalFormatting sqref="V74">
    <cfRule type="cellIs" dxfId="5" priority="94" operator="equal">
      <formula>"Y"</formula>
    </cfRule>
    <cfRule type="cellIs" dxfId="6" priority="95" operator="equal">
      <formula>"N"</formula>
    </cfRule>
  </conditionalFormatting>
  <conditionalFormatting sqref="W74">
    <cfRule type="cellIs" dxfId="5" priority="92" operator="equal">
      <formula>"Y"</formula>
    </cfRule>
    <cfRule type="cellIs" dxfId="6" priority="93" operator="equal">
      <formula>"N"</formula>
    </cfRule>
  </conditionalFormatting>
  <conditionalFormatting sqref="V75">
    <cfRule type="cellIs" dxfId="5" priority="89" operator="equal">
      <formula>"Y"</formula>
    </cfRule>
    <cfRule type="cellIs" dxfId="6" priority="90" operator="equal">
      <formula>"N"</formula>
    </cfRule>
  </conditionalFormatting>
  <conditionalFormatting sqref="W75">
    <cfRule type="cellIs" dxfId="5" priority="87" operator="equal">
      <formula>"Y"</formula>
    </cfRule>
    <cfRule type="cellIs" dxfId="6" priority="88" operator="equal">
      <formula>"N"</formula>
    </cfRule>
  </conditionalFormatting>
  <conditionalFormatting sqref="V76">
    <cfRule type="cellIs" dxfId="5" priority="65" operator="equal">
      <formula>"Y"</formula>
    </cfRule>
    <cfRule type="cellIs" dxfId="6" priority="66" operator="equal">
      <formula>"N"</formula>
    </cfRule>
  </conditionalFormatting>
  <conditionalFormatting sqref="W76">
    <cfRule type="cellIs" dxfId="5" priority="63" operator="equal">
      <formula>"Y"</formula>
    </cfRule>
    <cfRule type="cellIs" dxfId="6" priority="64" operator="equal">
      <formula>"N"</formula>
    </cfRule>
  </conditionalFormatting>
  <conditionalFormatting sqref="V77">
    <cfRule type="cellIs" dxfId="5" priority="51" operator="equal">
      <formula>"Y"</formula>
    </cfRule>
    <cfRule type="cellIs" dxfId="6" priority="52" operator="equal">
      <formula>"N"</formula>
    </cfRule>
  </conditionalFormatting>
  <conditionalFormatting sqref="W77">
    <cfRule type="cellIs" dxfId="5" priority="49" operator="equal">
      <formula>"Y"</formula>
    </cfRule>
    <cfRule type="cellIs" dxfId="6" priority="50" operator="equal">
      <formula>"N"</formula>
    </cfRule>
  </conditionalFormatting>
  <conditionalFormatting sqref="K80">
    <cfRule type="duplicateValues" dxfId="4" priority="5"/>
  </conditionalFormatting>
  <conditionalFormatting sqref="V80">
    <cfRule type="cellIs" dxfId="6" priority="4" operator="equal">
      <formula>"N"</formula>
    </cfRule>
    <cfRule type="cellIs" dxfId="5" priority="3" operator="equal">
      <formula>"Y"</formula>
    </cfRule>
  </conditionalFormatting>
  <conditionalFormatting sqref="W80">
    <cfRule type="cellIs" dxfId="6" priority="2" operator="equal">
      <formula>"N"</formula>
    </cfRule>
    <cfRule type="cellIs" dxfId="5" priority="1" operator="equal">
      <formula>"Y"</formula>
    </cfRule>
  </conditionalFormatting>
  <conditionalFormatting sqref="K81">
    <cfRule type="duplicateValues" dxfId="4" priority="86"/>
  </conditionalFormatting>
  <conditionalFormatting sqref="V81">
    <cfRule type="cellIs" dxfId="5" priority="84" operator="equal">
      <formula>"Y"</formula>
    </cfRule>
    <cfRule type="cellIs" dxfId="6" priority="85" operator="equal">
      <formula>"N"</formula>
    </cfRule>
  </conditionalFormatting>
  <conditionalFormatting sqref="W81">
    <cfRule type="cellIs" dxfId="5" priority="82" operator="equal">
      <formula>"Y"</formula>
    </cfRule>
    <cfRule type="cellIs" dxfId="6" priority="83" operator="equal">
      <formula>"N"</formula>
    </cfRule>
  </conditionalFormatting>
  <conditionalFormatting sqref="K82">
    <cfRule type="duplicateValues" dxfId="4" priority="81"/>
  </conditionalFormatting>
  <conditionalFormatting sqref="V82">
    <cfRule type="cellIs" dxfId="5" priority="79" operator="equal">
      <formula>"Y"</formula>
    </cfRule>
    <cfRule type="cellIs" dxfId="6" priority="80" operator="equal">
      <formula>"N"</formula>
    </cfRule>
  </conditionalFormatting>
  <conditionalFormatting sqref="W82">
    <cfRule type="cellIs" dxfId="5" priority="77" operator="equal">
      <formula>"Y"</formula>
    </cfRule>
    <cfRule type="cellIs" dxfId="6" priority="78" operator="equal">
      <formula>"N"</formula>
    </cfRule>
  </conditionalFormatting>
  <conditionalFormatting sqref="V83">
    <cfRule type="cellIs" dxfId="5" priority="74" operator="equal">
      <formula>"Y"</formula>
    </cfRule>
    <cfRule type="cellIs" dxfId="6" priority="75" operator="equal">
      <formula>"N"</formula>
    </cfRule>
  </conditionalFormatting>
  <conditionalFormatting sqref="W83">
    <cfRule type="cellIs" dxfId="5" priority="72" operator="equal">
      <formula>"Y"</formula>
    </cfRule>
    <cfRule type="cellIs" dxfId="6" priority="73" operator="equal">
      <formula>"N"</formula>
    </cfRule>
  </conditionalFormatting>
  <conditionalFormatting sqref="V84">
    <cfRule type="cellIs" dxfId="5" priority="61" operator="equal">
      <formula>"Y"</formula>
    </cfRule>
    <cfRule type="cellIs" dxfId="6" priority="62" operator="equal">
      <formula>"N"</formula>
    </cfRule>
  </conditionalFormatting>
  <conditionalFormatting sqref="W84">
    <cfRule type="cellIs" dxfId="5" priority="59" operator="equal">
      <formula>"Y"</formula>
    </cfRule>
    <cfRule type="cellIs" dxfId="6" priority="60" operator="equal">
      <formula>"N"</formula>
    </cfRule>
  </conditionalFormatting>
  <conditionalFormatting sqref="V85">
    <cfRule type="cellIs" dxfId="5" priority="56" operator="equal">
      <formula>"Y"</formula>
    </cfRule>
    <cfRule type="cellIs" dxfId="6" priority="57" operator="equal">
      <formula>"N"</formula>
    </cfRule>
  </conditionalFormatting>
  <conditionalFormatting sqref="W85">
    <cfRule type="cellIs" dxfId="5" priority="54" operator="equal">
      <formula>"Y"</formula>
    </cfRule>
    <cfRule type="cellIs" dxfId="6" priority="55" operator="equal">
      <formula>"N"</formula>
    </cfRule>
  </conditionalFormatting>
  <conditionalFormatting sqref="K86">
    <cfRule type="duplicateValues" dxfId="4" priority="18"/>
  </conditionalFormatting>
  <conditionalFormatting sqref="V86">
    <cfRule type="cellIs" dxfId="5" priority="16" operator="equal">
      <formula>"Y"</formula>
    </cfRule>
    <cfRule type="cellIs" dxfId="6" priority="17" operator="equal">
      <formula>"N"</formula>
    </cfRule>
  </conditionalFormatting>
  <conditionalFormatting sqref="W86">
    <cfRule type="cellIs" dxfId="5" priority="14" operator="equal">
      <formula>"Y"</formula>
    </cfRule>
    <cfRule type="cellIs" dxfId="6" priority="15" operator="equal">
      <formula>"N"</formula>
    </cfRule>
  </conditionalFormatting>
  <conditionalFormatting sqref="V87">
    <cfRule type="cellIs" dxfId="5" priority="47" operator="equal">
      <formula>"Y"</formula>
    </cfRule>
    <cfRule type="cellIs" dxfId="6" priority="48" operator="equal">
      <formula>"N"</formula>
    </cfRule>
  </conditionalFormatting>
  <conditionalFormatting sqref="W87">
    <cfRule type="cellIs" dxfId="5" priority="45" operator="equal">
      <formula>"Y"</formula>
    </cfRule>
    <cfRule type="cellIs" dxfId="6" priority="46" operator="equal">
      <formula>"N"</formula>
    </cfRule>
  </conditionalFormatting>
  <conditionalFormatting sqref="K88">
    <cfRule type="duplicateValues" dxfId="4" priority="38"/>
    <cfRule type="duplicateValues" dxfId="4" priority="39"/>
  </conditionalFormatting>
  <conditionalFormatting sqref="V88">
    <cfRule type="cellIs" dxfId="5" priority="36" operator="equal">
      <formula>"Y"</formula>
    </cfRule>
    <cfRule type="cellIs" dxfId="6" priority="37" operator="equal">
      <formula>"N"</formula>
    </cfRule>
  </conditionalFormatting>
  <conditionalFormatting sqref="W88">
    <cfRule type="cellIs" dxfId="5" priority="34" operator="equal">
      <formula>"Y"</formula>
    </cfRule>
    <cfRule type="cellIs" dxfId="6" priority="35" operator="equal">
      <formula>"N"</formula>
    </cfRule>
  </conditionalFormatting>
  <conditionalFormatting sqref="V89:W89">
    <cfRule type="cellIs" dxfId="5" priority="25" operator="equal">
      <formula>"Y"</formula>
    </cfRule>
    <cfRule type="cellIs" dxfId="6" priority="26" operator="equal">
      <formula>"N"</formula>
    </cfRule>
  </conditionalFormatting>
  <conditionalFormatting sqref="V90:W90">
    <cfRule type="cellIs" dxfId="5" priority="19" operator="equal">
      <formula>"Y"</formula>
    </cfRule>
    <cfRule type="cellIs" dxfId="6" priority="20" operator="equal">
      <formula>"N"</formula>
    </cfRule>
  </conditionalFormatting>
  <conditionalFormatting sqref="K91">
    <cfRule type="duplicateValues" dxfId="4" priority="163"/>
    <cfRule type="duplicateValues" dxfId="4" priority="164"/>
  </conditionalFormatting>
  <conditionalFormatting sqref="K110">
    <cfRule type="duplicateValues" dxfId="4" priority="162"/>
  </conditionalFormatting>
  <conditionalFormatting sqref="V122:W122">
    <cfRule type="cellIs" dxfId="5" priority="40" operator="equal">
      <formula>"Y"</formula>
    </cfRule>
    <cfRule type="cellIs" dxfId="6" priority="41" operator="equal">
      <formula>"N"</formula>
    </cfRule>
  </conditionalFormatting>
  <conditionalFormatting sqref="K13:K16">
    <cfRule type="duplicateValues" dxfId="4" priority="167"/>
  </conditionalFormatting>
  <conditionalFormatting sqref="K56:K57">
    <cfRule type="duplicateValues" dxfId="4" priority="136"/>
    <cfRule type="duplicateValues" dxfId="4" priority="137"/>
    <cfRule type="duplicateValues" dxfId="4" priority="138"/>
    <cfRule type="duplicateValues" dxfId="4" priority="139"/>
  </conditionalFormatting>
  <conditionalFormatting sqref="K75:K76">
    <cfRule type="duplicateValues" dxfId="4" priority="91"/>
  </conditionalFormatting>
  <conditionalFormatting sqref="K77:K79">
    <cfRule type="duplicateValues" dxfId="4" priority="53"/>
  </conditionalFormatting>
  <conditionalFormatting sqref="K83:K84">
    <cfRule type="duplicateValues" dxfId="4" priority="76"/>
  </conditionalFormatting>
  <conditionalFormatting sqref="K89:K90">
    <cfRule type="duplicateValues" dxfId="4" priority="27"/>
    <cfRule type="duplicateValues" dxfId="4" priority="28"/>
  </conditionalFormatting>
  <conditionalFormatting sqref="K91:K113">
    <cfRule type="duplicateValues" dxfId="4" priority="161"/>
  </conditionalFormatting>
  <conditionalFormatting sqref="K122:K124">
    <cfRule type="duplicateValues" dxfId="4" priority="43"/>
    <cfRule type="duplicateValues" dxfId="4" priority="44"/>
  </conditionalFormatting>
  <conditionalFormatting sqref="V78:V79">
    <cfRule type="cellIs" dxfId="5" priority="12" operator="equal">
      <formula>"Y"</formula>
    </cfRule>
    <cfRule type="cellIs" dxfId="6" priority="13" operator="equal">
      <formula>"N"</formula>
    </cfRule>
  </conditionalFormatting>
  <conditionalFormatting sqref="W78:W79">
    <cfRule type="cellIs" dxfId="5" priority="10" operator="equal">
      <formula>"Y"</formula>
    </cfRule>
    <cfRule type="cellIs" dxfId="6" priority="11" operator="equal">
      <formula>"N"</formula>
    </cfRule>
  </conditionalFormatting>
  <conditionalFormatting sqref="V9:W69">
    <cfRule type="cellIs" dxfId="5" priority="132" operator="equal">
      <formula>"Y"</formula>
    </cfRule>
    <cfRule type="cellIs" dxfId="6" priority="133" operator="equal">
      <formula>"N"</formula>
    </cfRule>
  </conditionalFormatting>
  <conditionalFormatting sqref="K13:K32 K58:K69 K34:K47 K49:K53">
    <cfRule type="duplicateValues" dxfId="4" priority="587"/>
  </conditionalFormatting>
  <conditionalFormatting sqref="K58:K69 K34:K47 K17:K32 K49:K53">
    <cfRule type="duplicateValues" dxfId="4" priority="592"/>
  </conditionalFormatting>
  <conditionalFormatting sqref="K85 K87">
    <cfRule type="duplicateValues" dxfId="4" priority="58"/>
  </conditionalFormatting>
  <conditionalFormatting sqref="V91:W121">
    <cfRule type="cellIs" dxfId="5" priority="134" operator="equal">
      <formula>"Y"</formula>
    </cfRule>
    <cfRule type="cellIs" dxfId="6" priority="135" operator="equal">
      <formula>"N"</formula>
    </cfRule>
  </conditionalFormatting>
  <conditionalFormatting sqref="K114:K121 K125:K128">
    <cfRule type="duplicateValues" dxfId="4" priority="169"/>
  </conditionalFormatting>
  <conditionalFormatting sqref="K121 K125:K128">
    <cfRule type="duplicateValues" dxfId="4" priority="168"/>
  </conditionalFormatting>
  <conditionalFormatting sqref="V123:W124">
    <cfRule type="cellIs" dxfId="5" priority="6" operator="equal">
      <formula>"Y"</formula>
    </cfRule>
    <cfRule type="cellIs" dxfId="6" priority="7" operator="equal">
      <formula>"N"</formula>
    </cfRule>
  </conditionalFormatting>
  <conditionalFormatting sqref="V125:W128">
    <cfRule type="cellIs" dxfId="5" priority="8" operator="equal">
      <formula>"Y"</formula>
    </cfRule>
    <cfRule type="cellIs" dxfId="6" priority="9" operator="equal">
      <formula>"N"</formula>
    </cfRule>
  </conditionalFormatting>
  <dataValidations count="1">
    <dataValidation type="list" allowBlank="1" showInputMessage="1" showErrorMessage="1" sqref="V80:W80 V123 V124 V125 W125 W123:W124 V17:W79 V9:W16 V81:W96 V126:W128 V97:W122">
      <formula1>"Y,N"</formula1>
    </dataValidation>
  </dataValidations>
  <printOptions horizontalCentered="1"/>
  <pageMargins left="0.393055555555556" right="0.393055555555556" top="0.393055555555556" bottom="0.55" header="0.313888888888889" footer="0.313888888888889"/>
  <pageSetup paperSize="8" scale="69" fitToHeight="0" orientation="landscape"/>
  <headerFooter>
    <oddFooter>&amp;C第 &amp;P 页，共 &amp;N 页</oddFooter>
  </headerFooter>
  <rowBreaks count="5" manualBreakCount="5">
    <brk id="38" max="43" man="1"/>
    <brk id="65" max="35" man="1"/>
    <brk id="87" max="36" man="1"/>
    <brk id="103" max="43" man="1"/>
    <brk id="132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E29"/>
  <sheetViews>
    <sheetView view="pageBreakPreview" zoomScale="84" zoomScaleNormal="70" workbookViewId="0">
      <selection activeCell="Z15" sqref="Z12:AC15"/>
    </sheetView>
  </sheetViews>
  <sheetFormatPr defaultColWidth="9" defaultRowHeight="17.25"/>
  <cols>
    <col min="1" max="1" width="3.75" style="356" customWidth="1"/>
    <col min="2" max="2" width="6.25" style="356" customWidth="1"/>
    <col min="3" max="3" width="10.125" style="356" customWidth="1"/>
    <col min="4" max="4" width="9.75" style="356" customWidth="1"/>
    <col min="5" max="5" width="8.75" style="356" customWidth="1"/>
    <col min="6" max="6" width="15.25" style="356" customWidth="1"/>
    <col min="7" max="7" width="35.875" style="356" customWidth="1"/>
    <col min="8" max="8" width="4.875" style="356" customWidth="1"/>
    <col min="9" max="9" width="4.625" style="356" customWidth="1"/>
    <col min="10" max="10" width="8.5" style="356" customWidth="1"/>
    <col min="11" max="11" width="0.125" style="356" customWidth="1"/>
    <col min="12" max="12" width="31.5" style="356" customWidth="1"/>
    <col min="13" max="13" width="10.875" style="356" customWidth="1"/>
    <col min="14" max="14" width="3.5" style="356" customWidth="1"/>
    <col min="15" max="15" width="6.375" style="356" customWidth="1"/>
    <col min="16" max="16" width="5" style="356" customWidth="1"/>
    <col min="17" max="17" width="5.875" style="356" customWidth="1"/>
    <col min="18" max="18" width="7.875" style="356" customWidth="1"/>
    <col min="19" max="19" width="8.5" style="356" customWidth="1"/>
    <col min="20" max="20" width="6.125" style="356" customWidth="1"/>
    <col min="21" max="21" width="13.125" style="356" customWidth="1"/>
    <col min="22" max="22" width="28.625" style="356" customWidth="1"/>
    <col min="23" max="23" width="4.625" style="356" customWidth="1"/>
    <col min="24" max="24" width="8" style="356" customWidth="1"/>
    <col min="25" max="25" width="13" style="356" customWidth="1"/>
    <col min="26" max="26" width="11.625" style="356" customWidth="1"/>
    <col min="27" max="27" width="13.125" style="356" customWidth="1"/>
    <col min="28" max="28" width="10" style="356" customWidth="1"/>
    <col min="29" max="29" width="11.25" style="356" customWidth="1"/>
    <col min="30" max="250" width="9" style="356"/>
    <col min="251" max="251" width="3.125" style="356" customWidth="1"/>
    <col min="252" max="252" width="7.625" style="356" customWidth="1"/>
    <col min="253" max="253" width="4.125" style="356" customWidth="1"/>
    <col min="254" max="254" width="17" style="356" customWidth="1"/>
    <col min="255" max="255" width="3.625" style="356" customWidth="1"/>
    <col min="256" max="256" width="9.125" style="356" customWidth="1"/>
    <col min="257" max="257" width="3.625" style="356" customWidth="1"/>
    <col min="258" max="258" width="4.625" style="356" customWidth="1"/>
    <col min="259" max="259" width="9.625" style="356" customWidth="1"/>
    <col min="260" max="260" width="10.125" style="356" customWidth="1"/>
    <col min="261" max="261" width="10.25" style="356" customWidth="1"/>
    <col min="262" max="262" width="4.625" style="356" customWidth="1"/>
    <col min="263" max="263" width="5" style="356" customWidth="1"/>
    <col min="264" max="264" width="11.125" style="356" customWidth="1"/>
    <col min="265" max="265" width="16.125" style="356" customWidth="1"/>
    <col min="266" max="266" width="4.75" style="356" customWidth="1"/>
    <col min="267" max="267" width="3.625" style="356" customWidth="1"/>
    <col min="268" max="268" width="5.125" style="356" customWidth="1"/>
    <col min="269" max="269" width="3.125" style="356" customWidth="1"/>
    <col min="270" max="270" width="4.625" style="356" customWidth="1"/>
    <col min="271" max="271" width="5" style="356" customWidth="1"/>
    <col min="272" max="273" width="9.75" style="356" customWidth="1"/>
    <col min="274" max="275" width="7.875" style="356" customWidth="1"/>
    <col min="276" max="506" width="9" style="356"/>
    <col min="507" max="507" width="3.125" style="356" customWidth="1"/>
    <col min="508" max="508" width="7.625" style="356" customWidth="1"/>
    <col min="509" max="509" width="4.125" style="356" customWidth="1"/>
    <col min="510" max="510" width="17" style="356" customWidth="1"/>
    <col min="511" max="511" width="3.625" style="356" customWidth="1"/>
    <col min="512" max="512" width="9.125" style="356" customWidth="1"/>
    <col min="513" max="513" width="3.625" style="356" customWidth="1"/>
    <col min="514" max="514" width="4.625" style="356" customWidth="1"/>
    <col min="515" max="515" width="9.625" style="356" customWidth="1"/>
    <col min="516" max="516" width="10.125" style="356" customWidth="1"/>
    <col min="517" max="517" width="10.25" style="356" customWidth="1"/>
    <col min="518" max="518" width="4.625" style="356" customWidth="1"/>
    <col min="519" max="519" width="5" style="356" customWidth="1"/>
    <col min="520" max="520" width="11.125" style="356" customWidth="1"/>
    <col min="521" max="521" width="16.125" style="356" customWidth="1"/>
    <col min="522" max="522" width="4.75" style="356" customWidth="1"/>
    <col min="523" max="523" width="3.625" style="356" customWidth="1"/>
    <col min="524" max="524" width="5.125" style="356" customWidth="1"/>
    <col min="525" max="525" width="3.125" style="356" customWidth="1"/>
    <col min="526" max="526" width="4.625" style="356" customWidth="1"/>
    <col min="527" max="527" width="5" style="356" customWidth="1"/>
    <col min="528" max="529" width="9.75" style="356" customWidth="1"/>
    <col min="530" max="531" width="7.875" style="356" customWidth="1"/>
    <col min="532" max="762" width="9" style="356"/>
    <col min="763" max="763" width="3.125" style="356" customWidth="1"/>
    <col min="764" max="764" width="7.625" style="356" customWidth="1"/>
    <col min="765" max="765" width="4.125" style="356" customWidth="1"/>
    <col min="766" max="766" width="17" style="356" customWidth="1"/>
    <col min="767" max="767" width="3.625" style="356" customWidth="1"/>
    <col min="768" max="768" width="9.125" style="356" customWidth="1"/>
    <col min="769" max="769" width="3.625" style="356" customWidth="1"/>
    <col min="770" max="770" width="4.625" style="356" customWidth="1"/>
    <col min="771" max="771" width="9.625" style="356" customWidth="1"/>
    <col min="772" max="772" width="10.125" style="356" customWidth="1"/>
    <col min="773" max="773" width="10.25" style="356" customWidth="1"/>
    <col min="774" max="774" width="4.625" style="356" customWidth="1"/>
    <col min="775" max="775" width="5" style="356" customWidth="1"/>
    <col min="776" max="776" width="11.125" style="356" customWidth="1"/>
    <col min="777" max="777" width="16.125" style="356" customWidth="1"/>
    <col min="778" max="778" width="4.75" style="356" customWidth="1"/>
    <col min="779" max="779" width="3.625" style="356" customWidth="1"/>
    <col min="780" max="780" width="5.125" style="356" customWidth="1"/>
    <col min="781" max="781" width="3.125" style="356" customWidth="1"/>
    <col min="782" max="782" width="4.625" style="356" customWidth="1"/>
    <col min="783" max="783" width="5" style="356" customWidth="1"/>
    <col min="784" max="785" width="9.75" style="356" customWidth="1"/>
    <col min="786" max="787" width="7.875" style="356" customWidth="1"/>
    <col min="788" max="1018" width="9" style="356"/>
    <col min="1019" max="1019" width="3.125" style="356" customWidth="1"/>
    <col min="1020" max="1020" width="7.625" style="356" customWidth="1"/>
    <col min="1021" max="1021" width="4.125" style="356" customWidth="1"/>
    <col min="1022" max="1022" width="17" style="356" customWidth="1"/>
    <col min="1023" max="1023" width="3.625" style="356" customWidth="1"/>
    <col min="1024" max="1024" width="9.125" style="356" customWidth="1"/>
    <col min="1025" max="1025" width="3.625" style="356" customWidth="1"/>
    <col min="1026" max="1026" width="4.625" style="356" customWidth="1"/>
    <col min="1027" max="1027" width="9.625" style="356" customWidth="1"/>
    <col min="1028" max="1028" width="10.125" style="356" customWidth="1"/>
    <col min="1029" max="1029" width="10.25" style="356" customWidth="1"/>
    <col min="1030" max="1030" width="4.625" style="356" customWidth="1"/>
    <col min="1031" max="1031" width="5" style="356" customWidth="1"/>
    <col min="1032" max="1032" width="11.125" style="356" customWidth="1"/>
    <col min="1033" max="1033" width="16.125" style="356" customWidth="1"/>
    <col min="1034" max="1034" width="4.75" style="356" customWidth="1"/>
    <col min="1035" max="1035" width="3.625" style="356" customWidth="1"/>
    <col min="1036" max="1036" width="5.125" style="356" customWidth="1"/>
    <col min="1037" max="1037" width="3.125" style="356" customWidth="1"/>
    <col min="1038" max="1038" width="4.625" style="356" customWidth="1"/>
    <col min="1039" max="1039" width="5" style="356" customWidth="1"/>
    <col min="1040" max="1041" width="9.75" style="356" customWidth="1"/>
    <col min="1042" max="1043" width="7.875" style="356" customWidth="1"/>
    <col min="1044" max="1274" width="9" style="356"/>
    <col min="1275" max="1275" width="3.125" style="356" customWidth="1"/>
    <col min="1276" max="1276" width="7.625" style="356" customWidth="1"/>
    <col min="1277" max="1277" width="4.125" style="356" customWidth="1"/>
    <col min="1278" max="1278" width="17" style="356" customWidth="1"/>
    <col min="1279" max="1279" width="3.625" style="356" customWidth="1"/>
    <col min="1280" max="1280" width="9.125" style="356" customWidth="1"/>
    <col min="1281" max="1281" width="3.625" style="356" customWidth="1"/>
    <col min="1282" max="1282" width="4.625" style="356" customWidth="1"/>
    <col min="1283" max="1283" width="9.625" style="356" customWidth="1"/>
    <col min="1284" max="1284" width="10.125" style="356" customWidth="1"/>
    <col min="1285" max="1285" width="10.25" style="356" customWidth="1"/>
    <col min="1286" max="1286" width="4.625" style="356" customWidth="1"/>
    <col min="1287" max="1287" width="5" style="356" customWidth="1"/>
    <col min="1288" max="1288" width="11.125" style="356" customWidth="1"/>
    <col min="1289" max="1289" width="16.125" style="356" customWidth="1"/>
    <col min="1290" max="1290" width="4.75" style="356" customWidth="1"/>
    <col min="1291" max="1291" width="3.625" style="356" customWidth="1"/>
    <col min="1292" max="1292" width="5.125" style="356" customWidth="1"/>
    <col min="1293" max="1293" width="3.125" style="356" customWidth="1"/>
    <col min="1294" max="1294" width="4.625" style="356" customWidth="1"/>
    <col min="1295" max="1295" width="5" style="356" customWidth="1"/>
    <col min="1296" max="1297" width="9.75" style="356" customWidth="1"/>
    <col min="1298" max="1299" width="7.875" style="356" customWidth="1"/>
    <col min="1300" max="1530" width="9" style="356"/>
    <col min="1531" max="1531" width="3.125" style="356" customWidth="1"/>
    <col min="1532" max="1532" width="7.625" style="356" customWidth="1"/>
    <col min="1533" max="1533" width="4.125" style="356" customWidth="1"/>
    <col min="1534" max="1534" width="17" style="356" customWidth="1"/>
    <col min="1535" max="1535" width="3.625" style="356" customWidth="1"/>
    <col min="1536" max="1536" width="9.125" style="356" customWidth="1"/>
    <col min="1537" max="1537" width="3.625" style="356" customWidth="1"/>
    <col min="1538" max="1538" width="4.625" style="356" customWidth="1"/>
    <col min="1539" max="1539" width="9.625" style="356" customWidth="1"/>
    <col min="1540" max="1540" width="10.125" style="356" customWidth="1"/>
    <col min="1541" max="1541" width="10.25" style="356" customWidth="1"/>
    <col min="1542" max="1542" width="4.625" style="356" customWidth="1"/>
    <col min="1543" max="1543" width="5" style="356" customWidth="1"/>
    <col min="1544" max="1544" width="11.125" style="356" customWidth="1"/>
    <col min="1545" max="1545" width="16.125" style="356" customWidth="1"/>
    <col min="1546" max="1546" width="4.75" style="356" customWidth="1"/>
    <col min="1547" max="1547" width="3.625" style="356" customWidth="1"/>
    <col min="1548" max="1548" width="5.125" style="356" customWidth="1"/>
    <col min="1549" max="1549" width="3.125" style="356" customWidth="1"/>
    <col min="1550" max="1550" width="4.625" style="356" customWidth="1"/>
    <col min="1551" max="1551" width="5" style="356" customWidth="1"/>
    <col min="1552" max="1553" width="9.75" style="356" customWidth="1"/>
    <col min="1554" max="1555" width="7.875" style="356" customWidth="1"/>
    <col min="1556" max="1786" width="9" style="356"/>
    <col min="1787" max="1787" width="3.125" style="356" customWidth="1"/>
    <col min="1788" max="1788" width="7.625" style="356" customWidth="1"/>
    <col min="1789" max="1789" width="4.125" style="356" customWidth="1"/>
    <col min="1790" max="1790" width="17" style="356" customWidth="1"/>
    <col min="1791" max="1791" width="3.625" style="356" customWidth="1"/>
    <col min="1792" max="1792" width="9.125" style="356" customWidth="1"/>
    <col min="1793" max="1793" width="3.625" style="356" customWidth="1"/>
    <col min="1794" max="1794" width="4.625" style="356" customWidth="1"/>
    <col min="1795" max="1795" width="9.625" style="356" customWidth="1"/>
    <col min="1796" max="1796" width="10.125" style="356" customWidth="1"/>
    <col min="1797" max="1797" width="10.25" style="356" customWidth="1"/>
    <col min="1798" max="1798" width="4.625" style="356" customWidth="1"/>
    <col min="1799" max="1799" width="5" style="356" customWidth="1"/>
    <col min="1800" max="1800" width="11.125" style="356" customWidth="1"/>
    <col min="1801" max="1801" width="16.125" style="356" customWidth="1"/>
    <col min="1802" max="1802" width="4.75" style="356" customWidth="1"/>
    <col min="1803" max="1803" width="3.625" style="356" customWidth="1"/>
    <col min="1804" max="1804" width="5.125" style="356" customWidth="1"/>
    <col min="1805" max="1805" width="3.125" style="356" customWidth="1"/>
    <col min="1806" max="1806" width="4.625" style="356" customWidth="1"/>
    <col min="1807" max="1807" width="5" style="356" customWidth="1"/>
    <col min="1808" max="1809" width="9.75" style="356" customWidth="1"/>
    <col min="1810" max="1811" width="7.875" style="356" customWidth="1"/>
    <col min="1812" max="2042" width="9" style="356"/>
    <col min="2043" max="2043" width="3.125" style="356" customWidth="1"/>
    <col min="2044" max="2044" width="7.625" style="356" customWidth="1"/>
    <col min="2045" max="2045" width="4.125" style="356" customWidth="1"/>
    <col min="2046" max="2046" width="17" style="356" customWidth="1"/>
    <col min="2047" max="2047" width="3.625" style="356" customWidth="1"/>
    <col min="2048" max="2048" width="9.125" style="356" customWidth="1"/>
    <col min="2049" max="2049" width="3.625" style="356" customWidth="1"/>
    <col min="2050" max="2050" width="4.625" style="356" customWidth="1"/>
    <col min="2051" max="2051" width="9.625" style="356" customWidth="1"/>
    <col min="2052" max="2052" width="10.125" style="356" customWidth="1"/>
    <col min="2053" max="2053" width="10.25" style="356" customWidth="1"/>
    <col min="2054" max="2054" width="4.625" style="356" customWidth="1"/>
    <col min="2055" max="2055" width="5" style="356" customWidth="1"/>
    <col min="2056" max="2056" width="11.125" style="356" customWidth="1"/>
    <col min="2057" max="2057" width="16.125" style="356" customWidth="1"/>
    <col min="2058" max="2058" width="4.75" style="356" customWidth="1"/>
    <col min="2059" max="2059" width="3.625" style="356" customWidth="1"/>
    <col min="2060" max="2060" width="5.125" style="356" customWidth="1"/>
    <col min="2061" max="2061" width="3.125" style="356" customWidth="1"/>
    <col min="2062" max="2062" width="4.625" style="356" customWidth="1"/>
    <col min="2063" max="2063" width="5" style="356" customWidth="1"/>
    <col min="2064" max="2065" width="9.75" style="356" customWidth="1"/>
    <col min="2066" max="2067" width="7.875" style="356" customWidth="1"/>
    <col min="2068" max="2298" width="9" style="356"/>
    <col min="2299" max="2299" width="3.125" style="356" customWidth="1"/>
    <col min="2300" max="2300" width="7.625" style="356" customWidth="1"/>
    <col min="2301" max="2301" width="4.125" style="356" customWidth="1"/>
    <col min="2302" max="2302" width="17" style="356" customWidth="1"/>
    <col min="2303" max="2303" width="3.625" style="356" customWidth="1"/>
    <col min="2304" max="2304" width="9.125" style="356" customWidth="1"/>
    <col min="2305" max="2305" width="3.625" style="356" customWidth="1"/>
    <col min="2306" max="2306" width="4.625" style="356" customWidth="1"/>
    <col min="2307" max="2307" width="9.625" style="356" customWidth="1"/>
    <col min="2308" max="2308" width="10.125" style="356" customWidth="1"/>
    <col min="2309" max="2309" width="10.25" style="356" customWidth="1"/>
    <col min="2310" max="2310" width="4.625" style="356" customWidth="1"/>
    <col min="2311" max="2311" width="5" style="356" customWidth="1"/>
    <col min="2312" max="2312" width="11.125" style="356" customWidth="1"/>
    <col min="2313" max="2313" width="16.125" style="356" customWidth="1"/>
    <col min="2314" max="2314" width="4.75" style="356" customWidth="1"/>
    <col min="2315" max="2315" width="3.625" style="356" customWidth="1"/>
    <col min="2316" max="2316" width="5.125" style="356" customWidth="1"/>
    <col min="2317" max="2317" width="3.125" style="356" customWidth="1"/>
    <col min="2318" max="2318" width="4.625" style="356" customWidth="1"/>
    <col min="2319" max="2319" width="5" style="356" customWidth="1"/>
    <col min="2320" max="2321" width="9.75" style="356" customWidth="1"/>
    <col min="2322" max="2323" width="7.875" style="356" customWidth="1"/>
    <col min="2324" max="2554" width="9" style="356"/>
    <col min="2555" max="2555" width="3.125" style="356" customWidth="1"/>
    <col min="2556" max="2556" width="7.625" style="356" customWidth="1"/>
    <col min="2557" max="2557" width="4.125" style="356" customWidth="1"/>
    <col min="2558" max="2558" width="17" style="356" customWidth="1"/>
    <col min="2559" max="2559" width="3.625" style="356" customWidth="1"/>
    <col min="2560" max="2560" width="9.125" style="356" customWidth="1"/>
    <col min="2561" max="2561" width="3.625" style="356" customWidth="1"/>
    <col min="2562" max="2562" width="4.625" style="356" customWidth="1"/>
    <col min="2563" max="2563" width="9.625" style="356" customWidth="1"/>
    <col min="2564" max="2564" width="10.125" style="356" customWidth="1"/>
    <col min="2565" max="2565" width="10.25" style="356" customWidth="1"/>
    <col min="2566" max="2566" width="4.625" style="356" customWidth="1"/>
    <col min="2567" max="2567" width="5" style="356" customWidth="1"/>
    <col min="2568" max="2568" width="11.125" style="356" customWidth="1"/>
    <col min="2569" max="2569" width="16.125" style="356" customWidth="1"/>
    <col min="2570" max="2570" width="4.75" style="356" customWidth="1"/>
    <col min="2571" max="2571" width="3.625" style="356" customWidth="1"/>
    <col min="2572" max="2572" width="5.125" style="356" customWidth="1"/>
    <col min="2573" max="2573" width="3.125" style="356" customWidth="1"/>
    <col min="2574" max="2574" width="4.625" style="356" customWidth="1"/>
    <col min="2575" max="2575" width="5" style="356" customWidth="1"/>
    <col min="2576" max="2577" width="9.75" style="356" customWidth="1"/>
    <col min="2578" max="2579" width="7.875" style="356" customWidth="1"/>
    <col min="2580" max="2810" width="9" style="356"/>
    <col min="2811" max="2811" width="3.125" style="356" customWidth="1"/>
    <col min="2812" max="2812" width="7.625" style="356" customWidth="1"/>
    <col min="2813" max="2813" width="4.125" style="356" customWidth="1"/>
    <col min="2814" max="2814" width="17" style="356" customWidth="1"/>
    <col min="2815" max="2815" width="3.625" style="356" customWidth="1"/>
    <col min="2816" max="2816" width="9.125" style="356" customWidth="1"/>
    <col min="2817" max="2817" width="3.625" style="356" customWidth="1"/>
    <col min="2818" max="2818" width="4.625" style="356" customWidth="1"/>
    <col min="2819" max="2819" width="9.625" style="356" customWidth="1"/>
    <col min="2820" max="2820" width="10.125" style="356" customWidth="1"/>
    <col min="2821" max="2821" width="10.25" style="356" customWidth="1"/>
    <col min="2822" max="2822" width="4.625" style="356" customWidth="1"/>
    <col min="2823" max="2823" width="5" style="356" customWidth="1"/>
    <col min="2824" max="2824" width="11.125" style="356" customWidth="1"/>
    <col min="2825" max="2825" width="16.125" style="356" customWidth="1"/>
    <col min="2826" max="2826" width="4.75" style="356" customWidth="1"/>
    <col min="2827" max="2827" width="3.625" style="356" customWidth="1"/>
    <col min="2828" max="2828" width="5.125" style="356" customWidth="1"/>
    <col min="2829" max="2829" width="3.125" style="356" customWidth="1"/>
    <col min="2830" max="2830" width="4.625" style="356" customWidth="1"/>
    <col min="2831" max="2831" width="5" style="356" customWidth="1"/>
    <col min="2832" max="2833" width="9.75" style="356" customWidth="1"/>
    <col min="2834" max="2835" width="7.875" style="356" customWidth="1"/>
    <col min="2836" max="3066" width="9" style="356"/>
    <col min="3067" max="3067" width="3.125" style="356" customWidth="1"/>
    <col min="3068" max="3068" width="7.625" style="356" customWidth="1"/>
    <col min="3069" max="3069" width="4.125" style="356" customWidth="1"/>
    <col min="3070" max="3070" width="17" style="356" customWidth="1"/>
    <col min="3071" max="3071" width="3.625" style="356" customWidth="1"/>
    <col min="3072" max="3072" width="9.125" style="356" customWidth="1"/>
    <col min="3073" max="3073" width="3.625" style="356" customWidth="1"/>
    <col min="3074" max="3074" width="4.625" style="356" customWidth="1"/>
    <col min="3075" max="3075" width="9.625" style="356" customWidth="1"/>
    <col min="3076" max="3076" width="10.125" style="356" customWidth="1"/>
    <col min="3077" max="3077" width="10.25" style="356" customWidth="1"/>
    <col min="3078" max="3078" width="4.625" style="356" customWidth="1"/>
    <col min="3079" max="3079" width="5" style="356" customWidth="1"/>
    <col min="3080" max="3080" width="11.125" style="356" customWidth="1"/>
    <col min="3081" max="3081" width="16.125" style="356" customWidth="1"/>
    <col min="3082" max="3082" width="4.75" style="356" customWidth="1"/>
    <col min="3083" max="3083" width="3.625" style="356" customWidth="1"/>
    <col min="3084" max="3084" width="5.125" style="356" customWidth="1"/>
    <col min="3085" max="3085" width="3.125" style="356" customWidth="1"/>
    <col min="3086" max="3086" width="4.625" style="356" customWidth="1"/>
    <col min="3087" max="3087" width="5" style="356" customWidth="1"/>
    <col min="3088" max="3089" width="9.75" style="356" customWidth="1"/>
    <col min="3090" max="3091" width="7.875" style="356" customWidth="1"/>
    <col min="3092" max="3322" width="9" style="356"/>
    <col min="3323" max="3323" width="3.125" style="356" customWidth="1"/>
    <col min="3324" max="3324" width="7.625" style="356" customWidth="1"/>
    <col min="3325" max="3325" width="4.125" style="356" customWidth="1"/>
    <col min="3326" max="3326" width="17" style="356" customWidth="1"/>
    <col min="3327" max="3327" width="3.625" style="356" customWidth="1"/>
    <col min="3328" max="3328" width="9.125" style="356" customWidth="1"/>
    <col min="3329" max="3329" width="3.625" style="356" customWidth="1"/>
    <col min="3330" max="3330" width="4.625" style="356" customWidth="1"/>
    <col min="3331" max="3331" width="9.625" style="356" customWidth="1"/>
    <col min="3332" max="3332" width="10.125" style="356" customWidth="1"/>
    <col min="3333" max="3333" width="10.25" style="356" customWidth="1"/>
    <col min="3334" max="3334" width="4.625" style="356" customWidth="1"/>
    <col min="3335" max="3335" width="5" style="356" customWidth="1"/>
    <col min="3336" max="3336" width="11.125" style="356" customWidth="1"/>
    <col min="3337" max="3337" width="16.125" style="356" customWidth="1"/>
    <col min="3338" max="3338" width="4.75" style="356" customWidth="1"/>
    <col min="3339" max="3339" width="3.625" style="356" customWidth="1"/>
    <col min="3340" max="3340" width="5.125" style="356" customWidth="1"/>
    <col min="3341" max="3341" width="3.125" style="356" customWidth="1"/>
    <col min="3342" max="3342" width="4.625" style="356" customWidth="1"/>
    <col min="3343" max="3343" width="5" style="356" customWidth="1"/>
    <col min="3344" max="3345" width="9.75" style="356" customWidth="1"/>
    <col min="3346" max="3347" width="7.875" style="356" customWidth="1"/>
    <col min="3348" max="3578" width="9" style="356"/>
    <col min="3579" max="3579" width="3.125" style="356" customWidth="1"/>
    <col min="3580" max="3580" width="7.625" style="356" customWidth="1"/>
    <col min="3581" max="3581" width="4.125" style="356" customWidth="1"/>
    <col min="3582" max="3582" width="17" style="356" customWidth="1"/>
    <col min="3583" max="3583" width="3.625" style="356" customWidth="1"/>
    <col min="3584" max="3584" width="9.125" style="356" customWidth="1"/>
    <col min="3585" max="3585" width="3.625" style="356" customWidth="1"/>
    <col min="3586" max="3586" width="4.625" style="356" customWidth="1"/>
    <col min="3587" max="3587" width="9.625" style="356" customWidth="1"/>
    <col min="3588" max="3588" width="10.125" style="356" customWidth="1"/>
    <col min="3589" max="3589" width="10.25" style="356" customWidth="1"/>
    <col min="3590" max="3590" width="4.625" style="356" customWidth="1"/>
    <col min="3591" max="3591" width="5" style="356" customWidth="1"/>
    <col min="3592" max="3592" width="11.125" style="356" customWidth="1"/>
    <col min="3593" max="3593" width="16.125" style="356" customWidth="1"/>
    <col min="3594" max="3594" width="4.75" style="356" customWidth="1"/>
    <col min="3595" max="3595" width="3.625" style="356" customWidth="1"/>
    <col min="3596" max="3596" width="5.125" style="356" customWidth="1"/>
    <col min="3597" max="3597" width="3.125" style="356" customWidth="1"/>
    <col min="3598" max="3598" width="4.625" style="356" customWidth="1"/>
    <col min="3599" max="3599" width="5" style="356" customWidth="1"/>
    <col min="3600" max="3601" width="9.75" style="356" customWidth="1"/>
    <col min="3602" max="3603" width="7.875" style="356" customWidth="1"/>
    <col min="3604" max="3834" width="9" style="356"/>
    <col min="3835" max="3835" width="3.125" style="356" customWidth="1"/>
    <col min="3836" max="3836" width="7.625" style="356" customWidth="1"/>
    <col min="3837" max="3837" width="4.125" style="356" customWidth="1"/>
    <col min="3838" max="3838" width="17" style="356" customWidth="1"/>
    <col min="3839" max="3839" width="3.625" style="356" customWidth="1"/>
    <col min="3840" max="3840" width="9.125" style="356" customWidth="1"/>
    <col min="3841" max="3841" width="3.625" style="356" customWidth="1"/>
    <col min="3842" max="3842" width="4.625" style="356" customWidth="1"/>
    <col min="3843" max="3843" width="9.625" style="356" customWidth="1"/>
    <col min="3844" max="3844" width="10.125" style="356" customWidth="1"/>
    <col min="3845" max="3845" width="10.25" style="356" customWidth="1"/>
    <col min="3846" max="3846" width="4.625" style="356" customWidth="1"/>
    <col min="3847" max="3847" width="5" style="356" customWidth="1"/>
    <col min="3848" max="3848" width="11.125" style="356" customWidth="1"/>
    <col min="3849" max="3849" width="16.125" style="356" customWidth="1"/>
    <col min="3850" max="3850" width="4.75" style="356" customWidth="1"/>
    <col min="3851" max="3851" width="3.625" style="356" customWidth="1"/>
    <col min="3852" max="3852" width="5.125" style="356" customWidth="1"/>
    <col min="3853" max="3853" width="3.125" style="356" customWidth="1"/>
    <col min="3854" max="3854" width="4.625" style="356" customWidth="1"/>
    <col min="3855" max="3855" width="5" style="356" customWidth="1"/>
    <col min="3856" max="3857" width="9.75" style="356" customWidth="1"/>
    <col min="3858" max="3859" width="7.875" style="356" customWidth="1"/>
    <col min="3860" max="4090" width="9" style="356"/>
    <col min="4091" max="4091" width="3.125" style="356" customWidth="1"/>
    <col min="4092" max="4092" width="7.625" style="356" customWidth="1"/>
    <col min="4093" max="4093" width="4.125" style="356" customWidth="1"/>
    <col min="4094" max="4094" width="17" style="356" customWidth="1"/>
    <col min="4095" max="4095" width="3.625" style="356" customWidth="1"/>
    <col min="4096" max="4096" width="9.125" style="356" customWidth="1"/>
    <col min="4097" max="4097" width="3.625" style="356" customWidth="1"/>
    <col min="4098" max="4098" width="4.625" style="356" customWidth="1"/>
    <col min="4099" max="4099" width="9.625" style="356" customWidth="1"/>
    <col min="4100" max="4100" width="10.125" style="356" customWidth="1"/>
    <col min="4101" max="4101" width="10.25" style="356" customWidth="1"/>
    <col min="4102" max="4102" width="4.625" style="356" customWidth="1"/>
    <col min="4103" max="4103" width="5" style="356" customWidth="1"/>
    <col min="4104" max="4104" width="11.125" style="356" customWidth="1"/>
    <col min="4105" max="4105" width="16.125" style="356" customWidth="1"/>
    <col min="4106" max="4106" width="4.75" style="356" customWidth="1"/>
    <col min="4107" max="4107" width="3.625" style="356" customWidth="1"/>
    <col min="4108" max="4108" width="5.125" style="356" customWidth="1"/>
    <col min="4109" max="4109" width="3.125" style="356" customWidth="1"/>
    <col min="4110" max="4110" width="4.625" style="356" customWidth="1"/>
    <col min="4111" max="4111" width="5" style="356" customWidth="1"/>
    <col min="4112" max="4113" width="9.75" style="356" customWidth="1"/>
    <col min="4114" max="4115" width="7.875" style="356" customWidth="1"/>
    <col min="4116" max="4346" width="9" style="356"/>
    <col min="4347" max="4347" width="3.125" style="356" customWidth="1"/>
    <col min="4348" max="4348" width="7.625" style="356" customWidth="1"/>
    <col min="4349" max="4349" width="4.125" style="356" customWidth="1"/>
    <col min="4350" max="4350" width="17" style="356" customWidth="1"/>
    <col min="4351" max="4351" width="3.625" style="356" customWidth="1"/>
    <col min="4352" max="4352" width="9.125" style="356" customWidth="1"/>
    <col min="4353" max="4353" width="3.625" style="356" customWidth="1"/>
    <col min="4354" max="4354" width="4.625" style="356" customWidth="1"/>
    <col min="4355" max="4355" width="9.625" style="356" customWidth="1"/>
    <col min="4356" max="4356" width="10.125" style="356" customWidth="1"/>
    <col min="4357" max="4357" width="10.25" style="356" customWidth="1"/>
    <col min="4358" max="4358" width="4.625" style="356" customWidth="1"/>
    <col min="4359" max="4359" width="5" style="356" customWidth="1"/>
    <col min="4360" max="4360" width="11.125" style="356" customWidth="1"/>
    <col min="4361" max="4361" width="16.125" style="356" customWidth="1"/>
    <col min="4362" max="4362" width="4.75" style="356" customWidth="1"/>
    <col min="4363" max="4363" width="3.625" style="356" customWidth="1"/>
    <col min="4364" max="4364" width="5.125" style="356" customWidth="1"/>
    <col min="4365" max="4365" width="3.125" style="356" customWidth="1"/>
    <col min="4366" max="4366" width="4.625" style="356" customWidth="1"/>
    <col min="4367" max="4367" width="5" style="356" customWidth="1"/>
    <col min="4368" max="4369" width="9.75" style="356" customWidth="1"/>
    <col min="4370" max="4371" width="7.875" style="356" customWidth="1"/>
    <col min="4372" max="4602" width="9" style="356"/>
    <col min="4603" max="4603" width="3.125" style="356" customWidth="1"/>
    <col min="4604" max="4604" width="7.625" style="356" customWidth="1"/>
    <col min="4605" max="4605" width="4.125" style="356" customWidth="1"/>
    <col min="4606" max="4606" width="17" style="356" customWidth="1"/>
    <col min="4607" max="4607" width="3.625" style="356" customWidth="1"/>
    <col min="4608" max="4608" width="9.125" style="356" customWidth="1"/>
    <col min="4609" max="4609" width="3.625" style="356" customWidth="1"/>
    <col min="4610" max="4610" width="4.625" style="356" customWidth="1"/>
    <col min="4611" max="4611" width="9.625" style="356" customWidth="1"/>
    <col min="4612" max="4612" width="10.125" style="356" customWidth="1"/>
    <col min="4613" max="4613" width="10.25" style="356" customWidth="1"/>
    <col min="4614" max="4614" width="4.625" style="356" customWidth="1"/>
    <col min="4615" max="4615" width="5" style="356" customWidth="1"/>
    <col min="4616" max="4616" width="11.125" style="356" customWidth="1"/>
    <col min="4617" max="4617" width="16.125" style="356" customWidth="1"/>
    <col min="4618" max="4618" width="4.75" style="356" customWidth="1"/>
    <col min="4619" max="4619" width="3.625" style="356" customWidth="1"/>
    <col min="4620" max="4620" width="5.125" style="356" customWidth="1"/>
    <col min="4621" max="4621" width="3.125" style="356" customWidth="1"/>
    <col min="4622" max="4622" width="4.625" style="356" customWidth="1"/>
    <col min="4623" max="4623" width="5" style="356" customWidth="1"/>
    <col min="4624" max="4625" width="9.75" style="356" customWidth="1"/>
    <col min="4626" max="4627" width="7.875" style="356" customWidth="1"/>
    <col min="4628" max="4858" width="9" style="356"/>
    <col min="4859" max="4859" width="3.125" style="356" customWidth="1"/>
    <col min="4860" max="4860" width="7.625" style="356" customWidth="1"/>
    <col min="4861" max="4861" width="4.125" style="356" customWidth="1"/>
    <col min="4862" max="4862" width="17" style="356" customWidth="1"/>
    <col min="4863" max="4863" width="3.625" style="356" customWidth="1"/>
    <col min="4864" max="4864" width="9.125" style="356" customWidth="1"/>
    <col min="4865" max="4865" width="3.625" style="356" customWidth="1"/>
    <col min="4866" max="4866" width="4.625" style="356" customWidth="1"/>
    <col min="4867" max="4867" width="9.625" style="356" customWidth="1"/>
    <col min="4868" max="4868" width="10.125" style="356" customWidth="1"/>
    <col min="4869" max="4869" width="10.25" style="356" customWidth="1"/>
    <col min="4870" max="4870" width="4.625" style="356" customWidth="1"/>
    <col min="4871" max="4871" width="5" style="356" customWidth="1"/>
    <col min="4872" max="4872" width="11.125" style="356" customWidth="1"/>
    <col min="4873" max="4873" width="16.125" style="356" customWidth="1"/>
    <col min="4874" max="4874" width="4.75" style="356" customWidth="1"/>
    <col min="4875" max="4875" width="3.625" style="356" customWidth="1"/>
    <col min="4876" max="4876" width="5.125" style="356" customWidth="1"/>
    <col min="4877" max="4877" width="3.125" style="356" customWidth="1"/>
    <col min="4878" max="4878" width="4.625" style="356" customWidth="1"/>
    <col min="4879" max="4879" width="5" style="356" customWidth="1"/>
    <col min="4880" max="4881" width="9.75" style="356" customWidth="1"/>
    <col min="4882" max="4883" width="7.875" style="356" customWidth="1"/>
    <col min="4884" max="5114" width="9" style="356"/>
    <col min="5115" max="5115" width="3.125" style="356" customWidth="1"/>
    <col min="5116" max="5116" width="7.625" style="356" customWidth="1"/>
    <col min="5117" max="5117" width="4.125" style="356" customWidth="1"/>
    <col min="5118" max="5118" width="17" style="356" customWidth="1"/>
    <col min="5119" max="5119" width="3.625" style="356" customWidth="1"/>
    <col min="5120" max="5120" width="9.125" style="356" customWidth="1"/>
    <col min="5121" max="5121" width="3.625" style="356" customWidth="1"/>
    <col min="5122" max="5122" width="4.625" style="356" customWidth="1"/>
    <col min="5123" max="5123" width="9.625" style="356" customWidth="1"/>
    <col min="5124" max="5124" width="10.125" style="356" customWidth="1"/>
    <col min="5125" max="5125" width="10.25" style="356" customWidth="1"/>
    <col min="5126" max="5126" width="4.625" style="356" customWidth="1"/>
    <col min="5127" max="5127" width="5" style="356" customWidth="1"/>
    <col min="5128" max="5128" width="11.125" style="356" customWidth="1"/>
    <col min="5129" max="5129" width="16.125" style="356" customWidth="1"/>
    <col min="5130" max="5130" width="4.75" style="356" customWidth="1"/>
    <col min="5131" max="5131" width="3.625" style="356" customWidth="1"/>
    <col min="5132" max="5132" width="5.125" style="356" customWidth="1"/>
    <col min="5133" max="5133" width="3.125" style="356" customWidth="1"/>
    <col min="5134" max="5134" width="4.625" style="356" customWidth="1"/>
    <col min="5135" max="5135" width="5" style="356" customWidth="1"/>
    <col min="5136" max="5137" width="9.75" style="356" customWidth="1"/>
    <col min="5138" max="5139" width="7.875" style="356" customWidth="1"/>
    <col min="5140" max="5370" width="9" style="356"/>
    <col min="5371" max="5371" width="3.125" style="356" customWidth="1"/>
    <col min="5372" max="5372" width="7.625" style="356" customWidth="1"/>
    <col min="5373" max="5373" width="4.125" style="356" customWidth="1"/>
    <col min="5374" max="5374" width="17" style="356" customWidth="1"/>
    <col min="5375" max="5375" width="3.625" style="356" customWidth="1"/>
    <col min="5376" max="5376" width="9.125" style="356" customWidth="1"/>
    <col min="5377" max="5377" width="3.625" style="356" customWidth="1"/>
    <col min="5378" max="5378" width="4.625" style="356" customWidth="1"/>
    <col min="5379" max="5379" width="9.625" style="356" customWidth="1"/>
    <col min="5380" max="5380" width="10.125" style="356" customWidth="1"/>
    <col min="5381" max="5381" width="10.25" style="356" customWidth="1"/>
    <col min="5382" max="5382" width="4.625" style="356" customWidth="1"/>
    <col min="5383" max="5383" width="5" style="356" customWidth="1"/>
    <col min="5384" max="5384" width="11.125" style="356" customWidth="1"/>
    <col min="5385" max="5385" width="16.125" style="356" customWidth="1"/>
    <col min="5386" max="5386" width="4.75" style="356" customWidth="1"/>
    <col min="5387" max="5387" width="3.625" style="356" customWidth="1"/>
    <col min="5388" max="5388" width="5.125" style="356" customWidth="1"/>
    <col min="5389" max="5389" width="3.125" style="356" customWidth="1"/>
    <col min="5390" max="5390" width="4.625" style="356" customWidth="1"/>
    <col min="5391" max="5391" width="5" style="356" customWidth="1"/>
    <col min="5392" max="5393" width="9.75" style="356" customWidth="1"/>
    <col min="5394" max="5395" width="7.875" style="356" customWidth="1"/>
    <col min="5396" max="5626" width="9" style="356"/>
    <col min="5627" max="5627" width="3.125" style="356" customWidth="1"/>
    <col min="5628" max="5628" width="7.625" style="356" customWidth="1"/>
    <col min="5629" max="5629" width="4.125" style="356" customWidth="1"/>
    <col min="5630" max="5630" width="17" style="356" customWidth="1"/>
    <col min="5631" max="5631" width="3.625" style="356" customWidth="1"/>
    <col min="5632" max="5632" width="9.125" style="356" customWidth="1"/>
    <col min="5633" max="5633" width="3.625" style="356" customWidth="1"/>
    <col min="5634" max="5634" width="4.625" style="356" customWidth="1"/>
    <col min="5635" max="5635" width="9.625" style="356" customWidth="1"/>
    <col min="5636" max="5636" width="10.125" style="356" customWidth="1"/>
    <col min="5637" max="5637" width="10.25" style="356" customWidth="1"/>
    <col min="5638" max="5638" width="4.625" style="356" customWidth="1"/>
    <col min="5639" max="5639" width="5" style="356" customWidth="1"/>
    <col min="5640" max="5640" width="11.125" style="356" customWidth="1"/>
    <col min="5641" max="5641" width="16.125" style="356" customWidth="1"/>
    <col min="5642" max="5642" width="4.75" style="356" customWidth="1"/>
    <col min="5643" max="5643" width="3.625" style="356" customWidth="1"/>
    <col min="5644" max="5644" width="5.125" style="356" customWidth="1"/>
    <col min="5645" max="5645" width="3.125" style="356" customWidth="1"/>
    <col min="5646" max="5646" width="4.625" style="356" customWidth="1"/>
    <col min="5647" max="5647" width="5" style="356" customWidth="1"/>
    <col min="5648" max="5649" width="9.75" style="356" customWidth="1"/>
    <col min="5650" max="5651" width="7.875" style="356" customWidth="1"/>
    <col min="5652" max="5882" width="9" style="356"/>
    <col min="5883" max="5883" width="3.125" style="356" customWidth="1"/>
    <col min="5884" max="5884" width="7.625" style="356" customWidth="1"/>
    <col min="5885" max="5885" width="4.125" style="356" customWidth="1"/>
    <col min="5886" max="5886" width="17" style="356" customWidth="1"/>
    <col min="5887" max="5887" width="3.625" style="356" customWidth="1"/>
    <col min="5888" max="5888" width="9.125" style="356" customWidth="1"/>
    <col min="5889" max="5889" width="3.625" style="356" customWidth="1"/>
    <col min="5890" max="5890" width="4.625" style="356" customWidth="1"/>
    <col min="5891" max="5891" width="9.625" style="356" customWidth="1"/>
    <col min="5892" max="5892" width="10.125" style="356" customWidth="1"/>
    <col min="5893" max="5893" width="10.25" style="356" customWidth="1"/>
    <col min="5894" max="5894" width="4.625" style="356" customWidth="1"/>
    <col min="5895" max="5895" width="5" style="356" customWidth="1"/>
    <col min="5896" max="5896" width="11.125" style="356" customWidth="1"/>
    <col min="5897" max="5897" width="16.125" style="356" customWidth="1"/>
    <col min="5898" max="5898" width="4.75" style="356" customWidth="1"/>
    <col min="5899" max="5899" width="3.625" style="356" customWidth="1"/>
    <col min="5900" max="5900" width="5.125" style="356" customWidth="1"/>
    <col min="5901" max="5901" width="3.125" style="356" customWidth="1"/>
    <col min="5902" max="5902" width="4.625" style="356" customWidth="1"/>
    <col min="5903" max="5903" width="5" style="356" customWidth="1"/>
    <col min="5904" max="5905" width="9.75" style="356" customWidth="1"/>
    <col min="5906" max="5907" width="7.875" style="356" customWidth="1"/>
    <col min="5908" max="6138" width="9" style="356"/>
    <col min="6139" max="6139" width="3.125" style="356" customWidth="1"/>
    <col min="6140" max="6140" width="7.625" style="356" customWidth="1"/>
    <col min="6141" max="6141" width="4.125" style="356" customWidth="1"/>
    <col min="6142" max="6142" width="17" style="356" customWidth="1"/>
    <col min="6143" max="6143" width="3.625" style="356" customWidth="1"/>
    <col min="6144" max="6144" width="9.125" style="356" customWidth="1"/>
    <col min="6145" max="6145" width="3.625" style="356" customWidth="1"/>
    <col min="6146" max="6146" width="4.625" style="356" customWidth="1"/>
    <col min="6147" max="6147" width="9.625" style="356" customWidth="1"/>
    <col min="6148" max="6148" width="10.125" style="356" customWidth="1"/>
    <col min="6149" max="6149" width="10.25" style="356" customWidth="1"/>
    <col min="6150" max="6150" width="4.625" style="356" customWidth="1"/>
    <col min="6151" max="6151" width="5" style="356" customWidth="1"/>
    <col min="6152" max="6152" width="11.125" style="356" customWidth="1"/>
    <col min="6153" max="6153" width="16.125" style="356" customWidth="1"/>
    <col min="6154" max="6154" width="4.75" style="356" customWidth="1"/>
    <col min="6155" max="6155" width="3.625" style="356" customWidth="1"/>
    <col min="6156" max="6156" width="5.125" style="356" customWidth="1"/>
    <col min="6157" max="6157" width="3.125" style="356" customWidth="1"/>
    <col min="6158" max="6158" width="4.625" style="356" customWidth="1"/>
    <col min="6159" max="6159" width="5" style="356" customWidth="1"/>
    <col min="6160" max="6161" width="9.75" style="356" customWidth="1"/>
    <col min="6162" max="6163" width="7.875" style="356" customWidth="1"/>
    <col min="6164" max="6394" width="9" style="356"/>
    <col min="6395" max="6395" width="3.125" style="356" customWidth="1"/>
    <col min="6396" max="6396" width="7.625" style="356" customWidth="1"/>
    <col min="6397" max="6397" width="4.125" style="356" customWidth="1"/>
    <col min="6398" max="6398" width="17" style="356" customWidth="1"/>
    <col min="6399" max="6399" width="3.625" style="356" customWidth="1"/>
    <col min="6400" max="6400" width="9.125" style="356" customWidth="1"/>
    <col min="6401" max="6401" width="3.625" style="356" customWidth="1"/>
    <col min="6402" max="6402" width="4.625" style="356" customWidth="1"/>
    <col min="6403" max="6403" width="9.625" style="356" customWidth="1"/>
    <col min="6404" max="6404" width="10.125" style="356" customWidth="1"/>
    <col min="6405" max="6405" width="10.25" style="356" customWidth="1"/>
    <col min="6406" max="6406" width="4.625" style="356" customWidth="1"/>
    <col min="6407" max="6407" width="5" style="356" customWidth="1"/>
    <col min="6408" max="6408" width="11.125" style="356" customWidth="1"/>
    <col min="6409" max="6409" width="16.125" style="356" customWidth="1"/>
    <col min="6410" max="6410" width="4.75" style="356" customWidth="1"/>
    <col min="6411" max="6411" width="3.625" style="356" customWidth="1"/>
    <col min="6412" max="6412" width="5.125" style="356" customWidth="1"/>
    <col min="6413" max="6413" width="3.125" style="356" customWidth="1"/>
    <col min="6414" max="6414" width="4.625" style="356" customWidth="1"/>
    <col min="6415" max="6415" width="5" style="356" customWidth="1"/>
    <col min="6416" max="6417" width="9.75" style="356" customWidth="1"/>
    <col min="6418" max="6419" width="7.875" style="356" customWidth="1"/>
    <col min="6420" max="6650" width="9" style="356"/>
    <col min="6651" max="6651" width="3.125" style="356" customWidth="1"/>
    <col min="6652" max="6652" width="7.625" style="356" customWidth="1"/>
    <col min="6653" max="6653" width="4.125" style="356" customWidth="1"/>
    <col min="6654" max="6654" width="17" style="356" customWidth="1"/>
    <col min="6655" max="6655" width="3.625" style="356" customWidth="1"/>
    <col min="6656" max="6656" width="9.125" style="356" customWidth="1"/>
    <col min="6657" max="6657" width="3.625" style="356" customWidth="1"/>
    <col min="6658" max="6658" width="4.625" style="356" customWidth="1"/>
    <col min="6659" max="6659" width="9.625" style="356" customWidth="1"/>
    <col min="6660" max="6660" width="10.125" style="356" customWidth="1"/>
    <col min="6661" max="6661" width="10.25" style="356" customWidth="1"/>
    <col min="6662" max="6662" width="4.625" style="356" customWidth="1"/>
    <col min="6663" max="6663" width="5" style="356" customWidth="1"/>
    <col min="6664" max="6664" width="11.125" style="356" customWidth="1"/>
    <col min="6665" max="6665" width="16.125" style="356" customWidth="1"/>
    <col min="6666" max="6666" width="4.75" style="356" customWidth="1"/>
    <col min="6667" max="6667" width="3.625" style="356" customWidth="1"/>
    <col min="6668" max="6668" width="5.125" style="356" customWidth="1"/>
    <col min="6669" max="6669" width="3.125" style="356" customWidth="1"/>
    <col min="6670" max="6670" width="4.625" style="356" customWidth="1"/>
    <col min="6671" max="6671" width="5" style="356" customWidth="1"/>
    <col min="6672" max="6673" width="9.75" style="356" customWidth="1"/>
    <col min="6674" max="6675" width="7.875" style="356" customWidth="1"/>
    <col min="6676" max="6906" width="9" style="356"/>
    <col min="6907" max="6907" width="3.125" style="356" customWidth="1"/>
    <col min="6908" max="6908" width="7.625" style="356" customWidth="1"/>
    <col min="6909" max="6909" width="4.125" style="356" customWidth="1"/>
    <col min="6910" max="6910" width="17" style="356" customWidth="1"/>
    <col min="6911" max="6911" width="3.625" style="356" customWidth="1"/>
    <col min="6912" max="6912" width="9.125" style="356" customWidth="1"/>
    <col min="6913" max="6913" width="3.625" style="356" customWidth="1"/>
    <col min="6914" max="6914" width="4.625" style="356" customWidth="1"/>
    <col min="6915" max="6915" width="9.625" style="356" customWidth="1"/>
    <col min="6916" max="6916" width="10.125" style="356" customWidth="1"/>
    <col min="6917" max="6917" width="10.25" style="356" customWidth="1"/>
    <col min="6918" max="6918" width="4.625" style="356" customWidth="1"/>
    <col min="6919" max="6919" width="5" style="356" customWidth="1"/>
    <col min="6920" max="6920" width="11.125" style="356" customWidth="1"/>
    <col min="6921" max="6921" width="16.125" style="356" customWidth="1"/>
    <col min="6922" max="6922" width="4.75" style="356" customWidth="1"/>
    <col min="6923" max="6923" width="3.625" style="356" customWidth="1"/>
    <col min="6924" max="6924" width="5.125" style="356" customWidth="1"/>
    <col min="6925" max="6925" width="3.125" style="356" customWidth="1"/>
    <col min="6926" max="6926" width="4.625" style="356" customWidth="1"/>
    <col min="6927" max="6927" width="5" style="356" customWidth="1"/>
    <col min="6928" max="6929" width="9.75" style="356" customWidth="1"/>
    <col min="6930" max="6931" width="7.875" style="356" customWidth="1"/>
    <col min="6932" max="7162" width="9" style="356"/>
    <col min="7163" max="7163" width="3.125" style="356" customWidth="1"/>
    <col min="7164" max="7164" width="7.625" style="356" customWidth="1"/>
    <col min="7165" max="7165" width="4.125" style="356" customWidth="1"/>
    <col min="7166" max="7166" width="17" style="356" customWidth="1"/>
    <col min="7167" max="7167" width="3.625" style="356" customWidth="1"/>
    <col min="7168" max="7168" width="9.125" style="356" customWidth="1"/>
    <col min="7169" max="7169" width="3.625" style="356" customWidth="1"/>
    <col min="7170" max="7170" width="4.625" style="356" customWidth="1"/>
    <col min="7171" max="7171" width="9.625" style="356" customWidth="1"/>
    <col min="7172" max="7172" width="10.125" style="356" customWidth="1"/>
    <col min="7173" max="7173" width="10.25" style="356" customWidth="1"/>
    <col min="7174" max="7174" width="4.625" style="356" customWidth="1"/>
    <col min="7175" max="7175" width="5" style="356" customWidth="1"/>
    <col min="7176" max="7176" width="11.125" style="356" customWidth="1"/>
    <col min="7177" max="7177" width="16.125" style="356" customWidth="1"/>
    <col min="7178" max="7178" width="4.75" style="356" customWidth="1"/>
    <col min="7179" max="7179" width="3.625" style="356" customWidth="1"/>
    <col min="7180" max="7180" width="5.125" style="356" customWidth="1"/>
    <col min="7181" max="7181" width="3.125" style="356" customWidth="1"/>
    <col min="7182" max="7182" width="4.625" style="356" customWidth="1"/>
    <col min="7183" max="7183" width="5" style="356" customWidth="1"/>
    <col min="7184" max="7185" width="9.75" style="356" customWidth="1"/>
    <col min="7186" max="7187" width="7.875" style="356" customWidth="1"/>
    <col min="7188" max="7418" width="9" style="356"/>
    <col min="7419" max="7419" width="3.125" style="356" customWidth="1"/>
    <col min="7420" max="7420" width="7.625" style="356" customWidth="1"/>
    <col min="7421" max="7421" width="4.125" style="356" customWidth="1"/>
    <col min="7422" max="7422" width="17" style="356" customWidth="1"/>
    <col min="7423" max="7423" width="3.625" style="356" customWidth="1"/>
    <col min="7424" max="7424" width="9.125" style="356" customWidth="1"/>
    <col min="7425" max="7425" width="3.625" style="356" customWidth="1"/>
    <col min="7426" max="7426" width="4.625" style="356" customWidth="1"/>
    <col min="7427" max="7427" width="9.625" style="356" customWidth="1"/>
    <col min="7428" max="7428" width="10.125" style="356" customWidth="1"/>
    <col min="7429" max="7429" width="10.25" style="356" customWidth="1"/>
    <col min="7430" max="7430" width="4.625" style="356" customWidth="1"/>
    <col min="7431" max="7431" width="5" style="356" customWidth="1"/>
    <col min="7432" max="7432" width="11.125" style="356" customWidth="1"/>
    <col min="7433" max="7433" width="16.125" style="356" customWidth="1"/>
    <col min="7434" max="7434" width="4.75" style="356" customWidth="1"/>
    <col min="7435" max="7435" width="3.625" style="356" customWidth="1"/>
    <col min="7436" max="7436" width="5.125" style="356" customWidth="1"/>
    <col min="7437" max="7437" width="3.125" style="356" customWidth="1"/>
    <col min="7438" max="7438" width="4.625" style="356" customWidth="1"/>
    <col min="7439" max="7439" width="5" style="356" customWidth="1"/>
    <col min="7440" max="7441" width="9.75" style="356" customWidth="1"/>
    <col min="7442" max="7443" width="7.875" style="356" customWidth="1"/>
    <col min="7444" max="7674" width="9" style="356"/>
    <col min="7675" max="7675" width="3.125" style="356" customWidth="1"/>
    <col min="7676" max="7676" width="7.625" style="356" customWidth="1"/>
    <col min="7677" max="7677" width="4.125" style="356" customWidth="1"/>
    <col min="7678" max="7678" width="17" style="356" customWidth="1"/>
    <col min="7679" max="7679" width="3.625" style="356" customWidth="1"/>
    <col min="7680" max="7680" width="9.125" style="356" customWidth="1"/>
    <col min="7681" max="7681" width="3.625" style="356" customWidth="1"/>
    <col min="7682" max="7682" width="4.625" style="356" customWidth="1"/>
    <col min="7683" max="7683" width="9.625" style="356" customWidth="1"/>
    <col min="7684" max="7684" width="10.125" style="356" customWidth="1"/>
    <col min="7685" max="7685" width="10.25" style="356" customWidth="1"/>
    <col min="7686" max="7686" width="4.625" style="356" customWidth="1"/>
    <col min="7687" max="7687" width="5" style="356" customWidth="1"/>
    <col min="7688" max="7688" width="11.125" style="356" customWidth="1"/>
    <col min="7689" max="7689" width="16.125" style="356" customWidth="1"/>
    <col min="7690" max="7690" width="4.75" style="356" customWidth="1"/>
    <col min="7691" max="7691" width="3.625" style="356" customWidth="1"/>
    <col min="7692" max="7692" width="5.125" style="356" customWidth="1"/>
    <col min="7693" max="7693" width="3.125" style="356" customWidth="1"/>
    <col min="7694" max="7694" width="4.625" style="356" customWidth="1"/>
    <col min="7695" max="7695" width="5" style="356" customWidth="1"/>
    <col min="7696" max="7697" width="9.75" style="356" customWidth="1"/>
    <col min="7698" max="7699" width="7.875" style="356" customWidth="1"/>
    <col min="7700" max="7930" width="9" style="356"/>
    <col min="7931" max="7931" width="3.125" style="356" customWidth="1"/>
    <col min="7932" max="7932" width="7.625" style="356" customWidth="1"/>
    <col min="7933" max="7933" width="4.125" style="356" customWidth="1"/>
    <col min="7934" max="7934" width="17" style="356" customWidth="1"/>
    <col min="7935" max="7935" width="3.625" style="356" customWidth="1"/>
    <col min="7936" max="7936" width="9.125" style="356" customWidth="1"/>
    <col min="7937" max="7937" width="3.625" style="356" customWidth="1"/>
    <col min="7938" max="7938" width="4.625" style="356" customWidth="1"/>
    <col min="7939" max="7939" width="9.625" style="356" customWidth="1"/>
    <col min="7940" max="7940" width="10.125" style="356" customWidth="1"/>
    <col min="7941" max="7941" width="10.25" style="356" customWidth="1"/>
    <col min="7942" max="7942" width="4.625" style="356" customWidth="1"/>
    <col min="7943" max="7943" width="5" style="356" customWidth="1"/>
    <col min="7944" max="7944" width="11.125" style="356" customWidth="1"/>
    <col min="7945" max="7945" width="16.125" style="356" customWidth="1"/>
    <col min="7946" max="7946" width="4.75" style="356" customWidth="1"/>
    <col min="7947" max="7947" width="3.625" style="356" customWidth="1"/>
    <col min="7948" max="7948" width="5.125" style="356" customWidth="1"/>
    <col min="7949" max="7949" width="3.125" style="356" customWidth="1"/>
    <col min="7950" max="7950" width="4.625" style="356" customWidth="1"/>
    <col min="7951" max="7951" width="5" style="356" customWidth="1"/>
    <col min="7952" max="7953" width="9.75" style="356" customWidth="1"/>
    <col min="7954" max="7955" width="7.875" style="356" customWidth="1"/>
    <col min="7956" max="8186" width="9" style="356"/>
    <col min="8187" max="8187" width="3.125" style="356" customWidth="1"/>
    <col min="8188" max="8188" width="7.625" style="356" customWidth="1"/>
    <col min="8189" max="8189" width="4.125" style="356" customWidth="1"/>
    <col min="8190" max="8190" width="17" style="356" customWidth="1"/>
    <col min="8191" max="8191" width="3.625" style="356" customWidth="1"/>
    <col min="8192" max="8192" width="9.125" style="356" customWidth="1"/>
    <col min="8193" max="8193" width="3.625" style="356" customWidth="1"/>
    <col min="8194" max="8194" width="4.625" style="356" customWidth="1"/>
    <col min="8195" max="8195" width="9.625" style="356" customWidth="1"/>
    <col min="8196" max="8196" width="10.125" style="356" customWidth="1"/>
    <col min="8197" max="8197" width="10.25" style="356" customWidth="1"/>
    <col min="8198" max="8198" width="4.625" style="356" customWidth="1"/>
    <col min="8199" max="8199" width="5" style="356" customWidth="1"/>
    <col min="8200" max="8200" width="11.125" style="356" customWidth="1"/>
    <col min="8201" max="8201" width="16.125" style="356" customWidth="1"/>
    <col min="8202" max="8202" width="4.75" style="356" customWidth="1"/>
    <col min="8203" max="8203" width="3.625" style="356" customWidth="1"/>
    <col min="8204" max="8204" width="5.125" style="356" customWidth="1"/>
    <col min="8205" max="8205" width="3.125" style="356" customWidth="1"/>
    <col min="8206" max="8206" width="4.625" style="356" customWidth="1"/>
    <col min="8207" max="8207" width="5" style="356" customWidth="1"/>
    <col min="8208" max="8209" width="9.75" style="356" customWidth="1"/>
    <col min="8210" max="8211" width="7.875" style="356" customWidth="1"/>
    <col min="8212" max="8442" width="9" style="356"/>
    <col min="8443" max="8443" width="3.125" style="356" customWidth="1"/>
    <col min="8444" max="8444" width="7.625" style="356" customWidth="1"/>
    <col min="8445" max="8445" width="4.125" style="356" customWidth="1"/>
    <col min="8446" max="8446" width="17" style="356" customWidth="1"/>
    <col min="8447" max="8447" width="3.625" style="356" customWidth="1"/>
    <col min="8448" max="8448" width="9.125" style="356" customWidth="1"/>
    <col min="8449" max="8449" width="3.625" style="356" customWidth="1"/>
    <col min="8450" max="8450" width="4.625" style="356" customWidth="1"/>
    <col min="8451" max="8451" width="9.625" style="356" customWidth="1"/>
    <col min="8452" max="8452" width="10.125" style="356" customWidth="1"/>
    <col min="8453" max="8453" width="10.25" style="356" customWidth="1"/>
    <col min="8454" max="8454" width="4.625" style="356" customWidth="1"/>
    <col min="8455" max="8455" width="5" style="356" customWidth="1"/>
    <col min="8456" max="8456" width="11.125" style="356" customWidth="1"/>
    <col min="8457" max="8457" width="16.125" style="356" customWidth="1"/>
    <col min="8458" max="8458" width="4.75" style="356" customWidth="1"/>
    <col min="8459" max="8459" width="3.625" style="356" customWidth="1"/>
    <col min="8460" max="8460" width="5.125" style="356" customWidth="1"/>
    <col min="8461" max="8461" width="3.125" style="356" customWidth="1"/>
    <col min="8462" max="8462" width="4.625" style="356" customWidth="1"/>
    <col min="8463" max="8463" width="5" style="356" customWidth="1"/>
    <col min="8464" max="8465" width="9.75" style="356" customWidth="1"/>
    <col min="8466" max="8467" width="7.875" style="356" customWidth="1"/>
    <col min="8468" max="8698" width="9" style="356"/>
    <col min="8699" max="8699" width="3.125" style="356" customWidth="1"/>
    <col min="8700" max="8700" width="7.625" style="356" customWidth="1"/>
    <col min="8701" max="8701" width="4.125" style="356" customWidth="1"/>
    <col min="8702" max="8702" width="17" style="356" customWidth="1"/>
    <col min="8703" max="8703" width="3.625" style="356" customWidth="1"/>
    <col min="8704" max="8704" width="9.125" style="356" customWidth="1"/>
    <col min="8705" max="8705" width="3.625" style="356" customWidth="1"/>
    <col min="8706" max="8706" width="4.625" style="356" customWidth="1"/>
    <col min="8707" max="8707" width="9.625" style="356" customWidth="1"/>
    <col min="8708" max="8708" width="10.125" style="356" customWidth="1"/>
    <col min="8709" max="8709" width="10.25" style="356" customWidth="1"/>
    <col min="8710" max="8710" width="4.625" style="356" customWidth="1"/>
    <col min="8711" max="8711" width="5" style="356" customWidth="1"/>
    <col min="8712" max="8712" width="11.125" style="356" customWidth="1"/>
    <col min="8713" max="8713" width="16.125" style="356" customWidth="1"/>
    <col min="8714" max="8714" width="4.75" style="356" customWidth="1"/>
    <col min="8715" max="8715" width="3.625" style="356" customWidth="1"/>
    <col min="8716" max="8716" width="5.125" style="356" customWidth="1"/>
    <col min="8717" max="8717" width="3.125" style="356" customWidth="1"/>
    <col min="8718" max="8718" width="4.625" style="356" customWidth="1"/>
    <col min="8719" max="8719" width="5" style="356" customWidth="1"/>
    <col min="8720" max="8721" width="9.75" style="356" customWidth="1"/>
    <col min="8722" max="8723" width="7.875" style="356" customWidth="1"/>
    <col min="8724" max="8954" width="9" style="356"/>
    <col min="8955" max="8955" width="3.125" style="356" customWidth="1"/>
    <col min="8956" max="8956" width="7.625" style="356" customWidth="1"/>
    <col min="8957" max="8957" width="4.125" style="356" customWidth="1"/>
    <col min="8958" max="8958" width="17" style="356" customWidth="1"/>
    <col min="8959" max="8959" width="3.625" style="356" customWidth="1"/>
    <col min="8960" max="8960" width="9.125" style="356" customWidth="1"/>
    <col min="8961" max="8961" width="3.625" style="356" customWidth="1"/>
    <col min="8962" max="8962" width="4.625" style="356" customWidth="1"/>
    <col min="8963" max="8963" width="9.625" style="356" customWidth="1"/>
    <col min="8964" max="8964" width="10.125" style="356" customWidth="1"/>
    <col min="8965" max="8965" width="10.25" style="356" customWidth="1"/>
    <col min="8966" max="8966" width="4.625" style="356" customWidth="1"/>
    <col min="8967" max="8967" width="5" style="356" customWidth="1"/>
    <col min="8968" max="8968" width="11.125" style="356" customWidth="1"/>
    <col min="8969" max="8969" width="16.125" style="356" customWidth="1"/>
    <col min="8970" max="8970" width="4.75" style="356" customWidth="1"/>
    <col min="8971" max="8971" width="3.625" style="356" customWidth="1"/>
    <col min="8972" max="8972" width="5.125" style="356" customWidth="1"/>
    <col min="8973" max="8973" width="3.125" style="356" customWidth="1"/>
    <col min="8974" max="8974" width="4.625" style="356" customWidth="1"/>
    <col min="8975" max="8975" width="5" style="356" customWidth="1"/>
    <col min="8976" max="8977" width="9.75" style="356" customWidth="1"/>
    <col min="8978" max="8979" width="7.875" style="356" customWidth="1"/>
    <col min="8980" max="9210" width="9" style="356"/>
    <col min="9211" max="9211" width="3.125" style="356" customWidth="1"/>
    <col min="9212" max="9212" width="7.625" style="356" customWidth="1"/>
    <col min="9213" max="9213" width="4.125" style="356" customWidth="1"/>
    <col min="9214" max="9214" width="17" style="356" customWidth="1"/>
    <col min="9215" max="9215" width="3.625" style="356" customWidth="1"/>
    <col min="9216" max="9216" width="9.125" style="356" customWidth="1"/>
    <col min="9217" max="9217" width="3.625" style="356" customWidth="1"/>
    <col min="9218" max="9218" width="4.625" style="356" customWidth="1"/>
    <col min="9219" max="9219" width="9.625" style="356" customWidth="1"/>
    <col min="9220" max="9220" width="10.125" style="356" customWidth="1"/>
    <col min="9221" max="9221" width="10.25" style="356" customWidth="1"/>
    <col min="9222" max="9222" width="4.625" style="356" customWidth="1"/>
    <col min="9223" max="9223" width="5" style="356" customWidth="1"/>
    <col min="9224" max="9224" width="11.125" style="356" customWidth="1"/>
    <col min="9225" max="9225" width="16.125" style="356" customWidth="1"/>
    <col min="9226" max="9226" width="4.75" style="356" customWidth="1"/>
    <col min="9227" max="9227" width="3.625" style="356" customWidth="1"/>
    <col min="9228" max="9228" width="5.125" style="356" customWidth="1"/>
    <col min="9229" max="9229" width="3.125" style="356" customWidth="1"/>
    <col min="9230" max="9230" width="4.625" style="356" customWidth="1"/>
    <col min="9231" max="9231" width="5" style="356" customWidth="1"/>
    <col min="9232" max="9233" width="9.75" style="356" customWidth="1"/>
    <col min="9234" max="9235" width="7.875" style="356" customWidth="1"/>
    <col min="9236" max="9466" width="9" style="356"/>
    <col min="9467" max="9467" width="3.125" style="356" customWidth="1"/>
    <col min="9468" max="9468" width="7.625" style="356" customWidth="1"/>
    <col min="9469" max="9469" width="4.125" style="356" customWidth="1"/>
    <col min="9470" max="9470" width="17" style="356" customWidth="1"/>
    <col min="9471" max="9471" width="3.625" style="356" customWidth="1"/>
    <col min="9472" max="9472" width="9.125" style="356" customWidth="1"/>
    <col min="9473" max="9473" width="3.625" style="356" customWidth="1"/>
    <col min="9474" max="9474" width="4.625" style="356" customWidth="1"/>
    <col min="9475" max="9475" width="9.625" style="356" customWidth="1"/>
    <col min="9476" max="9476" width="10.125" style="356" customWidth="1"/>
    <col min="9477" max="9477" width="10.25" style="356" customWidth="1"/>
    <col min="9478" max="9478" width="4.625" style="356" customWidth="1"/>
    <col min="9479" max="9479" width="5" style="356" customWidth="1"/>
    <col min="9480" max="9480" width="11.125" style="356" customWidth="1"/>
    <col min="9481" max="9481" width="16.125" style="356" customWidth="1"/>
    <col min="9482" max="9482" width="4.75" style="356" customWidth="1"/>
    <col min="9483" max="9483" width="3.625" style="356" customWidth="1"/>
    <col min="9484" max="9484" width="5.125" style="356" customWidth="1"/>
    <col min="9485" max="9485" width="3.125" style="356" customWidth="1"/>
    <col min="9486" max="9486" width="4.625" style="356" customWidth="1"/>
    <col min="9487" max="9487" width="5" style="356" customWidth="1"/>
    <col min="9488" max="9489" width="9.75" style="356" customWidth="1"/>
    <col min="9490" max="9491" width="7.875" style="356" customWidth="1"/>
    <col min="9492" max="9722" width="9" style="356"/>
    <col min="9723" max="9723" width="3.125" style="356" customWidth="1"/>
    <col min="9724" max="9724" width="7.625" style="356" customWidth="1"/>
    <col min="9725" max="9725" width="4.125" style="356" customWidth="1"/>
    <col min="9726" max="9726" width="17" style="356" customWidth="1"/>
    <col min="9727" max="9727" width="3.625" style="356" customWidth="1"/>
    <col min="9728" max="9728" width="9.125" style="356" customWidth="1"/>
    <col min="9729" max="9729" width="3.625" style="356" customWidth="1"/>
    <col min="9730" max="9730" width="4.625" style="356" customWidth="1"/>
    <col min="9731" max="9731" width="9.625" style="356" customWidth="1"/>
    <col min="9732" max="9732" width="10.125" style="356" customWidth="1"/>
    <col min="9733" max="9733" width="10.25" style="356" customWidth="1"/>
    <col min="9734" max="9734" width="4.625" style="356" customWidth="1"/>
    <col min="9735" max="9735" width="5" style="356" customWidth="1"/>
    <col min="9736" max="9736" width="11.125" style="356" customWidth="1"/>
    <col min="9737" max="9737" width="16.125" style="356" customWidth="1"/>
    <col min="9738" max="9738" width="4.75" style="356" customWidth="1"/>
    <col min="9739" max="9739" width="3.625" style="356" customWidth="1"/>
    <col min="9740" max="9740" width="5.125" style="356" customWidth="1"/>
    <col min="9741" max="9741" width="3.125" style="356" customWidth="1"/>
    <col min="9742" max="9742" width="4.625" style="356" customWidth="1"/>
    <col min="9743" max="9743" width="5" style="356" customWidth="1"/>
    <col min="9744" max="9745" width="9.75" style="356" customWidth="1"/>
    <col min="9746" max="9747" width="7.875" style="356" customWidth="1"/>
    <col min="9748" max="9978" width="9" style="356"/>
    <col min="9979" max="9979" width="3.125" style="356" customWidth="1"/>
    <col min="9980" max="9980" width="7.625" style="356" customWidth="1"/>
    <col min="9981" max="9981" width="4.125" style="356" customWidth="1"/>
    <col min="9982" max="9982" width="17" style="356" customWidth="1"/>
    <col min="9983" max="9983" width="3.625" style="356" customWidth="1"/>
    <col min="9984" max="9984" width="9.125" style="356" customWidth="1"/>
    <col min="9985" max="9985" width="3.625" style="356" customWidth="1"/>
    <col min="9986" max="9986" width="4.625" style="356" customWidth="1"/>
    <col min="9987" max="9987" width="9.625" style="356" customWidth="1"/>
    <col min="9988" max="9988" width="10.125" style="356" customWidth="1"/>
    <col min="9989" max="9989" width="10.25" style="356" customWidth="1"/>
    <col min="9990" max="9990" width="4.625" style="356" customWidth="1"/>
    <col min="9991" max="9991" width="5" style="356" customWidth="1"/>
    <col min="9992" max="9992" width="11.125" style="356" customWidth="1"/>
    <col min="9993" max="9993" width="16.125" style="356" customWidth="1"/>
    <col min="9994" max="9994" width="4.75" style="356" customWidth="1"/>
    <col min="9995" max="9995" width="3.625" style="356" customWidth="1"/>
    <col min="9996" max="9996" width="5.125" style="356" customWidth="1"/>
    <col min="9997" max="9997" width="3.125" style="356" customWidth="1"/>
    <col min="9998" max="9998" width="4.625" style="356" customWidth="1"/>
    <col min="9999" max="9999" width="5" style="356" customWidth="1"/>
    <col min="10000" max="10001" width="9.75" style="356" customWidth="1"/>
    <col min="10002" max="10003" width="7.875" style="356" customWidth="1"/>
    <col min="10004" max="10234" width="9" style="356"/>
    <col min="10235" max="10235" width="3.125" style="356" customWidth="1"/>
    <col min="10236" max="10236" width="7.625" style="356" customWidth="1"/>
    <col min="10237" max="10237" width="4.125" style="356" customWidth="1"/>
    <col min="10238" max="10238" width="17" style="356" customWidth="1"/>
    <col min="10239" max="10239" width="3.625" style="356" customWidth="1"/>
    <col min="10240" max="10240" width="9.125" style="356" customWidth="1"/>
    <col min="10241" max="10241" width="3.625" style="356" customWidth="1"/>
    <col min="10242" max="10242" width="4.625" style="356" customWidth="1"/>
    <col min="10243" max="10243" width="9.625" style="356" customWidth="1"/>
    <col min="10244" max="10244" width="10.125" style="356" customWidth="1"/>
    <col min="10245" max="10245" width="10.25" style="356" customWidth="1"/>
    <col min="10246" max="10246" width="4.625" style="356" customWidth="1"/>
    <col min="10247" max="10247" width="5" style="356" customWidth="1"/>
    <col min="10248" max="10248" width="11.125" style="356" customWidth="1"/>
    <col min="10249" max="10249" width="16.125" style="356" customWidth="1"/>
    <col min="10250" max="10250" width="4.75" style="356" customWidth="1"/>
    <col min="10251" max="10251" width="3.625" style="356" customWidth="1"/>
    <col min="10252" max="10252" width="5.125" style="356" customWidth="1"/>
    <col min="10253" max="10253" width="3.125" style="356" customWidth="1"/>
    <col min="10254" max="10254" width="4.625" style="356" customWidth="1"/>
    <col min="10255" max="10255" width="5" style="356" customWidth="1"/>
    <col min="10256" max="10257" width="9.75" style="356" customWidth="1"/>
    <col min="10258" max="10259" width="7.875" style="356" customWidth="1"/>
    <col min="10260" max="10490" width="9" style="356"/>
    <col min="10491" max="10491" width="3.125" style="356" customWidth="1"/>
    <col min="10492" max="10492" width="7.625" style="356" customWidth="1"/>
    <col min="10493" max="10493" width="4.125" style="356" customWidth="1"/>
    <col min="10494" max="10494" width="17" style="356" customWidth="1"/>
    <col min="10495" max="10495" width="3.625" style="356" customWidth="1"/>
    <col min="10496" max="10496" width="9.125" style="356" customWidth="1"/>
    <col min="10497" max="10497" width="3.625" style="356" customWidth="1"/>
    <col min="10498" max="10498" width="4.625" style="356" customWidth="1"/>
    <col min="10499" max="10499" width="9.625" style="356" customWidth="1"/>
    <col min="10500" max="10500" width="10.125" style="356" customWidth="1"/>
    <col min="10501" max="10501" width="10.25" style="356" customWidth="1"/>
    <col min="10502" max="10502" width="4.625" style="356" customWidth="1"/>
    <col min="10503" max="10503" width="5" style="356" customWidth="1"/>
    <col min="10504" max="10504" width="11.125" style="356" customWidth="1"/>
    <col min="10505" max="10505" width="16.125" style="356" customWidth="1"/>
    <col min="10506" max="10506" width="4.75" style="356" customWidth="1"/>
    <col min="10507" max="10507" width="3.625" style="356" customWidth="1"/>
    <col min="10508" max="10508" width="5.125" style="356" customWidth="1"/>
    <col min="10509" max="10509" width="3.125" style="356" customWidth="1"/>
    <col min="10510" max="10510" width="4.625" style="356" customWidth="1"/>
    <col min="10511" max="10511" width="5" style="356" customWidth="1"/>
    <col min="10512" max="10513" width="9.75" style="356" customWidth="1"/>
    <col min="10514" max="10515" width="7.875" style="356" customWidth="1"/>
    <col min="10516" max="10746" width="9" style="356"/>
    <col min="10747" max="10747" width="3.125" style="356" customWidth="1"/>
    <col min="10748" max="10748" width="7.625" style="356" customWidth="1"/>
    <col min="10749" max="10749" width="4.125" style="356" customWidth="1"/>
    <col min="10750" max="10750" width="17" style="356" customWidth="1"/>
    <col min="10751" max="10751" width="3.625" style="356" customWidth="1"/>
    <col min="10752" max="10752" width="9.125" style="356" customWidth="1"/>
    <col min="10753" max="10753" width="3.625" style="356" customWidth="1"/>
    <col min="10754" max="10754" width="4.625" style="356" customWidth="1"/>
    <col min="10755" max="10755" width="9.625" style="356" customWidth="1"/>
    <col min="10756" max="10756" width="10.125" style="356" customWidth="1"/>
    <col min="10757" max="10757" width="10.25" style="356" customWidth="1"/>
    <col min="10758" max="10758" width="4.625" style="356" customWidth="1"/>
    <col min="10759" max="10759" width="5" style="356" customWidth="1"/>
    <col min="10760" max="10760" width="11.125" style="356" customWidth="1"/>
    <col min="10761" max="10761" width="16.125" style="356" customWidth="1"/>
    <col min="10762" max="10762" width="4.75" style="356" customWidth="1"/>
    <col min="10763" max="10763" width="3.625" style="356" customWidth="1"/>
    <col min="10764" max="10764" width="5.125" style="356" customWidth="1"/>
    <col min="10765" max="10765" width="3.125" style="356" customWidth="1"/>
    <col min="10766" max="10766" width="4.625" style="356" customWidth="1"/>
    <col min="10767" max="10767" width="5" style="356" customWidth="1"/>
    <col min="10768" max="10769" width="9.75" style="356" customWidth="1"/>
    <col min="10770" max="10771" width="7.875" style="356" customWidth="1"/>
    <col min="10772" max="11002" width="9" style="356"/>
    <col min="11003" max="11003" width="3.125" style="356" customWidth="1"/>
    <col min="11004" max="11004" width="7.625" style="356" customWidth="1"/>
    <col min="11005" max="11005" width="4.125" style="356" customWidth="1"/>
    <col min="11006" max="11006" width="17" style="356" customWidth="1"/>
    <col min="11007" max="11007" width="3.625" style="356" customWidth="1"/>
    <col min="11008" max="11008" width="9.125" style="356" customWidth="1"/>
    <col min="11009" max="11009" width="3.625" style="356" customWidth="1"/>
    <col min="11010" max="11010" width="4.625" style="356" customWidth="1"/>
    <col min="11011" max="11011" width="9.625" style="356" customWidth="1"/>
    <col min="11012" max="11012" width="10.125" style="356" customWidth="1"/>
    <col min="11013" max="11013" width="10.25" style="356" customWidth="1"/>
    <col min="11014" max="11014" width="4.625" style="356" customWidth="1"/>
    <col min="11015" max="11015" width="5" style="356" customWidth="1"/>
    <col min="11016" max="11016" width="11.125" style="356" customWidth="1"/>
    <col min="11017" max="11017" width="16.125" style="356" customWidth="1"/>
    <col min="11018" max="11018" width="4.75" style="356" customWidth="1"/>
    <col min="11019" max="11019" width="3.625" style="356" customWidth="1"/>
    <col min="11020" max="11020" width="5.125" style="356" customWidth="1"/>
    <col min="11021" max="11021" width="3.125" style="356" customWidth="1"/>
    <col min="11022" max="11022" width="4.625" style="356" customWidth="1"/>
    <col min="11023" max="11023" width="5" style="356" customWidth="1"/>
    <col min="11024" max="11025" width="9.75" style="356" customWidth="1"/>
    <col min="11026" max="11027" width="7.875" style="356" customWidth="1"/>
    <col min="11028" max="11258" width="9" style="356"/>
    <col min="11259" max="11259" width="3.125" style="356" customWidth="1"/>
    <col min="11260" max="11260" width="7.625" style="356" customWidth="1"/>
    <col min="11261" max="11261" width="4.125" style="356" customWidth="1"/>
    <col min="11262" max="11262" width="17" style="356" customWidth="1"/>
    <col min="11263" max="11263" width="3.625" style="356" customWidth="1"/>
    <col min="11264" max="11264" width="9.125" style="356" customWidth="1"/>
    <col min="11265" max="11265" width="3.625" style="356" customWidth="1"/>
    <col min="11266" max="11266" width="4.625" style="356" customWidth="1"/>
    <col min="11267" max="11267" width="9.625" style="356" customWidth="1"/>
    <col min="11268" max="11268" width="10.125" style="356" customWidth="1"/>
    <col min="11269" max="11269" width="10.25" style="356" customWidth="1"/>
    <col min="11270" max="11270" width="4.625" style="356" customWidth="1"/>
    <col min="11271" max="11271" width="5" style="356" customWidth="1"/>
    <col min="11272" max="11272" width="11.125" style="356" customWidth="1"/>
    <col min="11273" max="11273" width="16.125" style="356" customWidth="1"/>
    <col min="11274" max="11274" width="4.75" style="356" customWidth="1"/>
    <col min="11275" max="11275" width="3.625" style="356" customWidth="1"/>
    <col min="11276" max="11276" width="5.125" style="356" customWidth="1"/>
    <col min="11277" max="11277" width="3.125" style="356" customWidth="1"/>
    <col min="11278" max="11278" width="4.625" style="356" customWidth="1"/>
    <col min="11279" max="11279" width="5" style="356" customWidth="1"/>
    <col min="11280" max="11281" width="9.75" style="356" customWidth="1"/>
    <col min="11282" max="11283" width="7.875" style="356" customWidth="1"/>
    <col min="11284" max="11514" width="9" style="356"/>
    <col min="11515" max="11515" width="3.125" style="356" customWidth="1"/>
    <col min="11516" max="11516" width="7.625" style="356" customWidth="1"/>
    <col min="11517" max="11517" width="4.125" style="356" customWidth="1"/>
    <col min="11518" max="11518" width="17" style="356" customWidth="1"/>
    <col min="11519" max="11519" width="3.625" style="356" customWidth="1"/>
    <col min="11520" max="11520" width="9.125" style="356" customWidth="1"/>
    <col min="11521" max="11521" width="3.625" style="356" customWidth="1"/>
    <col min="11522" max="11522" width="4.625" style="356" customWidth="1"/>
    <col min="11523" max="11523" width="9.625" style="356" customWidth="1"/>
    <col min="11524" max="11524" width="10.125" style="356" customWidth="1"/>
    <col min="11525" max="11525" width="10.25" style="356" customWidth="1"/>
    <col min="11526" max="11526" width="4.625" style="356" customWidth="1"/>
    <col min="11527" max="11527" width="5" style="356" customWidth="1"/>
    <col min="11528" max="11528" width="11.125" style="356" customWidth="1"/>
    <col min="11529" max="11529" width="16.125" style="356" customWidth="1"/>
    <col min="11530" max="11530" width="4.75" style="356" customWidth="1"/>
    <col min="11531" max="11531" width="3.625" style="356" customWidth="1"/>
    <col min="11532" max="11532" width="5.125" style="356" customWidth="1"/>
    <col min="11533" max="11533" width="3.125" style="356" customWidth="1"/>
    <col min="11534" max="11534" width="4.625" style="356" customWidth="1"/>
    <col min="11535" max="11535" width="5" style="356" customWidth="1"/>
    <col min="11536" max="11537" width="9.75" style="356" customWidth="1"/>
    <col min="11538" max="11539" width="7.875" style="356" customWidth="1"/>
    <col min="11540" max="11770" width="9" style="356"/>
    <col min="11771" max="11771" width="3.125" style="356" customWidth="1"/>
    <col min="11772" max="11772" width="7.625" style="356" customWidth="1"/>
    <col min="11773" max="11773" width="4.125" style="356" customWidth="1"/>
    <col min="11774" max="11774" width="17" style="356" customWidth="1"/>
    <col min="11775" max="11775" width="3.625" style="356" customWidth="1"/>
    <col min="11776" max="11776" width="9.125" style="356" customWidth="1"/>
    <col min="11777" max="11777" width="3.625" style="356" customWidth="1"/>
    <col min="11778" max="11778" width="4.625" style="356" customWidth="1"/>
    <col min="11779" max="11779" width="9.625" style="356" customWidth="1"/>
    <col min="11780" max="11780" width="10.125" style="356" customWidth="1"/>
    <col min="11781" max="11781" width="10.25" style="356" customWidth="1"/>
    <col min="11782" max="11782" width="4.625" style="356" customWidth="1"/>
    <col min="11783" max="11783" width="5" style="356" customWidth="1"/>
    <col min="11784" max="11784" width="11.125" style="356" customWidth="1"/>
    <col min="11785" max="11785" width="16.125" style="356" customWidth="1"/>
    <col min="11786" max="11786" width="4.75" style="356" customWidth="1"/>
    <col min="11787" max="11787" width="3.625" style="356" customWidth="1"/>
    <col min="11788" max="11788" width="5.125" style="356" customWidth="1"/>
    <col min="11789" max="11789" width="3.125" style="356" customWidth="1"/>
    <col min="11790" max="11790" width="4.625" style="356" customWidth="1"/>
    <col min="11791" max="11791" width="5" style="356" customWidth="1"/>
    <col min="11792" max="11793" width="9.75" style="356" customWidth="1"/>
    <col min="11794" max="11795" width="7.875" style="356" customWidth="1"/>
    <col min="11796" max="12026" width="9" style="356"/>
    <col min="12027" max="12027" width="3.125" style="356" customWidth="1"/>
    <col min="12028" max="12028" width="7.625" style="356" customWidth="1"/>
    <col min="12029" max="12029" width="4.125" style="356" customWidth="1"/>
    <col min="12030" max="12030" width="17" style="356" customWidth="1"/>
    <col min="12031" max="12031" width="3.625" style="356" customWidth="1"/>
    <col min="12032" max="12032" width="9.125" style="356" customWidth="1"/>
    <col min="12033" max="12033" width="3.625" style="356" customWidth="1"/>
    <col min="12034" max="12034" width="4.625" style="356" customWidth="1"/>
    <col min="12035" max="12035" width="9.625" style="356" customWidth="1"/>
    <col min="12036" max="12036" width="10.125" style="356" customWidth="1"/>
    <col min="12037" max="12037" width="10.25" style="356" customWidth="1"/>
    <col min="12038" max="12038" width="4.625" style="356" customWidth="1"/>
    <col min="12039" max="12039" width="5" style="356" customWidth="1"/>
    <col min="12040" max="12040" width="11.125" style="356" customWidth="1"/>
    <col min="12041" max="12041" width="16.125" style="356" customWidth="1"/>
    <col min="12042" max="12042" width="4.75" style="356" customWidth="1"/>
    <col min="12043" max="12043" width="3.625" style="356" customWidth="1"/>
    <col min="12044" max="12044" width="5.125" style="356" customWidth="1"/>
    <col min="12045" max="12045" width="3.125" style="356" customWidth="1"/>
    <col min="12046" max="12046" width="4.625" style="356" customWidth="1"/>
    <col min="12047" max="12047" width="5" style="356" customWidth="1"/>
    <col min="12048" max="12049" width="9.75" style="356" customWidth="1"/>
    <col min="12050" max="12051" width="7.875" style="356" customWidth="1"/>
    <col min="12052" max="12282" width="9" style="356"/>
    <col min="12283" max="12283" width="3.125" style="356" customWidth="1"/>
    <col min="12284" max="12284" width="7.625" style="356" customWidth="1"/>
    <col min="12285" max="12285" width="4.125" style="356" customWidth="1"/>
    <col min="12286" max="12286" width="17" style="356" customWidth="1"/>
    <col min="12287" max="12287" width="3.625" style="356" customWidth="1"/>
    <col min="12288" max="12288" width="9.125" style="356" customWidth="1"/>
    <col min="12289" max="12289" width="3.625" style="356" customWidth="1"/>
    <col min="12290" max="12290" width="4.625" style="356" customWidth="1"/>
    <col min="12291" max="12291" width="9.625" style="356" customWidth="1"/>
    <col min="12292" max="12292" width="10.125" style="356" customWidth="1"/>
    <col min="12293" max="12293" width="10.25" style="356" customWidth="1"/>
    <col min="12294" max="12294" width="4.625" style="356" customWidth="1"/>
    <col min="12295" max="12295" width="5" style="356" customWidth="1"/>
    <col min="12296" max="12296" width="11.125" style="356" customWidth="1"/>
    <col min="12297" max="12297" width="16.125" style="356" customWidth="1"/>
    <col min="12298" max="12298" width="4.75" style="356" customWidth="1"/>
    <col min="12299" max="12299" width="3.625" style="356" customWidth="1"/>
    <col min="12300" max="12300" width="5.125" style="356" customWidth="1"/>
    <col min="12301" max="12301" width="3.125" style="356" customWidth="1"/>
    <col min="12302" max="12302" width="4.625" style="356" customWidth="1"/>
    <col min="12303" max="12303" width="5" style="356" customWidth="1"/>
    <col min="12304" max="12305" width="9.75" style="356" customWidth="1"/>
    <col min="12306" max="12307" width="7.875" style="356" customWidth="1"/>
    <col min="12308" max="12538" width="9" style="356"/>
    <col min="12539" max="12539" width="3.125" style="356" customWidth="1"/>
    <col min="12540" max="12540" width="7.625" style="356" customWidth="1"/>
    <col min="12541" max="12541" width="4.125" style="356" customWidth="1"/>
    <col min="12542" max="12542" width="17" style="356" customWidth="1"/>
    <col min="12543" max="12543" width="3.625" style="356" customWidth="1"/>
    <col min="12544" max="12544" width="9.125" style="356" customWidth="1"/>
    <col min="12545" max="12545" width="3.625" style="356" customWidth="1"/>
    <col min="12546" max="12546" width="4.625" style="356" customWidth="1"/>
    <col min="12547" max="12547" width="9.625" style="356" customWidth="1"/>
    <col min="12548" max="12548" width="10.125" style="356" customWidth="1"/>
    <col min="12549" max="12549" width="10.25" style="356" customWidth="1"/>
    <col min="12550" max="12550" width="4.625" style="356" customWidth="1"/>
    <col min="12551" max="12551" width="5" style="356" customWidth="1"/>
    <col min="12552" max="12552" width="11.125" style="356" customWidth="1"/>
    <col min="12553" max="12553" width="16.125" style="356" customWidth="1"/>
    <col min="12554" max="12554" width="4.75" style="356" customWidth="1"/>
    <col min="12555" max="12555" width="3.625" style="356" customWidth="1"/>
    <col min="12556" max="12556" width="5.125" style="356" customWidth="1"/>
    <col min="12557" max="12557" width="3.125" style="356" customWidth="1"/>
    <col min="12558" max="12558" width="4.625" style="356" customWidth="1"/>
    <col min="12559" max="12559" width="5" style="356" customWidth="1"/>
    <col min="12560" max="12561" width="9.75" style="356" customWidth="1"/>
    <col min="12562" max="12563" width="7.875" style="356" customWidth="1"/>
    <col min="12564" max="12794" width="9" style="356"/>
    <col min="12795" max="12795" width="3.125" style="356" customWidth="1"/>
    <col min="12796" max="12796" width="7.625" style="356" customWidth="1"/>
    <col min="12797" max="12797" width="4.125" style="356" customWidth="1"/>
    <col min="12798" max="12798" width="17" style="356" customWidth="1"/>
    <col min="12799" max="12799" width="3.625" style="356" customWidth="1"/>
    <col min="12800" max="12800" width="9.125" style="356" customWidth="1"/>
    <col min="12801" max="12801" width="3.625" style="356" customWidth="1"/>
    <col min="12802" max="12802" width="4.625" style="356" customWidth="1"/>
    <col min="12803" max="12803" width="9.625" style="356" customWidth="1"/>
    <col min="12804" max="12804" width="10.125" style="356" customWidth="1"/>
    <col min="12805" max="12805" width="10.25" style="356" customWidth="1"/>
    <col min="12806" max="12806" width="4.625" style="356" customWidth="1"/>
    <col min="12807" max="12807" width="5" style="356" customWidth="1"/>
    <col min="12808" max="12808" width="11.125" style="356" customWidth="1"/>
    <col min="12809" max="12809" width="16.125" style="356" customWidth="1"/>
    <col min="12810" max="12810" width="4.75" style="356" customWidth="1"/>
    <col min="12811" max="12811" width="3.625" style="356" customWidth="1"/>
    <col min="12812" max="12812" width="5.125" style="356" customWidth="1"/>
    <col min="12813" max="12813" width="3.125" style="356" customWidth="1"/>
    <col min="12814" max="12814" width="4.625" style="356" customWidth="1"/>
    <col min="12815" max="12815" width="5" style="356" customWidth="1"/>
    <col min="12816" max="12817" width="9.75" style="356" customWidth="1"/>
    <col min="12818" max="12819" width="7.875" style="356" customWidth="1"/>
    <col min="12820" max="13050" width="9" style="356"/>
    <col min="13051" max="13051" width="3.125" style="356" customWidth="1"/>
    <col min="13052" max="13052" width="7.625" style="356" customWidth="1"/>
    <col min="13053" max="13053" width="4.125" style="356" customWidth="1"/>
    <col min="13054" max="13054" width="17" style="356" customWidth="1"/>
    <col min="13055" max="13055" width="3.625" style="356" customWidth="1"/>
    <col min="13056" max="13056" width="9.125" style="356" customWidth="1"/>
    <col min="13057" max="13057" width="3.625" style="356" customWidth="1"/>
    <col min="13058" max="13058" width="4.625" style="356" customWidth="1"/>
    <col min="13059" max="13059" width="9.625" style="356" customWidth="1"/>
    <col min="13060" max="13060" width="10.125" style="356" customWidth="1"/>
    <col min="13061" max="13061" width="10.25" style="356" customWidth="1"/>
    <col min="13062" max="13062" width="4.625" style="356" customWidth="1"/>
    <col min="13063" max="13063" width="5" style="356" customWidth="1"/>
    <col min="13064" max="13064" width="11.125" style="356" customWidth="1"/>
    <col min="13065" max="13065" width="16.125" style="356" customWidth="1"/>
    <col min="13066" max="13066" width="4.75" style="356" customWidth="1"/>
    <col min="13067" max="13067" width="3.625" style="356" customWidth="1"/>
    <col min="13068" max="13068" width="5.125" style="356" customWidth="1"/>
    <col min="13069" max="13069" width="3.125" style="356" customWidth="1"/>
    <col min="13070" max="13070" width="4.625" style="356" customWidth="1"/>
    <col min="13071" max="13071" width="5" style="356" customWidth="1"/>
    <col min="13072" max="13073" width="9.75" style="356" customWidth="1"/>
    <col min="13074" max="13075" width="7.875" style="356" customWidth="1"/>
    <col min="13076" max="13306" width="9" style="356"/>
    <col min="13307" max="13307" width="3.125" style="356" customWidth="1"/>
    <col min="13308" max="13308" width="7.625" style="356" customWidth="1"/>
    <col min="13309" max="13309" width="4.125" style="356" customWidth="1"/>
    <col min="13310" max="13310" width="17" style="356" customWidth="1"/>
    <col min="13311" max="13311" width="3.625" style="356" customWidth="1"/>
    <col min="13312" max="13312" width="9.125" style="356" customWidth="1"/>
    <col min="13313" max="13313" width="3.625" style="356" customWidth="1"/>
    <col min="13314" max="13314" width="4.625" style="356" customWidth="1"/>
    <col min="13315" max="13315" width="9.625" style="356" customWidth="1"/>
    <col min="13316" max="13316" width="10.125" style="356" customWidth="1"/>
    <col min="13317" max="13317" width="10.25" style="356" customWidth="1"/>
    <col min="13318" max="13318" width="4.625" style="356" customWidth="1"/>
    <col min="13319" max="13319" width="5" style="356" customWidth="1"/>
    <col min="13320" max="13320" width="11.125" style="356" customWidth="1"/>
    <col min="13321" max="13321" width="16.125" style="356" customWidth="1"/>
    <col min="13322" max="13322" width="4.75" style="356" customWidth="1"/>
    <col min="13323" max="13323" width="3.625" style="356" customWidth="1"/>
    <col min="13324" max="13324" width="5.125" style="356" customWidth="1"/>
    <col min="13325" max="13325" width="3.125" style="356" customWidth="1"/>
    <col min="13326" max="13326" width="4.625" style="356" customWidth="1"/>
    <col min="13327" max="13327" width="5" style="356" customWidth="1"/>
    <col min="13328" max="13329" width="9.75" style="356" customWidth="1"/>
    <col min="13330" max="13331" width="7.875" style="356" customWidth="1"/>
    <col min="13332" max="13562" width="9" style="356"/>
    <col min="13563" max="13563" width="3.125" style="356" customWidth="1"/>
    <col min="13564" max="13564" width="7.625" style="356" customWidth="1"/>
    <col min="13565" max="13565" width="4.125" style="356" customWidth="1"/>
    <col min="13566" max="13566" width="17" style="356" customWidth="1"/>
    <col min="13567" max="13567" width="3.625" style="356" customWidth="1"/>
    <col min="13568" max="13568" width="9.125" style="356" customWidth="1"/>
    <col min="13569" max="13569" width="3.625" style="356" customWidth="1"/>
    <col min="13570" max="13570" width="4.625" style="356" customWidth="1"/>
    <col min="13571" max="13571" width="9.625" style="356" customWidth="1"/>
    <col min="13572" max="13572" width="10.125" style="356" customWidth="1"/>
    <col min="13573" max="13573" width="10.25" style="356" customWidth="1"/>
    <col min="13574" max="13574" width="4.625" style="356" customWidth="1"/>
    <col min="13575" max="13575" width="5" style="356" customWidth="1"/>
    <col min="13576" max="13576" width="11.125" style="356" customWidth="1"/>
    <col min="13577" max="13577" width="16.125" style="356" customWidth="1"/>
    <col min="13578" max="13578" width="4.75" style="356" customWidth="1"/>
    <col min="13579" max="13579" width="3.625" style="356" customWidth="1"/>
    <col min="13580" max="13580" width="5.125" style="356" customWidth="1"/>
    <col min="13581" max="13581" width="3.125" style="356" customWidth="1"/>
    <col min="13582" max="13582" width="4.625" style="356" customWidth="1"/>
    <col min="13583" max="13583" width="5" style="356" customWidth="1"/>
    <col min="13584" max="13585" width="9.75" style="356" customWidth="1"/>
    <col min="13586" max="13587" width="7.875" style="356" customWidth="1"/>
    <col min="13588" max="13818" width="9" style="356"/>
    <col min="13819" max="13819" width="3.125" style="356" customWidth="1"/>
    <col min="13820" max="13820" width="7.625" style="356" customWidth="1"/>
    <col min="13821" max="13821" width="4.125" style="356" customWidth="1"/>
    <col min="13822" max="13822" width="17" style="356" customWidth="1"/>
    <col min="13823" max="13823" width="3.625" style="356" customWidth="1"/>
    <col min="13824" max="13824" width="9.125" style="356" customWidth="1"/>
    <col min="13825" max="13825" width="3.625" style="356" customWidth="1"/>
    <col min="13826" max="13826" width="4.625" style="356" customWidth="1"/>
    <col min="13827" max="13827" width="9.625" style="356" customWidth="1"/>
    <col min="13828" max="13828" width="10.125" style="356" customWidth="1"/>
    <col min="13829" max="13829" width="10.25" style="356" customWidth="1"/>
    <col min="13830" max="13830" width="4.625" style="356" customWidth="1"/>
    <col min="13831" max="13831" width="5" style="356" customWidth="1"/>
    <col min="13832" max="13832" width="11.125" style="356" customWidth="1"/>
    <col min="13833" max="13833" width="16.125" style="356" customWidth="1"/>
    <col min="13834" max="13834" width="4.75" style="356" customWidth="1"/>
    <col min="13835" max="13835" width="3.625" style="356" customWidth="1"/>
    <col min="13836" max="13836" width="5.125" style="356" customWidth="1"/>
    <col min="13837" max="13837" width="3.125" style="356" customWidth="1"/>
    <col min="13838" max="13838" width="4.625" style="356" customWidth="1"/>
    <col min="13839" max="13839" width="5" style="356" customWidth="1"/>
    <col min="13840" max="13841" width="9.75" style="356" customWidth="1"/>
    <col min="13842" max="13843" width="7.875" style="356" customWidth="1"/>
    <col min="13844" max="14074" width="9" style="356"/>
    <col min="14075" max="14075" width="3.125" style="356" customWidth="1"/>
    <col min="14076" max="14076" width="7.625" style="356" customWidth="1"/>
    <col min="14077" max="14077" width="4.125" style="356" customWidth="1"/>
    <col min="14078" max="14078" width="17" style="356" customWidth="1"/>
    <col min="14079" max="14079" width="3.625" style="356" customWidth="1"/>
    <col min="14080" max="14080" width="9.125" style="356" customWidth="1"/>
    <col min="14081" max="14081" width="3.625" style="356" customWidth="1"/>
    <col min="14082" max="14082" width="4.625" style="356" customWidth="1"/>
    <col min="14083" max="14083" width="9.625" style="356" customWidth="1"/>
    <col min="14084" max="14084" width="10.125" style="356" customWidth="1"/>
    <col min="14085" max="14085" width="10.25" style="356" customWidth="1"/>
    <col min="14086" max="14086" width="4.625" style="356" customWidth="1"/>
    <col min="14087" max="14087" width="5" style="356" customWidth="1"/>
    <col min="14088" max="14088" width="11.125" style="356" customWidth="1"/>
    <col min="14089" max="14089" width="16.125" style="356" customWidth="1"/>
    <col min="14090" max="14090" width="4.75" style="356" customWidth="1"/>
    <col min="14091" max="14091" width="3.625" style="356" customWidth="1"/>
    <col min="14092" max="14092" width="5.125" style="356" customWidth="1"/>
    <col min="14093" max="14093" width="3.125" style="356" customWidth="1"/>
    <col min="14094" max="14094" width="4.625" style="356" customWidth="1"/>
    <col min="14095" max="14095" width="5" style="356" customWidth="1"/>
    <col min="14096" max="14097" width="9.75" style="356" customWidth="1"/>
    <col min="14098" max="14099" width="7.875" style="356" customWidth="1"/>
    <col min="14100" max="14330" width="9" style="356"/>
    <col min="14331" max="14331" width="3.125" style="356" customWidth="1"/>
    <col min="14332" max="14332" width="7.625" style="356" customWidth="1"/>
    <col min="14333" max="14333" width="4.125" style="356" customWidth="1"/>
    <col min="14334" max="14334" width="17" style="356" customWidth="1"/>
    <col min="14335" max="14335" width="3.625" style="356" customWidth="1"/>
    <col min="14336" max="14336" width="9.125" style="356" customWidth="1"/>
    <col min="14337" max="14337" width="3.625" style="356" customWidth="1"/>
    <col min="14338" max="14338" width="4.625" style="356" customWidth="1"/>
    <col min="14339" max="14339" width="9.625" style="356" customWidth="1"/>
    <col min="14340" max="14340" width="10.125" style="356" customWidth="1"/>
    <col min="14341" max="14341" width="10.25" style="356" customWidth="1"/>
    <col min="14342" max="14342" width="4.625" style="356" customWidth="1"/>
    <col min="14343" max="14343" width="5" style="356" customWidth="1"/>
    <col min="14344" max="14344" width="11.125" style="356" customWidth="1"/>
    <col min="14345" max="14345" width="16.125" style="356" customWidth="1"/>
    <col min="14346" max="14346" width="4.75" style="356" customWidth="1"/>
    <col min="14347" max="14347" width="3.625" style="356" customWidth="1"/>
    <col min="14348" max="14348" width="5.125" style="356" customWidth="1"/>
    <col min="14349" max="14349" width="3.125" style="356" customWidth="1"/>
    <col min="14350" max="14350" width="4.625" style="356" customWidth="1"/>
    <col min="14351" max="14351" width="5" style="356" customWidth="1"/>
    <col min="14352" max="14353" width="9.75" style="356" customWidth="1"/>
    <col min="14354" max="14355" width="7.875" style="356" customWidth="1"/>
    <col min="14356" max="14586" width="9" style="356"/>
    <col min="14587" max="14587" width="3.125" style="356" customWidth="1"/>
    <col min="14588" max="14588" width="7.625" style="356" customWidth="1"/>
    <col min="14589" max="14589" width="4.125" style="356" customWidth="1"/>
    <col min="14590" max="14590" width="17" style="356" customWidth="1"/>
    <col min="14591" max="14591" width="3.625" style="356" customWidth="1"/>
    <col min="14592" max="14592" width="9.125" style="356" customWidth="1"/>
    <col min="14593" max="14593" width="3.625" style="356" customWidth="1"/>
    <col min="14594" max="14594" width="4.625" style="356" customWidth="1"/>
    <col min="14595" max="14595" width="9.625" style="356" customWidth="1"/>
    <col min="14596" max="14596" width="10.125" style="356" customWidth="1"/>
    <col min="14597" max="14597" width="10.25" style="356" customWidth="1"/>
    <col min="14598" max="14598" width="4.625" style="356" customWidth="1"/>
    <col min="14599" max="14599" width="5" style="356" customWidth="1"/>
    <col min="14600" max="14600" width="11.125" style="356" customWidth="1"/>
    <col min="14601" max="14601" width="16.125" style="356" customWidth="1"/>
    <col min="14602" max="14602" width="4.75" style="356" customWidth="1"/>
    <col min="14603" max="14603" width="3.625" style="356" customWidth="1"/>
    <col min="14604" max="14604" width="5.125" style="356" customWidth="1"/>
    <col min="14605" max="14605" width="3.125" style="356" customWidth="1"/>
    <col min="14606" max="14606" width="4.625" style="356" customWidth="1"/>
    <col min="14607" max="14607" width="5" style="356" customWidth="1"/>
    <col min="14608" max="14609" width="9.75" style="356" customWidth="1"/>
    <col min="14610" max="14611" width="7.875" style="356" customWidth="1"/>
    <col min="14612" max="14842" width="9" style="356"/>
    <col min="14843" max="14843" width="3.125" style="356" customWidth="1"/>
    <col min="14844" max="14844" width="7.625" style="356" customWidth="1"/>
    <col min="14845" max="14845" width="4.125" style="356" customWidth="1"/>
    <col min="14846" max="14846" width="17" style="356" customWidth="1"/>
    <col min="14847" max="14847" width="3.625" style="356" customWidth="1"/>
    <col min="14848" max="14848" width="9.125" style="356" customWidth="1"/>
    <col min="14849" max="14849" width="3.625" style="356" customWidth="1"/>
    <col min="14850" max="14850" width="4.625" style="356" customWidth="1"/>
    <col min="14851" max="14851" width="9.625" style="356" customWidth="1"/>
    <col min="14852" max="14852" width="10.125" style="356" customWidth="1"/>
    <col min="14853" max="14853" width="10.25" style="356" customWidth="1"/>
    <col min="14854" max="14854" width="4.625" style="356" customWidth="1"/>
    <col min="14855" max="14855" width="5" style="356" customWidth="1"/>
    <col min="14856" max="14856" width="11.125" style="356" customWidth="1"/>
    <col min="14857" max="14857" width="16.125" style="356" customWidth="1"/>
    <col min="14858" max="14858" width="4.75" style="356" customWidth="1"/>
    <col min="14859" max="14859" width="3.625" style="356" customWidth="1"/>
    <col min="14860" max="14860" width="5.125" style="356" customWidth="1"/>
    <col min="14861" max="14861" width="3.125" style="356" customWidth="1"/>
    <col min="14862" max="14862" width="4.625" style="356" customWidth="1"/>
    <col min="14863" max="14863" width="5" style="356" customWidth="1"/>
    <col min="14864" max="14865" width="9.75" style="356" customWidth="1"/>
    <col min="14866" max="14867" width="7.875" style="356" customWidth="1"/>
    <col min="14868" max="15098" width="9" style="356"/>
    <col min="15099" max="15099" width="3.125" style="356" customWidth="1"/>
    <col min="15100" max="15100" width="7.625" style="356" customWidth="1"/>
    <col min="15101" max="15101" width="4.125" style="356" customWidth="1"/>
    <col min="15102" max="15102" width="17" style="356" customWidth="1"/>
    <col min="15103" max="15103" width="3.625" style="356" customWidth="1"/>
    <col min="15104" max="15104" width="9.125" style="356" customWidth="1"/>
    <col min="15105" max="15105" width="3.625" style="356" customWidth="1"/>
    <col min="15106" max="15106" width="4.625" style="356" customWidth="1"/>
    <col min="15107" max="15107" width="9.625" style="356" customWidth="1"/>
    <col min="15108" max="15108" width="10.125" style="356" customWidth="1"/>
    <col min="15109" max="15109" width="10.25" style="356" customWidth="1"/>
    <col min="15110" max="15110" width="4.625" style="356" customWidth="1"/>
    <col min="15111" max="15111" width="5" style="356" customWidth="1"/>
    <col min="15112" max="15112" width="11.125" style="356" customWidth="1"/>
    <col min="15113" max="15113" width="16.125" style="356" customWidth="1"/>
    <col min="15114" max="15114" width="4.75" style="356" customWidth="1"/>
    <col min="15115" max="15115" width="3.625" style="356" customWidth="1"/>
    <col min="15116" max="15116" width="5.125" style="356" customWidth="1"/>
    <col min="15117" max="15117" width="3.125" style="356" customWidth="1"/>
    <col min="15118" max="15118" width="4.625" style="356" customWidth="1"/>
    <col min="15119" max="15119" width="5" style="356" customWidth="1"/>
    <col min="15120" max="15121" width="9.75" style="356" customWidth="1"/>
    <col min="15122" max="15123" width="7.875" style="356" customWidth="1"/>
    <col min="15124" max="15354" width="9" style="356"/>
    <col min="15355" max="15355" width="3.125" style="356" customWidth="1"/>
    <col min="15356" max="15356" width="7.625" style="356" customWidth="1"/>
    <col min="15357" max="15357" width="4.125" style="356" customWidth="1"/>
    <col min="15358" max="15358" width="17" style="356" customWidth="1"/>
    <col min="15359" max="15359" width="3.625" style="356" customWidth="1"/>
    <col min="15360" max="15360" width="9.125" style="356" customWidth="1"/>
    <col min="15361" max="15361" width="3.625" style="356" customWidth="1"/>
    <col min="15362" max="15362" width="4.625" style="356" customWidth="1"/>
    <col min="15363" max="15363" width="9.625" style="356" customWidth="1"/>
    <col min="15364" max="15364" width="10.125" style="356" customWidth="1"/>
    <col min="15365" max="15365" width="10.25" style="356" customWidth="1"/>
    <col min="15366" max="15366" width="4.625" style="356" customWidth="1"/>
    <col min="15367" max="15367" width="5" style="356" customWidth="1"/>
    <col min="15368" max="15368" width="11.125" style="356" customWidth="1"/>
    <col min="15369" max="15369" width="16.125" style="356" customWidth="1"/>
    <col min="15370" max="15370" width="4.75" style="356" customWidth="1"/>
    <col min="15371" max="15371" width="3.625" style="356" customWidth="1"/>
    <col min="15372" max="15372" width="5.125" style="356" customWidth="1"/>
    <col min="15373" max="15373" width="3.125" style="356" customWidth="1"/>
    <col min="15374" max="15374" width="4.625" style="356" customWidth="1"/>
    <col min="15375" max="15375" width="5" style="356" customWidth="1"/>
    <col min="15376" max="15377" width="9.75" style="356" customWidth="1"/>
    <col min="15378" max="15379" width="7.875" style="356" customWidth="1"/>
    <col min="15380" max="15610" width="9" style="356"/>
    <col min="15611" max="15611" width="3.125" style="356" customWidth="1"/>
    <col min="15612" max="15612" width="7.625" style="356" customWidth="1"/>
    <col min="15613" max="15613" width="4.125" style="356" customWidth="1"/>
    <col min="15614" max="15614" width="17" style="356" customWidth="1"/>
    <col min="15615" max="15615" width="3.625" style="356" customWidth="1"/>
    <col min="15616" max="15616" width="9.125" style="356" customWidth="1"/>
    <col min="15617" max="15617" width="3.625" style="356" customWidth="1"/>
    <col min="15618" max="15618" width="4.625" style="356" customWidth="1"/>
    <col min="15619" max="15619" width="9.625" style="356" customWidth="1"/>
    <col min="15620" max="15620" width="10.125" style="356" customWidth="1"/>
    <col min="15621" max="15621" width="10.25" style="356" customWidth="1"/>
    <col min="15622" max="15622" width="4.625" style="356" customWidth="1"/>
    <col min="15623" max="15623" width="5" style="356" customWidth="1"/>
    <col min="15624" max="15624" width="11.125" style="356" customWidth="1"/>
    <col min="15625" max="15625" width="16.125" style="356" customWidth="1"/>
    <col min="15626" max="15626" width="4.75" style="356" customWidth="1"/>
    <col min="15627" max="15627" width="3.625" style="356" customWidth="1"/>
    <col min="15628" max="15628" width="5.125" style="356" customWidth="1"/>
    <col min="15629" max="15629" width="3.125" style="356" customWidth="1"/>
    <col min="15630" max="15630" width="4.625" style="356" customWidth="1"/>
    <col min="15631" max="15631" width="5" style="356" customWidth="1"/>
    <col min="15632" max="15633" width="9.75" style="356" customWidth="1"/>
    <col min="15634" max="15635" width="7.875" style="356" customWidth="1"/>
    <col min="15636" max="15866" width="9" style="356"/>
    <col min="15867" max="15867" width="3.125" style="356" customWidth="1"/>
    <col min="15868" max="15868" width="7.625" style="356" customWidth="1"/>
    <col min="15869" max="15869" width="4.125" style="356" customWidth="1"/>
    <col min="15870" max="15870" width="17" style="356" customWidth="1"/>
    <col min="15871" max="15871" width="3.625" style="356" customWidth="1"/>
    <col min="15872" max="15872" width="9.125" style="356" customWidth="1"/>
    <col min="15873" max="15873" width="3.625" style="356" customWidth="1"/>
    <col min="15874" max="15874" width="4.625" style="356" customWidth="1"/>
    <col min="15875" max="15875" width="9.625" style="356" customWidth="1"/>
    <col min="15876" max="15876" width="10.125" style="356" customWidth="1"/>
    <col min="15877" max="15877" width="10.25" style="356" customWidth="1"/>
    <col min="15878" max="15878" width="4.625" style="356" customWidth="1"/>
    <col min="15879" max="15879" width="5" style="356" customWidth="1"/>
    <col min="15880" max="15880" width="11.125" style="356" customWidth="1"/>
    <col min="15881" max="15881" width="16.125" style="356" customWidth="1"/>
    <col min="15882" max="15882" width="4.75" style="356" customWidth="1"/>
    <col min="15883" max="15883" width="3.625" style="356" customWidth="1"/>
    <col min="15884" max="15884" width="5.125" style="356" customWidth="1"/>
    <col min="15885" max="15885" width="3.125" style="356" customWidth="1"/>
    <col min="15886" max="15886" width="4.625" style="356" customWidth="1"/>
    <col min="15887" max="15887" width="5" style="356" customWidth="1"/>
    <col min="15888" max="15889" width="9.75" style="356" customWidth="1"/>
    <col min="15890" max="15891" width="7.875" style="356" customWidth="1"/>
    <col min="15892" max="16122" width="9" style="356"/>
    <col min="16123" max="16123" width="3.125" style="356" customWidth="1"/>
    <col min="16124" max="16124" width="7.625" style="356" customWidth="1"/>
    <col min="16125" max="16125" width="4.125" style="356" customWidth="1"/>
    <col min="16126" max="16126" width="17" style="356" customWidth="1"/>
    <col min="16127" max="16127" width="3.625" style="356" customWidth="1"/>
    <col min="16128" max="16128" width="9.125" style="356" customWidth="1"/>
    <col min="16129" max="16129" width="3.625" style="356" customWidth="1"/>
    <col min="16130" max="16130" width="4.625" style="356" customWidth="1"/>
    <col min="16131" max="16131" width="9.625" style="356" customWidth="1"/>
    <col min="16132" max="16132" width="10.125" style="356" customWidth="1"/>
    <col min="16133" max="16133" width="10.25" style="356" customWidth="1"/>
    <col min="16134" max="16134" width="4.625" style="356" customWidth="1"/>
    <col min="16135" max="16135" width="5" style="356" customWidth="1"/>
    <col min="16136" max="16136" width="11.125" style="356" customWidth="1"/>
    <col min="16137" max="16137" width="16.125" style="356" customWidth="1"/>
    <col min="16138" max="16138" width="4.75" style="356" customWidth="1"/>
    <col min="16139" max="16139" width="3.625" style="356" customWidth="1"/>
    <col min="16140" max="16140" width="5.125" style="356" customWidth="1"/>
    <col min="16141" max="16141" width="3.125" style="356" customWidth="1"/>
    <col min="16142" max="16142" width="4.625" style="356" customWidth="1"/>
    <col min="16143" max="16143" width="5" style="356" customWidth="1"/>
    <col min="16144" max="16145" width="9.75" style="356" customWidth="1"/>
    <col min="16146" max="16147" width="7.875" style="356" customWidth="1"/>
    <col min="16148" max="16384" width="9" style="356"/>
  </cols>
  <sheetData>
    <row r="1" s="353" customFormat="1" ht="30.75" customHeight="1" spans="1:31">
      <c r="A1" s="357"/>
      <c r="B1" s="357"/>
      <c r="C1" s="357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78"/>
      <c r="V1" s="378"/>
      <c r="W1" s="378"/>
      <c r="X1" s="378"/>
      <c r="Y1" s="391" t="s">
        <v>10</v>
      </c>
      <c r="Z1" s="391"/>
      <c r="AA1" s="391"/>
      <c r="AB1" s="391"/>
      <c r="AC1" s="391"/>
      <c r="AD1" s="378"/>
      <c r="AE1" s="379"/>
    </row>
    <row r="2" s="353" customFormat="1" ht="34.5" customHeight="1" spans="1:30">
      <c r="A2" s="357" t="s">
        <v>11</v>
      </c>
      <c r="B2" s="357"/>
      <c r="C2" s="357"/>
      <c r="D2" s="359"/>
      <c r="E2" s="359"/>
      <c r="F2" s="359"/>
      <c r="G2" s="360" t="s">
        <v>12</v>
      </c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79"/>
      <c r="V2" s="379"/>
      <c r="W2" s="379"/>
      <c r="Y2" s="391"/>
      <c r="Z2" s="391"/>
      <c r="AA2" s="391"/>
      <c r="AB2" s="391"/>
      <c r="AC2" s="391"/>
      <c r="AD2" s="379"/>
    </row>
    <row r="3" s="354" customFormat="1" ht="28.5" customHeight="1" spans="1:31">
      <c r="A3" s="361" t="s">
        <v>13</v>
      </c>
      <c r="B3" s="361"/>
      <c r="C3" s="362" t="s">
        <v>14</v>
      </c>
      <c r="D3" s="362"/>
      <c r="E3" s="362"/>
      <c r="F3" s="363" t="s">
        <v>542</v>
      </c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80" t="s">
        <v>16</v>
      </c>
      <c r="X3" s="380"/>
      <c r="Y3" s="380" t="s">
        <v>17</v>
      </c>
      <c r="Z3" s="380" t="s">
        <v>18</v>
      </c>
      <c r="AA3" s="380" t="s">
        <v>19</v>
      </c>
      <c r="AB3" s="392" t="s">
        <v>20</v>
      </c>
      <c r="AC3" s="380" t="s">
        <v>21</v>
      </c>
      <c r="AD3" s="393"/>
      <c r="AE3" s="394"/>
    </row>
    <row r="4" s="354" customFormat="1" ht="36" customHeight="1" spans="1:31">
      <c r="A4" s="361"/>
      <c r="B4" s="361"/>
      <c r="C4" s="362"/>
      <c r="D4" s="362"/>
      <c r="E4" s="362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81"/>
      <c r="X4" s="381"/>
      <c r="Y4" s="381"/>
      <c r="Z4" s="381"/>
      <c r="AA4" s="395"/>
      <c r="AB4" s="396" t="s">
        <v>22</v>
      </c>
      <c r="AC4" s="397"/>
      <c r="AD4" s="393"/>
      <c r="AE4" s="394"/>
    </row>
    <row r="5" ht="36.75" customHeight="1" spans="1:29">
      <c r="A5" s="365" t="s">
        <v>23</v>
      </c>
      <c r="B5" s="365"/>
      <c r="C5" s="365"/>
      <c r="D5" s="365"/>
      <c r="E5" s="366" t="s">
        <v>24</v>
      </c>
      <c r="F5" s="366" t="s">
        <v>25</v>
      </c>
      <c r="G5" s="366"/>
      <c r="H5" s="366"/>
      <c r="I5" s="366"/>
      <c r="J5" s="366" t="s">
        <v>26</v>
      </c>
      <c r="K5" s="366"/>
      <c r="L5" s="366"/>
      <c r="M5" s="366"/>
      <c r="N5" s="366"/>
      <c r="O5" s="366" t="s">
        <v>27</v>
      </c>
      <c r="P5" s="366"/>
      <c r="Q5" s="366"/>
      <c r="R5" s="366"/>
      <c r="S5" s="366"/>
      <c r="T5" s="366"/>
      <c r="U5" s="366"/>
      <c r="V5" s="366"/>
      <c r="W5" s="366" t="s">
        <v>28</v>
      </c>
      <c r="X5" s="366"/>
      <c r="Y5" s="398" t="s">
        <v>29</v>
      </c>
      <c r="Z5" s="398"/>
      <c r="AA5" s="398"/>
      <c r="AB5" s="398" t="s">
        <v>30</v>
      </c>
      <c r="AC5" s="398"/>
    </row>
    <row r="6" ht="50.1" customHeight="1" spans="1:29">
      <c r="A6" s="366"/>
      <c r="B6" s="366"/>
      <c r="C6" s="366"/>
      <c r="D6" s="366"/>
      <c r="E6" s="366">
        <v>1</v>
      </c>
      <c r="F6" s="367" t="s">
        <v>8</v>
      </c>
      <c r="G6" s="367"/>
      <c r="H6" s="367"/>
      <c r="I6" s="367"/>
      <c r="J6" s="368" t="s">
        <v>543</v>
      </c>
      <c r="K6" s="368"/>
      <c r="L6" s="368"/>
      <c r="M6" s="368"/>
      <c r="N6" s="368"/>
      <c r="O6" s="377" t="s">
        <v>31</v>
      </c>
      <c r="P6" s="377"/>
      <c r="Q6" s="377"/>
      <c r="R6" s="377"/>
      <c r="S6" s="377"/>
      <c r="T6" s="377"/>
      <c r="U6" s="377"/>
      <c r="V6" s="377"/>
      <c r="W6" s="368">
        <v>1</v>
      </c>
      <c r="X6" s="368"/>
      <c r="Y6" s="399"/>
      <c r="Z6" s="399"/>
      <c r="AA6" s="399"/>
      <c r="AB6" s="398"/>
      <c r="AC6" s="398"/>
    </row>
    <row r="7" ht="50.1" customHeight="1" spans="1:29">
      <c r="A7" s="366"/>
      <c r="B7" s="366"/>
      <c r="C7" s="366"/>
      <c r="D7" s="366"/>
      <c r="E7" s="366"/>
      <c r="F7" s="367"/>
      <c r="G7" s="367"/>
      <c r="H7" s="367"/>
      <c r="I7" s="367"/>
      <c r="J7" s="368"/>
      <c r="K7" s="368"/>
      <c r="L7" s="368"/>
      <c r="M7" s="368"/>
      <c r="N7" s="368"/>
      <c r="O7" s="377"/>
      <c r="P7" s="377"/>
      <c r="Q7" s="377"/>
      <c r="R7" s="377"/>
      <c r="S7" s="377"/>
      <c r="T7" s="377"/>
      <c r="U7" s="377"/>
      <c r="V7" s="377"/>
      <c r="W7" s="368"/>
      <c r="X7" s="368"/>
      <c r="Y7" s="399"/>
      <c r="Z7" s="399"/>
      <c r="AA7" s="399"/>
      <c r="AB7" s="398"/>
      <c r="AC7" s="398"/>
    </row>
    <row r="8" ht="50.1" customHeight="1" spans="1:29">
      <c r="A8" s="366"/>
      <c r="B8" s="366"/>
      <c r="C8" s="366"/>
      <c r="D8" s="366"/>
      <c r="E8" s="366"/>
      <c r="F8" s="368"/>
      <c r="G8" s="368"/>
      <c r="H8" s="368"/>
      <c r="I8" s="368"/>
      <c r="J8" s="368"/>
      <c r="K8" s="368"/>
      <c r="L8" s="368"/>
      <c r="M8" s="368"/>
      <c r="N8" s="368"/>
      <c r="O8" s="377"/>
      <c r="P8" s="377"/>
      <c r="Q8" s="377"/>
      <c r="R8" s="377"/>
      <c r="S8" s="377"/>
      <c r="T8" s="377"/>
      <c r="U8" s="377"/>
      <c r="V8" s="377"/>
      <c r="W8" s="368"/>
      <c r="X8" s="368"/>
      <c r="Y8" s="399"/>
      <c r="Z8" s="399"/>
      <c r="AA8" s="399"/>
      <c r="AB8" s="398"/>
      <c r="AC8" s="398"/>
    </row>
    <row r="9" ht="50.1" customHeight="1" spans="1:29">
      <c r="A9" s="366"/>
      <c r="B9" s="366"/>
      <c r="C9" s="366"/>
      <c r="D9" s="366"/>
      <c r="E9" s="366"/>
      <c r="F9" s="368"/>
      <c r="G9" s="368"/>
      <c r="H9" s="368"/>
      <c r="I9" s="368"/>
      <c r="J9" s="368"/>
      <c r="K9" s="368"/>
      <c r="L9" s="368"/>
      <c r="M9" s="368"/>
      <c r="N9" s="368"/>
      <c r="O9" s="377"/>
      <c r="P9" s="377"/>
      <c r="Q9" s="377"/>
      <c r="R9" s="377"/>
      <c r="S9" s="377"/>
      <c r="T9" s="377"/>
      <c r="U9" s="377"/>
      <c r="V9" s="377"/>
      <c r="W9" s="368"/>
      <c r="X9" s="368"/>
      <c r="Y9" s="399"/>
      <c r="Z9" s="399"/>
      <c r="AA9" s="399"/>
      <c r="AB9" s="398"/>
      <c r="AC9" s="398"/>
    </row>
    <row r="10" s="355" customFormat="1" ht="50.1" customHeight="1" spans="1:29">
      <c r="A10" s="369" t="s">
        <v>32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</row>
    <row r="11" s="355" customFormat="1" ht="33.75" customHeight="1" spans="1:29">
      <c r="A11" s="370" t="s">
        <v>33</v>
      </c>
      <c r="B11" s="369" t="s">
        <v>34</v>
      </c>
      <c r="C11" s="369"/>
      <c r="D11" s="369" t="s">
        <v>35</v>
      </c>
      <c r="E11" s="369" t="s">
        <v>2</v>
      </c>
      <c r="F11" s="369"/>
      <c r="G11" s="369" t="s">
        <v>36</v>
      </c>
      <c r="H11" s="369" t="s">
        <v>37</v>
      </c>
      <c r="I11" s="369"/>
      <c r="J11" s="369"/>
      <c r="K11" s="369"/>
      <c r="L11" s="369" t="s">
        <v>38</v>
      </c>
      <c r="M11" s="369" t="s">
        <v>39</v>
      </c>
      <c r="N11" s="369"/>
      <c r="O11" s="369"/>
      <c r="P11" s="369" t="s">
        <v>33</v>
      </c>
      <c r="Q11" s="369" t="s">
        <v>40</v>
      </c>
      <c r="R11" s="369"/>
      <c r="S11" s="369" t="s">
        <v>35</v>
      </c>
      <c r="T11" s="369" t="s">
        <v>2</v>
      </c>
      <c r="U11" s="369"/>
      <c r="V11" s="369" t="s">
        <v>36</v>
      </c>
      <c r="W11" s="369" t="s">
        <v>37</v>
      </c>
      <c r="X11" s="369"/>
      <c r="Y11" s="369"/>
      <c r="Z11" s="369" t="s">
        <v>38</v>
      </c>
      <c r="AA11" s="369"/>
      <c r="AB11" s="369" t="s">
        <v>39</v>
      </c>
      <c r="AC11" s="369"/>
    </row>
    <row r="12" s="355" customFormat="1" ht="25.5" customHeight="1" spans="1:29">
      <c r="A12" s="369">
        <v>1</v>
      </c>
      <c r="B12" s="369" t="s">
        <v>41</v>
      </c>
      <c r="C12" s="369"/>
      <c r="D12" s="369" t="s">
        <v>42</v>
      </c>
      <c r="E12" s="369"/>
      <c r="F12" s="369"/>
      <c r="G12" s="370"/>
      <c r="H12" s="369" t="s">
        <v>43</v>
      </c>
      <c r="I12" s="369"/>
      <c r="J12" s="369"/>
      <c r="K12" s="369"/>
      <c r="L12" s="369"/>
      <c r="M12" s="369"/>
      <c r="N12" s="369"/>
      <c r="O12" s="369"/>
      <c r="P12" s="369"/>
      <c r="Q12" s="382"/>
      <c r="R12" s="382"/>
      <c r="S12" s="382"/>
      <c r="T12" s="369"/>
      <c r="U12" s="369"/>
      <c r="V12" s="383"/>
      <c r="W12" s="369"/>
      <c r="X12" s="369"/>
      <c r="Y12" s="369"/>
      <c r="Z12" s="369"/>
      <c r="AA12" s="369"/>
      <c r="AB12" s="369"/>
      <c r="AC12" s="369"/>
    </row>
    <row r="13" s="355" customFormat="1" ht="26.1" customHeight="1" spans="1:29">
      <c r="A13" s="369"/>
      <c r="B13" s="369"/>
      <c r="C13" s="369"/>
      <c r="D13" s="369"/>
      <c r="E13" s="369"/>
      <c r="F13" s="369"/>
      <c r="G13" s="370"/>
      <c r="H13" s="369"/>
      <c r="I13" s="369"/>
      <c r="J13" s="369"/>
      <c r="K13" s="369"/>
      <c r="L13" s="369"/>
      <c r="M13" s="369"/>
      <c r="N13" s="369"/>
      <c r="O13" s="369"/>
      <c r="P13" s="369"/>
      <c r="Q13" s="382"/>
      <c r="R13" s="382"/>
      <c r="S13" s="382"/>
      <c r="T13" s="369"/>
      <c r="U13" s="369"/>
      <c r="V13" s="384"/>
      <c r="W13" s="369"/>
      <c r="X13" s="369"/>
      <c r="Y13" s="369"/>
      <c r="Z13" s="369"/>
      <c r="AA13" s="369"/>
      <c r="AB13" s="369"/>
      <c r="AC13" s="369"/>
    </row>
    <row r="14" s="355" customFormat="1" ht="26.1" customHeight="1" spans="1:29">
      <c r="A14" s="369"/>
      <c r="B14" s="369"/>
      <c r="C14" s="369"/>
      <c r="D14" s="369"/>
      <c r="E14" s="369"/>
      <c r="F14" s="369"/>
      <c r="G14" s="370"/>
      <c r="H14" s="369"/>
      <c r="I14" s="369"/>
      <c r="J14" s="369"/>
      <c r="K14" s="369"/>
      <c r="L14" s="369"/>
      <c r="M14" s="369"/>
      <c r="N14" s="369"/>
      <c r="O14" s="369"/>
      <c r="P14" s="369"/>
      <c r="Q14" s="382"/>
      <c r="R14" s="382"/>
      <c r="S14" s="382"/>
      <c r="T14" s="369"/>
      <c r="U14" s="369"/>
      <c r="V14" s="385"/>
      <c r="W14" s="369"/>
      <c r="X14" s="369"/>
      <c r="Y14" s="369"/>
      <c r="Z14" s="369"/>
      <c r="AA14" s="369"/>
      <c r="AB14" s="369"/>
      <c r="AC14" s="369"/>
    </row>
    <row r="15" s="355" customFormat="1" ht="26.1" customHeight="1" spans="1:29">
      <c r="A15" s="369"/>
      <c r="B15" s="369"/>
      <c r="C15" s="369"/>
      <c r="D15" s="369"/>
      <c r="E15" s="369"/>
      <c r="F15" s="369"/>
      <c r="G15" s="370"/>
      <c r="H15" s="369"/>
      <c r="I15" s="369"/>
      <c r="J15" s="369"/>
      <c r="K15" s="369"/>
      <c r="L15" s="369"/>
      <c r="M15" s="369"/>
      <c r="N15" s="369"/>
      <c r="O15" s="369"/>
      <c r="P15" s="369"/>
      <c r="Q15" s="382"/>
      <c r="R15" s="382"/>
      <c r="S15" s="382"/>
      <c r="T15" s="369"/>
      <c r="U15" s="369"/>
      <c r="V15" s="386"/>
      <c r="W15" s="369"/>
      <c r="X15" s="369"/>
      <c r="Y15" s="369"/>
      <c r="Z15" s="369"/>
      <c r="AA15" s="369"/>
      <c r="AB15" s="369"/>
      <c r="AC15" s="369"/>
    </row>
    <row r="16" s="355" customFormat="1" ht="26.1" customHeight="1" spans="1:29">
      <c r="A16" s="369"/>
      <c r="B16" s="369"/>
      <c r="C16" s="369"/>
      <c r="D16" s="369"/>
      <c r="E16" s="369"/>
      <c r="F16" s="369"/>
      <c r="G16" s="370"/>
      <c r="H16" s="369"/>
      <c r="I16" s="369"/>
      <c r="J16" s="369"/>
      <c r="K16" s="369"/>
      <c r="L16" s="369"/>
      <c r="M16" s="369"/>
      <c r="N16" s="369"/>
      <c r="O16" s="369"/>
      <c r="P16" s="369"/>
      <c r="Q16" s="382"/>
      <c r="R16" s="382"/>
      <c r="S16" s="382"/>
      <c r="T16" s="369"/>
      <c r="U16" s="369"/>
      <c r="V16" s="383"/>
      <c r="W16" s="369"/>
      <c r="X16" s="369"/>
      <c r="Y16" s="369"/>
      <c r="Z16" s="369"/>
      <c r="AA16" s="369"/>
      <c r="AB16" s="369"/>
      <c r="AC16" s="369"/>
    </row>
    <row r="17" s="355" customFormat="1" ht="26.1" customHeight="1" spans="1:29">
      <c r="A17" s="369"/>
      <c r="B17" s="369"/>
      <c r="C17" s="369"/>
      <c r="D17" s="369"/>
      <c r="E17" s="371"/>
      <c r="F17" s="371"/>
      <c r="G17" s="372"/>
      <c r="H17" s="369"/>
      <c r="I17" s="369"/>
      <c r="J17" s="369"/>
      <c r="K17" s="369"/>
      <c r="L17" s="369"/>
      <c r="M17" s="369"/>
      <c r="N17" s="369"/>
      <c r="O17" s="369"/>
      <c r="P17" s="369"/>
      <c r="Q17" s="382"/>
      <c r="R17" s="382"/>
      <c r="S17" s="382"/>
      <c r="T17" s="369"/>
      <c r="U17" s="369"/>
      <c r="V17" s="383"/>
      <c r="W17" s="369"/>
      <c r="X17" s="369"/>
      <c r="Y17" s="369"/>
      <c r="Z17" s="369"/>
      <c r="AA17" s="369"/>
      <c r="AB17" s="369"/>
      <c r="AC17" s="369"/>
    </row>
    <row r="18" s="355" customFormat="1" ht="26.1" customHeight="1" spans="1:29">
      <c r="A18" s="369"/>
      <c r="B18" s="369"/>
      <c r="C18" s="369"/>
      <c r="D18" s="369"/>
      <c r="E18" s="371"/>
      <c r="F18" s="371"/>
      <c r="G18" s="372"/>
      <c r="H18" s="369"/>
      <c r="I18" s="369"/>
      <c r="J18" s="369"/>
      <c r="K18" s="369"/>
      <c r="L18" s="369"/>
      <c r="M18" s="369"/>
      <c r="N18" s="369"/>
      <c r="O18" s="369"/>
      <c r="P18" s="369"/>
      <c r="Q18" s="382"/>
      <c r="R18" s="382"/>
      <c r="S18" s="382"/>
      <c r="T18" s="369"/>
      <c r="U18" s="369"/>
      <c r="V18" s="383"/>
      <c r="W18" s="369"/>
      <c r="X18" s="369"/>
      <c r="Y18" s="369"/>
      <c r="Z18" s="369"/>
      <c r="AA18" s="369"/>
      <c r="AB18" s="369"/>
      <c r="AC18" s="369"/>
    </row>
    <row r="19" s="355" customFormat="1" ht="26.1" customHeight="1" spans="1:29">
      <c r="A19" s="369"/>
      <c r="B19" s="369"/>
      <c r="C19" s="369"/>
      <c r="D19" s="369"/>
      <c r="E19" s="371"/>
      <c r="F19" s="371"/>
      <c r="G19" s="372"/>
      <c r="H19" s="369"/>
      <c r="I19" s="369"/>
      <c r="J19" s="369"/>
      <c r="K19" s="369"/>
      <c r="L19" s="369"/>
      <c r="M19" s="369"/>
      <c r="N19" s="369"/>
      <c r="O19" s="369"/>
      <c r="P19" s="369"/>
      <c r="Q19" s="382"/>
      <c r="R19" s="382"/>
      <c r="S19" s="382"/>
      <c r="T19" s="369"/>
      <c r="U19" s="369"/>
      <c r="V19" s="384"/>
      <c r="W19" s="369"/>
      <c r="X19" s="369"/>
      <c r="Y19" s="369"/>
      <c r="Z19" s="369"/>
      <c r="AA19" s="369"/>
      <c r="AB19" s="369"/>
      <c r="AC19" s="369"/>
    </row>
    <row r="20" s="355" customFormat="1" ht="26.1" customHeight="1" spans="1:29">
      <c r="A20" s="369"/>
      <c r="B20" s="369"/>
      <c r="C20" s="369"/>
      <c r="D20" s="369"/>
      <c r="E20" s="371"/>
      <c r="F20" s="371"/>
      <c r="G20" s="372"/>
      <c r="H20" s="369"/>
      <c r="I20" s="369"/>
      <c r="J20" s="369"/>
      <c r="K20" s="369"/>
      <c r="L20" s="369"/>
      <c r="M20" s="369"/>
      <c r="N20" s="369"/>
      <c r="O20" s="369"/>
      <c r="P20" s="369"/>
      <c r="Q20" s="382"/>
      <c r="R20" s="382"/>
      <c r="S20" s="382"/>
      <c r="T20" s="369"/>
      <c r="U20" s="369"/>
      <c r="V20" s="383"/>
      <c r="W20" s="369"/>
      <c r="X20" s="369"/>
      <c r="Y20" s="369"/>
      <c r="Z20" s="369"/>
      <c r="AA20" s="369"/>
      <c r="AB20" s="369"/>
      <c r="AC20" s="369"/>
    </row>
    <row r="21" s="355" customFormat="1" ht="26.1" customHeight="1" spans="1:29">
      <c r="A21" s="369"/>
      <c r="B21" s="369"/>
      <c r="C21" s="369"/>
      <c r="D21" s="369"/>
      <c r="E21" s="371"/>
      <c r="F21" s="371"/>
      <c r="G21" s="372"/>
      <c r="H21" s="369"/>
      <c r="I21" s="369"/>
      <c r="J21" s="369"/>
      <c r="K21" s="369"/>
      <c r="L21" s="369"/>
      <c r="M21" s="369"/>
      <c r="N21" s="369"/>
      <c r="O21" s="369"/>
      <c r="P21" s="369"/>
      <c r="Q21" s="382"/>
      <c r="R21" s="382"/>
      <c r="S21" s="382"/>
      <c r="T21" s="369"/>
      <c r="U21" s="369"/>
      <c r="V21" s="383"/>
      <c r="W21" s="369"/>
      <c r="X21" s="369"/>
      <c r="Y21" s="369"/>
      <c r="Z21" s="369"/>
      <c r="AA21" s="369"/>
      <c r="AB21" s="369"/>
      <c r="AC21" s="369"/>
    </row>
    <row r="22" s="355" customFormat="1" ht="26.1" customHeight="1" spans="1:29">
      <c r="A22" s="369"/>
      <c r="B22" s="369"/>
      <c r="C22" s="369"/>
      <c r="D22" s="369"/>
      <c r="E22" s="371"/>
      <c r="F22" s="371"/>
      <c r="G22" s="372"/>
      <c r="H22" s="369"/>
      <c r="I22" s="369"/>
      <c r="J22" s="369"/>
      <c r="K22" s="369"/>
      <c r="L22" s="369"/>
      <c r="M22" s="369"/>
      <c r="N22" s="369"/>
      <c r="O22" s="369"/>
      <c r="P22" s="369"/>
      <c r="Q22" s="382"/>
      <c r="R22" s="382"/>
      <c r="S22" s="382"/>
      <c r="T22" s="369"/>
      <c r="U22" s="369"/>
      <c r="V22" s="387"/>
      <c r="W22" s="369"/>
      <c r="X22" s="369"/>
      <c r="Y22" s="369"/>
      <c r="Z22" s="369"/>
      <c r="AA22" s="369"/>
      <c r="AB22" s="369"/>
      <c r="AC22" s="369"/>
    </row>
    <row r="23" s="355" customFormat="1" ht="26.1" customHeight="1" spans="1:29">
      <c r="A23" s="369"/>
      <c r="B23" s="369"/>
      <c r="C23" s="369"/>
      <c r="D23" s="369"/>
      <c r="E23" s="371"/>
      <c r="F23" s="371"/>
      <c r="G23" s="372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88"/>
      <c r="W23" s="369"/>
      <c r="X23" s="369"/>
      <c r="Y23" s="369"/>
      <c r="Z23" s="369"/>
      <c r="AA23" s="369"/>
      <c r="AB23" s="369"/>
      <c r="AC23" s="369"/>
    </row>
    <row r="24" s="355" customFormat="1" ht="26.1" customHeight="1" spans="1:29">
      <c r="A24" s="369"/>
      <c r="B24" s="369"/>
      <c r="C24" s="369"/>
      <c r="D24" s="369"/>
      <c r="E24" s="371"/>
      <c r="F24" s="371"/>
      <c r="G24" s="372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88"/>
      <c r="W24" s="369"/>
      <c r="X24" s="369"/>
      <c r="Y24" s="369"/>
      <c r="Z24" s="369"/>
      <c r="AA24" s="369"/>
      <c r="AB24" s="369"/>
      <c r="AC24" s="369"/>
    </row>
    <row r="25" s="355" customFormat="1" ht="26.1" customHeight="1" spans="1:29">
      <c r="A25" s="369"/>
      <c r="B25" s="369"/>
      <c r="C25" s="369"/>
      <c r="D25" s="369"/>
      <c r="E25" s="371"/>
      <c r="F25" s="371"/>
      <c r="G25" s="372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89"/>
      <c r="U25" s="389"/>
      <c r="V25" s="388"/>
      <c r="W25" s="369"/>
      <c r="X25" s="369"/>
      <c r="Y25" s="369"/>
      <c r="Z25" s="369"/>
      <c r="AA25" s="369"/>
      <c r="AB25" s="369"/>
      <c r="AC25" s="369"/>
    </row>
    <row r="26" s="355" customFormat="1" ht="26.1" customHeight="1" spans="1:29">
      <c r="A26" s="369"/>
      <c r="B26" s="369"/>
      <c r="C26" s="369"/>
      <c r="D26" s="369"/>
      <c r="E26" s="371"/>
      <c r="F26" s="371"/>
      <c r="G26" s="372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389"/>
      <c r="U26" s="389"/>
      <c r="V26" s="388"/>
      <c r="W26" s="369"/>
      <c r="X26" s="369"/>
      <c r="Y26" s="369"/>
      <c r="Z26" s="369"/>
      <c r="AA26" s="369"/>
      <c r="AB26" s="369"/>
      <c r="AC26" s="369"/>
    </row>
    <row r="27" s="355" customFormat="1" ht="26.1" customHeight="1" spans="1:29">
      <c r="A27" s="369"/>
      <c r="B27" s="369"/>
      <c r="C27" s="369"/>
      <c r="D27" s="369"/>
      <c r="E27" s="371"/>
      <c r="F27" s="371"/>
      <c r="G27" s="372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89"/>
      <c r="U27" s="389"/>
      <c r="V27" s="388"/>
      <c r="W27" s="369"/>
      <c r="X27" s="369"/>
      <c r="Y27" s="369"/>
      <c r="Z27" s="369"/>
      <c r="AA27" s="369"/>
      <c r="AB27" s="369"/>
      <c r="AC27" s="369"/>
    </row>
    <row r="28" s="355" customFormat="1" ht="26.1" customHeight="1" spans="1:29">
      <c r="A28" s="369"/>
      <c r="B28" s="369"/>
      <c r="C28" s="369"/>
      <c r="D28" s="369"/>
      <c r="E28" s="371"/>
      <c r="F28" s="371"/>
      <c r="G28" s="372"/>
      <c r="H28" s="369"/>
      <c r="I28" s="369"/>
      <c r="J28" s="369"/>
      <c r="K28" s="369"/>
      <c r="L28" s="369"/>
      <c r="M28" s="369"/>
      <c r="N28" s="369"/>
      <c r="O28" s="369"/>
      <c r="P28" s="369"/>
      <c r="Q28" s="382"/>
      <c r="R28" s="382"/>
      <c r="S28" s="382"/>
      <c r="T28" s="369"/>
      <c r="U28" s="369"/>
      <c r="V28" s="383"/>
      <c r="W28" s="369"/>
      <c r="X28" s="369"/>
      <c r="Y28" s="369"/>
      <c r="Z28" s="369"/>
      <c r="AA28" s="369"/>
      <c r="AB28" s="369"/>
      <c r="AC28" s="369"/>
    </row>
    <row r="29" s="355" customFormat="1" ht="26.1" customHeight="1" spans="1:29">
      <c r="A29" s="373"/>
      <c r="B29" s="374"/>
      <c r="C29" s="374"/>
      <c r="D29" s="374"/>
      <c r="E29" s="375"/>
      <c r="F29" s="375"/>
      <c r="G29" s="376"/>
      <c r="H29" s="375"/>
      <c r="I29" s="375"/>
      <c r="J29" s="375"/>
      <c r="K29" s="375"/>
      <c r="L29" s="375"/>
      <c r="M29" s="375"/>
      <c r="N29" s="375"/>
      <c r="O29" s="375"/>
      <c r="P29" s="375"/>
      <c r="Q29" s="374"/>
      <c r="R29" s="374"/>
      <c r="S29" s="374"/>
      <c r="T29" s="375"/>
      <c r="U29" s="375"/>
      <c r="V29" s="390"/>
      <c r="W29" s="375"/>
      <c r="X29" s="375"/>
      <c r="Y29" s="375"/>
      <c r="Z29" s="400"/>
      <c r="AA29" s="400"/>
      <c r="AB29" s="401"/>
      <c r="AC29" s="401"/>
    </row>
  </sheetData>
  <mergeCells count="206">
    <mergeCell ref="A1:B1"/>
    <mergeCell ref="D1:G1"/>
    <mergeCell ref="H1:T1"/>
    <mergeCell ref="G2:T2"/>
    <mergeCell ref="W3:X3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A10:D10"/>
    <mergeCell ref="E10:AC10"/>
    <mergeCell ref="B11:C11"/>
    <mergeCell ref="E11:F11"/>
    <mergeCell ref="H11:K11"/>
    <mergeCell ref="M11:O11"/>
    <mergeCell ref="Q11:R11"/>
    <mergeCell ref="T11:U11"/>
    <mergeCell ref="W11:Y11"/>
    <mergeCell ref="Z11:AA11"/>
    <mergeCell ref="AB11:AC11"/>
    <mergeCell ref="B12:C12"/>
    <mergeCell ref="E12:F12"/>
    <mergeCell ref="H12:K12"/>
    <mergeCell ref="M12:O12"/>
    <mergeCell ref="Q12:R12"/>
    <mergeCell ref="T12:U12"/>
    <mergeCell ref="W12:Y12"/>
    <mergeCell ref="Z12:AA12"/>
    <mergeCell ref="AB12:AC12"/>
    <mergeCell ref="B13:C13"/>
    <mergeCell ref="E13:F13"/>
    <mergeCell ref="H13:K13"/>
    <mergeCell ref="M13:O13"/>
    <mergeCell ref="Q13:R13"/>
    <mergeCell ref="T13:U13"/>
    <mergeCell ref="W13:Y13"/>
    <mergeCell ref="Z13:AA13"/>
    <mergeCell ref="AB13:AC13"/>
    <mergeCell ref="B14:C14"/>
    <mergeCell ref="E14:F14"/>
    <mergeCell ref="H14:K14"/>
    <mergeCell ref="M14:O14"/>
    <mergeCell ref="Q14:R14"/>
    <mergeCell ref="T14:U14"/>
    <mergeCell ref="W14:Y14"/>
    <mergeCell ref="Z14:AA14"/>
    <mergeCell ref="AB14:AC14"/>
    <mergeCell ref="B15:C15"/>
    <mergeCell ref="E15:F15"/>
    <mergeCell ref="H15:K15"/>
    <mergeCell ref="M15:O15"/>
    <mergeCell ref="Q15:R15"/>
    <mergeCell ref="T15:U15"/>
    <mergeCell ref="W15:Y15"/>
    <mergeCell ref="Z15:AA15"/>
    <mergeCell ref="AB15:AC15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7:C17"/>
    <mergeCell ref="E17:F17"/>
    <mergeCell ref="H17:K17"/>
    <mergeCell ref="M17:O17"/>
    <mergeCell ref="Q17:R17"/>
    <mergeCell ref="T17:U17"/>
    <mergeCell ref="W17:Y17"/>
    <mergeCell ref="Z17:AA17"/>
    <mergeCell ref="AB17:AC17"/>
    <mergeCell ref="B18:C18"/>
    <mergeCell ref="E18:F18"/>
    <mergeCell ref="H18:K18"/>
    <mergeCell ref="M18:O18"/>
    <mergeCell ref="Q18:R18"/>
    <mergeCell ref="T18:U18"/>
    <mergeCell ref="W18:Y18"/>
    <mergeCell ref="Z18:AA18"/>
    <mergeCell ref="AB18:AC18"/>
    <mergeCell ref="B19:C19"/>
    <mergeCell ref="E19:F19"/>
    <mergeCell ref="H19:K19"/>
    <mergeCell ref="M19:O19"/>
    <mergeCell ref="Q19:R19"/>
    <mergeCell ref="T19:U19"/>
    <mergeCell ref="W19:Y19"/>
    <mergeCell ref="Z19:AA19"/>
    <mergeCell ref="AB19:AC19"/>
    <mergeCell ref="B20:C20"/>
    <mergeCell ref="E20:F20"/>
    <mergeCell ref="H20:K20"/>
    <mergeCell ref="M20:O20"/>
    <mergeCell ref="Q20:R20"/>
    <mergeCell ref="T20:U20"/>
    <mergeCell ref="W20:Y20"/>
    <mergeCell ref="Z20:AA20"/>
    <mergeCell ref="AB20:AC20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3:C23"/>
    <mergeCell ref="E23:F23"/>
    <mergeCell ref="H23:K23"/>
    <mergeCell ref="M23:O23"/>
    <mergeCell ref="Q23:R23"/>
    <mergeCell ref="T23:U23"/>
    <mergeCell ref="W23:Y23"/>
    <mergeCell ref="Z23:AA23"/>
    <mergeCell ref="AB23:AC23"/>
    <mergeCell ref="B24:C24"/>
    <mergeCell ref="E24:F24"/>
    <mergeCell ref="H24:K24"/>
    <mergeCell ref="M24:O24"/>
    <mergeCell ref="Q24:R24"/>
    <mergeCell ref="T24:U24"/>
    <mergeCell ref="W24:Y24"/>
    <mergeCell ref="Z24:AA24"/>
    <mergeCell ref="AB24:AC24"/>
    <mergeCell ref="B25:C25"/>
    <mergeCell ref="E25:F25"/>
    <mergeCell ref="H25:K25"/>
    <mergeCell ref="M25:O25"/>
    <mergeCell ref="Q25:R25"/>
    <mergeCell ref="T25:U25"/>
    <mergeCell ref="W25:Y25"/>
    <mergeCell ref="Z25:AA25"/>
    <mergeCell ref="AB25:AC25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8:C28"/>
    <mergeCell ref="E28:F28"/>
    <mergeCell ref="H28:K28"/>
    <mergeCell ref="M28:O28"/>
    <mergeCell ref="Q28:R28"/>
    <mergeCell ref="T28:U28"/>
    <mergeCell ref="W28:Y28"/>
    <mergeCell ref="Z28:AA28"/>
    <mergeCell ref="AB28:AC28"/>
    <mergeCell ref="C3:E4"/>
    <mergeCell ref="Y1:AC2"/>
    <mergeCell ref="A3:B4"/>
    <mergeCell ref="A6:D9"/>
    <mergeCell ref="F3:V4"/>
  </mergeCells>
  <pageMargins left="0.699305555555556" right="0.699305555555556" top="0.75" bottom="0.75" header="0.3" footer="0.3"/>
  <pageSetup paperSize="8" scale="64" orientation="landscape" horizontalDpi="1200" verticalDpi="12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S138"/>
  <sheetViews>
    <sheetView view="pageBreakPreview" zoomScale="90" zoomScaleNormal="100" topLeftCell="R1" workbookViewId="0">
      <pane ySplit="8" topLeftCell="A9" activePane="bottomLeft" state="frozen"/>
      <selection/>
      <selection pane="bottomLeft" activeCell="A9" sqref="A9:A117"/>
    </sheetView>
  </sheetViews>
  <sheetFormatPr defaultColWidth="9" defaultRowHeight="16.5"/>
  <cols>
    <col min="1" max="1" width="4.5" style="19" customWidth="1"/>
    <col min="2" max="11" width="2.625" style="19" customWidth="1"/>
    <col min="12" max="12" width="16.75" style="19" customWidth="1"/>
    <col min="13" max="13" width="16.5" style="20" customWidth="1"/>
    <col min="14" max="14" width="28.25" style="20" customWidth="1"/>
    <col min="15" max="15" width="13.75" style="21" hidden="1" customWidth="1" outlineLevel="1"/>
    <col min="16" max="16" width="4.875" style="19" hidden="1" customWidth="1" outlineLevel="1"/>
    <col min="17" max="17" width="5.25" style="19" hidden="1" customWidth="1" outlineLevel="1"/>
    <col min="18" max="18" width="7.375" style="22" customWidth="1" collapsed="1"/>
    <col min="19" max="19" width="6.125" style="23" hidden="1" customWidth="1" outlineLevel="1"/>
    <col min="20" max="20" width="15.25" style="24" hidden="1" customWidth="1" outlineLevel="1"/>
    <col min="21" max="21" width="5.75" style="25" hidden="1" customWidth="1" outlineLevel="1"/>
    <col min="22" max="22" width="8.375" style="23" hidden="1" customWidth="1" outlineLevel="1"/>
    <col min="23" max="23" width="7.625" style="23" customWidth="1" collapsed="1"/>
    <col min="24" max="24" width="10.25" style="23" customWidth="1"/>
    <col min="25" max="25" width="15" style="23" customWidth="1"/>
    <col min="26" max="26" width="10.75" style="23" hidden="1" customWidth="1" outlineLevel="1"/>
    <col min="27" max="27" width="14.125" style="20" hidden="1" customWidth="1" outlineLevel="1"/>
    <col min="28" max="28" width="8.25" style="26" customWidth="1" collapsed="1"/>
    <col min="29" max="29" width="5.125" style="19" customWidth="1"/>
    <col min="30" max="39" width="10.625" style="19" customWidth="1" outlineLevel="1"/>
    <col min="40" max="41" width="10.625" style="19" customWidth="1"/>
    <col min="42" max="42" width="7.25" style="19" customWidth="1" outlineLevel="1"/>
    <col min="43" max="43" width="10" style="19" customWidth="1" outlineLevel="1"/>
    <col min="44" max="44" width="10.375" style="24" customWidth="1"/>
    <col min="45" max="16384" width="9" style="19"/>
  </cols>
  <sheetData>
    <row r="1" ht="33.75" customHeight="1" spans="1:44">
      <c r="A1" s="27" t="s">
        <v>44</v>
      </c>
      <c r="B1" s="28"/>
      <c r="C1" s="28"/>
      <c r="D1" s="28"/>
      <c r="E1" s="29"/>
      <c r="F1" s="30" t="s">
        <v>45</v>
      </c>
      <c r="G1" s="31"/>
      <c r="H1" s="31"/>
      <c r="I1" s="31"/>
      <c r="J1" s="31"/>
      <c r="K1" s="60"/>
      <c r="L1" s="61"/>
      <c r="M1" s="62" t="s">
        <v>46</v>
      </c>
      <c r="N1" s="62"/>
      <c r="O1" s="63" t="s">
        <v>544</v>
      </c>
      <c r="P1" s="64"/>
      <c r="Q1" s="64"/>
      <c r="R1" s="64"/>
      <c r="S1" s="64"/>
      <c r="T1" s="140"/>
      <c r="U1" s="64"/>
      <c r="V1" s="64"/>
      <c r="W1" s="64"/>
      <c r="X1" s="64"/>
      <c r="Y1" s="64"/>
      <c r="Z1" s="64"/>
      <c r="AA1" s="140"/>
      <c r="AB1" s="140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285"/>
      <c r="AQ1" s="286"/>
      <c r="AR1" s="287" t="str">
        <f>M9</f>
        <v>X168100000003</v>
      </c>
    </row>
    <row r="2" s="1" customFormat="1" ht="33.75" hidden="1" customHeight="1" spans="1:44">
      <c r="A2" s="32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65"/>
      <c r="M2" s="66"/>
      <c r="N2" s="66"/>
      <c r="O2" s="67"/>
      <c r="P2" s="68"/>
      <c r="Q2" s="68"/>
      <c r="R2" s="68"/>
      <c r="S2" s="68"/>
      <c r="T2" s="141"/>
      <c r="U2" s="68"/>
      <c r="V2" s="68"/>
      <c r="W2" s="68"/>
      <c r="X2" s="68"/>
      <c r="Y2" s="68"/>
      <c r="Z2" s="68"/>
      <c r="AA2" s="141"/>
      <c r="AB2" s="141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288"/>
      <c r="AQ2" s="286" t="s">
        <v>49</v>
      </c>
      <c r="AR2" s="289" t="s">
        <v>9</v>
      </c>
    </row>
    <row r="3" s="2" customFormat="1" ht="33.75" hidden="1" customHeight="1" spans="1:44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69"/>
      <c r="M3" s="62" t="s">
        <v>51</v>
      </c>
      <c r="N3" s="62"/>
      <c r="O3" s="67"/>
      <c r="P3" s="68"/>
      <c r="Q3" s="68"/>
      <c r="R3" s="68"/>
      <c r="S3" s="68"/>
      <c r="T3" s="141"/>
      <c r="U3" s="68"/>
      <c r="V3" s="68"/>
      <c r="W3" s="68"/>
      <c r="X3" s="68"/>
      <c r="Y3" s="68"/>
      <c r="Z3" s="68"/>
      <c r="AA3" s="141"/>
      <c r="AB3" s="141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288"/>
      <c r="AQ3" s="286" t="s">
        <v>52</v>
      </c>
      <c r="AR3" s="289" t="s">
        <v>7</v>
      </c>
    </row>
    <row r="4" s="1" customFormat="1" ht="33.75" hidden="1" customHeight="1" spans="1:44">
      <c r="A4" s="34" t="s">
        <v>53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70"/>
      <c r="M4" s="62"/>
      <c r="N4" s="62"/>
      <c r="O4" s="67"/>
      <c r="P4" s="68"/>
      <c r="Q4" s="68"/>
      <c r="R4" s="68"/>
      <c r="S4" s="68"/>
      <c r="T4" s="141"/>
      <c r="U4" s="68"/>
      <c r="V4" s="68"/>
      <c r="W4" s="68"/>
      <c r="X4" s="68"/>
      <c r="Y4" s="68"/>
      <c r="Z4" s="68"/>
      <c r="AA4" s="141"/>
      <c r="AB4" s="141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288"/>
      <c r="AQ4" s="286" t="s">
        <v>29</v>
      </c>
      <c r="AR4" s="289" t="s">
        <v>7</v>
      </c>
    </row>
    <row r="5" s="1" customFormat="1" ht="33.75" hidden="1" customHeight="1" spans="1:44">
      <c r="A5" s="35" t="s">
        <v>545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71"/>
      <c r="M5" s="72"/>
      <c r="N5" s="73"/>
      <c r="O5" s="67"/>
      <c r="P5" s="68"/>
      <c r="Q5" s="68"/>
      <c r="R5" s="68"/>
      <c r="S5" s="68"/>
      <c r="T5" s="141"/>
      <c r="U5" s="68"/>
      <c r="V5" s="68"/>
      <c r="W5" s="68"/>
      <c r="X5" s="68"/>
      <c r="Y5" s="68"/>
      <c r="Z5" s="68"/>
      <c r="AA5" s="141"/>
      <c r="AB5" s="141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288"/>
      <c r="AQ5" s="290" t="s">
        <v>55</v>
      </c>
      <c r="AR5" s="291" t="e">
        <f>AB9</f>
        <v>#REF!</v>
      </c>
    </row>
    <row r="6" s="3" customFormat="1" ht="33.75" hidden="1" customHeight="1" spans="1:44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74"/>
      <c r="M6" s="75"/>
      <c r="N6" s="76"/>
      <c r="O6" s="77"/>
      <c r="P6" s="78"/>
      <c r="Q6" s="78"/>
      <c r="R6" s="78"/>
      <c r="S6" s="78"/>
      <c r="T6" s="142"/>
      <c r="U6" s="78"/>
      <c r="V6" s="78"/>
      <c r="W6" s="78"/>
      <c r="X6" s="78"/>
      <c r="Y6" s="78"/>
      <c r="Z6" s="78"/>
      <c r="AA6" s="142"/>
      <c r="AB6" s="142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292"/>
      <c r="AQ6" s="293" t="s">
        <v>56</v>
      </c>
      <c r="AR6" s="294"/>
    </row>
    <row r="7" s="4" customFormat="1" ht="30" customHeight="1" spans="1:44">
      <c r="A7" s="39" t="s">
        <v>1</v>
      </c>
      <c r="B7" s="40" t="s">
        <v>57</v>
      </c>
      <c r="C7" s="41"/>
      <c r="D7" s="41"/>
      <c r="E7" s="41"/>
      <c r="F7" s="41"/>
      <c r="G7" s="41"/>
      <c r="H7" s="41"/>
      <c r="I7" s="41"/>
      <c r="J7" s="41"/>
      <c r="K7" s="79"/>
      <c r="L7" s="80" t="s">
        <v>58</v>
      </c>
      <c r="M7" s="81" t="s">
        <v>2</v>
      </c>
      <c r="N7" s="82" t="s">
        <v>49</v>
      </c>
      <c r="O7" s="82" t="s">
        <v>59</v>
      </c>
      <c r="P7" s="80" t="s">
        <v>60</v>
      </c>
      <c r="Q7" s="80" t="s">
        <v>61</v>
      </c>
      <c r="R7" s="80" t="s">
        <v>23</v>
      </c>
      <c r="S7" s="143" t="s">
        <v>62</v>
      </c>
      <c r="T7" s="82" t="s">
        <v>63</v>
      </c>
      <c r="U7" s="144" t="s">
        <v>64</v>
      </c>
      <c r="V7" s="143" t="s">
        <v>65</v>
      </c>
      <c r="W7" s="145" t="s">
        <v>66</v>
      </c>
      <c r="X7" s="145" t="s">
        <v>67</v>
      </c>
      <c r="Y7" s="190" t="s">
        <v>68</v>
      </c>
      <c r="Z7" s="190" t="s">
        <v>69</v>
      </c>
      <c r="AA7" s="82" t="s">
        <v>70</v>
      </c>
      <c r="AB7" s="191" t="s">
        <v>71</v>
      </c>
      <c r="AC7" s="80" t="s">
        <v>72</v>
      </c>
      <c r="AD7" s="192" t="s">
        <v>73</v>
      </c>
      <c r="AE7" s="193" t="s">
        <v>74</v>
      </c>
      <c r="AF7" s="194"/>
      <c r="AG7" s="247"/>
      <c r="AH7" s="248" t="s">
        <v>75</v>
      </c>
      <c r="AI7" s="249" t="s">
        <v>76</v>
      </c>
      <c r="AJ7" s="250" t="s">
        <v>77</v>
      </c>
      <c r="AK7" s="248" t="s">
        <v>78</v>
      </c>
      <c r="AL7" s="248" t="s">
        <v>79</v>
      </c>
      <c r="AM7" s="248" t="s">
        <v>80</v>
      </c>
      <c r="AN7" s="251" t="s">
        <v>81</v>
      </c>
      <c r="AO7" s="251" t="s">
        <v>82</v>
      </c>
      <c r="AP7" s="293" t="s">
        <v>56</v>
      </c>
      <c r="AQ7" s="295" t="s">
        <v>83</v>
      </c>
      <c r="AR7" s="296" t="s">
        <v>84</v>
      </c>
    </row>
    <row r="8" s="4" customFormat="1" ht="30" customHeight="1" spans="1:44">
      <c r="A8" s="42"/>
      <c r="B8" s="43">
        <v>0</v>
      </c>
      <c r="C8" s="43">
        <v>1</v>
      </c>
      <c r="D8" s="43">
        <v>2</v>
      </c>
      <c r="E8" s="43">
        <v>3</v>
      </c>
      <c r="F8" s="43">
        <v>4</v>
      </c>
      <c r="G8" s="43">
        <v>5</v>
      </c>
      <c r="H8" s="43">
        <v>6</v>
      </c>
      <c r="I8" s="43">
        <v>7</v>
      </c>
      <c r="J8" s="43">
        <v>8</v>
      </c>
      <c r="K8" s="83">
        <v>9</v>
      </c>
      <c r="L8" s="84"/>
      <c r="M8" s="85"/>
      <c r="N8" s="86"/>
      <c r="O8" s="86"/>
      <c r="P8" s="84"/>
      <c r="Q8" s="84"/>
      <c r="R8" s="84"/>
      <c r="S8" s="146"/>
      <c r="T8" s="86"/>
      <c r="U8" s="147"/>
      <c r="V8" s="146"/>
      <c r="W8" s="148"/>
      <c r="X8" s="148"/>
      <c r="Y8" s="195"/>
      <c r="Z8" s="195"/>
      <c r="AA8" s="86"/>
      <c r="AB8" s="196"/>
      <c r="AC8" s="84"/>
      <c r="AD8" s="197"/>
      <c r="AE8" s="198" t="s">
        <v>85</v>
      </c>
      <c r="AF8" s="198" t="s">
        <v>86</v>
      </c>
      <c r="AG8" s="198" t="s">
        <v>87</v>
      </c>
      <c r="AH8" s="252"/>
      <c r="AI8" s="253"/>
      <c r="AJ8" s="254"/>
      <c r="AK8" s="252"/>
      <c r="AL8" s="252"/>
      <c r="AM8" s="252"/>
      <c r="AN8" s="251"/>
      <c r="AO8" s="251"/>
      <c r="AP8" s="297"/>
      <c r="AQ8" s="298"/>
      <c r="AR8" s="299"/>
    </row>
    <row r="9" s="5" customFormat="1" ht="39.95" customHeight="1" spans="1:44">
      <c r="A9" s="42">
        <f>ROW()-8</f>
        <v>1</v>
      </c>
      <c r="B9" s="43">
        <v>0</v>
      </c>
      <c r="C9" s="43"/>
      <c r="D9" s="43"/>
      <c r="E9" s="43"/>
      <c r="F9" s="43"/>
      <c r="G9" s="43"/>
      <c r="H9" s="43"/>
      <c r="I9" s="43"/>
      <c r="J9" s="43"/>
      <c r="K9" s="83"/>
      <c r="L9" s="83" t="s">
        <v>546</v>
      </c>
      <c r="M9" s="87" t="s">
        <v>547</v>
      </c>
      <c r="N9" s="88" t="s">
        <v>543</v>
      </c>
      <c r="O9" s="89" t="s">
        <v>31</v>
      </c>
      <c r="P9" s="83" t="s">
        <v>42</v>
      </c>
      <c r="Q9" s="43" t="s">
        <v>92</v>
      </c>
      <c r="R9" s="84"/>
      <c r="S9" s="149" t="s">
        <v>42</v>
      </c>
      <c r="T9" s="87" t="s">
        <v>548</v>
      </c>
      <c r="U9" s="149" t="s">
        <v>42</v>
      </c>
      <c r="V9" s="146" t="s">
        <v>93</v>
      </c>
      <c r="W9" s="150" t="s">
        <v>94</v>
      </c>
      <c r="X9" s="151" t="s">
        <v>95</v>
      </c>
      <c r="Y9" s="199" t="s">
        <v>96</v>
      </c>
      <c r="Z9" s="199" t="s">
        <v>97</v>
      </c>
      <c r="AA9" s="88" t="s">
        <v>97</v>
      </c>
      <c r="AB9" s="200" t="e">
        <f>AB10+AB82+AB105+AB106+AB107+AB108*AR108+AB109*AR109+AB110*AR110+AB111</f>
        <v>#REF!</v>
      </c>
      <c r="AC9" s="201" t="s">
        <v>97</v>
      </c>
      <c r="AD9" s="202" t="s">
        <v>98</v>
      </c>
      <c r="AE9" s="203"/>
      <c r="AF9" s="203"/>
      <c r="AG9" s="203"/>
      <c r="AH9" s="255"/>
      <c r="AI9" s="256"/>
      <c r="AJ9" s="203"/>
      <c r="AK9" s="255"/>
      <c r="AL9" s="257">
        <v>1.5</v>
      </c>
      <c r="AM9" s="258">
        <v>12</v>
      </c>
      <c r="AN9" s="259" t="s">
        <v>99</v>
      </c>
      <c r="AO9" s="259" t="s">
        <v>100</v>
      </c>
      <c r="AP9" s="300"/>
      <c r="AQ9" s="301"/>
      <c r="AR9" s="289">
        <v>1</v>
      </c>
    </row>
    <row r="10" s="5" customFormat="1" ht="39.95" customHeight="1" spans="1:44">
      <c r="A10" s="42">
        <f t="shared" ref="A10:A19" si="0">ROW()-8</f>
        <v>2</v>
      </c>
      <c r="B10" s="44"/>
      <c r="C10" s="45"/>
      <c r="D10" s="45"/>
      <c r="E10" s="45"/>
      <c r="F10" s="45"/>
      <c r="G10" s="45"/>
      <c r="H10" s="45"/>
      <c r="I10" s="45"/>
      <c r="J10" s="44"/>
      <c r="K10" s="44"/>
      <c r="L10" s="44"/>
      <c r="M10" s="87" t="s">
        <v>549</v>
      </c>
      <c r="N10" s="90" t="s">
        <v>550</v>
      </c>
      <c r="O10" s="91" t="s">
        <v>112</v>
      </c>
      <c r="P10" s="83" t="s">
        <v>42</v>
      </c>
      <c r="Q10" s="43" t="s">
        <v>92</v>
      </c>
      <c r="R10" s="83"/>
      <c r="S10" s="149" t="s">
        <v>42</v>
      </c>
      <c r="T10" s="87" t="s">
        <v>104</v>
      </c>
      <c r="U10" s="152" t="s">
        <v>97</v>
      </c>
      <c r="V10" s="146" t="s">
        <v>93</v>
      </c>
      <c r="W10" s="150" t="s">
        <v>94</v>
      </c>
      <c r="X10" s="108" t="s">
        <v>95</v>
      </c>
      <c r="Y10" s="45" t="s">
        <v>96</v>
      </c>
      <c r="Z10" s="152" t="s">
        <v>97</v>
      </c>
      <c r="AA10" s="204" t="s">
        <v>97</v>
      </c>
      <c r="AB10" s="205" t="e">
        <f>AB11+AB20</f>
        <v>#REF!</v>
      </c>
      <c r="AC10" s="201" t="s">
        <v>97</v>
      </c>
      <c r="AD10" s="206"/>
      <c r="AE10" s="207"/>
      <c r="AF10" s="207"/>
      <c r="AG10" s="207"/>
      <c r="AH10" s="260"/>
      <c r="AI10" s="261"/>
      <c r="AJ10" s="207"/>
      <c r="AK10" s="260"/>
      <c r="AL10" s="262"/>
      <c r="AM10" s="262"/>
      <c r="AN10" s="263" t="s">
        <v>105</v>
      </c>
      <c r="AO10" s="263" t="s">
        <v>100</v>
      </c>
      <c r="AP10" s="302"/>
      <c r="AQ10" s="301"/>
      <c r="AR10" s="289">
        <v>1</v>
      </c>
    </row>
    <row r="11" s="5" customFormat="1" ht="39.95" customHeight="1" spans="1:44">
      <c r="A11" s="42">
        <f t="shared" si="0"/>
        <v>3</v>
      </c>
      <c r="B11" s="44"/>
      <c r="C11" s="45"/>
      <c r="D11" s="45"/>
      <c r="E11" s="45"/>
      <c r="F11" s="45"/>
      <c r="G11" s="45"/>
      <c r="H11" s="45"/>
      <c r="I11" s="45"/>
      <c r="J11" s="44"/>
      <c r="K11" s="44"/>
      <c r="L11" s="44"/>
      <c r="M11" s="87" t="s">
        <v>106</v>
      </c>
      <c r="N11" s="90" t="s">
        <v>551</v>
      </c>
      <c r="O11" s="91" t="str">
        <f>O10</f>
        <v>分总成</v>
      </c>
      <c r="P11" s="83" t="s">
        <v>42</v>
      </c>
      <c r="Q11" s="43" t="s">
        <v>92</v>
      </c>
      <c r="R11" s="83"/>
      <c r="S11" s="149" t="s">
        <v>42</v>
      </c>
      <c r="T11" s="87" t="s">
        <v>104</v>
      </c>
      <c r="U11" s="152" t="s">
        <v>97</v>
      </c>
      <c r="V11" s="146" t="s">
        <v>93</v>
      </c>
      <c r="W11" s="150" t="s">
        <v>94</v>
      </c>
      <c r="X11" s="108" t="s">
        <v>95</v>
      </c>
      <c r="Y11" s="45" t="s">
        <v>96</v>
      </c>
      <c r="Z11" s="152" t="s">
        <v>97</v>
      </c>
      <c r="AA11" s="204" t="s">
        <v>97</v>
      </c>
      <c r="AB11" s="208" t="e">
        <f>AB12+AB18+AB19*AR19</f>
        <v>#REF!</v>
      </c>
      <c r="AC11" s="201" t="s">
        <v>97</v>
      </c>
      <c r="AD11" s="206"/>
      <c r="AE11" s="207"/>
      <c r="AF11" s="207"/>
      <c r="AG11" s="207"/>
      <c r="AH11" s="260"/>
      <c r="AI11" s="261"/>
      <c r="AJ11" s="207"/>
      <c r="AK11" s="260"/>
      <c r="AL11" s="262"/>
      <c r="AM11" s="262"/>
      <c r="AN11" s="263" t="s">
        <v>105</v>
      </c>
      <c r="AO11" s="263" t="s">
        <v>100</v>
      </c>
      <c r="AP11" s="302"/>
      <c r="AQ11" s="301"/>
      <c r="AR11" s="289">
        <v>1</v>
      </c>
    </row>
    <row r="12" ht="39.95" customHeight="1" spans="1:44">
      <c r="A12" s="42">
        <f t="shared" si="0"/>
        <v>4</v>
      </c>
      <c r="B12" s="44"/>
      <c r="C12" s="45">
        <v>1</v>
      </c>
      <c r="D12" s="45"/>
      <c r="E12" s="45"/>
      <c r="F12" s="45"/>
      <c r="G12" s="45"/>
      <c r="H12" s="45"/>
      <c r="I12" s="45"/>
      <c r="J12" s="83"/>
      <c r="K12" s="83"/>
      <c r="L12" s="92" t="s">
        <v>109</v>
      </c>
      <c r="M12" s="92" t="s">
        <v>109</v>
      </c>
      <c r="N12" s="93" t="s">
        <v>110</v>
      </c>
      <c r="O12" s="94" t="s">
        <v>373</v>
      </c>
      <c r="P12" s="83" t="s">
        <v>42</v>
      </c>
      <c r="Q12" s="43" t="s">
        <v>92</v>
      </c>
      <c r="R12" s="44"/>
      <c r="S12" s="149" t="s">
        <v>42</v>
      </c>
      <c r="T12" s="87" t="s">
        <v>104</v>
      </c>
      <c r="U12" s="152" t="s">
        <v>97</v>
      </c>
      <c r="V12" s="150" t="s">
        <v>94</v>
      </c>
      <c r="W12" s="146" t="s">
        <v>93</v>
      </c>
      <c r="X12" s="108" t="s">
        <v>112</v>
      </c>
      <c r="Y12" s="45" t="s">
        <v>96</v>
      </c>
      <c r="Z12" s="152" t="s">
        <v>97</v>
      </c>
      <c r="AA12" s="204" t="s">
        <v>97</v>
      </c>
      <c r="AB12" s="205" t="e">
        <f>AB13+#REF!+#REF!+#REF!+#REF!+#REF!+AB17</f>
        <v>#REF!</v>
      </c>
      <c r="AC12" s="201" t="s">
        <v>97</v>
      </c>
      <c r="AD12" s="209" t="s">
        <v>113</v>
      </c>
      <c r="AE12" s="207"/>
      <c r="AF12" s="207"/>
      <c r="AG12" s="207"/>
      <c r="AH12" s="260"/>
      <c r="AI12" s="261"/>
      <c r="AJ12" s="207"/>
      <c r="AK12" s="260"/>
      <c r="AL12" s="262">
        <f>0.0025*60</f>
        <v>0.15</v>
      </c>
      <c r="AM12" s="264">
        <v>18</v>
      </c>
      <c r="AN12" s="263" t="s">
        <v>99</v>
      </c>
      <c r="AO12" s="263" t="s">
        <v>114</v>
      </c>
      <c r="AP12" s="302"/>
      <c r="AQ12" s="301"/>
      <c r="AR12" s="289">
        <v>1</v>
      </c>
    </row>
    <row r="13" ht="39.95" customHeight="1" spans="1:44">
      <c r="A13" s="42">
        <f t="shared" si="0"/>
        <v>5</v>
      </c>
      <c r="B13" s="43"/>
      <c r="C13" s="46"/>
      <c r="D13" s="46">
        <v>2</v>
      </c>
      <c r="E13" s="46"/>
      <c r="F13" s="47"/>
      <c r="G13" s="47"/>
      <c r="H13" s="46"/>
      <c r="I13" s="46"/>
      <c r="J13" s="95"/>
      <c r="K13" s="96"/>
      <c r="L13" s="93" t="s">
        <v>115</v>
      </c>
      <c r="M13" s="93" t="s">
        <v>115</v>
      </c>
      <c r="N13" s="93" t="s">
        <v>116</v>
      </c>
      <c r="O13" s="94" t="s">
        <v>373</v>
      </c>
      <c r="P13" s="97" t="s">
        <v>117</v>
      </c>
      <c r="Q13" s="43" t="s">
        <v>92</v>
      </c>
      <c r="R13" s="153"/>
      <c r="S13" s="149" t="s">
        <v>42</v>
      </c>
      <c r="T13" s="90" t="s">
        <v>104</v>
      </c>
      <c r="U13" s="152" t="s">
        <v>97</v>
      </c>
      <c r="V13" s="150" t="s">
        <v>94</v>
      </c>
      <c r="W13" s="146" t="s">
        <v>93</v>
      </c>
      <c r="X13" s="108" t="s">
        <v>112</v>
      </c>
      <c r="Y13" s="45" t="s">
        <v>118</v>
      </c>
      <c r="Z13" s="45" t="s">
        <v>119</v>
      </c>
      <c r="AA13" s="210" t="s">
        <v>97</v>
      </c>
      <c r="AB13" s="205">
        <v>1.2387</v>
      </c>
      <c r="AC13" s="201" t="s">
        <v>97</v>
      </c>
      <c r="AD13" s="209"/>
      <c r="AE13" s="211"/>
      <c r="AF13" s="211"/>
      <c r="AG13" s="211"/>
      <c r="AH13" s="265">
        <v>1.3</v>
      </c>
      <c r="AI13" s="261">
        <f>AB13/AH13</f>
        <v>0.952846153846154</v>
      </c>
      <c r="AJ13" s="211"/>
      <c r="AK13" s="265"/>
      <c r="AL13" s="266"/>
      <c r="AM13" s="266"/>
      <c r="AN13" s="263" t="s">
        <v>105</v>
      </c>
      <c r="AO13" s="263"/>
      <c r="AP13" s="302"/>
      <c r="AQ13" s="301"/>
      <c r="AR13" s="289">
        <v>1</v>
      </c>
    </row>
    <row r="14" s="6" customFormat="1" ht="39.95" customHeight="1" spans="1:44">
      <c r="A14" s="42">
        <f t="shared" si="0"/>
        <v>6</v>
      </c>
      <c r="B14" s="48"/>
      <c r="C14" s="49"/>
      <c r="D14" s="49">
        <v>2</v>
      </c>
      <c r="E14" s="49"/>
      <c r="F14" s="49"/>
      <c r="G14" s="49"/>
      <c r="H14" s="49"/>
      <c r="I14" s="49"/>
      <c r="J14" s="98"/>
      <c r="K14" s="99"/>
      <c r="L14" s="100" t="s">
        <v>120</v>
      </c>
      <c r="M14" s="100" t="s">
        <v>120</v>
      </c>
      <c r="N14" s="101" t="s">
        <v>121</v>
      </c>
      <c r="O14" s="102" t="s">
        <v>111</v>
      </c>
      <c r="P14" s="103" t="s">
        <v>117</v>
      </c>
      <c r="Q14" s="48" t="s">
        <v>92</v>
      </c>
      <c r="R14" s="154"/>
      <c r="S14" s="155" t="s">
        <v>42</v>
      </c>
      <c r="T14" s="100" t="s">
        <v>104</v>
      </c>
      <c r="U14" s="156" t="s">
        <v>97</v>
      </c>
      <c r="V14" s="157" t="s">
        <v>94</v>
      </c>
      <c r="W14" s="158" t="s">
        <v>93</v>
      </c>
      <c r="X14" s="159" t="s">
        <v>122</v>
      </c>
      <c r="Y14" s="212" t="s">
        <v>123</v>
      </c>
      <c r="Z14" s="156" t="s">
        <v>124</v>
      </c>
      <c r="AA14" s="213" t="s">
        <v>125</v>
      </c>
      <c r="AB14" s="214"/>
      <c r="AC14" s="215" t="s">
        <v>97</v>
      </c>
      <c r="AD14" s="216" t="s">
        <v>126</v>
      </c>
      <c r="AE14" s="217"/>
      <c r="AF14" s="217"/>
      <c r="AG14" s="217"/>
      <c r="AH14" s="267"/>
      <c r="AI14" s="268"/>
      <c r="AJ14" s="269"/>
      <c r="AK14" s="269"/>
      <c r="AL14" s="269"/>
      <c r="AM14" s="269"/>
      <c r="AN14" s="270" t="s">
        <v>127</v>
      </c>
      <c r="AO14" s="270" t="s">
        <v>128</v>
      </c>
      <c r="AP14" s="303"/>
      <c r="AQ14" s="304"/>
      <c r="AR14" s="305">
        <v>4</v>
      </c>
    </row>
    <row r="15" s="6" customFormat="1" ht="39.95" customHeight="1" spans="1:44">
      <c r="A15" s="42">
        <f t="shared" si="0"/>
        <v>7</v>
      </c>
      <c r="B15" s="48"/>
      <c r="C15" s="49"/>
      <c r="D15" s="49">
        <v>2</v>
      </c>
      <c r="E15" s="49"/>
      <c r="F15" s="49"/>
      <c r="G15" s="49"/>
      <c r="H15" s="49"/>
      <c r="I15" s="49"/>
      <c r="J15" s="98"/>
      <c r="K15" s="99"/>
      <c r="L15" s="100" t="s">
        <v>129</v>
      </c>
      <c r="M15" s="100" t="s">
        <v>129</v>
      </c>
      <c r="N15" s="101" t="s">
        <v>130</v>
      </c>
      <c r="O15" s="102" t="s">
        <v>111</v>
      </c>
      <c r="P15" s="103" t="s">
        <v>117</v>
      </c>
      <c r="Q15" s="48" t="s">
        <v>92</v>
      </c>
      <c r="R15" s="154"/>
      <c r="S15" s="155" t="s">
        <v>42</v>
      </c>
      <c r="T15" s="100" t="s">
        <v>104</v>
      </c>
      <c r="U15" s="156" t="s">
        <v>97</v>
      </c>
      <c r="V15" s="157" t="s">
        <v>94</v>
      </c>
      <c r="W15" s="158" t="s">
        <v>93</v>
      </c>
      <c r="X15" s="159" t="s">
        <v>122</v>
      </c>
      <c r="Y15" s="212" t="s">
        <v>123</v>
      </c>
      <c r="Z15" s="156" t="s">
        <v>124</v>
      </c>
      <c r="AA15" s="213" t="s">
        <v>131</v>
      </c>
      <c r="AB15" s="214"/>
      <c r="AC15" s="215" t="s">
        <v>97</v>
      </c>
      <c r="AD15" s="216" t="s">
        <v>126</v>
      </c>
      <c r="AE15" s="217"/>
      <c r="AF15" s="217"/>
      <c r="AG15" s="217"/>
      <c r="AH15" s="267"/>
      <c r="AI15" s="268"/>
      <c r="AJ15" s="269"/>
      <c r="AK15" s="269"/>
      <c r="AL15" s="269"/>
      <c r="AM15" s="269"/>
      <c r="AN15" s="270" t="s">
        <v>127</v>
      </c>
      <c r="AO15" s="270" t="s">
        <v>128</v>
      </c>
      <c r="AP15" s="303"/>
      <c r="AQ15" s="304"/>
      <c r="AR15" s="305">
        <v>1</v>
      </c>
    </row>
    <row r="16" s="6" customFormat="1" ht="39.95" customHeight="1" spans="1:44">
      <c r="A16" s="42">
        <f t="shared" si="0"/>
        <v>8</v>
      </c>
      <c r="B16" s="48"/>
      <c r="C16" s="49"/>
      <c r="D16" s="49">
        <v>2</v>
      </c>
      <c r="E16" s="49"/>
      <c r="F16" s="49"/>
      <c r="G16" s="49"/>
      <c r="H16" s="49"/>
      <c r="I16" s="49"/>
      <c r="J16" s="98"/>
      <c r="K16" s="99"/>
      <c r="L16" s="100" t="s">
        <v>132</v>
      </c>
      <c r="M16" s="100" t="s">
        <v>132</v>
      </c>
      <c r="N16" s="101" t="s">
        <v>133</v>
      </c>
      <c r="O16" s="102" t="s">
        <v>111</v>
      </c>
      <c r="P16" s="103" t="s">
        <v>117</v>
      </c>
      <c r="Q16" s="48" t="s">
        <v>92</v>
      </c>
      <c r="R16" s="154"/>
      <c r="S16" s="155" t="s">
        <v>42</v>
      </c>
      <c r="T16" s="100" t="s">
        <v>104</v>
      </c>
      <c r="U16" s="156" t="s">
        <v>97</v>
      </c>
      <c r="V16" s="157" t="s">
        <v>94</v>
      </c>
      <c r="W16" s="158" t="s">
        <v>93</v>
      </c>
      <c r="X16" s="159" t="s">
        <v>122</v>
      </c>
      <c r="Y16" s="212" t="s">
        <v>123</v>
      </c>
      <c r="Z16" s="156" t="s">
        <v>124</v>
      </c>
      <c r="AA16" s="213" t="s">
        <v>134</v>
      </c>
      <c r="AB16" s="214"/>
      <c r="AC16" s="215"/>
      <c r="AD16" s="216" t="s">
        <v>126</v>
      </c>
      <c r="AE16" s="217"/>
      <c r="AF16" s="217"/>
      <c r="AG16" s="217"/>
      <c r="AH16" s="267"/>
      <c r="AI16" s="268"/>
      <c r="AJ16" s="269"/>
      <c r="AK16" s="269"/>
      <c r="AL16" s="269"/>
      <c r="AM16" s="269"/>
      <c r="AN16" s="270" t="s">
        <v>127</v>
      </c>
      <c r="AO16" s="270" t="s">
        <v>128</v>
      </c>
      <c r="AP16" s="303"/>
      <c r="AQ16" s="304"/>
      <c r="AR16" s="305">
        <v>1</v>
      </c>
    </row>
    <row r="17" s="7" customFormat="1" ht="39.95" customHeight="1" spans="1:44">
      <c r="A17" s="42">
        <f t="shared" si="0"/>
        <v>9</v>
      </c>
      <c r="B17" s="48"/>
      <c r="C17" s="49"/>
      <c r="D17" s="49">
        <v>2</v>
      </c>
      <c r="E17" s="49"/>
      <c r="F17" s="49"/>
      <c r="G17" s="49"/>
      <c r="H17" s="49"/>
      <c r="I17" s="49"/>
      <c r="J17" s="98"/>
      <c r="K17" s="104"/>
      <c r="L17" s="98" t="s">
        <v>135</v>
      </c>
      <c r="M17" s="100" t="s">
        <v>136</v>
      </c>
      <c r="N17" s="105" t="s">
        <v>137</v>
      </c>
      <c r="O17" s="102" t="s">
        <v>111</v>
      </c>
      <c r="P17" s="103" t="s">
        <v>117</v>
      </c>
      <c r="Q17" s="48" t="s">
        <v>92</v>
      </c>
      <c r="R17" s="154"/>
      <c r="S17" s="155" t="s">
        <v>42</v>
      </c>
      <c r="T17" s="105" t="s">
        <v>104</v>
      </c>
      <c r="U17" s="156" t="s">
        <v>97</v>
      </c>
      <c r="V17" s="158" t="s">
        <v>94</v>
      </c>
      <c r="W17" s="157" t="s">
        <v>93</v>
      </c>
      <c r="X17" s="159" t="s">
        <v>138</v>
      </c>
      <c r="Y17" s="212" t="s">
        <v>97</v>
      </c>
      <c r="Z17" s="156" t="s">
        <v>139</v>
      </c>
      <c r="AA17" s="213" t="s">
        <v>97</v>
      </c>
      <c r="AB17" s="214">
        <v>0.05</v>
      </c>
      <c r="AC17" s="215"/>
      <c r="AD17" s="218"/>
      <c r="AE17" s="219">
        <v>800</v>
      </c>
      <c r="AF17" s="219">
        <v>600</v>
      </c>
      <c r="AG17" s="219"/>
      <c r="AH17" s="271"/>
      <c r="AI17" s="272"/>
      <c r="AJ17" s="269"/>
      <c r="AK17" s="269"/>
      <c r="AL17" s="269"/>
      <c r="AM17" s="269"/>
      <c r="AN17" s="270" t="s">
        <v>127</v>
      </c>
      <c r="AO17" s="270"/>
      <c r="AP17" s="303"/>
      <c r="AQ17" s="304"/>
      <c r="AR17" s="305">
        <v>1</v>
      </c>
    </row>
    <row r="18" ht="39.95" customHeight="1" spans="1:44">
      <c r="A18" s="42">
        <f t="shared" si="0"/>
        <v>10</v>
      </c>
      <c r="B18" s="43"/>
      <c r="C18" s="46">
        <v>1</v>
      </c>
      <c r="D18" s="46"/>
      <c r="E18" s="47"/>
      <c r="F18" s="47"/>
      <c r="G18" s="46"/>
      <c r="H18" s="46"/>
      <c r="I18" s="46"/>
      <c r="J18" s="95"/>
      <c r="K18" s="106"/>
      <c r="L18" s="87" t="s">
        <v>141</v>
      </c>
      <c r="M18" s="87" t="s">
        <v>141</v>
      </c>
      <c r="N18" s="90" t="s">
        <v>552</v>
      </c>
      <c r="O18" s="107" t="s">
        <v>553</v>
      </c>
      <c r="P18" s="108" t="s">
        <v>144</v>
      </c>
      <c r="Q18" s="43" t="s">
        <v>92</v>
      </c>
      <c r="R18" s="153"/>
      <c r="S18" s="149" t="s">
        <v>42</v>
      </c>
      <c r="T18" s="129" t="s">
        <v>104</v>
      </c>
      <c r="U18" s="152" t="s">
        <v>97</v>
      </c>
      <c r="V18" s="146" t="s">
        <v>93</v>
      </c>
      <c r="W18" s="150" t="s">
        <v>94</v>
      </c>
      <c r="X18" s="108" t="s">
        <v>112</v>
      </c>
      <c r="Y18" s="45" t="s">
        <v>96</v>
      </c>
      <c r="Z18" s="152" t="s">
        <v>97</v>
      </c>
      <c r="AA18" s="210" t="s">
        <v>97</v>
      </c>
      <c r="AB18" s="205">
        <v>0.2</v>
      </c>
      <c r="AC18" s="201" t="s">
        <v>97</v>
      </c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73" t="s">
        <v>99</v>
      </c>
      <c r="AO18" s="273" t="s">
        <v>146</v>
      </c>
      <c r="AP18" s="302"/>
      <c r="AQ18" s="301"/>
      <c r="AR18" s="289">
        <v>1</v>
      </c>
    </row>
    <row r="19" ht="39.95" customHeight="1" spans="1:44">
      <c r="A19" s="42">
        <f t="shared" si="0"/>
        <v>11</v>
      </c>
      <c r="B19" s="43"/>
      <c r="C19" s="46">
        <v>1</v>
      </c>
      <c r="D19" s="46"/>
      <c r="E19" s="47"/>
      <c r="F19" s="47"/>
      <c r="G19" s="46"/>
      <c r="H19" s="46"/>
      <c r="I19" s="46"/>
      <c r="J19" s="95"/>
      <c r="K19" s="106"/>
      <c r="L19" s="109" t="s">
        <v>147</v>
      </c>
      <c r="M19" s="87" t="s">
        <v>148</v>
      </c>
      <c r="N19" s="90" t="s">
        <v>149</v>
      </c>
      <c r="O19" s="110" t="s">
        <v>97</v>
      </c>
      <c r="P19" s="108" t="s">
        <v>144</v>
      </c>
      <c r="Q19" s="43" t="s">
        <v>92</v>
      </c>
      <c r="R19" s="160"/>
      <c r="S19" s="149" t="s">
        <v>42</v>
      </c>
      <c r="T19" s="129" t="s">
        <v>104</v>
      </c>
      <c r="U19" s="152" t="s">
        <v>97</v>
      </c>
      <c r="V19" s="150" t="s">
        <v>94</v>
      </c>
      <c r="W19" s="146" t="s">
        <v>93</v>
      </c>
      <c r="X19" s="43" t="s">
        <v>122</v>
      </c>
      <c r="Y19" s="152" t="s">
        <v>97</v>
      </c>
      <c r="Z19" s="152" t="s">
        <v>97</v>
      </c>
      <c r="AA19" s="210" t="s">
        <v>97</v>
      </c>
      <c r="AB19" s="205">
        <v>0.001</v>
      </c>
      <c r="AC19" s="201" t="s">
        <v>97</v>
      </c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73" t="s">
        <v>127</v>
      </c>
      <c r="AO19" s="273" t="s">
        <v>150</v>
      </c>
      <c r="AP19" s="302"/>
      <c r="AQ19" s="301"/>
      <c r="AR19" s="306">
        <v>26</v>
      </c>
    </row>
    <row r="20" ht="39.95" customHeight="1" spans="1:44">
      <c r="A20" s="42">
        <f t="shared" ref="A20:A29" si="1">ROW()-8</f>
        <v>12</v>
      </c>
      <c r="B20" s="43"/>
      <c r="C20" s="46"/>
      <c r="D20" s="46"/>
      <c r="E20" s="47"/>
      <c r="F20" s="47"/>
      <c r="G20" s="46"/>
      <c r="H20" s="46"/>
      <c r="I20" s="46"/>
      <c r="J20" s="95"/>
      <c r="K20" s="106"/>
      <c r="L20" s="95"/>
      <c r="M20" s="87" t="s">
        <v>554</v>
      </c>
      <c r="N20" s="90" t="s">
        <v>555</v>
      </c>
      <c r="O20" s="110" t="s">
        <v>373</v>
      </c>
      <c r="P20" s="108" t="s">
        <v>42</v>
      </c>
      <c r="Q20" s="43" t="s">
        <v>92</v>
      </c>
      <c r="R20" s="160"/>
      <c r="S20" s="149" t="s">
        <v>42</v>
      </c>
      <c r="T20" s="87" t="s">
        <v>554</v>
      </c>
      <c r="U20" s="95" t="s">
        <v>42</v>
      </c>
      <c r="V20" s="146" t="s">
        <v>93</v>
      </c>
      <c r="W20" s="150" t="s">
        <v>94</v>
      </c>
      <c r="X20" s="108" t="s">
        <v>112</v>
      </c>
      <c r="Y20" s="45" t="s">
        <v>96</v>
      </c>
      <c r="Z20" s="43" t="s">
        <v>97</v>
      </c>
      <c r="AA20" s="210" t="s">
        <v>97</v>
      </c>
      <c r="AB20" s="208" t="e">
        <f>AB21+AB58+AB64+AB80*AR80+#REF!*#REF!+AB81*AR81</f>
        <v>#REF!</v>
      </c>
      <c r="AC20" s="201" t="s">
        <v>97</v>
      </c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63" t="s">
        <v>105</v>
      </c>
      <c r="AO20" s="273"/>
      <c r="AP20" s="302"/>
      <c r="AQ20" s="301"/>
      <c r="AR20" s="289">
        <v>1</v>
      </c>
    </row>
    <row r="21" s="8" customFormat="1" ht="39.95" customHeight="1" spans="1:44">
      <c r="A21" s="42">
        <f t="shared" si="1"/>
        <v>13</v>
      </c>
      <c r="B21" s="43"/>
      <c r="C21" s="46">
        <v>1</v>
      </c>
      <c r="D21" s="46"/>
      <c r="E21" s="47"/>
      <c r="F21" s="47"/>
      <c r="G21" s="46"/>
      <c r="H21" s="46"/>
      <c r="I21" s="46"/>
      <c r="J21" s="95"/>
      <c r="K21" s="106"/>
      <c r="L21" s="87" t="s">
        <v>556</v>
      </c>
      <c r="M21" s="87" t="s">
        <v>556</v>
      </c>
      <c r="N21" s="90" t="s">
        <v>557</v>
      </c>
      <c r="O21" s="110" t="s">
        <v>373</v>
      </c>
      <c r="P21" s="108" t="s">
        <v>117</v>
      </c>
      <c r="Q21" s="43" t="s">
        <v>92</v>
      </c>
      <c r="R21" s="160"/>
      <c r="S21" s="149" t="s">
        <v>117</v>
      </c>
      <c r="T21" s="87" t="s">
        <v>104</v>
      </c>
      <c r="U21" s="152" t="s">
        <v>97</v>
      </c>
      <c r="V21" s="146" t="s">
        <v>93</v>
      </c>
      <c r="W21" s="150" t="s">
        <v>94</v>
      </c>
      <c r="X21" s="108" t="s">
        <v>112</v>
      </c>
      <c r="Y21" s="45" t="s">
        <v>96</v>
      </c>
      <c r="Z21" s="43" t="s">
        <v>97</v>
      </c>
      <c r="AA21" s="210" t="s">
        <v>97</v>
      </c>
      <c r="AB21" s="205" t="e">
        <f>#REF!+#REF!+AB37+AB26+AB32+AB33+AB52+AB53+AB48</f>
        <v>#REF!</v>
      </c>
      <c r="AC21" s="201"/>
      <c r="AD21" s="221" t="s">
        <v>157</v>
      </c>
      <c r="AE21" s="211"/>
      <c r="AF21" s="211"/>
      <c r="AG21" s="211"/>
      <c r="AH21" s="265"/>
      <c r="AI21" s="274"/>
      <c r="AJ21" s="275">
        <v>10</v>
      </c>
      <c r="AK21" s="265"/>
      <c r="AL21" s="266">
        <f>9*AJ21/600+10*8/60</f>
        <v>1.48333333333333</v>
      </c>
      <c r="AM21" s="276">
        <v>1</v>
      </c>
      <c r="AN21" s="263" t="s">
        <v>99</v>
      </c>
      <c r="AO21" s="263" t="s">
        <v>158</v>
      </c>
      <c r="AP21" s="302"/>
      <c r="AQ21" s="301"/>
      <c r="AR21" s="289">
        <v>1</v>
      </c>
    </row>
    <row r="22" s="8" customFormat="1" ht="39.95" customHeight="1" spans="1:44">
      <c r="A22" s="42">
        <f t="shared" si="1"/>
        <v>14</v>
      </c>
      <c r="B22" s="43"/>
      <c r="C22" s="46"/>
      <c r="D22" s="46">
        <v>2</v>
      </c>
      <c r="E22" s="47"/>
      <c r="F22" s="47"/>
      <c r="G22" s="46"/>
      <c r="H22" s="46"/>
      <c r="I22" s="46"/>
      <c r="J22" s="95"/>
      <c r="K22" s="106"/>
      <c r="L22" s="87"/>
      <c r="M22" s="87"/>
      <c r="N22" s="111" t="s">
        <v>558</v>
      </c>
      <c r="O22" s="112"/>
      <c r="P22" s="113"/>
      <c r="Q22" s="161" t="s">
        <v>160</v>
      </c>
      <c r="R22" s="162"/>
      <c r="S22" s="163"/>
      <c r="T22" s="164"/>
      <c r="U22" s="136"/>
      <c r="V22" s="165"/>
      <c r="W22" s="166" t="s">
        <v>94</v>
      </c>
      <c r="X22" s="113" t="s">
        <v>112</v>
      </c>
      <c r="Y22" s="111" t="s">
        <v>96</v>
      </c>
      <c r="Z22" s="161" t="s">
        <v>97</v>
      </c>
      <c r="AA22" s="161" t="s">
        <v>97</v>
      </c>
      <c r="AB22" s="222" t="e">
        <f>AB23+AB41+AB42+#REF!+AB45+AB46</f>
        <v>#REF!</v>
      </c>
      <c r="AC22" s="118" t="s">
        <v>97</v>
      </c>
      <c r="AD22" s="221" t="s">
        <v>157</v>
      </c>
      <c r="AE22" s="211"/>
      <c r="AF22" s="211"/>
      <c r="AG22" s="211"/>
      <c r="AH22" s="265"/>
      <c r="AI22" s="274"/>
      <c r="AJ22" s="211">
        <v>46</v>
      </c>
      <c r="AK22" s="265"/>
      <c r="AL22" s="266">
        <f>9*AJ22/600+10*6/60</f>
        <v>1.69</v>
      </c>
      <c r="AM22" s="276">
        <v>1</v>
      </c>
      <c r="AN22" s="263" t="s">
        <v>105</v>
      </c>
      <c r="AO22" s="263" t="s">
        <v>158</v>
      </c>
      <c r="AP22" s="302"/>
      <c r="AQ22" s="301"/>
      <c r="AR22" s="289">
        <v>1</v>
      </c>
    </row>
    <row r="23" ht="39.95" customHeight="1" spans="1:44">
      <c r="A23" s="42">
        <f t="shared" si="1"/>
        <v>15</v>
      </c>
      <c r="B23" s="43"/>
      <c r="C23" s="46"/>
      <c r="D23" s="46"/>
      <c r="E23" s="47">
        <v>3</v>
      </c>
      <c r="F23" s="47"/>
      <c r="G23" s="46"/>
      <c r="H23" s="46"/>
      <c r="I23" s="46"/>
      <c r="J23" s="95"/>
      <c r="K23" s="106"/>
      <c r="L23" s="95"/>
      <c r="M23" s="87" t="s">
        <v>559</v>
      </c>
      <c r="N23" s="90" t="s">
        <v>560</v>
      </c>
      <c r="O23" s="110" t="s">
        <v>373</v>
      </c>
      <c r="P23" s="108" t="s">
        <v>144</v>
      </c>
      <c r="Q23" s="43" t="s">
        <v>92</v>
      </c>
      <c r="R23" s="160"/>
      <c r="S23" s="149" t="s">
        <v>117</v>
      </c>
      <c r="T23" s="87" t="s">
        <v>104</v>
      </c>
      <c r="U23" s="152" t="s">
        <v>97</v>
      </c>
      <c r="V23" s="146" t="s">
        <v>93</v>
      </c>
      <c r="W23" s="150" t="s">
        <v>94</v>
      </c>
      <c r="X23" s="108" t="s">
        <v>112</v>
      </c>
      <c r="Y23" s="45" t="s">
        <v>96</v>
      </c>
      <c r="Z23" s="43" t="s">
        <v>97</v>
      </c>
      <c r="AA23" s="210" t="s">
        <v>97</v>
      </c>
      <c r="AB23" s="205">
        <f>AB24+AB40</f>
        <v>1.2575</v>
      </c>
      <c r="AC23" s="201"/>
      <c r="AD23" s="221" t="s">
        <v>157</v>
      </c>
      <c r="AE23" s="211"/>
      <c r="AF23" s="211"/>
      <c r="AG23" s="211"/>
      <c r="AH23" s="265"/>
      <c r="AI23" s="274"/>
      <c r="AJ23" s="211">
        <v>6</v>
      </c>
      <c r="AK23" s="265"/>
      <c r="AL23" s="266">
        <f>9*AJ23/600+10*2/60</f>
        <v>0.423333333333333</v>
      </c>
      <c r="AM23" s="276">
        <v>1</v>
      </c>
      <c r="AN23" s="273" t="s">
        <v>105</v>
      </c>
      <c r="AO23" s="263" t="s">
        <v>158</v>
      </c>
      <c r="AP23" s="302"/>
      <c r="AQ23" s="301"/>
      <c r="AR23" s="289">
        <v>1</v>
      </c>
    </row>
    <row r="24" ht="39.95" customHeight="1" spans="1:44">
      <c r="A24" s="42">
        <f t="shared" si="1"/>
        <v>16</v>
      </c>
      <c r="B24" s="43"/>
      <c r="C24" s="46"/>
      <c r="D24" s="46"/>
      <c r="E24" s="47"/>
      <c r="F24" s="47">
        <v>4</v>
      </c>
      <c r="G24" s="46"/>
      <c r="H24" s="46"/>
      <c r="I24" s="46"/>
      <c r="J24" s="95"/>
      <c r="K24" s="106"/>
      <c r="L24" s="95" t="s">
        <v>186</v>
      </c>
      <c r="M24" s="87" t="s">
        <v>187</v>
      </c>
      <c r="N24" s="90" t="s">
        <v>188</v>
      </c>
      <c r="O24" s="110" t="s">
        <v>175</v>
      </c>
      <c r="P24" s="108" t="s">
        <v>144</v>
      </c>
      <c r="Q24" s="43" t="s">
        <v>92</v>
      </c>
      <c r="R24" s="160"/>
      <c r="S24" s="149" t="s">
        <v>117</v>
      </c>
      <c r="T24" s="87" t="s">
        <v>104</v>
      </c>
      <c r="U24" s="152" t="s">
        <v>97</v>
      </c>
      <c r="V24" s="146" t="s">
        <v>94</v>
      </c>
      <c r="W24" s="150" t="s">
        <v>93</v>
      </c>
      <c r="X24" s="43" t="s">
        <v>189</v>
      </c>
      <c r="Y24" s="45" t="s">
        <v>190</v>
      </c>
      <c r="Z24" s="152" t="s">
        <v>191</v>
      </c>
      <c r="AA24" s="210" t="s">
        <v>192</v>
      </c>
      <c r="AB24" s="205">
        <v>0.2944</v>
      </c>
      <c r="AC24" s="201"/>
      <c r="AD24" s="223" t="s">
        <v>193</v>
      </c>
      <c r="AE24" s="224">
        <v>285</v>
      </c>
      <c r="AF24" s="224">
        <v>79</v>
      </c>
      <c r="AG24" s="224">
        <v>2.5</v>
      </c>
      <c r="AH24" s="277">
        <f>AE24*AF24*AG24*7860/1000000000</f>
        <v>0.44241975</v>
      </c>
      <c r="AI24" s="278">
        <f>AB24/AH24</f>
        <v>0.665431414397752</v>
      </c>
      <c r="AJ24" s="224"/>
      <c r="AK24" s="277"/>
      <c r="AL24" s="266"/>
      <c r="AM24" s="266"/>
      <c r="AN24" s="263" t="s">
        <v>127</v>
      </c>
      <c r="AO24" s="263" t="s">
        <v>194</v>
      </c>
      <c r="AP24" s="302"/>
      <c r="AQ24" s="301"/>
      <c r="AR24" s="289">
        <v>1</v>
      </c>
    </row>
    <row r="25" s="9" customFormat="1" ht="39.95" customHeight="1" spans="1:44">
      <c r="A25" s="42">
        <f t="shared" si="1"/>
        <v>17</v>
      </c>
      <c r="B25" s="50"/>
      <c r="C25" s="51"/>
      <c r="D25" s="51"/>
      <c r="E25" s="52"/>
      <c r="F25" s="52">
        <v>4</v>
      </c>
      <c r="G25" s="51"/>
      <c r="H25" s="51"/>
      <c r="I25" s="51"/>
      <c r="J25" s="114"/>
      <c r="K25" s="115"/>
      <c r="L25" s="92" t="s">
        <v>561</v>
      </c>
      <c r="M25" s="92" t="s">
        <v>561</v>
      </c>
      <c r="N25" s="93" t="s">
        <v>562</v>
      </c>
      <c r="O25" s="116"/>
      <c r="P25" s="117" t="s">
        <v>144</v>
      </c>
      <c r="Q25" s="50" t="s">
        <v>92</v>
      </c>
      <c r="R25" s="167"/>
      <c r="S25" s="168" t="s">
        <v>117</v>
      </c>
      <c r="T25" s="169" t="s">
        <v>104</v>
      </c>
      <c r="U25" s="170" t="s">
        <v>97</v>
      </c>
      <c r="V25" s="171" t="s">
        <v>94</v>
      </c>
      <c r="W25" s="172" t="s">
        <v>93</v>
      </c>
      <c r="X25" s="117" t="s">
        <v>112</v>
      </c>
      <c r="Y25" s="225" t="s">
        <v>96</v>
      </c>
      <c r="Z25" s="50" t="s">
        <v>97</v>
      </c>
      <c r="AA25" s="226" t="s">
        <v>97</v>
      </c>
      <c r="AB25" s="227">
        <v>0.1964</v>
      </c>
      <c r="AC25" s="228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63" t="s">
        <v>127</v>
      </c>
      <c r="AO25" s="273" t="s">
        <v>209</v>
      </c>
      <c r="AP25" s="307"/>
      <c r="AQ25" s="308"/>
      <c r="AR25" s="309">
        <v>1</v>
      </c>
    </row>
    <row r="26" ht="39.95" customHeight="1" spans="1:44">
      <c r="A26" s="42">
        <f t="shared" si="1"/>
        <v>18</v>
      </c>
      <c r="B26" s="43"/>
      <c r="C26" s="46"/>
      <c r="D26" s="46"/>
      <c r="E26" s="47">
        <v>3</v>
      </c>
      <c r="F26" s="47"/>
      <c r="G26" s="46"/>
      <c r="H26" s="46"/>
      <c r="I26" s="46"/>
      <c r="J26" s="95"/>
      <c r="K26" s="106"/>
      <c r="L26" s="95" t="s">
        <v>210</v>
      </c>
      <c r="M26" s="87" t="s">
        <v>211</v>
      </c>
      <c r="N26" s="90" t="s">
        <v>212</v>
      </c>
      <c r="O26" s="110" t="s">
        <v>111</v>
      </c>
      <c r="P26" s="108" t="s">
        <v>117</v>
      </c>
      <c r="Q26" s="43" t="s">
        <v>92</v>
      </c>
      <c r="R26" s="160"/>
      <c r="S26" s="149" t="s">
        <v>42</v>
      </c>
      <c r="T26" s="87" t="s">
        <v>104</v>
      </c>
      <c r="U26" s="152" t="s">
        <v>97</v>
      </c>
      <c r="V26" s="150" t="s">
        <v>94</v>
      </c>
      <c r="W26" s="146" t="s">
        <v>93</v>
      </c>
      <c r="X26" s="108" t="s">
        <v>112</v>
      </c>
      <c r="Y26" s="45" t="s">
        <v>96</v>
      </c>
      <c r="Z26" s="152" t="s">
        <v>97</v>
      </c>
      <c r="AA26" s="210" t="s">
        <v>97</v>
      </c>
      <c r="AB26" s="205">
        <f>AB27+AB29*AR28+AB29+AB30+AB31</f>
        <v>0.4379</v>
      </c>
      <c r="AC26" s="201"/>
      <c r="AD26" s="221" t="s">
        <v>157</v>
      </c>
      <c r="AE26" s="211"/>
      <c r="AF26" s="211"/>
      <c r="AG26" s="211"/>
      <c r="AH26" s="265"/>
      <c r="AI26" s="274"/>
      <c r="AJ26" s="211">
        <v>8</v>
      </c>
      <c r="AK26" s="265"/>
      <c r="AL26" s="266"/>
      <c r="AM26" s="276"/>
      <c r="AN26" s="263" t="s">
        <v>127</v>
      </c>
      <c r="AO26" s="263" t="s">
        <v>213</v>
      </c>
      <c r="AP26" s="302"/>
      <c r="AQ26" s="301"/>
      <c r="AR26" s="289">
        <v>1</v>
      </c>
    </row>
    <row r="27" ht="39.95" customHeight="1" spans="1:44">
      <c r="A27" s="42">
        <f t="shared" si="1"/>
        <v>19</v>
      </c>
      <c r="B27" s="43"/>
      <c r="C27" s="46"/>
      <c r="D27" s="46"/>
      <c r="E27" s="47"/>
      <c r="F27" s="47">
        <v>4</v>
      </c>
      <c r="G27" s="46"/>
      <c r="H27" s="46"/>
      <c r="I27" s="46"/>
      <c r="J27" s="95"/>
      <c r="K27" s="106"/>
      <c r="L27" s="95"/>
      <c r="M27" s="87" t="s">
        <v>214</v>
      </c>
      <c r="N27" s="90" t="s">
        <v>215</v>
      </c>
      <c r="O27" s="110" t="s">
        <v>111</v>
      </c>
      <c r="P27" s="108" t="s">
        <v>144</v>
      </c>
      <c r="Q27" s="43" t="s">
        <v>92</v>
      </c>
      <c r="R27" s="160"/>
      <c r="S27" s="149" t="s">
        <v>42</v>
      </c>
      <c r="T27" s="87" t="s">
        <v>104</v>
      </c>
      <c r="U27" s="152" t="s">
        <v>97</v>
      </c>
      <c r="V27" s="150" t="s">
        <v>94</v>
      </c>
      <c r="W27" s="146" t="s">
        <v>93</v>
      </c>
      <c r="X27" s="43" t="s">
        <v>216</v>
      </c>
      <c r="Y27" s="45" t="s">
        <v>217</v>
      </c>
      <c r="Z27" s="152" t="s">
        <v>218</v>
      </c>
      <c r="AA27" s="210" t="s">
        <v>219</v>
      </c>
      <c r="AB27" s="205">
        <v>0.059</v>
      </c>
      <c r="AC27" s="201"/>
      <c r="AD27" s="223" t="s">
        <v>126</v>
      </c>
      <c r="AE27" s="224">
        <f>AB27/0.154*1000</f>
        <v>383.116883116883</v>
      </c>
      <c r="AF27" s="224">
        <v>5</v>
      </c>
      <c r="AG27" s="224"/>
      <c r="AH27" s="277">
        <f>AE27*0.154/1000</f>
        <v>0.059</v>
      </c>
      <c r="AI27" s="278">
        <f t="shared" ref="AI27:AI33" si="2">AB27/AH27</f>
        <v>1</v>
      </c>
      <c r="AJ27" s="211"/>
      <c r="AK27" s="265"/>
      <c r="AL27" s="266"/>
      <c r="AM27" s="266"/>
      <c r="AN27" s="279"/>
      <c r="AO27" s="279"/>
      <c r="AP27" s="302"/>
      <c r="AQ27" s="301"/>
      <c r="AR27" s="289">
        <v>1</v>
      </c>
    </row>
    <row r="28" s="10" customFormat="1" ht="39.95" customHeight="1" spans="1:44">
      <c r="A28" s="42">
        <f t="shared" si="1"/>
        <v>20</v>
      </c>
      <c r="B28" s="43"/>
      <c r="C28" s="46"/>
      <c r="D28" s="46"/>
      <c r="E28" s="47"/>
      <c r="F28" s="47">
        <v>4</v>
      </c>
      <c r="G28" s="46"/>
      <c r="H28" s="46"/>
      <c r="I28" s="46"/>
      <c r="J28" s="95"/>
      <c r="K28" s="106"/>
      <c r="L28" s="95"/>
      <c r="M28" s="87" t="s">
        <v>220</v>
      </c>
      <c r="N28" s="90" t="s">
        <v>221</v>
      </c>
      <c r="O28" s="110" t="s">
        <v>111</v>
      </c>
      <c r="P28" s="108" t="s">
        <v>144</v>
      </c>
      <c r="Q28" s="43" t="s">
        <v>92</v>
      </c>
      <c r="R28" s="160"/>
      <c r="S28" s="149" t="s">
        <v>42</v>
      </c>
      <c r="T28" s="87" t="s">
        <v>104</v>
      </c>
      <c r="U28" s="152" t="s">
        <v>97</v>
      </c>
      <c r="V28" s="150" t="s">
        <v>94</v>
      </c>
      <c r="W28" s="146" t="s">
        <v>93</v>
      </c>
      <c r="X28" s="43" t="s">
        <v>216</v>
      </c>
      <c r="Y28" s="45" t="s">
        <v>217</v>
      </c>
      <c r="Z28" s="152" t="s">
        <v>218</v>
      </c>
      <c r="AA28" s="210" t="s">
        <v>222</v>
      </c>
      <c r="AB28" s="205">
        <v>0.0654</v>
      </c>
      <c r="AC28" s="201"/>
      <c r="AD28" s="223" t="s">
        <v>126</v>
      </c>
      <c r="AE28" s="224">
        <f>AB28/0.154*1000</f>
        <v>424.675324675325</v>
      </c>
      <c r="AF28" s="224">
        <v>5</v>
      </c>
      <c r="AG28" s="224"/>
      <c r="AH28" s="277">
        <f>AE28*0.154/1000</f>
        <v>0.0654</v>
      </c>
      <c r="AI28" s="278">
        <f t="shared" si="2"/>
        <v>1</v>
      </c>
      <c r="AJ28" s="211"/>
      <c r="AK28" s="265"/>
      <c r="AL28" s="266"/>
      <c r="AM28" s="266"/>
      <c r="AN28" s="279"/>
      <c r="AO28" s="279"/>
      <c r="AP28" s="302"/>
      <c r="AQ28" s="301"/>
      <c r="AR28" s="289">
        <v>2</v>
      </c>
    </row>
    <row r="29" s="10" customFormat="1" ht="39.95" customHeight="1" spans="1:44">
      <c r="A29" s="42">
        <f t="shared" si="1"/>
        <v>21</v>
      </c>
      <c r="B29" s="43"/>
      <c r="C29" s="46"/>
      <c r="D29" s="46"/>
      <c r="E29" s="47"/>
      <c r="F29" s="47">
        <v>4</v>
      </c>
      <c r="G29" s="46"/>
      <c r="H29" s="46"/>
      <c r="I29" s="46"/>
      <c r="J29" s="95"/>
      <c r="K29" s="106"/>
      <c r="L29" s="95"/>
      <c r="M29" s="87" t="s">
        <v>223</v>
      </c>
      <c r="N29" s="90" t="s">
        <v>224</v>
      </c>
      <c r="O29" s="110" t="s">
        <v>111</v>
      </c>
      <c r="P29" s="108" t="s">
        <v>144</v>
      </c>
      <c r="Q29" s="43" t="s">
        <v>92</v>
      </c>
      <c r="R29" s="160"/>
      <c r="S29" s="149" t="s">
        <v>42</v>
      </c>
      <c r="T29" s="87" t="s">
        <v>104</v>
      </c>
      <c r="U29" s="152" t="s">
        <v>97</v>
      </c>
      <c r="V29" s="150" t="s">
        <v>94</v>
      </c>
      <c r="W29" s="146" t="s">
        <v>93</v>
      </c>
      <c r="X29" s="43" t="s">
        <v>216</v>
      </c>
      <c r="Y29" s="45" t="s">
        <v>217</v>
      </c>
      <c r="Z29" s="152" t="s">
        <v>218</v>
      </c>
      <c r="AA29" s="210" t="s">
        <v>225</v>
      </c>
      <c r="AB29" s="205">
        <v>0.0887</v>
      </c>
      <c r="AC29" s="201"/>
      <c r="AD29" s="223" t="s">
        <v>126</v>
      </c>
      <c r="AE29" s="224">
        <f>AB29/0.154*1000</f>
        <v>575.974025974026</v>
      </c>
      <c r="AF29" s="224">
        <v>5</v>
      </c>
      <c r="AG29" s="224"/>
      <c r="AH29" s="277">
        <f>AE29*0.154/1000</f>
        <v>0.0887</v>
      </c>
      <c r="AI29" s="278">
        <f t="shared" si="2"/>
        <v>1</v>
      </c>
      <c r="AJ29" s="211"/>
      <c r="AK29" s="265"/>
      <c r="AL29" s="266"/>
      <c r="AM29" s="266"/>
      <c r="AN29" s="279"/>
      <c r="AO29" s="279"/>
      <c r="AP29" s="302"/>
      <c r="AQ29" s="301"/>
      <c r="AR29" s="289">
        <v>1</v>
      </c>
    </row>
    <row r="30" ht="39.95" customHeight="1" spans="1:44">
      <c r="A30" s="42">
        <f t="shared" ref="A30:A39" si="3">ROW()-8</f>
        <v>22</v>
      </c>
      <c r="B30" s="43"/>
      <c r="C30" s="46"/>
      <c r="D30" s="46"/>
      <c r="E30" s="47"/>
      <c r="F30" s="47">
        <v>4</v>
      </c>
      <c r="G30" s="46"/>
      <c r="H30" s="46"/>
      <c r="I30" s="46"/>
      <c r="J30" s="95"/>
      <c r="K30" s="106"/>
      <c r="L30" s="95"/>
      <c r="M30" s="87" t="s">
        <v>226</v>
      </c>
      <c r="N30" s="90" t="s">
        <v>227</v>
      </c>
      <c r="O30" s="110" t="s">
        <v>175</v>
      </c>
      <c r="P30" s="108" t="s">
        <v>144</v>
      </c>
      <c r="Q30" s="43" t="s">
        <v>92</v>
      </c>
      <c r="R30" s="160"/>
      <c r="S30" s="149" t="s">
        <v>42</v>
      </c>
      <c r="T30" s="87" t="s">
        <v>104</v>
      </c>
      <c r="U30" s="152" t="s">
        <v>97</v>
      </c>
      <c r="V30" s="146" t="s">
        <v>94</v>
      </c>
      <c r="W30" s="150" t="s">
        <v>93</v>
      </c>
      <c r="X30" s="43" t="s">
        <v>216</v>
      </c>
      <c r="Y30" s="45" t="s">
        <v>217</v>
      </c>
      <c r="Z30" s="152" t="s">
        <v>218</v>
      </c>
      <c r="AA30" s="210" t="s">
        <v>228</v>
      </c>
      <c r="AB30" s="205">
        <v>0.0241</v>
      </c>
      <c r="AC30" s="201"/>
      <c r="AD30" s="223" t="s">
        <v>126</v>
      </c>
      <c r="AE30" s="224">
        <f>AB30/0.154*1000</f>
        <v>156.493506493506</v>
      </c>
      <c r="AF30" s="224">
        <v>5</v>
      </c>
      <c r="AG30" s="224"/>
      <c r="AH30" s="277">
        <f>AE30*0.154/1000</f>
        <v>0.0241</v>
      </c>
      <c r="AI30" s="278">
        <f t="shared" si="2"/>
        <v>1</v>
      </c>
      <c r="AJ30" s="211"/>
      <c r="AK30" s="265"/>
      <c r="AL30" s="266"/>
      <c r="AM30" s="266"/>
      <c r="AN30" s="279"/>
      <c r="AO30" s="279"/>
      <c r="AP30" s="302"/>
      <c r="AQ30" s="301"/>
      <c r="AR30" s="289">
        <v>1</v>
      </c>
    </row>
    <row r="31" ht="39.95" customHeight="1" spans="1:44">
      <c r="A31" s="42">
        <f t="shared" si="3"/>
        <v>23</v>
      </c>
      <c r="B31" s="43"/>
      <c r="C31" s="46"/>
      <c r="D31" s="46"/>
      <c r="E31" s="47"/>
      <c r="F31" s="47">
        <v>4</v>
      </c>
      <c r="G31" s="46"/>
      <c r="H31" s="46"/>
      <c r="I31" s="46"/>
      <c r="J31" s="95"/>
      <c r="K31" s="106"/>
      <c r="L31" s="95"/>
      <c r="M31" s="87" t="s">
        <v>229</v>
      </c>
      <c r="N31" s="90" t="s">
        <v>230</v>
      </c>
      <c r="O31" s="110" t="s">
        <v>111</v>
      </c>
      <c r="P31" s="108" t="s">
        <v>144</v>
      </c>
      <c r="Q31" s="43" t="s">
        <v>92</v>
      </c>
      <c r="R31" s="160"/>
      <c r="S31" s="149" t="s">
        <v>42</v>
      </c>
      <c r="T31" s="87" t="s">
        <v>104</v>
      </c>
      <c r="U31" s="152" t="s">
        <v>97</v>
      </c>
      <c r="V31" s="150" t="s">
        <v>94</v>
      </c>
      <c r="W31" s="146" t="s">
        <v>93</v>
      </c>
      <c r="X31" s="43" t="s">
        <v>216</v>
      </c>
      <c r="Y31" s="45" t="s">
        <v>217</v>
      </c>
      <c r="Z31" s="152" t="s">
        <v>218</v>
      </c>
      <c r="AA31" s="210" t="s">
        <v>225</v>
      </c>
      <c r="AB31" s="205">
        <v>0.0887</v>
      </c>
      <c r="AC31" s="201"/>
      <c r="AD31" s="223" t="s">
        <v>126</v>
      </c>
      <c r="AE31" s="224">
        <f>AB31/0.154*1000</f>
        <v>575.974025974026</v>
      </c>
      <c r="AF31" s="224">
        <v>5</v>
      </c>
      <c r="AG31" s="224"/>
      <c r="AH31" s="277">
        <f>AE31*0.154/1000</f>
        <v>0.0887</v>
      </c>
      <c r="AI31" s="278">
        <f t="shared" si="2"/>
        <v>1</v>
      </c>
      <c r="AJ31" s="211"/>
      <c r="AK31" s="265"/>
      <c r="AL31" s="266"/>
      <c r="AM31" s="266"/>
      <c r="AN31" s="279"/>
      <c r="AO31" s="279"/>
      <c r="AP31" s="302"/>
      <c r="AQ31" s="301"/>
      <c r="AR31" s="289">
        <v>1</v>
      </c>
    </row>
    <row r="32" ht="39.95" customHeight="1" spans="1:44">
      <c r="A32" s="42">
        <f t="shared" si="3"/>
        <v>24</v>
      </c>
      <c r="B32" s="53"/>
      <c r="C32" s="54"/>
      <c r="D32" s="46"/>
      <c r="E32" s="47">
        <v>3</v>
      </c>
      <c r="F32" s="47"/>
      <c r="G32" s="46"/>
      <c r="H32" s="46"/>
      <c r="I32" s="46"/>
      <c r="J32" s="95"/>
      <c r="K32" s="106"/>
      <c r="L32" s="95" t="s">
        <v>231</v>
      </c>
      <c r="M32" s="87" t="s">
        <v>232</v>
      </c>
      <c r="N32" s="90" t="s">
        <v>233</v>
      </c>
      <c r="O32" s="110" t="s">
        <v>111</v>
      </c>
      <c r="P32" s="108" t="s">
        <v>144</v>
      </c>
      <c r="Q32" s="43" t="s">
        <v>92</v>
      </c>
      <c r="R32" s="173"/>
      <c r="S32" s="149" t="s">
        <v>42</v>
      </c>
      <c r="T32" s="87" t="s">
        <v>104</v>
      </c>
      <c r="U32" s="152" t="s">
        <v>97</v>
      </c>
      <c r="V32" s="150" t="s">
        <v>94</v>
      </c>
      <c r="W32" s="146" t="s">
        <v>93</v>
      </c>
      <c r="X32" s="43" t="s">
        <v>216</v>
      </c>
      <c r="Y32" s="45" t="s">
        <v>234</v>
      </c>
      <c r="Z32" s="152" t="s">
        <v>218</v>
      </c>
      <c r="AA32" s="210" t="s">
        <v>235</v>
      </c>
      <c r="AB32" s="205">
        <v>0.1914</v>
      </c>
      <c r="AC32" s="201"/>
      <c r="AD32" s="223" t="s">
        <v>126</v>
      </c>
      <c r="AE32" s="224">
        <f>AB32/0.395*1000</f>
        <v>484.556962025316</v>
      </c>
      <c r="AF32" s="224">
        <v>5</v>
      </c>
      <c r="AG32" s="224"/>
      <c r="AH32" s="277">
        <f>AE32*0.395/1000</f>
        <v>0.1914</v>
      </c>
      <c r="AI32" s="278">
        <f t="shared" si="2"/>
        <v>1</v>
      </c>
      <c r="AJ32" s="211"/>
      <c r="AK32" s="265"/>
      <c r="AL32" s="266"/>
      <c r="AM32" s="266"/>
      <c r="AN32" s="263" t="s">
        <v>127</v>
      </c>
      <c r="AO32" s="263" t="s">
        <v>213</v>
      </c>
      <c r="AP32" s="302"/>
      <c r="AQ32" s="301"/>
      <c r="AR32" s="289">
        <v>1</v>
      </c>
    </row>
    <row r="33" ht="39.95" customHeight="1" spans="1:44">
      <c r="A33" s="42">
        <f t="shared" si="3"/>
        <v>25</v>
      </c>
      <c r="B33" s="53"/>
      <c r="C33" s="54"/>
      <c r="D33" s="46"/>
      <c r="E33" s="47">
        <v>3</v>
      </c>
      <c r="F33" s="47"/>
      <c r="G33" s="46"/>
      <c r="H33" s="46"/>
      <c r="I33" s="46"/>
      <c r="J33" s="95"/>
      <c r="K33" s="106"/>
      <c r="L33" s="95" t="s">
        <v>236</v>
      </c>
      <c r="M33" s="87" t="s">
        <v>237</v>
      </c>
      <c r="N33" s="90" t="s">
        <v>238</v>
      </c>
      <c r="O33" s="110" t="s">
        <v>111</v>
      </c>
      <c r="P33" s="108" t="s">
        <v>144</v>
      </c>
      <c r="Q33" s="43" t="s">
        <v>92</v>
      </c>
      <c r="R33" s="173"/>
      <c r="S33" s="149" t="s">
        <v>42</v>
      </c>
      <c r="T33" s="87" t="s">
        <v>104</v>
      </c>
      <c r="U33" s="152" t="s">
        <v>97</v>
      </c>
      <c r="V33" s="150" t="s">
        <v>94</v>
      </c>
      <c r="W33" s="146" t="s">
        <v>93</v>
      </c>
      <c r="X33" s="43" t="s">
        <v>216</v>
      </c>
      <c r="Y33" s="45" t="s">
        <v>217</v>
      </c>
      <c r="Z33" s="152" t="s">
        <v>218</v>
      </c>
      <c r="AA33" s="210" t="s">
        <v>239</v>
      </c>
      <c r="AB33" s="205">
        <v>0.0975</v>
      </c>
      <c r="AC33" s="201"/>
      <c r="AD33" s="223" t="s">
        <v>126</v>
      </c>
      <c r="AE33" s="224">
        <f>AB33/0.154*1000</f>
        <v>633.116883116883</v>
      </c>
      <c r="AF33" s="224">
        <v>5</v>
      </c>
      <c r="AG33" s="224"/>
      <c r="AH33" s="277">
        <f>AE33*0.154/1000</f>
        <v>0.0975</v>
      </c>
      <c r="AI33" s="278">
        <f t="shared" si="2"/>
        <v>1</v>
      </c>
      <c r="AJ33" s="211"/>
      <c r="AK33" s="265"/>
      <c r="AL33" s="266"/>
      <c r="AM33" s="266"/>
      <c r="AN33" s="263" t="s">
        <v>127</v>
      </c>
      <c r="AO33" s="263" t="s">
        <v>213</v>
      </c>
      <c r="AP33" s="302"/>
      <c r="AQ33" s="301"/>
      <c r="AR33" s="289">
        <v>1</v>
      </c>
    </row>
    <row r="34" ht="39.95" customHeight="1" spans="1:44">
      <c r="A34" s="42">
        <f t="shared" si="3"/>
        <v>26</v>
      </c>
      <c r="B34" s="43"/>
      <c r="C34" s="46"/>
      <c r="D34" s="46"/>
      <c r="E34" s="47">
        <v>3</v>
      </c>
      <c r="F34" s="47"/>
      <c r="G34" s="46"/>
      <c r="H34" s="46"/>
      <c r="I34" s="46"/>
      <c r="J34" s="95"/>
      <c r="K34" s="106"/>
      <c r="L34" s="95" t="s">
        <v>162</v>
      </c>
      <c r="M34" s="87" t="s">
        <v>163</v>
      </c>
      <c r="N34" s="90" t="s">
        <v>164</v>
      </c>
      <c r="O34" s="110" t="s">
        <v>111</v>
      </c>
      <c r="P34" s="108" t="s">
        <v>144</v>
      </c>
      <c r="Q34" s="43" t="s">
        <v>92</v>
      </c>
      <c r="R34" s="160"/>
      <c r="S34" s="149" t="s">
        <v>42</v>
      </c>
      <c r="T34" s="87" t="s">
        <v>104</v>
      </c>
      <c r="U34" s="152" t="s">
        <v>97</v>
      </c>
      <c r="V34" s="150" t="s">
        <v>94</v>
      </c>
      <c r="W34" s="146" t="s">
        <v>93</v>
      </c>
      <c r="X34" s="108" t="s">
        <v>112</v>
      </c>
      <c r="Y34" s="45" t="s">
        <v>96</v>
      </c>
      <c r="Z34" s="43" t="s">
        <v>97</v>
      </c>
      <c r="AA34" s="210" t="s">
        <v>97</v>
      </c>
      <c r="AB34" s="205">
        <f>AB35+AB36</f>
        <v>1.6812</v>
      </c>
      <c r="AC34" s="201"/>
      <c r="AD34" s="221" t="s">
        <v>165</v>
      </c>
      <c r="AE34" s="211"/>
      <c r="AF34" s="211"/>
      <c r="AG34" s="211"/>
      <c r="AH34" s="265"/>
      <c r="AI34" s="274"/>
      <c r="AJ34" s="211"/>
      <c r="AK34" s="265"/>
      <c r="AL34" s="266">
        <f>0.0195*60</f>
        <v>1.17</v>
      </c>
      <c r="AM34" s="276">
        <v>1</v>
      </c>
      <c r="AN34" s="263" t="s">
        <v>99</v>
      </c>
      <c r="AO34" s="263" t="s">
        <v>166</v>
      </c>
      <c r="AP34" s="302"/>
      <c r="AQ34" s="301"/>
      <c r="AR34" s="289">
        <v>1</v>
      </c>
    </row>
    <row r="35" ht="39.95" customHeight="1" spans="1:44">
      <c r="A35" s="42">
        <f t="shared" si="3"/>
        <v>27</v>
      </c>
      <c r="B35" s="43"/>
      <c r="C35" s="46"/>
      <c r="D35" s="46"/>
      <c r="E35" s="47"/>
      <c r="F35" s="47">
        <v>4</v>
      </c>
      <c r="G35" s="46"/>
      <c r="H35" s="46"/>
      <c r="I35" s="46"/>
      <c r="J35" s="95"/>
      <c r="K35" s="106"/>
      <c r="L35" s="95"/>
      <c r="M35" s="87" t="s">
        <v>167</v>
      </c>
      <c r="N35" s="90" t="s">
        <v>168</v>
      </c>
      <c r="O35" s="110" t="s">
        <v>111</v>
      </c>
      <c r="P35" s="108" t="s">
        <v>144</v>
      </c>
      <c r="Q35" s="43" t="s">
        <v>92</v>
      </c>
      <c r="R35" s="160"/>
      <c r="S35" s="149" t="s">
        <v>42</v>
      </c>
      <c r="T35" s="129" t="s">
        <v>104</v>
      </c>
      <c r="U35" s="95" t="s">
        <v>97</v>
      </c>
      <c r="V35" s="150" t="s">
        <v>94</v>
      </c>
      <c r="W35" s="146" t="s">
        <v>93</v>
      </c>
      <c r="X35" s="43" t="s">
        <v>169</v>
      </c>
      <c r="Y35" s="45" t="s">
        <v>170</v>
      </c>
      <c r="Z35" s="152" t="s">
        <v>171</v>
      </c>
      <c r="AA35" s="210" t="s">
        <v>172</v>
      </c>
      <c r="AB35" s="205">
        <v>1.5622</v>
      </c>
      <c r="AC35" s="201"/>
      <c r="AD35" s="221"/>
      <c r="AE35" s="211">
        <f>AB35/1.134*1000+10</f>
        <v>1387.60141093474</v>
      </c>
      <c r="AF35" s="211">
        <v>25</v>
      </c>
      <c r="AG35" s="211">
        <v>2</v>
      </c>
      <c r="AH35" s="265">
        <f>AE35*1.134/1000</f>
        <v>1.57354</v>
      </c>
      <c r="AI35" s="261">
        <f>AB35/AH35</f>
        <v>0.992793319521588</v>
      </c>
      <c r="AJ35" s="211"/>
      <c r="AK35" s="265"/>
      <c r="AL35" s="266"/>
      <c r="AM35" s="266"/>
      <c r="AN35" s="279"/>
      <c r="AO35" s="279"/>
      <c r="AP35" s="302"/>
      <c r="AQ35" s="301"/>
      <c r="AR35" s="289">
        <v>1</v>
      </c>
    </row>
    <row r="36" ht="39.95" customHeight="1" spans="1:44">
      <c r="A36" s="42">
        <f t="shared" si="3"/>
        <v>28</v>
      </c>
      <c r="B36" s="43"/>
      <c r="C36" s="46"/>
      <c r="D36" s="46"/>
      <c r="E36" s="47"/>
      <c r="F36" s="47">
        <v>4</v>
      </c>
      <c r="G36" s="46"/>
      <c r="H36" s="46"/>
      <c r="I36" s="46"/>
      <c r="J36" s="95"/>
      <c r="K36" s="106"/>
      <c r="L36" s="95"/>
      <c r="M36" s="87" t="s">
        <v>173</v>
      </c>
      <c r="N36" s="90" t="s">
        <v>174</v>
      </c>
      <c r="O36" s="110" t="s">
        <v>175</v>
      </c>
      <c r="P36" s="108" t="s">
        <v>144</v>
      </c>
      <c r="Q36" s="43" t="s">
        <v>92</v>
      </c>
      <c r="R36" s="160"/>
      <c r="S36" s="149" t="s">
        <v>42</v>
      </c>
      <c r="T36" s="129" t="s">
        <v>104</v>
      </c>
      <c r="U36" s="152" t="s">
        <v>97</v>
      </c>
      <c r="V36" s="146" t="s">
        <v>94</v>
      </c>
      <c r="W36" s="150" t="s">
        <v>93</v>
      </c>
      <c r="X36" s="43" t="s">
        <v>169</v>
      </c>
      <c r="Y36" s="45" t="s">
        <v>176</v>
      </c>
      <c r="Z36" s="152" t="s">
        <v>171</v>
      </c>
      <c r="AA36" s="210" t="s">
        <v>177</v>
      </c>
      <c r="AB36" s="205">
        <v>0.119</v>
      </c>
      <c r="AC36" s="201"/>
      <c r="AD36" s="221"/>
      <c r="AE36" s="211">
        <f>AB36/0.684*1000+10</f>
        <v>183.976608187134</v>
      </c>
      <c r="AF36" s="211">
        <v>20</v>
      </c>
      <c r="AG36" s="211">
        <v>1.5</v>
      </c>
      <c r="AH36" s="265">
        <f>AE36*0.684/1000</f>
        <v>0.12584</v>
      </c>
      <c r="AI36" s="261">
        <f>AB36/AH36</f>
        <v>0.945645263827082</v>
      </c>
      <c r="AJ36" s="211"/>
      <c r="AK36" s="265"/>
      <c r="AL36" s="266"/>
      <c r="AM36" s="266"/>
      <c r="AN36" s="279"/>
      <c r="AO36" s="279"/>
      <c r="AP36" s="302"/>
      <c r="AQ36" s="301"/>
      <c r="AR36" s="289">
        <v>1</v>
      </c>
    </row>
    <row r="37" ht="39.95" customHeight="1" spans="1:44">
      <c r="A37" s="42">
        <f t="shared" si="3"/>
        <v>29</v>
      </c>
      <c r="B37" s="43"/>
      <c r="C37" s="46"/>
      <c r="D37" s="46"/>
      <c r="E37" s="47">
        <v>3</v>
      </c>
      <c r="F37" s="47"/>
      <c r="G37" s="46"/>
      <c r="H37" s="46"/>
      <c r="I37" s="46"/>
      <c r="J37" s="95"/>
      <c r="K37" s="106"/>
      <c r="L37" s="95" t="s">
        <v>178</v>
      </c>
      <c r="M37" s="87" t="s">
        <v>179</v>
      </c>
      <c r="N37" s="90" t="s">
        <v>180</v>
      </c>
      <c r="O37" s="91" t="s">
        <v>175</v>
      </c>
      <c r="P37" s="108" t="s">
        <v>144</v>
      </c>
      <c r="Q37" s="43" t="s">
        <v>92</v>
      </c>
      <c r="R37" s="160"/>
      <c r="S37" s="149" t="s">
        <v>42</v>
      </c>
      <c r="T37" s="87" t="s">
        <v>104</v>
      </c>
      <c r="U37" s="152" t="s">
        <v>97</v>
      </c>
      <c r="V37" s="146" t="s">
        <v>94</v>
      </c>
      <c r="W37" s="150" t="s">
        <v>93</v>
      </c>
      <c r="X37" s="43" t="s">
        <v>169</v>
      </c>
      <c r="Y37" s="45" t="s">
        <v>181</v>
      </c>
      <c r="Z37" s="152" t="s">
        <v>182</v>
      </c>
      <c r="AA37" s="210" t="s">
        <v>183</v>
      </c>
      <c r="AB37" s="205">
        <v>0.3634</v>
      </c>
      <c r="AC37" s="201"/>
      <c r="AD37" s="221" t="s">
        <v>165</v>
      </c>
      <c r="AE37" s="211">
        <f>AB37/0.684*1000+10</f>
        <v>541.286549707602</v>
      </c>
      <c r="AF37" s="211">
        <v>20</v>
      </c>
      <c r="AG37" s="211">
        <v>1.5</v>
      </c>
      <c r="AH37" s="265">
        <f>AE37*0.684/1000</f>
        <v>0.37024</v>
      </c>
      <c r="AI37" s="261">
        <f>AB37/AH37</f>
        <v>0.981525496974935</v>
      </c>
      <c r="AJ37" s="211"/>
      <c r="AK37" s="265"/>
      <c r="AL37" s="266">
        <f>0.0056*60</f>
        <v>0.336</v>
      </c>
      <c r="AM37" s="276">
        <v>1</v>
      </c>
      <c r="AN37" s="263" t="s">
        <v>99</v>
      </c>
      <c r="AO37" s="263" t="s">
        <v>166</v>
      </c>
      <c r="AP37" s="302"/>
      <c r="AQ37" s="301"/>
      <c r="AR37" s="289">
        <v>1</v>
      </c>
    </row>
    <row r="38" ht="39.95" customHeight="1" spans="1:44">
      <c r="A38" s="42">
        <f t="shared" si="3"/>
        <v>30</v>
      </c>
      <c r="B38" s="43"/>
      <c r="C38" s="46"/>
      <c r="D38" s="46">
        <v>2</v>
      </c>
      <c r="E38" s="47"/>
      <c r="F38" s="47"/>
      <c r="G38" s="46"/>
      <c r="H38" s="46"/>
      <c r="I38" s="46"/>
      <c r="J38" s="95"/>
      <c r="K38" s="106"/>
      <c r="L38" s="118" t="s">
        <v>563</v>
      </c>
      <c r="M38" s="119"/>
      <c r="N38" s="120" t="s">
        <v>564</v>
      </c>
      <c r="O38" s="121" t="s">
        <v>111</v>
      </c>
      <c r="P38" s="122" t="s">
        <v>144</v>
      </c>
      <c r="Q38" s="174" t="s">
        <v>160</v>
      </c>
      <c r="R38" s="175"/>
      <c r="S38" s="176" t="s">
        <v>117</v>
      </c>
      <c r="T38" s="177" t="s">
        <v>104</v>
      </c>
      <c r="U38" s="177" t="s">
        <v>97</v>
      </c>
      <c r="V38" s="178" t="s">
        <v>94</v>
      </c>
      <c r="W38" s="166" t="s">
        <v>93</v>
      </c>
      <c r="X38" s="122" t="s">
        <v>242</v>
      </c>
      <c r="Y38" s="120" t="s">
        <v>96</v>
      </c>
      <c r="Z38" s="174"/>
      <c r="AA38" s="174" t="s">
        <v>97</v>
      </c>
      <c r="AB38" s="229">
        <f>AB39</f>
        <v>1.2482</v>
      </c>
      <c r="AC38" s="230" t="s">
        <v>243</v>
      </c>
      <c r="AD38" s="221" t="s">
        <v>243</v>
      </c>
      <c r="AE38" s="211"/>
      <c r="AF38" s="211"/>
      <c r="AG38" s="211"/>
      <c r="AH38" s="265"/>
      <c r="AI38" s="274"/>
      <c r="AJ38" s="211"/>
      <c r="AK38" s="265">
        <f>SUM(AK41:AK51)</f>
        <v>0.286694702857143</v>
      </c>
      <c r="AL38" s="262">
        <f>0.0024*60</f>
        <v>0.144</v>
      </c>
      <c r="AM38" s="276">
        <v>7</v>
      </c>
      <c r="AN38" s="263" t="s">
        <v>99</v>
      </c>
      <c r="AO38" s="263" t="s">
        <v>244</v>
      </c>
      <c r="AP38" s="302"/>
      <c r="AQ38" s="301"/>
      <c r="AR38" s="289">
        <v>1</v>
      </c>
    </row>
    <row r="39" ht="39.95" customHeight="1" spans="1:44">
      <c r="A39" s="42">
        <f t="shared" si="3"/>
        <v>31</v>
      </c>
      <c r="B39" s="43"/>
      <c r="C39" s="46"/>
      <c r="D39" s="46"/>
      <c r="E39" s="47">
        <v>3</v>
      </c>
      <c r="F39" s="47"/>
      <c r="G39" s="46"/>
      <c r="H39" s="46"/>
      <c r="I39" s="46"/>
      <c r="J39" s="95"/>
      <c r="K39" s="106"/>
      <c r="L39" s="118" t="s">
        <v>565</v>
      </c>
      <c r="M39" s="119"/>
      <c r="N39" s="120" t="s">
        <v>566</v>
      </c>
      <c r="O39" s="121" t="s">
        <v>111</v>
      </c>
      <c r="P39" s="122" t="s">
        <v>144</v>
      </c>
      <c r="Q39" s="174" t="s">
        <v>160</v>
      </c>
      <c r="R39" s="175"/>
      <c r="S39" s="176" t="s">
        <v>117</v>
      </c>
      <c r="T39" s="177" t="s">
        <v>104</v>
      </c>
      <c r="U39" s="177" t="s">
        <v>97</v>
      </c>
      <c r="V39" s="178" t="s">
        <v>94</v>
      </c>
      <c r="W39" s="166" t="s">
        <v>93</v>
      </c>
      <c r="X39" s="122" t="s">
        <v>161</v>
      </c>
      <c r="Y39" s="120" t="s">
        <v>96</v>
      </c>
      <c r="Z39" s="174"/>
      <c r="AA39" s="174" t="s">
        <v>97</v>
      </c>
      <c r="AB39" s="229">
        <f>AB25+AB40+AB29</f>
        <v>1.2482</v>
      </c>
      <c r="AC39" s="118" t="s">
        <v>97</v>
      </c>
      <c r="AD39" s="221" t="s">
        <v>157</v>
      </c>
      <c r="AE39" s="211"/>
      <c r="AF39" s="211"/>
      <c r="AG39" s="211"/>
      <c r="AH39" s="265"/>
      <c r="AI39" s="274"/>
      <c r="AJ39" s="211">
        <v>12</v>
      </c>
      <c r="AK39" s="265"/>
      <c r="AL39" s="266">
        <f>9*AJ39/600+10*3/60</f>
        <v>0.68</v>
      </c>
      <c r="AM39" s="276">
        <v>1</v>
      </c>
      <c r="AN39" s="263" t="s">
        <v>99</v>
      </c>
      <c r="AO39" s="263" t="s">
        <v>158</v>
      </c>
      <c r="AP39" s="302"/>
      <c r="AQ39" s="301"/>
      <c r="AR39" s="289">
        <v>1</v>
      </c>
    </row>
    <row r="40" ht="39.95" customHeight="1" spans="1:44">
      <c r="A40" s="42">
        <f t="shared" ref="A40:A49" si="4">ROW()-8</f>
        <v>32</v>
      </c>
      <c r="B40" s="43"/>
      <c r="C40" s="46"/>
      <c r="D40" s="46"/>
      <c r="E40" s="47"/>
      <c r="F40" s="47">
        <v>4</v>
      </c>
      <c r="G40" s="46"/>
      <c r="H40" s="46"/>
      <c r="I40" s="46"/>
      <c r="J40" s="95"/>
      <c r="K40" s="106"/>
      <c r="L40" s="95"/>
      <c r="M40" s="87" t="s">
        <v>567</v>
      </c>
      <c r="N40" s="90" t="s">
        <v>568</v>
      </c>
      <c r="O40" s="110" t="s">
        <v>373</v>
      </c>
      <c r="P40" s="108" t="s">
        <v>144</v>
      </c>
      <c r="Q40" s="43" t="s">
        <v>92</v>
      </c>
      <c r="R40" s="160"/>
      <c r="S40" s="179" t="s">
        <v>117</v>
      </c>
      <c r="T40" s="129" t="s">
        <v>104</v>
      </c>
      <c r="U40" s="152" t="s">
        <v>97</v>
      </c>
      <c r="V40" s="146" t="s">
        <v>93</v>
      </c>
      <c r="W40" s="150" t="s">
        <v>94</v>
      </c>
      <c r="X40" s="108" t="s">
        <v>112</v>
      </c>
      <c r="Y40" s="45" t="s">
        <v>96</v>
      </c>
      <c r="Z40" s="43" t="s">
        <v>97</v>
      </c>
      <c r="AA40" s="210" t="s">
        <v>97</v>
      </c>
      <c r="AB40" s="205">
        <f>AB41+AB42+AB43</f>
        <v>0.9631</v>
      </c>
      <c r="AC40" s="201"/>
      <c r="AD40" s="221" t="s">
        <v>157</v>
      </c>
      <c r="AE40" s="211"/>
      <c r="AF40" s="211"/>
      <c r="AG40" s="211"/>
      <c r="AH40" s="265"/>
      <c r="AI40" s="274"/>
      <c r="AJ40" s="211">
        <v>11</v>
      </c>
      <c r="AK40" s="265"/>
      <c r="AL40" s="266">
        <f>9*AJ40/600+10*4/60</f>
        <v>0.831666666666667</v>
      </c>
      <c r="AM40" s="276">
        <v>1</v>
      </c>
      <c r="AN40" s="263" t="s">
        <v>105</v>
      </c>
      <c r="AO40" s="263" t="s">
        <v>158</v>
      </c>
      <c r="AP40" s="302"/>
      <c r="AQ40" s="301"/>
      <c r="AR40" s="289">
        <v>1</v>
      </c>
    </row>
    <row r="41" ht="39.95" customHeight="1" spans="1:44">
      <c r="A41" s="42">
        <f t="shared" si="4"/>
        <v>33</v>
      </c>
      <c r="B41" s="43"/>
      <c r="C41" s="46"/>
      <c r="D41" s="46"/>
      <c r="E41" s="47"/>
      <c r="F41" s="47"/>
      <c r="G41" s="46">
        <v>5</v>
      </c>
      <c r="H41" s="46"/>
      <c r="I41" s="46"/>
      <c r="J41" s="95"/>
      <c r="K41" s="106"/>
      <c r="L41" s="95" t="s">
        <v>249</v>
      </c>
      <c r="M41" s="87" t="s">
        <v>250</v>
      </c>
      <c r="N41" s="90" t="s">
        <v>569</v>
      </c>
      <c r="O41" s="110" t="s">
        <v>175</v>
      </c>
      <c r="P41" s="108" t="s">
        <v>144</v>
      </c>
      <c r="Q41" s="43" t="s">
        <v>92</v>
      </c>
      <c r="R41" s="160"/>
      <c r="S41" s="149" t="s">
        <v>117</v>
      </c>
      <c r="T41" s="129" t="s">
        <v>104</v>
      </c>
      <c r="U41" s="152" t="s">
        <v>97</v>
      </c>
      <c r="V41" s="146" t="s">
        <v>94</v>
      </c>
      <c r="W41" s="150" t="s">
        <v>93</v>
      </c>
      <c r="X41" s="43" t="s">
        <v>189</v>
      </c>
      <c r="Y41" s="45" t="s">
        <v>252</v>
      </c>
      <c r="Z41" s="152" t="s">
        <v>191</v>
      </c>
      <c r="AA41" s="210" t="s">
        <v>253</v>
      </c>
      <c r="AB41" s="205">
        <v>0.8465</v>
      </c>
      <c r="AC41" s="201"/>
      <c r="AD41" s="223" t="s">
        <v>193</v>
      </c>
      <c r="AE41" s="224">
        <v>258</v>
      </c>
      <c r="AF41" s="224">
        <v>251</v>
      </c>
      <c r="AG41" s="224">
        <v>3.5</v>
      </c>
      <c r="AH41" s="277">
        <f>AE41*AF41*AG41*7860/1000000000</f>
        <v>1.78149258</v>
      </c>
      <c r="AI41" s="278">
        <f>AB41/AH41</f>
        <v>0.475163359928224</v>
      </c>
      <c r="AJ41" s="224"/>
      <c r="AK41" s="277">
        <f>AE41*AF41*2/1000000</f>
        <v>0.129516</v>
      </c>
      <c r="AL41" s="266"/>
      <c r="AM41" s="266"/>
      <c r="AN41" s="263" t="s">
        <v>127</v>
      </c>
      <c r="AO41" s="263" t="s">
        <v>254</v>
      </c>
      <c r="AP41" s="302"/>
      <c r="AQ41" s="301"/>
      <c r="AR41" s="289">
        <v>1</v>
      </c>
    </row>
    <row r="42" ht="39.95" customHeight="1" spans="1:44">
      <c r="A42" s="42">
        <f t="shared" si="4"/>
        <v>34</v>
      </c>
      <c r="B42" s="43"/>
      <c r="C42" s="46"/>
      <c r="D42" s="46"/>
      <c r="E42" s="47"/>
      <c r="F42" s="47"/>
      <c r="G42" s="46">
        <v>5</v>
      </c>
      <c r="H42" s="46"/>
      <c r="I42" s="46"/>
      <c r="J42" s="95"/>
      <c r="K42" s="106"/>
      <c r="L42" s="95" t="s">
        <v>260</v>
      </c>
      <c r="M42" s="90" t="s">
        <v>261</v>
      </c>
      <c r="N42" s="90" t="s">
        <v>262</v>
      </c>
      <c r="O42" s="110" t="s">
        <v>175</v>
      </c>
      <c r="P42" s="108" t="s">
        <v>144</v>
      </c>
      <c r="Q42" s="43" t="s">
        <v>92</v>
      </c>
      <c r="R42" s="160"/>
      <c r="S42" s="149" t="s">
        <v>42</v>
      </c>
      <c r="T42" s="129" t="s">
        <v>104</v>
      </c>
      <c r="U42" s="152" t="s">
        <v>97</v>
      </c>
      <c r="V42" s="146" t="s">
        <v>94</v>
      </c>
      <c r="W42" s="150" t="s">
        <v>93</v>
      </c>
      <c r="X42" s="43" t="s">
        <v>189</v>
      </c>
      <c r="Y42" s="45" t="s">
        <v>190</v>
      </c>
      <c r="Z42" s="152" t="s">
        <v>191</v>
      </c>
      <c r="AA42" s="210" t="s">
        <v>263</v>
      </c>
      <c r="AB42" s="205">
        <v>0.0765</v>
      </c>
      <c r="AC42" s="201"/>
      <c r="AD42" s="223" t="s">
        <v>193</v>
      </c>
      <c r="AE42" s="224">
        <v>89</v>
      </c>
      <c r="AF42" s="224">
        <v>78</v>
      </c>
      <c r="AG42" s="224">
        <v>2.5</v>
      </c>
      <c r="AH42" s="277">
        <f>AE42*AF42*AG42*7860/1000000000</f>
        <v>0.1364103</v>
      </c>
      <c r="AI42" s="278">
        <f>AB42/AH42</f>
        <v>0.560808091471099</v>
      </c>
      <c r="AJ42" s="224"/>
      <c r="AK42" s="277">
        <f>AE42*AF42*2/1000000</f>
        <v>0.013884</v>
      </c>
      <c r="AL42" s="266"/>
      <c r="AM42" s="266"/>
      <c r="AN42" s="263" t="s">
        <v>127</v>
      </c>
      <c r="AO42" s="263" t="s">
        <v>200</v>
      </c>
      <c r="AP42" s="302"/>
      <c r="AQ42" s="301"/>
      <c r="AR42" s="289">
        <v>1</v>
      </c>
    </row>
    <row r="43" ht="39.95" customHeight="1" spans="1:44">
      <c r="A43" s="42">
        <f t="shared" si="4"/>
        <v>35</v>
      </c>
      <c r="B43" s="43"/>
      <c r="C43" s="46"/>
      <c r="D43" s="46"/>
      <c r="E43" s="47"/>
      <c r="F43" s="47"/>
      <c r="G43" s="46">
        <v>5</v>
      </c>
      <c r="H43" s="46"/>
      <c r="I43" s="46"/>
      <c r="J43" s="95"/>
      <c r="K43" s="106"/>
      <c r="L43" s="123" t="s">
        <v>264</v>
      </c>
      <c r="M43" s="124" t="s">
        <v>265</v>
      </c>
      <c r="N43" s="124" t="s">
        <v>266</v>
      </c>
      <c r="O43" s="110" t="s">
        <v>175</v>
      </c>
      <c r="P43" s="108" t="s">
        <v>144</v>
      </c>
      <c r="Q43" s="43" t="s">
        <v>92</v>
      </c>
      <c r="R43" s="160"/>
      <c r="S43" s="149" t="s">
        <v>42</v>
      </c>
      <c r="T43" s="129" t="s">
        <v>104</v>
      </c>
      <c r="U43" s="152" t="s">
        <v>97</v>
      </c>
      <c r="V43" s="146" t="s">
        <v>94</v>
      </c>
      <c r="W43" s="150" t="s">
        <v>93</v>
      </c>
      <c r="X43" s="43" t="s">
        <v>189</v>
      </c>
      <c r="Y43" s="45" t="s">
        <v>190</v>
      </c>
      <c r="Z43" s="152" t="s">
        <v>191</v>
      </c>
      <c r="AA43" s="210" t="s">
        <v>267</v>
      </c>
      <c r="AB43" s="205">
        <v>0.0401</v>
      </c>
      <c r="AC43" s="201"/>
      <c r="AD43" s="223" t="s">
        <v>193</v>
      </c>
      <c r="AE43" s="224">
        <v>63</v>
      </c>
      <c r="AF43" s="224">
        <v>41</v>
      </c>
      <c r="AG43" s="224">
        <v>2.5</v>
      </c>
      <c r="AH43" s="277">
        <f>AE43*AF43*AG43*7860/1000000000</f>
        <v>0.05075595</v>
      </c>
      <c r="AI43" s="278">
        <f>AB43/AH43</f>
        <v>0.790055156095</v>
      </c>
      <c r="AJ43" s="224"/>
      <c r="AK43" s="277">
        <f>AE43*AF43*2/1000000</f>
        <v>0.005166</v>
      </c>
      <c r="AL43" s="266"/>
      <c r="AM43" s="266"/>
      <c r="AN43" s="263" t="s">
        <v>127</v>
      </c>
      <c r="AO43" s="263" t="s">
        <v>200</v>
      </c>
      <c r="AP43" s="302"/>
      <c r="AQ43" s="301"/>
      <c r="AR43" s="289">
        <v>1</v>
      </c>
    </row>
    <row r="44" s="11" customFormat="1" ht="39.95" customHeight="1" spans="1:44">
      <c r="A44" s="42">
        <f t="shared" si="4"/>
        <v>36</v>
      </c>
      <c r="B44" s="55"/>
      <c r="C44" s="56"/>
      <c r="D44" s="56"/>
      <c r="E44" s="57"/>
      <c r="F44" s="57">
        <v>4</v>
      </c>
      <c r="G44" s="56"/>
      <c r="H44" s="56"/>
      <c r="I44" s="56"/>
      <c r="J44" s="123"/>
      <c r="K44" s="125"/>
      <c r="L44" s="123" t="s">
        <v>570</v>
      </c>
      <c r="M44" s="126" t="s">
        <v>570</v>
      </c>
      <c r="N44" s="124" t="s">
        <v>571</v>
      </c>
      <c r="O44" s="127" t="s">
        <v>373</v>
      </c>
      <c r="P44" s="128" t="s">
        <v>117</v>
      </c>
      <c r="Q44" s="55" t="s">
        <v>92</v>
      </c>
      <c r="R44" s="180"/>
      <c r="S44" s="181" t="s">
        <v>42</v>
      </c>
      <c r="T44" s="182" t="s">
        <v>104</v>
      </c>
      <c r="U44" s="183" t="s">
        <v>97</v>
      </c>
      <c r="V44" s="184" t="s">
        <v>93</v>
      </c>
      <c r="W44" s="185" t="s">
        <v>94</v>
      </c>
      <c r="X44" s="128" t="s">
        <v>112</v>
      </c>
      <c r="Y44" s="231" t="s">
        <v>96</v>
      </c>
      <c r="Z44" s="183" t="s">
        <v>97</v>
      </c>
      <c r="AA44" s="232" t="s">
        <v>97</v>
      </c>
      <c r="AB44" s="233">
        <f>AB45+AB46+AB47</f>
        <v>0.6591</v>
      </c>
      <c r="AC44" s="234"/>
      <c r="AD44" s="221" t="s">
        <v>572</v>
      </c>
      <c r="AE44" s="211"/>
      <c r="AF44" s="211"/>
      <c r="AG44" s="211"/>
      <c r="AH44" s="265"/>
      <c r="AI44" s="274"/>
      <c r="AJ44" s="211">
        <v>2</v>
      </c>
      <c r="AK44" s="265"/>
      <c r="AL44" s="266">
        <f>9*AJ44/600+10*4/60</f>
        <v>0.696666666666667</v>
      </c>
      <c r="AM44" s="276">
        <v>1</v>
      </c>
      <c r="AN44" s="263" t="s">
        <v>99</v>
      </c>
      <c r="AO44" s="310" t="s">
        <v>271</v>
      </c>
      <c r="AP44" s="311"/>
      <c r="AQ44" s="312"/>
      <c r="AR44" s="313">
        <v>1</v>
      </c>
    </row>
    <row r="45" ht="39.95" customHeight="1" spans="1:44">
      <c r="A45" s="42">
        <f t="shared" si="4"/>
        <v>37</v>
      </c>
      <c r="B45" s="43"/>
      <c r="C45" s="46"/>
      <c r="D45" s="46"/>
      <c r="E45" s="58"/>
      <c r="F45" s="47"/>
      <c r="G45" s="46">
        <v>5</v>
      </c>
      <c r="H45" s="46"/>
      <c r="I45" s="46"/>
      <c r="J45" s="95"/>
      <c r="K45" s="106"/>
      <c r="L45" s="95" t="s">
        <v>272</v>
      </c>
      <c r="M45" s="129" t="s">
        <v>273</v>
      </c>
      <c r="N45" s="90" t="s">
        <v>274</v>
      </c>
      <c r="O45" s="110" t="s">
        <v>275</v>
      </c>
      <c r="P45" s="108" t="s">
        <v>144</v>
      </c>
      <c r="Q45" s="43" t="s">
        <v>92</v>
      </c>
      <c r="R45" s="160"/>
      <c r="S45" s="149" t="s">
        <v>42</v>
      </c>
      <c r="T45" s="129" t="s">
        <v>104</v>
      </c>
      <c r="U45" s="152" t="s">
        <v>97</v>
      </c>
      <c r="V45" s="186" t="s">
        <v>94</v>
      </c>
      <c r="W45" s="150" t="s">
        <v>93</v>
      </c>
      <c r="X45" s="43" t="s">
        <v>189</v>
      </c>
      <c r="Y45" s="45" t="s">
        <v>276</v>
      </c>
      <c r="Z45" s="152" t="s">
        <v>97</v>
      </c>
      <c r="AA45" s="210" t="s">
        <v>277</v>
      </c>
      <c r="AB45" s="205">
        <v>0.0002</v>
      </c>
      <c r="AC45" s="235" t="s">
        <v>97</v>
      </c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63" t="s">
        <v>127</v>
      </c>
      <c r="AO45" s="263" t="s">
        <v>278</v>
      </c>
      <c r="AP45" s="302"/>
      <c r="AQ45" s="314"/>
      <c r="AR45" s="90">
        <v>1</v>
      </c>
    </row>
    <row r="46" s="5" customFormat="1" ht="39.95" customHeight="1" spans="1:44">
      <c r="A46" s="42">
        <f t="shared" si="4"/>
        <v>38</v>
      </c>
      <c r="B46" s="43"/>
      <c r="C46" s="46"/>
      <c r="D46" s="46"/>
      <c r="E46" s="47"/>
      <c r="F46" s="47"/>
      <c r="G46" s="46">
        <v>5</v>
      </c>
      <c r="H46" s="46"/>
      <c r="I46" s="46"/>
      <c r="J46" s="95"/>
      <c r="K46" s="106"/>
      <c r="L46" s="95" t="s">
        <v>573</v>
      </c>
      <c r="M46" s="87" t="s">
        <v>573</v>
      </c>
      <c r="N46" s="90" t="s">
        <v>574</v>
      </c>
      <c r="O46" s="91" t="s">
        <v>373</v>
      </c>
      <c r="P46" s="108" t="s">
        <v>144</v>
      </c>
      <c r="Q46" s="43" t="s">
        <v>92</v>
      </c>
      <c r="R46" s="160"/>
      <c r="S46" s="149" t="s">
        <v>42</v>
      </c>
      <c r="T46" s="129" t="s">
        <v>104</v>
      </c>
      <c r="U46" s="152" t="s">
        <v>97</v>
      </c>
      <c r="V46" s="150" t="s">
        <v>93</v>
      </c>
      <c r="W46" s="186" t="s">
        <v>94</v>
      </c>
      <c r="X46" s="43" t="s">
        <v>189</v>
      </c>
      <c r="Y46" s="45" t="s">
        <v>190</v>
      </c>
      <c r="Z46" s="152" t="s">
        <v>191</v>
      </c>
      <c r="AA46" s="210" t="s">
        <v>282</v>
      </c>
      <c r="AB46" s="205">
        <v>0.6485</v>
      </c>
      <c r="AC46" s="201"/>
      <c r="AD46" s="223" t="s">
        <v>193</v>
      </c>
      <c r="AE46" s="224">
        <v>228</v>
      </c>
      <c r="AF46" s="224">
        <v>221</v>
      </c>
      <c r="AG46" s="224">
        <v>2.5</v>
      </c>
      <c r="AH46" s="277">
        <f>AE46*AF46*AG46*7860/1000000000</f>
        <v>0.9901242</v>
      </c>
      <c r="AI46" s="278">
        <f>AB46/AH46</f>
        <v>0.654968336295588</v>
      </c>
      <c r="AJ46" s="224"/>
      <c r="AK46" s="277">
        <f>AE46*AF46*2/1000000</f>
        <v>0.100776</v>
      </c>
      <c r="AL46" s="266"/>
      <c r="AM46" s="266"/>
      <c r="AN46" s="263" t="s">
        <v>127</v>
      </c>
      <c r="AO46" s="263" t="s">
        <v>200</v>
      </c>
      <c r="AP46" s="302"/>
      <c r="AQ46" s="301"/>
      <c r="AR46" s="289">
        <v>1</v>
      </c>
    </row>
    <row r="47" s="11" customFormat="1" ht="39.95" customHeight="1" spans="1:44">
      <c r="A47" s="42">
        <f t="shared" si="4"/>
        <v>39</v>
      </c>
      <c r="B47" s="55"/>
      <c r="C47" s="56"/>
      <c r="D47" s="56"/>
      <c r="E47" s="57"/>
      <c r="F47" s="57">
        <v>4</v>
      </c>
      <c r="G47" s="56"/>
      <c r="H47" s="56"/>
      <c r="I47" s="56"/>
      <c r="J47" s="123"/>
      <c r="K47" s="125"/>
      <c r="L47" s="123" t="s">
        <v>283</v>
      </c>
      <c r="M47" s="126" t="s">
        <v>284</v>
      </c>
      <c r="N47" s="124" t="s">
        <v>285</v>
      </c>
      <c r="O47" s="130" t="s">
        <v>175</v>
      </c>
      <c r="P47" s="128" t="s">
        <v>144</v>
      </c>
      <c r="Q47" s="55" t="s">
        <v>92</v>
      </c>
      <c r="R47" s="180"/>
      <c r="S47" s="181" t="s">
        <v>42</v>
      </c>
      <c r="T47" s="182" t="s">
        <v>104</v>
      </c>
      <c r="U47" s="183" t="s">
        <v>97</v>
      </c>
      <c r="V47" s="165" t="s">
        <v>94</v>
      </c>
      <c r="W47" s="184" t="s">
        <v>93</v>
      </c>
      <c r="X47" s="55" t="s">
        <v>286</v>
      </c>
      <c r="Y47" s="183" t="s">
        <v>97</v>
      </c>
      <c r="Z47" s="183" t="s">
        <v>97</v>
      </c>
      <c r="AA47" s="232" t="s">
        <v>97</v>
      </c>
      <c r="AB47" s="233">
        <v>0.0104</v>
      </c>
      <c r="AC47" s="234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63" t="s">
        <v>127</v>
      </c>
      <c r="AO47" s="263" t="s">
        <v>287</v>
      </c>
      <c r="AP47" s="311"/>
      <c r="AQ47" s="312"/>
      <c r="AR47" s="313">
        <v>1</v>
      </c>
    </row>
    <row r="48" ht="39.95" customHeight="1" spans="1:44">
      <c r="A48" s="42">
        <f t="shared" si="4"/>
        <v>40</v>
      </c>
      <c r="B48" s="43"/>
      <c r="C48" s="46"/>
      <c r="D48" s="46"/>
      <c r="E48" s="47"/>
      <c r="F48" s="47">
        <v>4</v>
      </c>
      <c r="G48" s="46"/>
      <c r="H48" s="46"/>
      <c r="I48" s="46"/>
      <c r="J48" s="95"/>
      <c r="K48" s="106"/>
      <c r="L48" s="95"/>
      <c r="M48" s="87" t="s">
        <v>288</v>
      </c>
      <c r="N48" s="90" t="s">
        <v>289</v>
      </c>
      <c r="O48" s="91" t="s">
        <v>175</v>
      </c>
      <c r="P48" s="108" t="s">
        <v>117</v>
      </c>
      <c r="Q48" s="43" t="s">
        <v>92</v>
      </c>
      <c r="R48" s="160"/>
      <c r="S48" s="149" t="s">
        <v>42</v>
      </c>
      <c r="T48" s="87" t="s">
        <v>104</v>
      </c>
      <c r="U48" s="152" t="s">
        <v>97</v>
      </c>
      <c r="V48" s="146" t="s">
        <v>94</v>
      </c>
      <c r="W48" s="150" t="s">
        <v>93</v>
      </c>
      <c r="X48" s="108" t="s">
        <v>112</v>
      </c>
      <c r="Y48" s="45" t="s">
        <v>96</v>
      </c>
      <c r="Z48" s="152" t="s">
        <v>97</v>
      </c>
      <c r="AA48" s="210" t="s">
        <v>97</v>
      </c>
      <c r="AB48" s="205">
        <f>AB49+AB50*AR50+AB51</f>
        <v>0.4498</v>
      </c>
      <c r="AC48" s="201"/>
      <c r="AD48" s="221" t="s">
        <v>157</v>
      </c>
      <c r="AE48" s="211"/>
      <c r="AF48" s="211"/>
      <c r="AG48" s="211"/>
      <c r="AH48" s="265"/>
      <c r="AI48" s="274"/>
      <c r="AJ48" s="211">
        <v>8</v>
      </c>
      <c r="AK48" s="265"/>
      <c r="AL48" s="266">
        <f>9*AJ48/600+10*4/60</f>
        <v>0.786666666666667</v>
      </c>
      <c r="AM48" s="276">
        <v>1</v>
      </c>
      <c r="AN48" s="263" t="s">
        <v>105</v>
      </c>
      <c r="AO48" s="263" t="s">
        <v>158</v>
      </c>
      <c r="AP48" s="302"/>
      <c r="AQ48" s="301"/>
      <c r="AR48" s="289">
        <v>1</v>
      </c>
    </row>
    <row r="49" ht="39.95" customHeight="1" spans="1:44">
      <c r="A49" s="42">
        <f t="shared" si="4"/>
        <v>41</v>
      </c>
      <c r="B49" s="43"/>
      <c r="C49" s="46"/>
      <c r="D49" s="46"/>
      <c r="E49" s="47"/>
      <c r="F49" s="47"/>
      <c r="G49" s="46">
        <v>5</v>
      </c>
      <c r="H49" s="46"/>
      <c r="I49" s="46"/>
      <c r="J49" s="95"/>
      <c r="K49" s="106"/>
      <c r="L49" s="95" t="s">
        <v>290</v>
      </c>
      <c r="M49" s="87" t="s">
        <v>291</v>
      </c>
      <c r="N49" s="90" t="s">
        <v>292</v>
      </c>
      <c r="O49" s="91" t="s">
        <v>175</v>
      </c>
      <c r="P49" s="108" t="s">
        <v>144</v>
      </c>
      <c r="Q49" s="43" t="s">
        <v>92</v>
      </c>
      <c r="R49" s="160"/>
      <c r="S49" s="149" t="s">
        <v>42</v>
      </c>
      <c r="T49" s="87" t="s">
        <v>104</v>
      </c>
      <c r="U49" s="152" t="s">
        <v>97</v>
      </c>
      <c r="V49" s="146" t="s">
        <v>94</v>
      </c>
      <c r="W49" s="150" t="s">
        <v>93</v>
      </c>
      <c r="X49" s="43" t="s">
        <v>169</v>
      </c>
      <c r="Y49" s="45" t="s">
        <v>293</v>
      </c>
      <c r="Z49" s="152" t="s">
        <v>294</v>
      </c>
      <c r="AA49" s="210" t="s">
        <v>295</v>
      </c>
      <c r="AB49" s="205">
        <v>0.3508</v>
      </c>
      <c r="AC49" s="201"/>
      <c r="AD49" s="223" t="s">
        <v>165</v>
      </c>
      <c r="AE49" s="224">
        <v>357</v>
      </c>
      <c r="AF49" s="224">
        <v>22</v>
      </c>
      <c r="AG49" s="224">
        <v>2</v>
      </c>
      <c r="AH49" s="277">
        <f>AE49*0.9864/1000</f>
        <v>0.3521448</v>
      </c>
      <c r="AI49" s="278">
        <f t="shared" ref="AI49:AI54" si="5">AB49/AH49</f>
        <v>0.996181116404388</v>
      </c>
      <c r="AJ49" s="224"/>
      <c r="AK49" s="277">
        <f>AE49*AF49*3.14/1000000</f>
        <v>0.02466156</v>
      </c>
      <c r="AL49" s="266">
        <f>0.0028*60</f>
        <v>0.168</v>
      </c>
      <c r="AM49" s="276">
        <v>1</v>
      </c>
      <c r="AN49" s="263" t="s">
        <v>99</v>
      </c>
      <c r="AO49" s="263" t="s">
        <v>166</v>
      </c>
      <c r="AP49" s="302"/>
      <c r="AQ49" s="301"/>
      <c r="AR49" s="289">
        <v>1</v>
      </c>
    </row>
    <row r="50" ht="39.95" customHeight="1" spans="1:44">
      <c r="A50" s="42">
        <f t="shared" ref="A50:A59" si="6">ROW()-8</f>
        <v>42</v>
      </c>
      <c r="B50" s="43"/>
      <c r="C50" s="46"/>
      <c r="D50" s="46"/>
      <c r="E50" s="47"/>
      <c r="F50" s="47"/>
      <c r="G50" s="46">
        <v>5</v>
      </c>
      <c r="H50" s="46"/>
      <c r="I50" s="46"/>
      <c r="J50" s="95"/>
      <c r="K50" s="106"/>
      <c r="L50" s="95" t="s">
        <v>296</v>
      </c>
      <c r="M50" s="87" t="s">
        <v>297</v>
      </c>
      <c r="N50" s="90" t="s">
        <v>298</v>
      </c>
      <c r="O50" s="91" t="s">
        <v>175</v>
      </c>
      <c r="P50" s="108" t="s">
        <v>144</v>
      </c>
      <c r="Q50" s="43" t="s">
        <v>92</v>
      </c>
      <c r="R50" s="160"/>
      <c r="S50" s="149" t="s">
        <v>42</v>
      </c>
      <c r="T50" s="87" t="s">
        <v>104</v>
      </c>
      <c r="U50" s="152" t="s">
        <v>97</v>
      </c>
      <c r="V50" s="146" t="s">
        <v>94</v>
      </c>
      <c r="W50" s="150" t="s">
        <v>93</v>
      </c>
      <c r="X50" s="43" t="s">
        <v>189</v>
      </c>
      <c r="Y50" s="45" t="s">
        <v>299</v>
      </c>
      <c r="Z50" s="152" t="s">
        <v>191</v>
      </c>
      <c r="AA50" s="210" t="s">
        <v>300</v>
      </c>
      <c r="AB50" s="205">
        <v>0.0374</v>
      </c>
      <c r="AC50" s="201"/>
      <c r="AD50" s="223" t="s">
        <v>193</v>
      </c>
      <c r="AE50" s="224">
        <v>72</v>
      </c>
      <c r="AF50" s="224">
        <v>71</v>
      </c>
      <c r="AG50" s="224">
        <v>2</v>
      </c>
      <c r="AH50" s="277">
        <f>AE50*AF50*AG50*7860/1000000000</f>
        <v>0.08036064</v>
      </c>
      <c r="AI50" s="278">
        <f t="shared" si="5"/>
        <v>0.465401967928578</v>
      </c>
      <c r="AJ50" s="224"/>
      <c r="AK50" s="277">
        <f>AE50*AF50*2/1000000</f>
        <v>0.010224</v>
      </c>
      <c r="AL50" s="266"/>
      <c r="AM50" s="266"/>
      <c r="AN50" s="263" t="s">
        <v>127</v>
      </c>
      <c r="AO50" s="263" t="s">
        <v>301</v>
      </c>
      <c r="AP50" s="302"/>
      <c r="AQ50" s="301"/>
      <c r="AR50" s="289">
        <v>2</v>
      </c>
    </row>
    <row r="51" s="8" customFormat="1" ht="39.95" customHeight="1" spans="1:45">
      <c r="A51" s="42">
        <f t="shared" si="6"/>
        <v>43</v>
      </c>
      <c r="B51" s="43"/>
      <c r="C51" s="46"/>
      <c r="D51" s="46"/>
      <c r="E51" s="58"/>
      <c r="F51" s="47"/>
      <c r="G51" s="46">
        <v>5</v>
      </c>
      <c r="H51" s="46"/>
      <c r="I51" s="46"/>
      <c r="J51" s="95"/>
      <c r="K51" s="106"/>
      <c r="L51" s="95" t="s">
        <v>302</v>
      </c>
      <c r="M51" s="129" t="s">
        <v>302</v>
      </c>
      <c r="N51" s="90" t="s">
        <v>303</v>
      </c>
      <c r="O51" s="91" t="s">
        <v>175</v>
      </c>
      <c r="P51" s="108" t="s">
        <v>144</v>
      </c>
      <c r="Q51" s="43" t="s">
        <v>92</v>
      </c>
      <c r="R51" s="160"/>
      <c r="S51" s="179" t="s">
        <v>42</v>
      </c>
      <c r="T51" s="87" t="s">
        <v>104</v>
      </c>
      <c r="U51" s="152" t="s">
        <v>97</v>
      </c>
      <c r="V51" s="146" t="s">
        <v>94</v>
      </c>
      <c r="W51" s="150" t="s">
        <v>93</v>
      </c>
      <c r="X51" s="43" t="s">
        <v>216</v>
      </c>
      <c r="Y51" s="45" t="s">
        <v>217</v>
      </c>
      <c r="Z51" s="152" t="s">
        <v>218</v>
      </c>
      <c r="AA51" s="210" t="s">
        <v>97</v>
      </c>
      <c r="AB51" s="205">
        <v>0.0242</v>
      </c>
      <c r="AC51" s="235" t="s">
        <v>97</v>
      </c>
      <c r="AD51" s="223" t="s">
        <v>126</v>
      </c>
      <c r="AE51" s="224">
        <f>AB51/0.154*1000</f>
        <v>157.142857142857</v>
      </c>
      <c r="AF51" s="224">
        <v>5</v>
      </c>
      <c r="AG51" s="224"/>
      <c r="AH51" s="277">
        <f>AE51*0.154/1000</f>
        <v>0.0242</v>
      </c>
      <c r="AI51" s="278">
        <f t="shared" si="5"/>
        <v>1</v>
      </c>
      <c r="AJ51" s="211"/>
      <c r="AK51" s="265">
        <f>AF51*3.14*AE51*AR51/1000000</f>
        <v>0.00246714285714286</v>
      </c>
      <c r="AL51" s="266"/>
      <c r="AM51" s="266"/>
      <c r="AN51" s="263" t="s">
        <v>127</v>
      </c>
      <c r="AO51" s="263" t="s">
        <v>213</v>
      </c>
      <c r="AP51" s="302"/>
      <c r="AQ51" s="314"/>
      <c r="AR51" s="90">
        <v>1</v>
      </c>
      <c r="AS51" s="315"/>
    </row>
    <row r="52" ht="39.95" customHeight="1" spans="1:44">
      <c r="A52" s="42">
        <f t="shared" si="6"/>
        <v>44</v>
      </c>
      <c r="B52" s="43"/>
      <c r="C52" s="46"/>
      <c r="D52" s="46">
        <v>2</v>
      </c>
      <c r="E52" s="47"/>
      <c r="F52" s="47"/>
      <c r="G52" s="46"/>
      <c r="H52" s="46"/>
      <c r="I52" s="46"/>
      <c r="J52" s="95"/>
      <c r="K52" s="106"/>
      <c r="L52" s="95" t="s">
        <v>324</v>
      </c>
      <c r="M52" s="87" t="s">
        <v>325</v>
      </c>
      <c r="N52" s="90" t="s">
        <v>326</v>
      </c>
      <c r="O52" s="91" t="s">
        <v>175</v>
      </c>
      <c r="P52" s="108" t="s">
        <v>144</v>
      </c>
      <c r="Q52" s="43" t="s">
        <v>92</v>
      </c>
      <c r="R52" s="160"/>
      <c r="S52" s="149" t="s">
        <v>42</v>
      </c>
      <c r="T52" s="87" t="s">
        <v>104</v>
      </c>
      <c r="U52" s="152" t="s">
        <v>97</v>
      </c>
      <c r="V52" s="146" t="s">
        <v>94</v>
      </c>
      <c r="W52" s="150" t="s">
        <v>93</v>
      </c>
      <c r="X52" s="43" t="s">
        <v>216</v>
      </c>
      <c r="Y52" s="45" t="s">
        <v>327</v>
      </c>
      <c r="Z52" s="152" t="s">
        <v>218</v>
      </c>
      <c r="AA52" s="210" t="s">
        <v>328</v>
      </c>
      <c r="AB52" s="205">
        <v>0.071</v>
      </c>
      <c r="AC52" s="201"/>
      <c r="AD52" s="223" t="s">
        <v>126</v>
      </c>
      <c r="AE52" s="224">
        <f>AB52/0.2219*1000</f>
        <v>319.9639477242</v>
      </c>
      <c r="AF52" s="224">
        <v>6</v>
      </c>
      <c r="AG52" s="224"/>
      <c r="AH52" s="277">
        <f>AE52*0.2219/1000</f>
        <v>0.071</v>
      </c>
      <c r="AI52" s="278">
        <f t="shared" si="5"/>
        <v>1</v>
      </c>
      <c r="AJ52" s="211"/>
      <c r="AK52" s="265"/>
      <c r="AL52" s="266"/>
      <c r="AM52" s="266"/>
      <c r="AN52" s="263" t="s">
        <v>127</v>
      </c>
      <c r="AO52" s="263" t="s">
        <v>213</v>
      </c>
      <c r="AP52" s="302"/>
      <c r="AQ52" s="301"/>
      <c r="AR52" s="289">
        <v>1</v>
      </c>
    </row>
    <row r="53" ht="39.95" customHeight="1" spans="1:44">
      <c r="A53" s="42">
        <f t="shared" si="6"/>
        <v>45</v>
      </c>
      <c r="B53" s="43"/>
      <c r="C53" s="46"/>
      <c r="D53" s="46">
        <v>2</v>
      </c>
      <c r="E53" s="47"/>
      <c r="F53" s="47"/>
      <c r="G53" s="46"/>
      <c r="H53" s="46"/>
      <c r="I53" s="46"/>
      <c r="J53" s="95"/>
      <c r="K53" s="106"/>
      <c r="L53" s="95" t="s">
        <v>329</v>
      </c>
      <c r="M53" s="87" t="s">
        <v>330</v>
      </c>
      <c r="N53" s="90" t="s">
        <v>331</v>
      </c>
      <c r="O53" s="91" t="s">
        <v>175</v>
      </c>
      <c r="P53" s="108" t="s">
        <v>144</v>
      </c>
      <c r="Q53" s="43" t="s">
        <v>92</v>
      </c>
      <c r="R53" s="160"/>
      <c r="S53" s="149" t="s">
        <v>42</v>
      </c>
      <c r="T53" s="87" t="s">
        <v>104</v>
      </c>
      <c r="U53" s="152" t="s">
        <v>97</v>
      </c>
      <c r="V53" s="146" t="s">
        <v>94</v>
      </c>
      <c r="W53" s="150" t="s">
        <v>93</v>
      </c>
      <c r="X53" s="43" t="s">
        <v>216</v>
      </c>
      <c r="Y53" s="45" t="s">
        <v>327</v>
      </c>
      <c r="Z53" s="152" t="s">
        <v>218</v>
      </c>
      <c r="AA53" s="210" t="s">
        <v>332</v>
      </c>
      <c r="AB53" s="205">
        <v>0.0747</v>
      </c>
      <c r="AC53" s="201"/>
      <c r="AD53" s="223" t="s">
        <v>126</v>
      </c>
      <c r="AE53" s="224">
        <f>AB53/0.2219*1000</f>
        <v>336.638125281658</v>
      </c>
      <c r="AF53" s="224">
        <v>6</v>
      </c>
      <c r="AG53" s="224"/>
      <c r="AH53" s="277">
        <f>AE53*0.2219/1000</f>
        <v>0.0747</v>
      </c>
      <c r="AI53" s="278">
        <f t="shared" si="5"/>
        <v>1</v>
      </c>
      <c r="AJ53" s="211"/>
      <c r="AK53" s="265"/>
      <c r="AL53" s="266"/>
      <c r="AM53" s="266"/>
      <c r="AN53" s="263" t="s">
        <v>127</v>
      </c>
      <c r="AO53" s="263" t="s">
        <v>213</v>
      </c>
      <c r="AP53" s="302"/>
      <c r="AQ53" s="301"/>
      <c r="AR53" s="289">
        <v>1</v>
      </c>
    </row>
    <row r="54" s="12" customFormat="1" ht="39.95" customHeight="1" spans="1:45">
      <c r="A54" s="42">
        <f t="shared" si="6"/>
        <v>46</v>
      </c>
      <c r="B54" s="43"/>
      <c r="C54" s="46"/>
      <c r="D54" s="46">
        <v>2</v>
      </c>
      <c r="E54" s="58"/>
      <c r="F54" s="47"/>
      <c r="G54" s="46"/>
      <c r="H54" s="46"/>
      <c r="I54" s="46"/>
      <c r="J54" s="95"/>
      <c r="K54" s="106"/>
      <c r="L54" s="131" t="s">
        <v>304</v>
      </c>
      <c r="M54" s="132" t="s">
        <v>305</v>
      </c>
      <c r="N54" s="133" t="s">
        <v>306</v>
      </c>
      <c r="O54" s="134" t="s">
        <v>307</v>
      </c>
      <c r="P54" s="135" t="s">
        <v>144</v>
      </c>
      <c r="Q54" s="187" t="s">
        <v>92</v>
      </c>
      <c r="R54" s="188"/>
      <c r="S54" s="149" t="s">
        <v>42</v>
      </c>
      <c r="T54" s="129" t="s">
        <v>104</v>
      </c>
      <c r="U54" s="152" t="s">
        <v>97</v>
      </c>
      <c r="V54" s="186" t="s">
        <v>94</v>
      </c>
      <c r="W54" s="150" t="s">
        <v>93</v>
      </c>
      <c r="X54" s="187" t="s">
        <v>308</v>
      </c>
      <c r="Y54" s="238" t="s">
        <v>309</v>
      </c>
      <c r="Z54" s="239" t="s">
        <v>124</v>
      </c>
      <c r="AA54" s="240" t="s">
        <v>310</v>
      </c>
      <c r="AB54" s="241">
        <v>0.0181</v>
      </c>
      <c r="AC54" s="201"/>
      <c r="AD54" s="242" t="s">
        <v>311</v>
      </c>
      <c r="AE54" s="243">
        <v>25</v>
      </c>
      <c r="AF54" s="243">
        <v>12</v>
      </c>
      <c r="AG54" s="243"/>
      <c r="AH54" s="280">
        <f>AF54/2*AF54/2*3.14*AE54*7860/1000000000</f>
        <v>0.02221236</v>
      </c>
      <c r="AI54" s="278">
        <f t="shared" si="5"/>
        <v>0.814861635593877</v>
      </c>
      <c r="AJ54" s="281"/>
      <c r="AK54" s="280"/>
      <c r="AL54" s="282"/>
      <c r="AM54" s="282"/>
      <c r="AN54" s="283" t="s">
        <v>127</v>
      </c>
      <c r="AO54" s="283" t="s">
        <v>312</v>
      </c>
      <c r="AP54" s="316"/>
      <c r="AQ54" s="301"/>
      <c r="AR54" s="317">
        <v>1</v>
      </c>
      <c r="AS54" s="318"/>
    </row>
    <row r="55" s="8" customFormat="1" ht="39.95" customHeight="1" spans="1:44">
      <c r="A55" s="42">
        <f t="shared" si="6"/>
        <v>47</v>
      </c>
      <c r="B55" s="43"/>
      <c r="C55" s="46"/>
      <c r="D55" s="46">
        <v>2</v>
      </c>
      <c r="E55" s="58"/>
      <c r="F55" s="47"/>
      <c r="G55" s="46"/>
      <c r="H55" s="46"/>
      <c r="I55" s="46"/>
      <c r="J55" s="95"/>
      <c r="K55" s="106"/>
      <c r="L55" s="95" t="s">
        <v>313</v>
      </c>
      <c r="M55" s="129" t="s">
        <v>314</v>
      </c>
      <c r="N55" s="90" t="s">
        <v>315</v>
      </c>
      <c r="O55" s="134" t="s">
        <v>307</v>
      </c>
      <c r="P55" s="108" t="s">
        <v>144</v>
      </c>
      <c r="Q55" s="43" t="s">
        <v>92</v>
      </c>
      <c r="R55" s="160"/>
      <c r="S55" s="149" t="s">
        <v>42</v>
      </c>
      <c r="T55" s="129" t="s">
        <v>104</v>
      </c>
      <c r="U55" s="152" t="s">
        <v>97</v>
      </c>
      <c r="V55" s="186" t="s">
        <v>94</v>
      </c>
      <c r="W55" s="150" t="s">
        <v>93</v>
      </c>
      <c r="X55" s="43" t="s">
        <v>286</v>
      </c>
      <c r="Y55" s="152" t="s">
        <v>316</v>
      </c>
      <c r="Z55" s="152" t="s">
        <v>97</v>
      </c>
      <c r="AA55" s="205" t="s">
        <v>317</v>
      </c>
      <c r="AB55" s="244">
        <v>0.0062</v>
      </c>
      <c r="AC55" s="235" t="s">
        <v>97</v>
      </c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84" t="s">
        <v>127</v>
      </c>
      <c r="AO55" s="284" t="s">
        <v>318</v>
      </c>
      <c r="AP55" s="302"/>
      <c r="AQ55" s="314"/>
      <c r="AR55" s="90">
        <v>1</v>
      </c>
    </row>
    <row r="56" s="8" customFormat="1" ht="39.95" customHeight="1" spans="1:44">
      <c r="A56" s="42">
        <f t="shared" si="6"/>
        <v>48</v>
      </c>
      <c r="B56" s="43"/>
      <c r="C56" s="46"/>
      <c r="D56" s="46">
        <v>2</v>
      </c>
      <c r="E56" s="58"/>
      <c r="F56" s="47"/>
      <c r="G56" s="46"/>
      <c r="H56" s="46"/>
      <c r="I56" s="46"/>
      <c r="J56" s="95"/>
      <c r="K56" s="106"/>
      <c r="L56" s="95" t="s">
        <v>319</v>
      </c>
      <c r="M56" s="129" t="s">
        <v>320</v>
      </c>
      <c r="N56" s="90" t="s">
        <v>321</v>
      </c>
      <c r="O56" s="134" t="s">
        <v>307</v>
      </c>
      <c r="P56" s="108" t="s">
        <v>144</v>
      </c>
      <c r="Q56" s="43" t="s">
        <v>92</v>
      </c>
      <c r="R56" s="160"/>
      <c r="S56" s="149" t="s">
        <v>42</v>
      </c>
      <c r="T56" s="129" t="s">
        <v>104</v>
      </c>
      <c r="U56" s="152" t="s">
        <v>97</v>
      </c>
      <c r="V56" s="186" t="s">
        <v>94</v>
      </c>
      <c r="W56" s="150" t="s">
        <v>93</v>
      </c>
      <c r="X56" s="43" t="s">
        <v>286</v>
      </c>
      <c r="Y56" s="152" t="s">
        <v>322</v>
      </c>
      <c r="Z56" s="152" t="s">
        <v>97</v>
      </c>
      <c r="AA56" s="205" t="s">
        <v>323</v>
      </c>
      <c r="AB56" s="244">
        <v>0.0076</v>
      </c>
      <c r="AC56" s="235" t="s">
        <v>97</v>
      </c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84" t="s">
        <v>127</v>
      </c>
      <c r="AO56" s="284" t="s">
        <v>318</v>
      </c>
      <c r="AP56" s="302"/>
      <c r="AQ56" s="314"/>
      <c r="AR56" s="90">
        <v>1</v>
      </c>
    </row>
    <row r="57" s="8" customFormat="1" ht="39.95" customHeight="1" spans="1:44">
      <c r="A57" s="42">
        <f t="shared" si="6"/>
        <v>49</v>
      </c>
      <c r="B57" s="43"/>
      <c r="C57" s="46">
        <v>1</v>
      </c>
      <c r="D57" s="46"/>
      <c r="E57" s="58"/>
      <c r="F57" s="47"/>
      <c r="G57" s="46"/>
      <c r="H57" s="46"/>
      <c r="I57" s="46"/>
      <c r="J57" s="95"/>
      <c r="K57" s="106"/>
      <c r="L57" s="118" t="s">
        <v>350</v>
      </c>
      <c r="M57" s="119"/>
      <c r="N57" s="120" t="s">
        <v>351</v>
      </c>
      <c r="O57" s="121" t="s">
        <v>175</v>
      </c>
      <c r="P57" s="122" t="s">
        <v>117</v>
      </c>
      <c r="Q57" s="174" t="s">
        <v>160</v>
      </c>
      <c r="R57" s="175"/>
      <c r="S57" s="176" t="s">
        <v>42</v>
      </c>
      <c r="T57" s="177" t="s">
        <v>104</v>
      </c>
      <c r="U57" s="177" t="s">
        <v>97</v>
      </c>
      <c r="V57" s="186" t="s">
        <v>94</v>
      </c>
      <c r="W57" s="150" t="s">
        <v>93</v>
      </c>
      <c r="X57" s="122" t="s">
        <v>242</v>
      </c>
      <c r="Y57" s="120" t="s">
        <v>96</v>
      </c>
      <c r="Z57" s="177" t="s">
        <v>97</v>
      </c>
      <c r="AA57" s="174" t="s">
        <v>97</v>
      </c>
      <c r="AB57" s="229">
        <f>AB58</f>
        <v>0.6453</v>
      </c>
      <c r="AC57" s="230" t="s">
        <v>243</v>
      </c>
      <c r="AD57" s="221" t="s">
        <v>243</v>
      </c>
      <c r="AE57" s="211"/>
      <c r="AF57" s="211"/>
      <c r="AG57" s="211"/>
      <c r="AH57" s="265"/>
      <c r="AI57" s="274"/>
      <c r="AJ57" s="211"/>
      <c r="AK57" s="265">
        <f>SUM(AK59:AK62)</f>
        <v>0.06101556</v>
      </c>
      <c r="AL57" s="266">
        <f>0.001*60</f>
        <v>0.06</v>
      </c>
      <c r="AM57" s="276">
        <v>7</v>
      </c>
      <c r="AN57" s="263" t="s">
        <v>99</v>
      </c>
      <c r="AO57" s="263" t="s">
        <v>244</v>
      </c>
      <c r="AP57" s="302"/>
      <c r="AQ57" s="301"/>
      <c r="AR57" s="289">
        <v>1</v>
      </c>
    </row>
    <row r="58" s="13" customFormat="1" ht="39.95" customHeight="1" spans="1:44">
      <c r="A58" s="42">
        <f t="shared" si="6"/>
        <v>50</v>
      </c>
      <c r="B58" s="43"/>
      <c r="C58" s="46"/>
      <c r="D58" s="46">
        <v>2</v>
      </c>
      <c r="E58" s="47"/>
      <c r="F58" s="47"/>
      <c r="G58" s="46"/>
      <c r="H58" s="46"/>
      <c r="I58" s="46"/>
      <c r="J58" s="95"/>
      <c r="K58" s="106"/>
      <c r="L58" s="95" t="s">
        <v>352</v>
      </c>
      <c r="M58" s="87" t="s">
        <v>353</v>
      </c>
      <c r="N58" s="90" t="s">
        <v>354</v>
      </c>
      <c r="O58" s="91" t="s">
        <v>175</v>
      </c>
      <c r="P58" s="108" t="s">
        <v>117</v>
      </c>
      <c r="Q58" s="43" t="s">
        <v>92</v>
      </c>
      <c r="R58" s="160"/>
      <c r="S58" s="149" t="s">
        <v>42</v>
      </c>
      <c r="T58" s="87" t="s">
        <v>104</v>
      </c>
      <c r="U58" s="152" t="s">
        <v>97</v>
      </c>
      <c r="V58" s="146" t="s">
        <v>94</v>
      </c>
      <c r="W58" s="150" t="s">
        <v>93</v>
      </c>
      <c r="X58" s="108" t="s">
        <v>112</v>
      </c>
      <c r="Y58" s="45" t="s">
        <v>96</v>
      </c>
      <c r="Z58" s="152" t="s">
        <v>97</v>
      </c>
      <c r="AA58" s="210" t="s">
        <v>97</v>
      </c>
      <c r="AB58" s="205">
        <f>AB59+AB60*AR60+AB61*AR61+AB62</f>
        <v>0.6453</v>
      </c>
      <c r="AC58" s="201" t="s">
        <v>243</v>
      </c>
      <c r="AD58" s="221" t="s">
        <v>157</v>
      </c>
      <c r="AE58" s="211"/>
      <c r="AF58" s="211"/>
      <c r="AG58" s="211"/>
      <c r="AH58" s="265"/>
      <c r="AI58" s="274"/>
      <c r="AJ58" s="211">
        <v>20</v>
      </c>
      <c r="AK58" s="265"/>
      <c r="AL58" s="266">
        <f>9*AJ58/600+10*6/60</f>
        <v>1.3</v>
      </c>
      <c r="AM58" s="276">
        <v>1</v>
      </c>
      <c r="AN58" s="263" t="s">
        <v>99</v>
      </c>
      <c r="AO58" s="263" t="s">
        <v>158</v>
      </c>
      <c r="AP58" s="302"/>
      <c r="AQ58" s="301"/>
      <c r="AR58" s="289">
        <v>1</v>
      </c>
    </row>
    <row r="59" ht="39.95" customHeight="1" spans="1:44">
      <c r="A59" s="42">
        <f t="shared" si="6"/>
        <v>51</v>
      </c>
      <c r="B59" s="43"/>
      <c r="C59" s="46"/>
      <c r="D59" s="46"/>
      <c r="E59" s="47">
        <v>3</v>
      </c>
      <c r="F59" s="47"/>
      <c r="G59" s="46"/>
      <c r="H59" s="46"/>
      <c r="I59" s="46"/>
      <c r="J59" s="95"/>
      <c r="K59" s="106"/>
      <c r="L59" s="95" t="s">
        <v>355</v>
      </c>
      <c r="M59" s="87" t="s">
        <v>356</v>
      </c>
      <c r="N59" s="90" t="s">
        <v>357</v>
      </c>
      <c r="O59" s="91" t="s">
        <v>175</v>
      </c>
      <c r="P59" s="108" t="s">
        <v>144</v>
      </c>
      <c r="Q59" s="43" t="s">
        <v>92</v>
      </c>
      <c r="R59" s="160"/>
      <c r="S59" s="149" t="s">
        <v>42</v>
      </c>
      <c r="T59" s="129" t="s">
        <v>104</v>
      </c>
      <c r="U59" s="152" t="s">
        <v>97</v>
      </c>
      <c r="V59" s="146" t="s">
        <v>94</v>
      </c>
      <c r="W59" s="150" t="s">
        <v>93</v>
      </c>
      <c r="X59" s="43" t="s">
        <v>169</v>
      </c>
      <c r="Y59" s="45" t="s">
        <v>358</v>
      </c>
      <c r="Z59" s="152" t="s">
        <v>294</v>
      </c>
      <c r="AA59" s="210" t="s">
        <v>359</v>
      </c>
      <c r="AB59" s="205">
        <v>0.3427</v>
      </c>
      <c r="AC59" s="235" t="s">
        <v>97</v>
      </c>
      <c r="AD59" s="223" t="s">
        <v>165</v>
      </c>
      <c r="AE59" s="224">
        <v>357</v>
      </c>
      <c r="AF59" s="224">
        <v>22</v>
      </c>
      <c r="AG59" s="224">
        <v>2</v>
      </c>
      <c r="AH59" s="277">
        <f>AE59*0.9864/1000</f>
        <v>0.3521448</v>
      </c>
      <c r="AI59" s="278">
        <f>AB59/AH59</f>
        <v>0.973179214913865</v>
      </c>
      <c r="AJ59" s="224"/>
      <c r="AK59" s="277">
        <f>AE59*AF59*3.14/1000000</f>
        <v>0.02466156</v>
      </c>
      <c r="AL59" s="266">
        <f>0.0028*60</f>
        <v>0.168</v>
      </c>
      <c r="AM59" s="276">
        <v>1</v>
      </c>
      <c r="AN59" s="263" t="s">
        <v>99</v>
      </c>
      <c r="AO59" s="263" t="s">
        <v>166</v>
      </c>
      <c r="AP59" s="302"/>
      <c r="AQ59" s="301"/>
      <c r="AR59" s="289">
        <v>1</v>
      </c>
    </row>
    <row r="60" s="14" customFormat="1" ht="39.95" customHeight="1" spans="1:44">
      <c r="A60" s="42">
        <f t="shared" ref="A60:A69" si="7">ROW()-8</f>
        <v>52</v>
      </c>
      <c r="B60" s="43"/>
      <c r="C60" s="46"/>
      <c r="D60" s="46"/>
      <c r="E60" s="47">
        <v>3</v>
      </c>
      <c r="F60" s="47"/>
      <c r="G60" s="46"/>
      <c r="H60" s="46"/>
      <c r="I60" s="46"/>
      <c r="J60" s="95"/>
      <c r="K60" s="106"/>
      <c r="L60" s="95" t="s">
        <v>360</v>
      </c>
      <c r="M60" s="87" t="s">
        <v>361</v>
      </c>
      <c r="N60" s="90" t="s">
        <v>362</v>
      </c>
      <c r="O60" s="91" t="s">
        <v>175</v>
      </c>
      <c r="P60" s="108" t="s">
        <v>144</v>
      </c>
      <c r="Q60" s="43" t="s">
        <v>92</v>
      </c>
      <c r="R60" s="160"/>
      <c r="S60" s="149" t="s">
        <v>42</v>
      </c>
      <c r="T60" s="129" t="s">
        <v>104</v>
      </c>
      <c r="U60" s="152" t="s">
        <v>97</v>
      </c>
      <c r="V60" s="146" t="s">
        <v>94</v>
      </c>
      <c r="W60" s="150" t="s">
        <v>93</v>
      </c>
      <c r="X60" s="43" t="s">
        <v>189</v>
      </c>
      <c r="Y60" s="45" t="s">
        <v>363</v>
      </c>
      <c r="Z60" s="152" t="s">
        <v>191</v>
      </c>
      <c r="AA60" s="210" t="s">
        <v>364</v>
      </c>
      <c r="AB60" s="205">
        <v>0.1009</v>
      </c>
      <c r="AC60" s="235" t="s">
        <v>97</v>
      </c>
      <c r="AD60" s="223" t="s">
        <v>193</v>
      </c>
      <c r="AE60" s="224">
        <v>124</v>
      </c>
      <c r="AF60" s="224">
        <v>80</v>
      </c>
      <c r="AG60" s="224">
        <v>2.5</v>
      </c>
      <c r="AH60" s="277">
        <f>AE60*AF60*AG60*7860/1000000000</f>
        <v>0.194928</v>
      </c>
      <c r="AI60" s="278">
        <f>AB60/AH60</f>
        <v>0.517627021259132</v>
      </c>
      <c r="AJ60" s="224"/>
      <c r="AK60" s="277">
        <f>AE60*AF60*2/1000000</f>
        <v>0.01984</v>
      </c>
      <c r="AL60" s="266"/>
      <c r="AM60" s="266"/>
      <c r="AN60" s="263" t="s">
        <v>127</v>
      </c>
      <c r="AO60" s="263" t="s">
        <v>200</v>
      </c>
      <c r="AP60" s="302"/>
      <c r="AQ60" s="301"/>
      <c r="AR60" s="289">
        <v>2</v>
      </c>
    </row>
    <row r="61" ht="39.95" customHeight="1" spans="1:44">
      <c r="A61" s="42">
        <f t="shared" si="7"/>
        <v>53</v>
      </c>
      <c r="B61" s="43"/>
      <c r="C61" s="46"/>
      <c r="D61" s="46"/>
      <c r="E61" s="47">
        <v>3</v>
      </c>
      <c r="F61" s="47"/>
      <c r="G61" s="46"/>
      <c r="H61" s="46"/>
      <c r="I61" s="46"/>
      <c r="J61" s="95"/>
      <c r="K61" s="106"/>
      <c r="L61" s="95" t="s">
        <v>296</v>
      </c>
      <c r="M61" s="87" t="s">
        <v>297</v>
      </c>
      <c r="N61" s="90" t="s">
        <v>298</v>
      </c>
      <c r="O61" s="91" t="s">
        <v>175</v>
      </c>
      <c r="P61" s="108" t="s">
        <v>144</v>
      </c>
      <c r="Q61" s="43" t="s">
        <v>92</v>
      </c>
      <c r="R61" s="160"/>
      <c r="S61" s="149" t="s">
        <v>42</v>
      </c>
      <c r="T61" s="129" t="s">
        <v>104</v>
      </c>
      <c r="U61" s="152" t="s">
        <v>97</v>
      </c>
      <c r="V61" s="146" t="s">
        <v>94</v>
      </c>
      <c r="W61" s="150" t="s">
        <v>93</v>
      </c>
      <c r="X61" s="43" t="s">
        <v>189</v>
      </c>
      <c r="Y61" s="45" t="s">
        <v>299</v>
      </c>
      <c r="Z61" s="152" t="s">
        <v>191</v>
      </c>
      <c r="AA61" s="210" t="s">
        <v>300</v>
      </c>
      <c r="AB61" s="205">
        <v>0.0374</v>
      </c>
      <c r="AC61" s="235" t="s">
        <v>97</v>
      </c>
      <c r="AD61" s="223" t="s">
        <v>193</v>
      </c>
      <c r="AE61" s="224">
        <v>72</v>
      </c>
      <c r="AF61" s="224">
        <v>71</v>
      </c>
      <c r="AG61" s="224">
        <v>2</v>
      </c>
      <c r="AH61" s="277">
        <f>AE61*AF61*AG61*7860/1000000000</f>
        <v>0.08036064</v>
      </c>
      <c r="AI61" s="278">
        <f>AB61/AH61</f>
        <v>0.465401967928578</v>
      </c>
      <c r="AJ61" s="224"/>
      <c r="AK61" s="277">
        <f>AE61*AF61*2/1000000</f>
        <v>0.010224</v>
      </c>
      <c r="AL61" s="266"/>
      <c r="AM61" s="266"/>
      <c r="AN61" s="263" t="s">
        <v>127</v>
      </c>
      <c r="AO61" s="263" t="s">
        <v>301</v>
      </c>
      <c r="AP61" s="302"/>
      <c r="AQ61" s="301"/>
      <c r="AR61" s="289">
        <v>2</v>
      </c>
    </row>
    <row r="62" ht="39.95" customHeight="1" spans="1:44">
      <c r="A62" s="42">
        <f t="shared" si="7"/>
        <v>54</v>
      </c>
      <c r="B62" s="43"/>
      <c r="C62" s="46"/>
      <c r="D62" s="46"/>
      <c r="E62" s="47">
        <v>3</v>
      </c>
      <c r="F62" s="47"/>
      <c r="G62" s="46"/>
      <c r="H62" s="46"/>
      <c r="I62" s="46"/>
      <c r="J62" s="95"/>
      <c r="K62" s="106"/>
      <c r="L62" s="95" t="s">
        <v>365</v>
      </c>
      <c r="M62" s="87" t="s">
        <v>366</v>
      </c>
      <c r="N62" s="90" t="s">
        <v>367</v>
      </c>
      <c r="O62" s="91" t="s">
        <v>175</v>
      </c>
      <c r="P62" s="108" t="s">
        <v>144</v>
      </c>
      <c r="Q62" s="43" t="s">
        <v>92</v>
      </c>
      <c r="R62" s="160"/>
      <c r="S62" s="149" t="s">
        <v>42</v>
      </c>
      <c r="T62" s="129" t="s">
        <v>104</v>
      </c>
      <c r="U62" s="152" t="s">
        <v>97</v>
      </c>
      <c r="V62" s="146" t="s">
        <v>94</v>
      </c>
      <c r="W62" s="150" t="s">
        <v>93</v>
      </c>
      <c r="X62" s="43" t="s">
        <v>189</v>
      </c>
      <c r="Y62" s="45" t="s">
        <v>368</v>
      </c>
      <c r="Z62" s="152" t="s">
        <v>182</v>
      </c>
      <c r="AA62" s="210" t="s">
        <v>369</v>
      </c>
      <c r="AB62" s="205">
        <v>0.026</v>
      </c>
      <c r="AC62" s="235" t="s">
        <v>97</v>
      </c>
      <c r="AD62" s="223" t="s">
        <v>193</v>
      </c>
      <c r="AE62" s="211">
        <v>85</v>
      </c>
      <c r="AF62" s="211">
        <v>37</v>
      </c>
      <c r="AG62" s="224">
        <v>2</v>
      </c>
      <c r="AH62" s="277">
        <f>AE62*AF62*AG62*7860/1000000000</f>
        <v>0.0494394</v>
      </c>
      <c r="AI62" s="278">
        <f>AB62/AH62</f>
        <v>0.525896349874796</v>
      </c>
      <c r="AJ62" s="224"/>
      <c r="AK62" s="277">
        <f>AE62*AF62*2/1000000</f>
        <v>0.00629</v>
      </c>
      <c r="AL62" s="266"/>
      <c r="AM62" s="266"/>
      <c r="AN62" s="263" t="s">
        <v>127</v>
      </c>
      <c r="AO62" s="263" t="s">
        <v>370</v>
      </c>
      <c r="AP62" s="302"/>
      <c r="AQ62" s="301"/>
      <c r="AR62" s="289">
        <v>1</v>
      </c>
    </row>
    <row r="63" ht="39.95" customHeight="1" spans="1:44">
      <c r="A63" s="42">
        <f t="shared" si="7"/>
        <v>55</v>
      </c>
      <c r="B63" s="43"/>
      <c r="C63" s="46">
        <v>1</v>
      </c>
      <c r="D63" s="46"/>
      <c r="E63" s="47"/>
      <c r="F63" s="47"/>
      <c r="G63" s="46"/>
      <c r="H63" s="46"/>
      <c r="I63" s="46"/>
      <c r="J63" s="95"/>
      <c r="K63" s="106"/>
      <c r="L63" s="118" t="s">
        <v>575</v>
      </c>
      <c r="M63" s="136"/>
      <c r="N63" s="111" t="s">
        <v>576</v>
      </c>
      <c r="O63" s="137" t="s">
        <v>373</v>
      </c>
      <c r="P63" s="138" t="s">
        <v>144</v>
      </c>
      <c r="Q63" s="161" t="s">
        <v>160</v>
      </c>
      <c r="R63" s="185"/>
      <c r="S63" s="163" t="s">
        <v>42</v>
      </c>
      <c r="T63" s="136" t="s">
        <v>577</v>
      </c>
      <c r="U63" s="163" t="s">
        <v>42</v>
      </c>
      <c r="V63" s="189" t="s">
        <v>93</v>
      </c>
      <c r="W63" s="186" t="s">
        <v>94</v>
      </c>
      <c r="X63" s="113" t="s">
        <v>242</v>
      </c>
      <c r="Y63" s="120" t="s">
        <v>96</v>
      </c>
      <c r="Z63" s="136" t="s">
        <v>97</v>
      </c>
      <c r="AA63" s="136" t="s">
        <v>97</v>
      </c>
      <c r="AB63" s="222">
        <f>AB64+AB71+AB78*AR78</f>
        <v>8.4288</v>
      </c>
      <c r="AC63" s="245" t="s">
        <v>243</v>
      </c>
      <c r="AD63" s="246" t="s">
        <v>243</v>
      </c>
      <c r="AE63" s="207"/>
      <c r="AF63" s="207"/>
      <c r="AG63" s="207"/>
      <c r="AH63" s="260"/>
      <c r="AI63" s="261"/>
      <c r="AJ63" s="207"/>
      <c r="AK63" s="260">
        <f>SUM(AK66:AK79)</f>
        <v>0.76866128</v>
      </c>
      <c r="AL63" s="262">
        <f>0.0032*60</f>
        <v>0.192</v>
      </c>
      <c r="AM63" s="276">
        <v>7</v>
      </c>
      <c r="AN63" s="263" t="s">
        <v>127</v>
      </c>
      <c r="AO63" s="263" t="s">
        <v>376</v>
      </c>
      <c r="AP63" s="302"/>
      <c r="AQ63" s="301"/>
      <c r="AR63" s="289">
        <v>1</v>
      </c>
    </row>
    <row r="64" ht="39.95" customHeight="1" spans="1:44">
      <c r="A64" s="42">
        <f t="shared" si="7"/>
        <v>56</v>
      </c>
      <c r="B64" s="43"/>
      <c r="C64" s="46"/>
      <c r="D64" s="59">
        <v>2</v>
      </c>
      <c r="E64" s="59"/>
      <c r="F64" s="46"/>
      <c r="G64" s="59"/>
      <c r="H64" s="46"/>
      <c r="I64" s="46"/>
      <c r="J64" s="95"/>
      <c r="K64" s="95"/>
      <c r="L64" s="129" t="s">
        <v>577</v>
      </c>
      <c r="M64" s="129" t="s">
        <v>577</v>
      </c>
      <c r="N64" s="90" t="s">
        <v>578</v>
      </c>
      <c r="O64" s="139" t="s">
        <v>373</v>
      </c>
      <c r="P64" s="97" t="s">
        <v>144</v>
      </c>
      <c r="Q64" s="43" t="s">
        <v>92</v>
      </c>
      <c r="R64" s="153"/>
      <c r="S64" s="149" t="s">
        <v>42</v>
      </c>
      <c r="T64" s="129" t="s">
        <v>577</v>
      </c>
      <c r="U64" s="149" t="s">
        <v>42</v>
      </c>
      <c r="V64" s="150" t="s">
        <v>93</v>
      </c>
      <c r="W64" s="186" t="s">
        <v>94</v>
      </c>
      <c r="X64" s="108" t="s">
        <v>112</v>
      </c>
      <c r="Y64" s="45" t="s">
        <v>96</v>
      </c>
      <c r="Z64" s="152" t="s">
        <v>97</v>
      </c>
      <c r="AA64" s="129" t="s">
        <v>97</v>
      </c>
      <c r="AB64" s="205">
        <f>AB65+AB72+AB79*AR79</f>
        <v>8.1942</v>
      </c>
      <c r="AC64" s="235" t="s">
        <v>243</v>
      </c>
      <c r="AD64" s="246" t="s">
        <v>157</v>
      </c>
      <c r="AE64" s="207"/>
      <c r="AF64" s="207"/>
      <c r="AG64" s="207"/>
      <c r="AH64" s="260"/>
      <c r="AI64" s="261"/>
      <c r="AJ64" s="207">
        <v>12</v>
      </c>
      <c r="AK64" s="260"/>
      <c r="AL64" s="266">
        <f>9*AJ64/600+10*5/60</f>
        <v>1.01333333333333</v>
      </c>
      <c r="AM64" s="276">
        <v>1</v>
      </c>
      <c r="AN64" s="263" t="s">
        <v>99</v>
      </c>
      <c r="AO64" s="263" t="s">
        <v>158</v>
      </c>
      <c r="AP64" s="302"/>
      <c r="AQ64" s="314"/>
      <c r="AR64" s="109">
        <v>1</v>
      </c>
    </row>
    <row r="65" ht="39.95" customHeight="1" spans="1:44">
      <c r="A65" s="42">
        <f t="shared" si="7"/>
        <v>57</v>
      </c>
      <c r="B65" s="43"/>
      <c r="C65" s="46"/>
      <c r="D65" s="59"/>
      <c r="E65" s="59">
        <v>3</v>
      </c>
      <c r="F65" s="46"/>
      <c r="G65" s="59"/>
      <c r="H65" s="46"/>
      <c r="I65" s="46"/>
      <c r="J65" s="95"/>
      <c r="K65" s="95"/>
      <c r="L65" s="95"/>
      <c r="M65" s="129" t="s">
        <v>579</v>
      </c>
      <c r="N65" s="90" t="s">
        <v>580</v>
      </c>
      <c r="O65" s="139" t="s">
        <v>373</v>
      </c>
      <c r="P65" s="97" t="s">
        <v>144</v>
      </c>
      <c r="Q65" s="43" t="s">
        <v>92</v>
      </c>
      <c r="R65" s="153"/>
      <c r="S65" s="149" t="s">
        <v>42</v>
      </c>
      <c r="T65" s="129" t="s">
        <v>579</v>
      </c>
      <c r="U65" s="149" t="s">
        <v>42</v>
      </c>
      <c r="V65" s="150" t="s">
        <v>93</v>
      </c>
      <c r="W65" s="186" t="s">
        <v>94</v>
      </c>
      <c r="X65" s="108" t="s">
        <v>112</v>
      </c>
      <c r="Y65" s="45" t="s">
        <v>96</v>
      </c>
      <c r="Z65" s="152" t="s">
        <v>97</v>
      </c>
      <c r="AA65" s="129" t="s">
        <v>97</v>
      </c>
      <c r="AB65" s="205">
        <f>AB66+AB67+AB68+AB69*AR69+AB70+AB71</f>
        <v>3.8153</v>
      </c>
      <c r="AC65" s="235" t="s">
        <v>97</v>
      </c>
      <c r="AD65" s="246" t="s">
        <v>157</v>
      </c>
      <c r="AE65" s="207"/>
      <c r="AF65" s="207"/>
      <c r="AG65" s="207"/>
      <c r="AH65" s="260"/>
      <c r="AI65" s="261"/>
      <c r="AJ65" s="207">
        <v>73</v>
      </c>
      <c r="AK65" s="260"/>
      <c r="AL65" s="266">
        <f>9*AJ65/600+10*8/60</f>
        <v>2.42833333333333</v>
      </c>
      <c r="AM65" s="276">
        <v>1</v>
      </c>
      <c r="AN65" s="263" t="s">
        <v>105</v>
      </c>
      <c r="AO65" s="263" t="s">
        <v>158</v>
      </c>
      <c r="AP65" s="302"/>
      <c r="AQ65" s="314"/>
      <c r="AR65" s="109">
        <v>1</v>
      </c>
    </row>
    <row r="66" ht="39.95" customHeight="1" spans="1:44">
      <c r="A66" s="42">
        <f t="shared" si="7"/>
        <v>58</v>
      </c>
      <c r="B66" s="43"/>
      <c r="C66" s="46"/>
      <c r="D66" s="59"/>
      <c r="E66" s="59"/>
      <c r="F66" s="46">
        <v>4</v>
      </c>
      <c r="G66" s="59"/>
      <c r="H66" s="46"/>
      <c r="I66" s="46"/>
      <c r="J66" s="95"/>
      <c r="K66" s="95"/>
      <c r="L66" s="129" t="s">
        <v>581</v>
      </c>
      <c r="M66" s="129" t="s">
        <v>581</v>
      </c>
      <c r="N66" s="90" t="s">
        <v>582</v>
      </c>
      <c r="O66" s="139" t="s">
        <v>373</v>
      </c>
      <c r="P66" s="97" t="s">
        <v>144</v>
      </c>
      <c r="Q66" s="43" t="s">
        <v>92</v>
      </c>
      <c r="R66" s="153"/>
      <c r="S66" s="149" t="s">
        <v>42</v>
      </c>
      <c r="T66" s="129" t="s">
        <v>581</v>
      </c>
      <c r="U66" s="149" t="s">
        <v>42</v>
      </c>
      <c r="V66" s="150" t="s">
        <v>93</v>
      </c>
      <c r="W66" s="186" t="s">
        <v>94</v>
      </c>
      <c r="X66" s="43" t="s">
        <v>169</v>
      </c>
      <c r="Y66" s="336" t="s">
        <v>382</v>
      </c>
      <c r="Z66" s="152" t="s">
        <v>182</v>
      </c>
      <c r="AA66" s="129" t="s">
        <v>583</v>
      </c>
      <c r="AB66" s="205">
        <v>0.9612</v>
      </c>
      <c r="AC66" s="235" t="s">
        <v>97</v>
      </c>
      <c r="AD66" s="246" t="s">
        <v>384</v>
      </c>
      <c r="AE66" s="207">
        <v>430</v>
      </c>
      <c r="AF66" s="207"/>
      <c r="AG66" s="207"/>
      <c r="AH66" s="260">
        <f>AE66*2.4/1000</f>
        <v>1.032</v>
      </c>
      <c r="AI66" s="278">
        <f t="shared" ref="AI66:AI71" si="8">AB66/AH66</f>
        <v>0.931395348837209</v>
      </c>
      <c r="AJ66" s="207"/>
      <c r="AK66" s="260">
        <f>(40+20+34+14)*2*AE66/1000000</f>
        <v>0.09288</v>
      </c>
      <c r="AL66" s="262">
        <f>0.0028*60</f>
        <v>0.168</v>
      </c>
      <c r="AM66" s="264">
        <v>1</v>
      </c>
      <c r="AN66" s="263" t="s">
        <v>99</v>
      </c>
      <c r="AO66" s="263" t="s">
        <v>166</v>
      </c>
      <c r="AP66" s="302"/>
      <c r="AQ66" s="314"/>
      <c r="AR66" s="109">
        <v>1</v>
      </c>
    </row>
    <row r="67" ht="39.95" customHeight="1" spans="1:44">
      <c r="A67" s="42">
        <f t="shared" si="7"/>
        <v>59</v>
      </c>
      <c r="B67" s="43"/>
      <c r="C67" s="46"/>
      <c r="D67" s="59"/>
      <c r="E67" s="59"/>
      <c r="F67" s="46">
        <v>4</v>
      </c>
      <c r="G67" s="59"/>
      <c r="H67" s="46"/>
      <c r="I67" s="46"/>
      <c r="J67" s="95"/>
      <c r="K67" s="95"/>
      <c r="L67" s="129" t="s">
        <v>584</v>
      </c>
      <c r="M67" s="129" t="s">
        <v>584</v>
      </c>
      <c r="N67" s="90" t="s">
        <v>585</v>
      </c>
      <c r="O67" s="139" t="s">
        <v>373</v>
      </c>
      <c r="P67" s="97" t="s">
        <v>144</v>
      </c>
      <c r="Q67" s="43" t="s">
        <v>92</v>
      </c>
      <c r="R67" s="153"/>
      <c r="S67" s="149" t="s">
        <v>42</v>
      </c>
      <c r="T67" s="129" t="s">
        <v>584</v>
      </c>
      <c r="U67" s="149" t="s">
        <v>42</v>
      </c>
      <c r="V67" s="150" t="s">
        <v>93</v>
      </c>
      <c r="W67" s="186" t="s">
        <v>94</v>
      </c>
      <c r="X67" s="43" t="s">
        <v>169</v>
      </c>
      <c r="Y67" s="336" t="s">
        <v>382</v>
      </c>
      <c r="Z67" s="152" t="s">
        <v>182</v>
      </c>
      <c r="AA67" s="129" t="s">
        <v>586</v>
      </c>
      <c r="AB67" s="205">
        <v>1.9332</v>
      </c>
      <c r="AC67" s="235" t="s">
        <v>97</v>
      </c>
      <c r="AD67" s="246" t="s">
        <v>165</v>
      </c>
      <c r="AE67" s="207">
        <f>AB67/2.4*1000+10</f>
        <v>815.5</v>
      </c>
      <c r="AF67" s="207"/>
      <c r="AG67" s="207"/>
      <c r="AH67" s="260">
        <f>AE67*2.4/1000</f>
        <v>1.9572</v>
      </c>
      <c r="AI67" s="278">
        <f t="shared" si="8"/>
        <v>0.987737584304108</v>
      </c>
      <c r="AJ67" s="207"/>
      <c r="AK67" s="260">
        <f>(40+20+34+14)*2*AE67/1000000</f>
        <v>0.176148</v>
      </c>
      <c r="AL67" s="266">
        <f>0.0195*60</f>
        <v>1.17</v>
      </c>
      <c r="AM67" s="276">
        <v>1</v>
      </c>
      <c r="AN67" s="263" t="s">
        <v>99</v>
      </c>
      <c r="AO67" s="263" t="s">
        <v>166</v>
      </c>
      <c r="AP67" s="302"/>
      <c r="AQ67" s="314"/>
      <c r="AR67" s="109">
        <v>1</v>
      </c>
    </row>
    <row r="68" ht="39.95" customHeight="1" spans="1:44">
      <c r="A68" s="42">
        <f t="shared" si="7"/>
        <v>60</v>
      </c>
      <c r="B68" s="43"/>
      <c r="C68" s="46"/>
      <c r="D68" s="59"/>
      <c r="E68" s="59"/>
      <c r="F68" s="46">
        <v>4</v>
      </c>
      <c r="G68" s="59"/>
      <c r="H68" s="46"/>
      <c r="I68" s="46"/>
      <c r="J68" s="95"/>
      <c r="K68" s="95"/>
      <c r="L68" s="129" t="s">
        <v>587</v>
      </c>
      <c r="M68" s="129" t="s">
        <v>587</v>
      </c>
      <c r="N68" s="90" t="s">
        <v>588</v>
      </c>
      <c r="O68" s="139" t="s">
        <v>373</v>
      </c>
      <c r="P68" s="97" t="s">
        <v>144</v>
      </c>
      <c r="Q68" s="43" t="s">
        <v>92</v>
      </c>
      <c r="R68" s="153"/>
      <c r="S68" s="149" t="s">
        <v>42</v>
      </c>
      <c r="T68" s="129" t="s">
        <v>587</v>
      </c>
      <c r="U68" s="149" t="s">
        <v>42</v>
      </c>
      <c r="V68" s="150" t="s">
        <v>93</v>
      </c>
      <c r="W68" s="186" t="s">
        <v>94</v>
      </c>
      <c r="X68" s="43" t="s">
        <v>169</v>
      </c>
      <c r="Y68" s="336" t="s">
        <v>382</v>
      </c>
      <c r="Z68" s="152" t="s">
        <v>182</v>
      </c>
      <c r="AA68" s="129" t="s">
        <v>589</v>
      </c>
      <c r="AB68" s="205">
        <v>0.5491</v>
      </c>
      <c r="AC68" s="235" t="s">
        <v>97</v>
      </c>
      <c r="AD68" s="246" t="s">
        <v>384</v>
      </c>
      <c r="AE68" s="207">
        <v>240</v>
      </c>
      <c r="AF68" s="207"/>
      <c r="AG68" s="207"/>
      <c r="AH68" s="260">
        <f>AE68*2.4/1000</f>
        <v>0.576</v>
      </c>
      <c r="AI68" s="278">
        <f t="shared" si="8"/>
        <v>0.953298611111111</v>
      </c>
      <c r="AJ68" s="207"/>
      <c r="AK68" s="260">
        <f>(40+20+34+14)*2*AE68/1000000</f>
        <v>0.05184</v>
      </c>
      <c r="AL68" s="262">
        <f>0.0028*60</f>
        <v>0.168</v>
      </c>
      <c r="AM68" s="264">
        <v>1</v>
      </c>
      <c r="AN68" s="263" t="s">
        <v>99</v>
      </c>
      <c r="AO68" s="263" t="s">
        <v>166</v>
      </c>
      <c r="AP68" s="302"/>
      <c r="AQ68" s="314"/>
      <c r="AR68" s="109">
        <v>1</v>
      </c>
    </row>
    <row r="69" ht="39.95" customHeight="1" spans="1:44">
      <c r="A69" s="42">
        <f t="shared" si="7"/>
        <v>61</v>
      </c>
      <c r="B69" s="43"/>
      <c r="C69" s="46"/>
      <c r="D69" s="59"/>
      <c r="E69" s="59"/>
      <c r="F69" s="46">
        <v>4</v>
      </c>
      <c r="G69" s="59"/>
      <c r="H69" s="46"/>
      <c r="I69" s="46"/>
      <c r="J69" s="95"/>
      <c r="K69" s="95"/>
      <c r="L69" s="129" t="s">
        <v>391</v>
      </c>
      <c r="M69" s="129" t="s">
        <v>391</v>
      </c>
      <c r="N69" s="90" t="s">
        <v>392</v>
      </c>
      <c r="O69" s="320" t="s">
        <v>590</v>
      </c>
      <c r="P69" s="97" t="s">
        <v>144</v>
      </c>
      <c r="Q69" s="43" t="s">
        <v>92</v>
      </c>
      <c r="R69" s="153"/>
      <c r="S69" s="149" t="s">
        <v>42</v>
      </c>
      <c r="T69" s="129" t="s">
        <v>391</v>
      </c>
      <c r="U69" s="149" t="s">
        <v>42</v>
      </c>
      <c r="V69" s="150" t="s">
        <v>93</v>
      </c>
      <c r="W69" s="186" t="s">
        <v>94</v>
      </c>
      <c r="X69" s="108" t="s">
        <v>394</v>
      </c>
      <c r="Y69" s="45" t="s">
        <v>395</v>
      </c>
      <c r="Z69" s="152" t="s">
        <v>97</v>
      </c>
      <c r="AA69" s="129" t="s">
        <v>396</v>
      </c>
      <c r="AB69" s="205">
        <v>0.0268</v>
      </c>
      <c r="AC69" s="235" t="s">
        <v>97</v>
      </c>
      <c r="AD69" s="246" t="s">
        <v>397</v>
      </c>
      <c r="AE69" s="207">
        <v>20</v>
      </c>
      <c r="AF69" s="207">
        <v>16</v>
      </c>
      <c r="AG69" s="207"/>
      <c r="AH69" s="260">
        <f>AF69/2*AF69/2*3.14*AE69*7860/1000000000</f>
        <v>0.031590912</v>
      </c>
      <c r="AI69" s="278">
        <f t="shared" si="8"/>
        <v>0.848345245620006</v>
      </c>
      <c r="AJ69" s="207"/>
      <c r="AK69" s="260">
        <f>3.14*AF69*AE69*AR69/1000000</f>
        <v>0.0040192</v>
      </c>
      <c r="AL69" s="262"/>
      <c r="AM69" s="262"/>
      <c r="AN69" s="263" t="s">
        <v>127</v>
      </c>
      <c r="AO69" s="263" t="s">
        <v>398</v>
      </c>
      <c r="AP69" s="302"/>
      <c r="AQ69" s="314"/>
      <c r="AR69" s="109">
        <v>4</v>
      </c>
    </row>
    <row r="70" ht="39.95" customHeight="1" spans="1:44">
      <c r="A70" s="42">
        <f t="shared" ref="A70:A79" si="9">ROW()-8</f>
        <v>62</v>
      </c>
      <c r="B70" s="43"/>
      <c r="C70" s="46"/>
      <c r="D70" s="59"/>
      <c r="E70" s="59"/>
      <c r="F70" s="46">
        <v>4</v>
      </c>
      <c r="G70" s="59"/>
      <c r="H70" s="46"/>
      <c r="I70" s="46"/>
      <c r="J70" s="95"/>
      <c r="K70" s="95"/>
      <c r="L70" s="129" t="s">
        <v>415</v>
      </c>
      <c r="M70" s="129" t="s">
        <v>415</v>
      </c>
      <c r="N70" s="90" t="s">
        <v>416</v>
      </c>
      <c r="O70" s="320" t="s">
        <v>590</v>
      </c>
      <c r="P70" s="97"/>
      <c r="Q70" s="43" t="s">
        <v>92</v>
      </c>
      <c r="R70" s="153"/>
      <c r="S70" s="149" t="s">
        <v>42</v>
      </c>
      <c r="T70" s="129" t="s">
        <v>415</v>
      </c>
      <c r="U70" s="149" t="s">
        <v>42</v>
      </c>
      <c r="V70" s="150" t="s">
        <v>93</v>
      </c>
      <c r="W70" s="186" t="s">
        <v>94</v>
      </c>
      <c r="X70" s="108" t="s">
        <v>394</v>
      </c>
      <c r="Y70" s="45" t="s">
        <v>395</v>
      </c>
      <c r="Z70" s="152" t="s">
        <v>97</v>
      </c>
      <c r="AA70" s="129" t="s">
        <v>401</v>
      </c>
      <c r="AB70" s="205">
        <v>0.1473</v>
      </c>
      <c r="AC70" s="235" t="s">
        <v>97</v>
      </c>
      <c r="AD70" s="246" t="s">
        <v>397</v>
      </c>
      <c r="AE70" s="207">
        <v>32</v>
      </c>
      <c r="AF70" s="207">
        <v>28</v>
      </c>
      <c r="AG70" s="207"/>
      <c r="AH70" s="260">
        <f>AF70/2*AF70/2*3.14*AE70*7860/1000000000</f>
        <v>0.1547954688</v>
      </c>
      <c r="AI70" s="278">
        <f t="shared" si="8"/>
        <v>0.951578241546047</v>
      </c>
      <c r="AJ70" s="207"/>
      <c r="AK70" s="260">
        <f>3.14*AF70*AE70*AR70/1000000</f>
        <v>0.00281344</v>
      </c>
      <c r="AL70" s="262"/>
      <c r="AM70" s="262"/>
      <c r="AN70" s="263" t="s">
        <v>127</v>
      </c>
      <c r="AO70" s="263" t="s">
        <v>398</v>
      </c>
      <c r="AP70" s="302"/>
      <c r="AQ70" s="314"/>
      <c r="AR70" s="109">
        <v>1</v>
      </c>
    </row>
    <row r="71" ht="39.95" customHeight="1" spans="1:44">
      <c r="A71" s="42">
        <f t="shared" si="9"/>
        <v>63</v>
      </c>
      <c r="B71" s="43"/>
      <c r="C71" s="46"/>
      <c r="D71" s="59"/>
      <c r="E71" s="59"/>
      <c r="F71" s="46">
        <v>4</v>
      </c>
      <c r="G71" s="59"/>
      <c r="H71" s="46"/>
      <c r="I71" s="46"/>
      <c r="J71" s="95"/>
      <c r="K71" s="95"/>
      <c r="L71" s="129" t="s">
        <v>402</v>
      </c>
      <c r="M71" s="129" t="s">
        <v>402</v>
      </c>
      <c r="N71" s="90" t="s">
        <v>403</v>
      </c>
      <c r="O71" s="320" t="s">
        <v>590</v>
      </c>
      <c r="P71" s="97"/>
      <c r="Q71" s="43" t="s">
        <v>92</v>
      </c>
      <c r="R71" s="153"/>
      <c r="S71" s="149" t="s">
        <v>42</v>
      </c>
      <c r="T71" s="129" t="s">
        <v>402</v>
      </c>
      <c r="U71" s="149" t="s">
        <v>42</v>
      </c>
      <c r="V71" s="150" t="s">
        <v>93</v>
      </c>
      <c r="W71" s="186" t="s">
        <v>94</v>
      </c>
      <c r="X71" s="108" t="s">
        <v>394</v>
      </c>
      <c r="Y71" s="45" t="s">
        <v>395</v>
      </c>
      <c r="Z71" s="152" t="s">
        <v>97</v>
      </c>
      <c r="AA71" s="129" t="s">
        <v>401</v>
      </c>
      <c r="AB71" s="205">
        <v>0.1173</v>
      </c>
      <c r="AC71" s="235" t="s">
        <v>97</v>
      </c>
      <c r="AD71" s="246" t="s">
        <v>397</v>
      </c>
      <c r="AE71" s="207">
        <v>26</v>
      </c>
      <c r="AF71" s="207">
        <v>28</v>
      </c>
      <c r="AG71" s="207"/>
      <c r="AH71" s="260">
        <f>AF71/2*AF71/2*3.14*AE71*7860/1000000000</f>
        <v>0.1257713184</v>
      </c>
      <c r="AI71" s="278">
        <f t="shared" si="8"/>
        <v>0.932645069577326</v>
      </c>
      <c r="AJ71" s="207"/>
      <c r="AK71" s="260">
        <f>3.14*AF71*AE71*AR71/1000000</f>
        <v>0.00228592</v>
      </c>
      <c r="AL71" s="262"/>
      <c r="AM71" s="262"/>
      <c r="AN71" s="263" t="s">
        <v>127</v>
      </c>
      <c r="AO71" s="263" t="s">
        <v>398</v>
      </c>
      <c r="AP71" s="302"/>
      <c r="AQ71" s="314"/>
      <c r="AR71" s="109">
        <v>1</v>
      </c>
    </row>
    <row r="72" ht="39.95" customHeight="1" spans="1:44">
      <c r="A72" s="42">
        <f t="shared" si="9"/>
        <v>64</v>
      </c>
      <c r="B72" s="43"/>
      <c r="C72" s="46"/>
      <c r="D72" s="59"/>
      <c r="E72" s="59">
        <v>3</v>
      </c>
      <c r="F72" s="46"/>
      <c r="G72" s="59"/>
      <c r="H72" s="46"/>
      <c r="I72" s="46"/>
      <c r="J72" s="95"/>
      <c r="K72" s="95"/>
      <c r="L72" s="95"/>
      <c r="M72" s="129" t="s">
        <v>591</v>
      </c>
      <c r="N72" s="90" t="s">
        <v>592</v>
      </c>
      <c r="O72" s="139" t="s">
        <v>373</v>
      </c>
      <c r="P72" s="97" t="s">
        <v>144</v>
      </c>
      <c r="Q72" s="43" t="s">
        <v>92</v>
      </c>
      <c r="R72" s="153"/>
      <c r="S72" s="149" t="s">
        <v>42</v>
      </c>
      <c r="T72" s="129" t="s">
        <v>591</v>
      </c>
      <c r="U72" s="149" t="s">
        <v>42</v>
      </c>
      <c r="V72" s="150" t="s">
        <v>93</v>
      </c>
      <c r="W72" s="186" t="s">
        <v>94</v>
      </c>
      <c r="X72" s="108" t="s">
        <v>112</v>
      </c>
      <c r="Y72" s="45" t="s">
        <v>96</v>
      </c>
      <c r="Z72" s="152" t="s">
        <v>97</v>
      </c>
      <c r="AA72" s="129" t="s">
        <v>97</v>
      </c>
      <c r="AB72" s="205">
        <f>AB73+AB74+AB75+AB76*AR76+AB77+AB78</f>
        <v>3.8029</v>
      </c>
      <c r="AC72" s="235" t="s">
        <v>97</v>
      </c>
      <c r="AD72" s="246" t="s">
        <v>157</v>
      </c>
      <c r="AE72" s="207"/>
      <c r="AF72" s="207"/>
      <c r="AG72" s="207"/>
      <c r="AH72" s="260"/>
      <c r="AI72" s="261"/>
      <c r="AJ72" s="207">
        <v>73</v>
      </c>
      <c r="AK72" s="260"/>
      <c r="AL72" s="266">
        <f>9*AJ72/600+10*8/60</f>
        <v>2.42833333333333</v>
      </c>
      <c r="AM72" s="276">
        <v>1</v>
      </c>
      <c r="AN72" s="263" t="s">
        <v>105</v>
      </c>
      <c r="AO72" s="263" t="s">
        <v>158</v>
      </c>
      <c r="AP72" s="302"/>
      <c r="AQ72" s="314"/>
      <c r="AR72" s="109">
        <v>1</v>
      </c>
    </row>
    <row r="73" ht="39.95" customHeight="1" spans="1:44">
      <c r="A73" s="42">
        <f t="shared" si="9"/>
        <v>65</v>
      </c>
      <c r="B73" s="43"/>
      <c r="C73" s="46"/>
      <c r="D73" s="59"/>
      <c r="E73" s="59"/>
      <c r="F73" s="46">
        <v>4</v>
      </c>
      <c r="G73" s="59"/>
      <c r="H73" s="46"/>
      <c r="I73" s="46"/>
      <c r="J73" s="95"/>
      <c r="K73" s="95"/>
      <c r="L73" s="129" t="s">
        <v>581</v>
      </c>
      <c r="M73" s="129" t="s">
        <v>581</v>
      </c>
      <c r="N73" s="90" t="s">
        <v>582</v>
      </c>
      <c r="O73" s="139" t="s">
        <v>373</v>
      </c>
      <c r="P73" s="97" t="s">
        <v>144</v>
      </c>
      <c r="Q73" s="43" t="s">
        <v>92</v>
      </c>
      <c r="R73" s="153"/>
      <c r="S73" s="149" t="s">
        <v>42</v>
      </c>
      <c r="T73" s="129" t="s">
        <v>581</v>
      </c>
      <c r="U73" s="149" t="s">
        <v>42</v>
      </c>
      <c r="V73" s="150" t="s">
        <v>93</v>
      </c>
      <c r="W73" s="186" t="s">
        <v>94</v>
      </c>
      <c r="X73" s="43" t="s">
        <v>169</v>
      </c>
      <c r="Y73" s="336" t="s">
        <v>382</v>
      </c>
      <c r="Z73" s="152" t="s">
        <v>182</v>
      </c>
      <c r="AA73" s="129" t="s">
        <v>583</v>
      </c>
      <c r="AB73" s="205">
        <v>0.9612</v>
      </c>
      <c r="AC73" s="235" t="s">
        <v>97</v>
      </c>
      <c r="AD73" s="246" t="s">
        <v>384</v>
      </c>
      <c r="AE73" s="207">
        <v>430</v>
      </c>
      <c r="AF73" s="207"/>
      <c r="AG73" s="207"/>
      <c r="AH73" s="260">
        <f>AE73*2.4/1000</f>
        <v>1.032</v>
      </c>
      <c r="AI73" s="278">
        <f t="shared" ref="AI73:AI79" si="10">AB73/AH73</f>
        <v>0.931395348837209</v>
      </c>
      <c r="AJ73" s="207"/>
      <c r="AK73" s="260">
        <f>(40+20+34+14)*2*AE73/1000000</f>
        <v>0.09288</v>
      </c>
      <c r="AL73" s="262">
        <f>0.0028*60</f>
        <v>0.168</v>
      </c>
      <c r="AM73" s="264">
        <v>1</v>
      </c>
      <c r="AN73" s="263" t="s">
        <v>99</v>
      </c>
      <c r="AO73" s="263" t="s">
        <v>166</v>
      </c>
      <c r="AP73" s="302"/>
      <c r="AQ73" s="314"/>
      <c r="AR73" s="109">
        <v>1</v>
      </c>
    </row>
    <row r="74" ht="39.95" customHeight="1" spans="1:44">
      <c r="A74" s="42">
        <f t="shared" si="9"/>
        <v>66</v>
      </c>
      <c r="B74" s="43"/>
      <c r="C74" s="46"/>
      <c r="D74" s="59"/>
      <c r="E74" s="59"/>
      <c r="F74" s="46">
        <v>4</v>
      </c>
      <c r="G74" s="59"/>
      <c r="H74" s="46"/>
      <c r="I74" s="46"/>
      <c r="J74" s="95"/>
      <c r="K74" s="95"/>
      <c r="L74" s="129" t="s">
        <v>584</v>
      </c>
      <c r="M74" s="129" t="s">
        <v>584</v>
      </c>
      <c r="N74" s="90" t="s">
        <v>585</v>
      </c>
      <c r="O74" s="139" t="s">
        <v>373</v>
      </c>
      <c r="P74" s="97" t="s">
        <v>144</v>
      </c>
      <c r="Q74" s="43" t="s">
        <v>92</v>
      </c>
      <c r="R74" s="153"/>
      <c r="S74" s="149" t="s">
        <v>42</v>
      </c>
      <c r="T74" s="129" t="s">
        <v>584</v>
      </c>
      <c r="U74" s="149" t="s">
        <v>42</v>
      </c>
      <c r="V74" s="150" t="s">
        <v>93</v>
      </c>
      <c r="W74" s="186" t="s">
        <v>94</v>
      </c>
      <c r="X74" s="43" t="s">
        <v>169</v>
      </c>
      <c r="Y74" s="336" t="s">
        <v>382</v>
      </c>
      <c r="Z74" s="152" t="s">
        <v>182</v>
      </c>
      <c r="AA74" s="129" t="s">
        <v>586</v>
      </c>
      <c r="AB74" s="205">
        <v>1.9332</v>
      </c>
      <c r="AC74" s="235" t="s">
        <v>97</v>
      </c>
      <c r="AD74" s="246" t="s">
        <v>165</v>
      </c>
      <c r="AE74" s="207">
        <f>AB74/2.4*1000+10</f>
        <v>815.5</v>
      </c>
      <c r="AF74" s="207"/>
      <c r="AG74" s="207"/>
      <c r="AH74" s="260">
        <f>AE74*2.4/1000</f>
        <v>1.9572</v>
      </c>
      <c r="AI74" s="278">
        <f t="shared" si="10"/>
        <v>0.987737584304108</v>
      </c>
      <c r="AJ74" s="207"/>
      <c r="AK74" s="260">
        <f>(40+20+34+14)*2*AE74/1000000</f>
        <v>0.176148</v>
      </c>
      <c r="AL74" s="266">
        <f>0.0195*60</f>
        <v>1.17</v>
      </c>
      <c r="AM74" s="276">
        <v>1</v>
      </c>
      <c r="AN74" s="263" t="s">
        <v>99</v>
      </c>
      <c r="AO74" s="263" t="s">
        <v>166</v>
      </c>
      <c r="AP74" s="302"/>
      <c r="AQ74" s="314"/>
      <c r="AR74" s="109">
        <v>1</v>
      </c>
    </row>
    <row r="75" ht="39.95" customHeight="1" spans="1:44">
      <c r="A75" s="42">
        <f t="shared" si="9"/>
        <v>67</v>
      </c>
      <c r="B75" s="43"/>
      <c r="C75" s="46"/>
      <c r="D75" s="59"/>
      <c r="E75" s="59"/>
      <c r="F75" s="46">
        <v>4</v>
      </c>
      <c r="G75" s="59"/>
      <c r="H75" s="46"/>
      <c r="I75" s="46"/>
      <c r="J75" s="95"/>
      <c r="K75" s="95"/>
      <c r="L75" s="129" t="s">
        <v>587</v>
      </c>
      <c r="M75" s="129" t="s">
        <v>587</v>
      </c>
      <c r="N75" s="90" t="s">
        <v>588</v>
      </c>
      <c r="O75" s="139" t="s">
        <v>373</v>
      </c>
      <c r="P75" s="97"/>
      <c r="Q75" s="43" t="s">
        <v>92</v>
      </c>
      <c r="R75" s="153"/>
      <c r="S75" s="149" t="s">
        <v>42</v>
      </c>
      <c r="T75" s="129" t="s">
        <v>587</v>
      </c>
      <c r="U75" s="149" t="s">
        <v>42</v>
      </c>
      <c r="V75" s="150" t="s">
        <v>93</v>
      </c>
      <c r="W75" s="186" t="s">
        <v>94</v>
      </c>
      <c r="X75" s="43" t="s">
        <v>169</v>
      </c>
      <c r="Y75" s="336" t="s">
        <v>382</v>
      </c>
      <c r="Z75" s="152" t="s">
        <v>182</v>
      </c>
      <c r="AA75" s="129" t="s">
        <v>589</v>
      </c>
      <c r="AB75" s="205">
        <v>0.5491</v>
      </c>
      <c r="AC75" s="235" t="s">
        <v>97</v>
      </c>
      <c r="AD75" s="246" t="s">
        <v>384</v>
      </c>
      <c r="AE75" s="207">
        <v>240</v>
      </c>
      <c r="AF75" s="207"/>
      <c r="AG75" s="207"/>
      <c r="AH75" s="260">
        <f>AE75*2.4/1000</f>
        <v>0.576</v>
      </c>
      <c r="AI75" s="278">
        <f t="shared" si="10"/>
        <v>0.953298611111111</v>
      </c>
      <c r="AJ75" s="207"/>
      <c r="AK75" s="260">
        <f>(40+20+34+14)*2*AE75/1000000</f>
        <v>0.05184</v>
      </c>
      <c r="AL75" s="262">
        <f>0.0028*60</f>
        <v>0.168</v>
      </c>
      <c r="AM75" s="264">
        <v>1</v>
      </c>
      <c r="AN75" s="263" t="s">
        <v>99</v>
      </c>
      <c r="AO75" s="263" t="s">
        <v>166</v>
      </c>
      <c r="AP75" s="302"/>
      <c r="AQ75" s="314"/>
      <c r="AR75" s="109">
        <v>1</v>
      </c>
    </row>
    <row r="76" ht="39.95" customHeight="1" spans="1:44">
      <c r="A76" s="42">
        <f t="shared" si="9"/>
        <v>68</v>
      </c>
      <c r="B76" s="43"/>
      <c r="C76" s="46"/>
      <c r="D76" s="59"/>
      <c r="E76" s="59"/>
      <c r="F76" s="46">
        <v>4</v>
      </c>
      <c r="G76" s="59"/>
      <c r="H76" s="46"/>
      <c r="I76" s="46"/>
      <c r="J76" s="95"/>
      <c r="K76" s="95"/>
      <c r="L76" s="129" t="s">
        <v>391</v>
      </c>
      <c r="M76" s="129" t="s">
        <v>391</v>
      </c>
      <c r="N76" s="90" t="s">
        <v>392</v>
      </c>
      <c r="O76" s="320" t="s">
        <v>590</v>
      </c>
      <c r="P76" s="97" t="s">
        <v>144</v>
      </c>
      <c r="Q76" s="43" t="s">
        <v>92</v>
      </c>
      <c r="R76" s="153"/>
      <c r="S76" s="149" t="s">
        <v>42</v>
      </c>
      <c r="T76" s="129" t="s">
        <v>391</v>
      </c>
      <c r="U76" s="149" t="s">
        <v>42</v>
      </c>
      <c r="V76" s="150" t="s">
        <v>93</v>
      </c>
      <c r="W76" s="186" t="s">
        <v>94</v>
      </c>
      <c r="X76" s="108" t="s">
        <v>394</v>
      </c>
      <c r="Y76" s="45" t="s">
        <v>395</v>
      </c>
      <c r="Z76" s="152" t="s">
        <v>97</v>
      </c>
      <c r="AA76" s="129" t="s">
        <v>396</v>
      </c>
      <c r="AB76" s="205">
        <v>0.0268</v>
      </c>
      <c r="AC76" s="235" t="s">
        <v>97</v>
      </c>
      <c r="AD76" s="246" t="s">
        <v>397</v>
      </c>
      <c r="AE76" s="207">
        <v>20</v>
      </c>
      <c r="AF76" s="207">
        <v>16</v>
      </c>
      <c r="AG76" s="207"/>
      <c r="AH76" s="260">
        <f>AF76/2*AF76/2*3.14*AE76*7860/1000000000</f>
        <v>0.031590912</v>
      </c>
      <c r="AI76" s="278">
        <f t="shared" si="10"/>
        <v>0.848345245620006</v>
      </c>
      <c r="AJ76" s="207"/>
      <c r="AK76" s="260">
        <f>3.14*AF76*AE76*AR76/1000000</f>
        <v>0.0040192</v>
      </c>
      <c r="AL76" s="262"/>
      <c r="AM76" s="262"/>
      <c r="AN76" s="263" t="s">
        <v>127</v>
      </c>
      <c r="AO76" s="263" t="s">
        <v>398</v>
      </c>
      <c r="AP76" s="302"/>
      <c r="AQ76" s="314"/>
      <c r="AR76" s="109">
        <v>4</v>
      </c>
    </row>
    <row r="77" ht="39.95" customHeight="1" spans="1:44">
      <c r="A77" s="42">
        <f t="shared" si="9"/>
        <v>69</v>
      </c>
      <c r="B77" s="43"/>
      <c r="C77" s="46"/>
      <c r="D77" s="59"/>
      <c r="E77" s="59"/>
      <c r="F77" s="46">
        <v>4</v>
      </c>
      <c r="G77" s="59"/>
      <c r="H77" s="46"/>
      <c r="I77" s="46"/>
      <c r="J77" s="95"/>
      <c r="K77" s="95"/>
      <c r="L77" s="129" t="s">
        <v>399</v>
      </c>
      <c r="M77" s="129" t="s">
        <v>399</v>
      </c>
      <c r="N77" s="90" t="s">
        <v>400</v>
      </c>
      <c r="O77" s="320" t="s">
        <v>590</v>
      </c>
      <c r="P77" s="97" t="s">
        <v>144</v>
      </c>
      <c r="Q77" s="43" t="s">
        <v>92</v>
      </c>
      <c r="R77" s="153"/>
      <c r="S77" s="149" t="s">
        <v>42</v>
      </c>
      <c r="T77" s="129" t="s">
        <v>399</v>
      </c>
      <c r="U77" s="149" t="s">
        <v>42</v>
      </c>
      <c r="V77" s="150" t="s">
        <v>93</v>
      </c>
      <c r="W77" s="186" t="s">
        <v>94</v>
      </c>
      <c r="X77" s="108" t="s">
        <v>394</v>
      </c>
      <c r="Y77" s="45" t="s">
        <v>395</v>
      </c>
      <c r="Z77" s="152" t="s">
        <v>97</v>
      </c>
      <c r="AA77" s="129" t="s">
        <v>401</v>
      </c>
      <c r="AB77" s="205">
        <v>0.1349</v>
      </c>
      <c r="AC77" s="235" t="s">
        <v>97</v>
      </c>
      <c r="AD77" s="246" t="s">
        <v>397</v>
      </c>
      <c r="AE77" s="207">
        <v>30</v>
      </c>
      <c r="AF77" s="207">
        <v>28</v>
      </c>
      <c r="AG77" s="207"/>
      <c r="AH77" s="260">
        <f>AF77/2*AF77/2*3.14*AE77*7860/1000000000</f>
        <v>0.145120752</v>
      </c>
      <c r="AI77" s="278">
        <f t="shared" si="10"/>
        <v>0.92957070674496</v>
      </c>
      <c r="AJ77" s="207"/>
      <c r="AK77" s="260">
        <f>3.14*AF77*AE77*AR77/1000000</f>
        <v>0.0026376</v>
      </c>
      <c r="AL77" s="262"/>
      <c r="AM77" s="262"/>
      <c r="AN77" s="263" t="s">
        <v>127</v>
      </c>
      <c r="AO77" s="263" t="s">
        <v>398</v>
      </c>
      <c r="AP77" s="302"/>
      <c r="AQ77" s="314"/>
      <c r="AR77" s="109">
        <v>1</v>
      </c>
    </row>
    <row r="78" ht="39.95" customHeight="1" spans="1:44">
      <c r="A78" s="42">
        <f t="shared" si="9"/>
        <v>70</v>
      </c>
      <c r="B78" s="43"/>
      <c r="C78" s="46"/>
      <c r="D78" s="59"/>
      <c r="E78" s="59"/>
      <c r="F78" s="46">
        <v>4</v>
      </c>
      <c r="G78" s="59"/>
      <c r="H78" s="46"/>
      <c r="I78" s="46"/>
      <c r="J78" s="95"/>
      <c r="K78" s="95"/>
      <c r="L78" s="129" t="s">
        <v>402</v>
      </c>
      <c r="M78" s="129" t="s">
        <v>402</v>
      </c>
      <c r="N78" s="90" t="s">
        <v>403</v>
      </c>
      <c r="O78" s="320" t="s">
        <v>590</v>
      </c>
      <c r="P78" s="97" t="s">
        <v>144</v>
      </c>
      <c r="Q78" s="43" t="s">
        <v>92</v>
      </c>
      <c r="R78" s="153"/>
      <c r="S78" s="149" t="s">
        <v>42</v>
      </c>
      <c r="T78" s="129" t="s">
        <v>402</v>
      </c>
      <c r="U78" s="149" t="s">
        <v>42</v>
      </c>
      <c r="V78" s="150" t="s">
        <v>93</v>
      </c>
      <c r="W78" s="186" t="s">
        <v>94</v>
      </c>
      <c r="X78" s="108" t="s">
        <v>394</v>
      </c>
      <c r="Y78" s="45" t="s">
        <v>395</v>
      </c>
      <c r="Z78" s="152" t="s">
        <v>97</v>
      </c>
      <c r="AA78" s="129" t="s">
        <v>401</v>
      </c>
      <c r="AB78" s="205">
        <v>0.1173</v>
      </c>
      <c r="AC78" s="235" t="s">
        <v>97</v>
      </c>
      <c r="AD78" s="246" t="s">
        <v>397</v>
      </c>
      <c r="AE78" s="207">
        <v>26</v>
      </c>
      <c r="AF78" s="207">
        <v>28</v>
      </c>
      <c r="AG78" s="207"/>
      <c r="AH78" s="260">
        <f>AF78/2*AF78/2*3.14*AE78*7860/1000000000</f>
        <v>0.1257713184</v>
      </c>
      <c r="AI78" s="278">
        <f t="shared" si="10"/>
        <v>0.932645069577326</v>
      </c>
      <c r="AJ78" s="207"/>
      <c r="AK78" s="260">
        <f>3.14*AF78*AE78*AR78/1000000</f>
        <v>0.00228592</v>
      </c>
      <c r="AL78" s="262"/>
      <c r="AM78" s="262"/>
      <c r="AN78" s="263" t="s">
        <v>127</v>
      </c>
      <c r="AO78" s="263" t="s">
        <v>398</v>
      </c>
      <c r="AP78" s="302"/>
      <c r="AQ78" s="314"/>
      <c r="AR78" s="109">
        <v>1</v>
      </c>
    </row>
    <row r="79" s="15" customFormat="1" ht="39.95" customHeight="1" spans="1:44">
      <c r="A79" s="42">
        <f t="shared" si="9"/>
        <v>71</v>
      </c>
      <c r="B79" s="43"/>
      <c r="C79" s="46"/>
      <c r="D79" s="46"/>
      <c r="E79" s="59">
        <v>3</v>
      </c>
      <c r="F79" s="47"/>
      <c r="G79" s="46"/>
      <c r="H79" s="46"/>
      <c r="I79" s="46"/>
      <c r="J79" s="95"/>
      <c r="K79" s="106"/>
      <c r="L79" s="129" t="s">
        <v>417</v>
      </c>
      <c r="M79" s="129" t="s">
        <v>417</v>
      </c>
      <c r="N79" s="90" t="s">
        <v>418</v>
      </c>
      <c r="O79" s="139" t="s">
        <v>373</v>
      </c>
      <c r="P79" s="97" t="s">
        <v>144</v>
      </c>
      <c r="Q79" s="43" t="s">
        <v>92</v>
      </c>
      <c r="R79" s="152"/>
      <c r="S79" s="149" t="s">
        <v>42</v>
      </c>
      <c r="T79" s="129" t="s">
        <v>419</v>
      </c>
      <c r="U79" s="149" t="s">
        <v>42</v>
      </c>
      <c r="V79" s="150" t="s">
        <v>93</v>
      </c>
      <c r="W79" s="186" t="s">
        <v>94</v>
      </c>
      <c r="X79" s="108" t="s">
        <v>216</v>
      </c>
      <c r="Y79" s="336" t="s">
        <v>420</v>
      </c>
      <c r="Z79" s="337" t="s">
        <v>218</v>
      </c>
      <c r="AA79" s="129" t="s">
        <v>421</v>
      </c>
      <c r="AB79" s="205">
        <v>0.192</v>
      </c>
      <c r="AC79" s="235" t="s">
        <v>97</v>
      </c>
      <c r="AD79" s="246" t="s">
        <v>384</v>
      </c>
      <c r="AE79" s="207">
        <v>336</v>
      </c>
      <c r="AF79" s="207"/>
      <c r="AG79" s="207"/>
      <c r="AH79" s="260">
        <f>AE79*0.5893/1000</f>
        <v>0.1980048</v>
      </c>
      <c r="AI79" s="278">
        <f t="shared" si="10"/>
        <v>0.969673462461516</v>
      </c>
      <c r="AJ79" s="207"/>
      <c r="AK79" s="260">
        <f>(20+10+17+7)*2*AE79*AR79/1000000</f>
        <v>0.108864</v>
      </c>
      <c r="AL79" s="262">
        <f>0.0028*60</f>
        <v>0.168</v>
      </c>
      <c r="AM79" s="264">
        <v>1</v>
      </c>
      <c r="AN79" s="263" t="s">
        <v>99</v>
      </c>
      <c r="AO79" s="263" t="s">
        <v>166</v>
      </c>
      <c r="AP79" s="302"/>
      <c r="AQ79" s="314"/>
      <c r="AR79" s="289">
        <v>3</v>
      </c>
    </row>
    <row r="80" s="15" customFormat="1" ht="39.95" customHeight="1" spans="1:44">
      <c r="A80" s="42">
        <f t="shared" ref="A80:A89" si="11">ROW()-8</f>
        <v>72</v>
      </c>
      <c r="B80" s="43"/>
      <c r="C80" s="46">
        <v>1</v>
      </c>
      <c r="D80" s="46"/>
      <c r="E80" s="58"/>
      <c r="F80" s="47"/>
      <c r="G80" s="46"/>
      <c r="H80" s="46"/>
      <c r="I80" s="46"/>
      <c r="J80" s="95"/>
      <c r="K80" s="106"/>
      <c r="L80" s="321" t="s">
        <v>422</v>
      </c>
      <c r="M80" s="322" t="s">
        <v>422</v>
      </c>
      <c r="N80" s="93" t="s">
        <v>423</v>
      </c>
      <c r="O80" s="116" t="s">
        <v>424</v>
      </c>
      <c r="P80" s="97" t="s">
        <v>144</v>
      </c>
      <c r="Q80" s="43" t="s">
        <v>92</v>
      </c>
      <c r="R80" s="160"/>
      <c r="S80" s="149" t="s">
        <v>42</v>
      </c>
      <c r="T80" s="129" t="s">
        <v>104</v>
      </c>
      <c r="U80" s="152" t="s">
        <v>97</v>
      </c>
      <c r="V80" s="186" t="s">
        <v>94</v>
      </c>
      <c r="W80" s="150" t="s">
        <v>93</v>
      </c>
      <c r="X80" s="108" t="s">
        <v>286</v>
      </c>
      <c r="Y80" s="152" t="s">
        <v>425</v>
      </c>
      <c r="Z80" s="152" t="s">
        <v>97</v>
      </c>
      <c r="AA80" s="129" t="s">
        <v>97</v>
      </c>
      <c r="AB80" s="205">
        <v>0.0237</v>
      </c>
      <c r="AC80" s="235" t="s">
        <v>426</v>
      </c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84" t="s">
        <v>127</v>
      </c>
      <c r="AO80" s="284" t="s">
        <v>427</v>
      </c>
      <c r="AP80" s="302"/>
      <c r="AQ80" s="314"/>
      <c r="AR80" s="289">
        <v>8</v>
      </c>
    </row>
    <row r="81" s="15" customFormat="1" ht="39.95" customHeight="1" spans="1:44">
      <c r="A81" s="42">
        <f t="shared" si="11"/>
        <v>73</v>
      </c>
      <c r="B81" s="43"/>
      <c r="C81" s="46">
        <v>1</v>
      </c>
      <c r="D81" s="46"/>
      <c r="E81" s="58"/>
      <c r="F81" s="47"/>
      <c r="G81" s="46"/>
      <c r="H81" s="46"/>
      <c r="I81" s="46"/>
      <c r="J81" s="95"/>
      <c r="K81" s="106"/>
      <c r="L81" s="95" t="s">
        <v>313</v>
      </c>
      <c r="M81" s="129" t="s">
        <v>428</v>
      </c>
      <c r="N81" s="323" t="s">
        <v>429</v>
      </c>
      <c r="O81" s="110" t="s">
        <v>430</v>
      </c>
      <c r="P81" s="97"/>
      <c r="Q81" s="43" t="s">
        <v>92</v>
      </c>
      <c r="R81" s="160"/>
      <c r="S81" s="149" t="s">
        <v>42</v>
      </c>
      <c r="T81" s="129" t="s">
        <v>104</v>
      </c>
      <c r="U81" s="152"/>
      <c r="V81" s="186" t="s">
        <v>94</v>
      </c>
      <c r="W81" s="150" t="s">
        <v>93</v>
      </c>
      <c r="X81" s="108" t="s">
        <v>286</v>
      </c>
      <c r="Y81" s="152" t="s">
        <v>322</v>
      </c>
      <c r="Z81" s="152" t="s">
        <v>97</v>
      </c>
      <c r="AA81" s="129" t="s">
        <v>97</v>
      </c>
      <c r="AB81" s="205">
        <v>0.0017</v>
      </c>
      <c r="AC81" s="235" t="s">
        <v>426</v>
      </c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84" t="s">
        <v>127</v>
      </c>
      <c r="AO81" s="284" t="s">
        <v>427</v>
      </c>
      <c r="AP81" s="302"/>
      <c r="AQ81" s="314"/>
      <c r="AR81" s="289">
        <v>8</v>
      </c>
    </row>
    <row r="82" s="16" customFormat="1" ht="39.95" customHeight="1" spans="1:44">
      <c r="A82" s="42">
        <f t="shared" si="11"/>
        <v>74</v>
      </c>
      <c r="B82" s="43"/>
      <c r="C82" s="46"/>
      <c r="D82" s="46"/>
      <c r="E82" s="47"/>
      <c r="F82" s="47"/>
      <c r="G82" s="46"/>
      <c r="H82" s="46"/>
      <c r="I82" s="46"/>
      <c r="J82" s="95"/>
      <c r="K82" s="106"/>
      <c r="L82" s="95"/>
      <c r="M82" s="129" t="s">
        <v>431</v>
      </c>
      <c r="N82" s="90" t="s">
        <v>593</v>
      </c>
      <c r="O82" s="110" t="s">
        <v>451</v>
      </c>
      <c r="P82" s="108" t="s">
        <v>42</v>
      </c>
      <c r="Q82" s="43" t="s">
        <v>92</v>
      </c>
      <c r="R82" s="160"/>
      <c r="S82" s="149" t="s">
        <v>42</v>
      </c>
      <c r="T82" s="129" t="s">
        <v>104</v>
      </c>
      <c r="U82" s="152" t="s">
        <v>97</v>
      </c>
      <c r="V82" s="186" t="s">
        <v>93</v>
      </c>
      <c r="W82" s="150" t="s">
        <v>94</v>
      </c>
      <c r="X82" s="43" t="s">
        <v>112</v>
      </c>
      <c r="Y82" s="45" t="s">
        <v>96</v>
      </c>
      <c r="Z82" s="45" t="s">
        <v>97</v>
      </c>
      <c r="AA82" s="90" t="s">
        <v>97</v>
      </c>
      <c r="AB82" s="205" t="e">
        <f>AB83+AB91</f>
        <v>#REF!</v>
      </c>
      <c r="AC82" s="235" t="s">
        <v>97</v>
      </c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84" t="s">
        <v>105</v>
      </c>
      <c r="AO82" s="284"/>
      <c r="AP82" s="302"/>
      <c r="AQ82" s="314"/>
      <c r="AR82" s="289">
        <v>1</v>
      </c>
    </row>
    <row r="83" ht="39.95" customHeight="1" spans="1:44">
      <c r="A83" s="42">
        <f t="shared" si="11"/>
        <v>75</v>
      </c>
      <c r="B83" s="43"/>
      <c r="C83" s="46"/>
      <c r="D83" s="46"/>
      <c r="E83" s="46"/>
      <c r="F83" s="46"/>
      <c r="G83" s="59"/>
      <c r="H83" s="46"/>
      <c r="I83" s="46"/>
      <c r="J83" s="95"/>
      <c r="K83" s="95"/>
      <c r="L83" s="95"/>
      <c r="M83" s="129" t="s">
        <v>433</v>
      </c>
      <c r="N83" s="90" t="s">
        <v>594</v>
      </c>
      <c r="O83" s="110" t="s">
        <v>451</v>
      </c>
      <c r="P83" s="97" t="s">
        <v>117</v>
      </c>
      <c r="Q83" s="43" t="s">
        <v>92</v>
      </c>
      <c r="R83" s="153"/>
      <c r="S83" s="149" t="s">
        <v>42</v>
      </c>
      <c r="T83" s="129" t="s">
        <v>104</v>
      </c>
      <c r="U83" s="152" t="s">
        <v>97</v>
      </c>
      <c r="V83" s="186" t="s">
        <v>93</v>
      </c>
      <c r="W83" s="150" t="s">
        <v>94</v>
      </c>
      <c r="X83" s="43" t="s">
        <v>112</v>
      </c>
      <c r="Y83" s="45" t="s">
        <v>96</v>
      </c>
      <c r="Z83" s="45" t="s">
        <v>97</v>
      </c>
      <c r="AA83" s="90" t="s">
        <v>97</v>
      </c>
      <c r="AB83" s="205" t="e">
        <f>AB84+AB89+AB90*AR90</f>
        <v>#REF!</v>
      </c>
      <c r="AC83" s="235" t="s">
        <v>97</v>
      </c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84" t="s">
        <v>105</v>
      </c>
      <c r="AO83" s="284"/>
      <c r="AP83" s="302"/>
      <c r="AQ83" s="314"/>
      <c r="AR83" s="289">
        <v>1</v>
      </c>
    </row>
    <row r="84" ht="39.95" customHeight="1" spans="1:44">
      <c r="A84" s="42">
        <f t="shared" si="11"/>
        <v>76</v>
      </c>
      <c r="B84" s="43"/>
      <c r="C84" s="46">
        <v>1</v>
      </c>
      <c r="D84" s="46"/>
      <c r="E84" s="46"/>
      <c r="F84" s="46"/>
      <c r="G84" s="59"/>
      <c r="H84" s="46"/>
      <c r="I84" s="46"/>
      <c r="J84" s="95"/>
      <c r="K84" s="95"/>
      <c r="L84" s="95" t="s">
        <v>595</v>
      </c>
      <c r="M84" s="129" t="s">
        <v>596</v>
      </c>
      <c r="N84" s="90" t="s">
        <v>436</v>
      </c>
      <c r="O84" s="110" t="s">
        <v>111</v>
      </c>
      <c r="P84" s="97" t="s">
        <v>144</v>
      </c>
      <c r="Q84" s="43" t="s">
        <v>92</v>
      </c>
      <c r="R84" s="153"/>
      <c r="S84" s="149" t="s">
        <v>42</v>
      </c>
      <c r="T84" s="129" t="s">
        <v>104</v>
      </c>
      <c r="U84" s="152" t="s">
        <v>97</v>
      </c>
      <c r="V84" s="150" t="s">
        <v>94</v>
      </c>
      <c r="W84" s="146" t="s">
        <v>93</v>
      </c>
      <c r="X84" s="43" t="s">
        <v>112</v>
      </c>
      <c r="Y84" s="45" t="s">
        <v>96</v>
      </c>
      <c r="Z84" s="45" t="s">
        <v>97</v>
      </c>
      <c r="AA84" s="90" t="s">
        <v>97</v>
      </c>
      <c r="AB84" s="205" t="e">
        <f>AB85+#REF!+#REF!+#REF!+AB88</f>
        <v>#REF!</v>
      </c>
      <c r="AC84" s="235" t="s">
        <v>97</v>
      </c>
      <c r="AD84" s="246" t="s">
        <v>113</v>
      </c>
      <c r="AE84" s="207"/>
      <c r="AF84" s="207"/>
      <c r="AG84" s="207"/>
      <c r="AH84" s="260"/>
      <c r="AI84" s="261"/>
      <c r="AJ84" s="207"/>
      <c r="AK84" s="260"/>
      <c r="AL84" s="262">
        <f>0.0025*60</f>
        <v>0.15</v>
      </c>
      <c r="AM84" s="264">
        <v>18</v>
      </c>
      <c r="AN84" s="263" t="s">
        <v>99</v>
      </c>
      <c r="AO84" s="263" t="s">
        <v>114</v>
      </c>
      <c r="AP84" s="302"/>
      <c r="AQ84" s="314"/>
      <c r="AR84" s="289">
        <v>1</v>
      </c>
    </row>
    <row r="85" ht="39.95" customHeight="1" spans="1:44">
      <c r="A85" s="42">
        <f t="shared" si="11"/>
        <v>77</v>
      </c>
      <c r="B85" s="43"/>
      <c r="C85" s="46"/>
      <c r="D85" s="46">
        <v>2</v>
      </c>
      <c r="E85" s="46"/>
      <c r="F85" s="46"/>
      <c r="G85" s="59"/>
      <c r="H85" s="46"/>
      <c r="I85" s="46"/>
      <c r="J85" s="95"/>
      <c r="K85" s="95"/>
      <c r="L85" s="95"/>
      <c r="M85" s="129" t="s">
        <v>597</v>
      </c>
      <c r="N85" s="90" t="s">
        <v>438</v>
      </c>
      <c r="O85" s="110" t="s">
        <v>111</v>
      </c>
      <c r="P85" s="97" t="s">
        <v>144</v>
      </c>
      <c r="Q85" s="43" t="s">
        <v>92</v>
      </c>
      <c r="R85" s="153"/>
      <c r="S85" s="149" t="s">
        <v>42</v>
      </c>
      <c r="T85" s="129" t="s">
        <v>104</v>
      </c>
      <c r="U85" s="152" t="s">
        <v>97</v>
      </c>
      <c r="V85" s="150" t="s">
        <v>94</v>
      </c>
      <c r="W85" s="146" t="s">
        <v>93</v>
      </c>
      <c r="X85" s="108" t="s">
        <v>439</v>
      </c>
      <c r="Y85" s="45" t="s">
        <v>440</v>
      </c>
      <c r="Z85" s="45" t="s">
        <v>441</v>
      </c>
      <c r="AA85" s="90" t="s">
        <v>97</v>
      </c>
      <c r="AB85" s="205">
        <v>0.8278</v>
      </c>
      <c r="AC85" s="235" t="s">
        <v>97</v>
      </c>
      <c r="AD85" s="246"/>
      <c r="AE85" s="207"/>
      <c r="AF85" s="207"/>
      <c r="AG85" s="207"/>
      <c r="AH85" s="260">
        <f>AB85*1.08</f>
        <v>0.894024</v>
      </c>
      <c r="AI85" s="261">
        <f>AB85/AH85</f>
        <v>0.925925925925926</v>
      </c>
      <c r="AJ85" s="207"/>
      <c r="AK85" s="260"/>
      <c r="AL85" s="262"/>
      <c r="AM85" s="262"/>
      <c r="AN85" s="284" t="s">
        <v>105</v>
      </c>
      <c r="AO85" s="263"/>
      <c r="AP85" s="302"/>
      <c r="AQ85" s="314"/>
      <c r="AR85" s="289">
        <v>1</v>
      </c>
    </row>
    <row r="86" s="17" customFormat="1" ht="39.95" customHeight="1" spans="1:44">
      <c r="A86" s="42">
        <f t="shared" si="11"/>
        <v>78</v>
      </c>
      <c r="B86" s="48"/>
      <c r="C86" s="49"/>
      <c r="D86" s="49">
        <v>2</v>
      </c>
      <c r="E86" s="49"/>
      <c r="F86" s="49"/>
      <c r="G86" s="319"/>
      <c r="H86" s="49"/>
      <c r="I86" s="49"/>
      <c r="J86" s="98"/>
      <c r="K86" s="98"/>
      <c r="L86" s="100" t="s">
        <v>442</v>
      </c>
      <c r="M86" s="100" t="s">
        <v>442</v>
      </c>
      <c r="N86" s="101" t="s">
        <v>443</v>
      </c>
      <c r="O86" s="324"/>
      <c r="P86" s="103"/>
      <c r="Q86" s="48"/>
      <c r="R86" s="154"/>
      <c r="S86" s="155" t="s">
        <v>42</v>
      </c>
      <c r="T86" s="101" t="s">
        <v>104</v>
      </c>
      <c r="U86" s="156" t="s">
        <v>97</v>
      </c>
      <c r="V86" s="157" t="s">
        <v>94</v>
      </c>
      <c r="W86" s="158" t="s">
        <v>93</v>
      </c>
      <c r="X86" s="159" t="s">
        <v>122</v>
      </c>
      <c r="Y86" s="212" t="s">
        <v>444</v>
      </c>
      <c r="Z86" s="48" t="s">
        <v>124</v>
      </c>
      <c r="AA86" s="105" t="s">
        <v>445</v>
      </c>
      <c r="AB86" s="214"/>
      <c r="AC86" s="338" t="s">
        <v>97</v>
      </c>
      <c r="AD86" s="339" t="s">
        <v>126</v>
      </c>
      <c r="AE86" s="340"/>
      <c r="AF86" s="340"/>
      <c r="AG86" s="340"/>
      <c r="AH86" s="343"/>
      <c r="AI86" s="344"/>
      <c r="AJ86" s="219"/>
      <c r="AK86" s="271"/>
      <c r="AL86" s="345"/>
      <c r="AM86" s="345"/>
      <c r="AN86" s="346" t="s">
        <v>127</v>
      </c>
      <c r="AO86" s="270" t="s">
        <v>128</v>
      </c>
      <c r="AP86" s="303"/>
      <c r="AQ86" s="351"/>
      <c r="AR86" s="305">
        <v>2</v>
      </c>
    </row>
    <row r="87" s="17" customFormat="1" ht="39.95" customHeight="1" spans="1:44">
      <c r="A87" s="42">
        <f t="shared" si="11"/>
        <v>79</v>
      </c>
      <c r="B87" s="48"/>
      <c r="C87" s="49"/>
      <c r="D87" s="49">
        <v>2</v>
      </c>
      <c r="E87" s="49"/>
      <c r="F87" s="49"/>
      <c r="G87" s="319"/>
      <c r="H87" s="49"/>
      <c r="I87" s="49"/>
      <c r="J87" s="98"/>
      <c r="K87" s="98"/>
      <c r="L87" s="100" t="s">
        <v>129</v>
      </c>
      <c r="M87" s="100" t="s">
        <v>129</v>
      </c>
      <c r="N87" s="101" t="s">
        <v>130</v>
      </c>
      <c r="O87" s="324"/>
      <c r="P87" s="103"/>
      <c r="Q87" s="48"/>
      <c r="R87" s="154"/>
      <c r="S87" s="155" t="s">
        <v>42</v>
      </c>
      <c r="T87" s="101" t="s">
        <v>104</v>
      </c>
      <c r="U87" s="156" t="s">
        <v>97</v>
      </c>
      <c r="V87" s="332" t="s">
        <v>94</v>
      </c>
      <c r="W87" s="158" t="s">
        <v>93</v>
      </c>
      <c r="X87" s="159" t="s">
        <v>122</v>
      </c>
      <c r="Y87" s="212" t="s">
        <v>444</v>
      </c>
      <c r="Z87" s="48" t="s">
        <v>124</v>
      </c>
      <c r="AA87" s="105" t="s">
        <v>131</v>
      </c>
      <c r="AB87" s="214"/>
      <c r="AC87" s="338" t="s">
        <v>97</v>
      </c>
      <c r="AD87" s="339" t="s">
        <v>126</v>
      </c>
      <c r="AE87" s="340"/>
      <c r="AF87" s="340"/>
      <c r="AG87" s="340"/>
      <c r="AH87" s="343"/>
      <c r="AI87" s="344"/>
      <c r="AJ87" s="219"/>
      <c r="AK87" s="271"/>
      <c r="AL87" s="345"/>
      <c r="AM87" s="345"/>
      <c r="AN87" s="346" t="s">
        <v>127</v>
      </c>
      <c r="AO87" s="270" t="s">
        <v>128</v>
      </c>
      <c r="AP87" s="303"/>
      <c r="AQ87" s="351"/>
      <c r="AR87" s="305">
        <v>4</v>
      </c>
    </row>
    <row r="88" s="17" customFormat="1" ht="39.95" customHeight="1" spans="1:44">
      <c r="A88" s="42">
        <f t="shared" si="11"/>
        <v>80</v>
      </c>
      <c r="B88" s="48"/>
      <c r="C88" s="49"/>
      <c r="D88" s="319">
        <v>2</v>
      </c>
      <c r="E88" s="319"/>
      <c r="F88" s="49"/>
      <c r="G88" s="319"/>
      <c r="H88" s="49"/>
      <c r="I88" s="49"/>
      <c r="J88" s="98"/>
      <c r="K88" s="98"/>
      <c r="L88" s="98" t="s">
        <v>446</v>
      </c>
      <c r="M88" s="101" t="s">
        <v>447</v>
      </c>
      <c r="N88" s="105" t="s">
        <v>448</v>
      </c>
      <c r="O88" s="324" t="s">
        <v>175</v>
      </c>
      <c r="P88" s="103" t="s">
        <v>144</v>
      </c>
      <c r="Q88" s="48" t="s">
        <v>92</v>
      </c>
      <c r="R88" s="212"/>
      <c r="S88" s="155" t="s">
        <v>42</v>
      </c>
      <c r="T88" s="101" t="s">
        <v>104</v>
      </c>
      <c r="U88" s="156" t="s">
        <v>97</v>
      </c>
      <c r="V88" s="332" t="s">
        <v>94</v>
      </c>
      <c r="W88" s="158" t="s">
        <v>93</v>
      </c>
      <c r="X88" s="159" t="s">
        <v>138</v>
      </c>
      <c r="Y88" s="212" t="s">
        <v>97</v>
      </c>
      <c r="Z88" s="156" t="s">
        <v>139</v>
      </c>
      <c r="AA88" s="213" t="s">
        <v>97</v>
      </c>
      <c r="AB88" s="214">
        <v>0.05</v>
      </c>
      <c r="AC88" s="338" t="s">
        <v>97</v>
      </c>
      <c r="AD88" s="216"/>
      <c r="AE88" s="217"/>
      <c r="AF88" s="217"/>
      <c r="AG88" s="217"/>
      <c r="AH88" s="267"/>
      <c r="AI88" s="268"/>
      <c r="AJ88" s="347"/>
      <c r="AK88" s="347"/>
      <c r="AL88" s="347"/>
      <c r="AM88" s="347"/>
      <c r="AN88" s="346" t="s">
        <v>127</v>
      </c>
      <c r="AO88" s="352"/>
      <c r="AP88" s="303"/>
      <c r="AQ88" s="304" t="s">
        <v>140</v>
      </c>
      <c r="AR88" s="305">
        <v>1</v>
      </c>
    </row>
    <row r="89" s="3" customFormat="1" ht="39.95" customHeight="1" spans="1:44">
      <c r="A89" s="42">
        <f t="shared" si="11"/>
        <v>81</v>
      </c>
      <c r="B89" s="43"/>
      <c r="C89" s="46">
        <v>1</v>
      </c>
      <c r="D89" s="59"/>
      <c r="E89" s="46"/>
      <c r="F89" s="46"/>
      <c r="G89" s="59"/>
      <c r="H89" s="46"/>
      <c r="I89" s="46"/>
      <c r="J89" s="95"/>
      <c r="K89" s="95"/>
      <c r="L89" s="95" t="s">
        <v>449</v>
      </c>
      <c r="M89" s="129" t="s">
        <v>449</v>
      </c>
      <c r="N89" s="90" t="s">
        <v>598</v>
      </c>
      <c r="O89" s="107" t="s">
        <v>451</v>
      </c>
      <c r="P89" s="97" t="s">
        <v>117</v>
      </c>
      <c r="Q89" s="43" t="s">
        <v>92</v>
      </c>
      <c r="R89" s="153"/>
      <c r="S89" s="149" t="s">
        <v>42</v>
      </c>
      <c r="T89" s="129" t="s">
        <v>104</v>
      </c>
      <c r="U89" s="152" t="s">
        <v>97</v>
      </c>
      <c r="V89" s="186" t="s">
        <v>93</v>
      </c>
      <c r="W89" s="150" t="s">
        <v>94</v>
      </c>
      <c r="X89" s="108" t="s">
        <v>112</v>
      </c>
      <c r="Y89" s="45" t="s">
        <v>96</v>
      </c>
      <c r="Z89" s="45" t="s">
        <v>97</v>
      </c>
      <c r="AA89" s="90" t="s">
        <v>97</v>
      </c>
      <c r="AB89" s="205">
        <v>0.2</v>
      </c>
      <c r="AC89" s="235" t="s">
        <v>97</v>
      </c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63" t="s">
        <v>99</v>
      </c>
      <c r="AO89" s="263" t="s">
        <v>146</v>
      </c>
      <c r="AP89" s="302"/>
      <c r="AQ89" s="314"/>
      <c r="AR89" s="289">
        <v>1</v>
      </c>
    </row>
    <row r="90" ht="39.95" customHeight="1" spans="1:44">
      <c r="A90" s="42">
        <f t="shared" ref="A90:A99" si="12">ROW()-8</f>
        <v>82</v>
      </c>
      <c r="B90" s="43"/>
      <c r="C90" s="46">
        <v>1</v>
      </c>
      <c r="D90" s="59"/>
      <c r="E90" s="59"/>
      <c r="F90" s="46"/>
      <c r="G90" s="59"/>
      <c r="H90" s="46"/>
      <c r="I90" s="46"/>
      <c r="J90" s="95"/>
      <c r="K90" s="95"/>
      <c r="L90" s="95" t="s">
        <v>147</v>
      </c>
      <c r="M90" s="129" t="s">
        <v>148</v>
      </c>
      <c r="N90" s="90" t="s">
        <v>149</v>
      </c>
      <c r="O90" s="110" t="s">
        <v>97</v>
      </c>
      <c r="P90" s="97" t="s">
        <v>144</v>
      </c>
      <c r="Q90" s="43" t="s">
        <v>92</v>
      </c>
      <c r="R90" s="45" t="s">
        <v>97</v>
      </c>
      <c r="S90" s="149" t="s">
        <v>42</v>
      </c>
      <c r="T90" s="129" t="s">
        <v>104</v>
      </c>
      <c r="U90" s="152" t="s">
        <v>97</v>
      </c>
      <c r="V90" s="186" t="s">
        <v>94</v>
      </c>
      <c r="W90" s="150" t="s">
        <v>93</v>
      </c>
      <c r="X90" s="45" t="s">
        <v>97</v>
      </c>
      <c r="Y90" s="45" t="s">
        <v>97</v>
      </c>
      <c r="Z90" s="45" t="s">
        <v>97</v>
      </c>
      <c r="AA90" s="90" t="s">
        <v>97</v>
      </c>
      <c r="AB90" s="205">
        <v>0.001</v>
      </c>
      <c r="AC90" s="235" t="s">
        <v>97</v>
      </c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63" t="s">
        <v>127</v>
      </c>
      <c r="AO90" s="263" t="s">
        <v>150</v>
      </c>
      <c r="AP90" s="302"/>
      <c r="AQ90" s="314"/>
      <c r="AR90" s="306">
        <v>26</v>
      </c>
    </row>
    <row r="91" ht="39.95" customHeight="1" spans="1:44">
      <c r="A91" s="42">
        <f t="shared" si="12"/>
        <v>83</v>
      </c>
      <c r="B91" s="83"/>
      <c r="C91" s="46">
        <v>1</v>
      </c>
      <c r="D91" s="46"/>
      <c r="E91" s="46"/>
      <c r="F91" s="46"/>
      <c r="G91" s="46"/>
      <c r="H91" s="46"/>
      <c r="I91" s="46"/>
      <c r="J91" s="83"/>
      <c r="K91" s="83"/>
      <c r="L91" s="83" t="s">
        <v>452</v>
      </c>
      <c r="M91" s="129" t="s">
        <v>453</v>
      </c>
      <c r="N91" s="87" t="s">
        <v>454</v>
      </c>
      <c r="O91" s="110" t="s">
        <v>175</v>
      </c>
      <c r="P91" s="97" t="s">
        <v>144</v>
      </c>
      <c r="Q91" s="43" t="s">
        <v>92</v>
      </c>
      <c r="R91" s="150"/>
      <c r="S91" s="149" t="s">
        <v>42</v>
      </c>
      <c r="T91" s="129" t="s">
        <v>104</v>
      </c>
      <c r="U91" s="152" t="s">
        <v>97</v>
      </c>
      <c r="V91" s="186" t="s">
        <v>94</v>
      </c>
      <c r="W91" s="150" t="s">
        <v>93</v>
      </c>
      <c r="X91" s="108" t="s">
        <v>112</v>
      </c>
      <c r="Y91" s="45" t="s">
        <v>96</v>
      </c>
      <c r="Z91" s="152" t="s">
        <v>97</v>
      </c>
      <c r="AA91" s="210" t="s">
        <v>97</v>
      </c>
      <c r="AB91" s="205">
        <f>AB92+AB93+AB94+AB95+AB96+AB97+AB98+AB99+AB101*AR101+AB100+AB102*AR102</f>
        <v>1.3483</v>
      </c>
      <c r="AC91" s="235" t="s">
        <v>243</v>
      </c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63" t="s">
        <v>127</v>
      </c>
      <c r="AO91" s="263" t="s">
        <v>213</v>
      </c>
      <c r="AP91" s="302"/>
      <c r="AQ91" s="314"/>
      <c r="AR91" s="289">
        <v>1</v>
      </c>
    </row>
    <row r="92" ht="39.95" customHeight="1" spans="1:44">
      <c r="A92" s="42">
        <f t="shared" si="12"/>
        <v>84</v>
      </c>
      <c r="B92" s="43"/>
      <c r="C92" s="46"/>
      <c r="D92" s="59">
        <v>2</v>
      </c>
      <c r="E92" s="59"/>
      <c r="F92" s="46"/>
      <c r="G92" s="59"/>
      <c r="H92" s="46"/>
      <c r="I92" s="46"/>
      <c r="J92" s="95"/>
      <c r="K92" s="95"/>
      <c r="L92" s="95"/>
      <c r="M92" s="129" t="s">
        <v>455</v>
      </c>
      <c r="N92" s="90" t="s">
        <v>456</v>
      </c>
      <c r="O92" s="110" t="s">
        <v>175</v>
      </c>
      <c r="P92" s="97" t="s">
        <v>144</v>
      </c>
      <c r="Q92" s="43" t="s">
        <v>92</v>
      </c>
      <c r="R92" s="153"/>
      <c r="S92" s="149" t="s">
        <v>42</v>
      </c>
      <c r="T92" s="129" t="s">
        <v>104</v>
      </c>
      <c r="U92" s="152" t="s">
        <v>97</v>
      </c>
      <c r="V92" s="186" t="s">
        <v>94</v>
      </c>
      <c r="W92" s="150" t="s">
        <v>93</v>
      </c>
      <c r="X92" s="108" t="s">
        <v>216</v>
      </c>
      <c r="Y92" s="45" t="s">
        <v>234</v>
      </c>
      <c r="Z92" s="337" t="s">
        <v>218</v>
      </c>
      <c r="AA92" s="210" t="s">
        <v>457</v>
      </c>
      <c r="AB92" s="205">
        <v>0.3204</v>
      </c>
      <c r="AC92" s="235" t="s">
        <v>97</v>
      </c>
      <c r="AD92" s="223" t="s">
        <v>126</v>
      </c>
      <c r="AE92" s="224">
        <f>AB92/0.395*1000</f>
        <v>811.139240506329</v>
      </c>
      <c r="AF92" s="224">
        <v>8</v>
      </c>
      <c r="AG92" s="224"/>
      <c r="AH92" s="277">
        <f>AE92*0.395/1000</f>
        <v>0.3204</v>
      </c>
      <c r="AI92" s="278">
        <f t="shared" ref="AI92:AI101" si="13">AB92/AH92</f>
        <v>1</v>
      </c>
      <c r="AJ92" s="236"/>
      <c r="AK92" s="236"/>
      <c r="AL92" s="236"/>
      <c r="AM92" s="236"/>
      <c r="AN92" s="348"/>
      <c r="AO92" s="348"/>
      <c r="AP92" s="302"/>
      <c r="AQ92" s="314"/>
      <c r="AR92" s="289">
        <v>1</v>
      </c>
    </row>
    <row r="93" s="3" customFormat="1" ht="39.95" customHeight="1" spans="1:44">
      <c r="A93" s="42">
        <f t="shared" si="12"/>
        <v>85</v>
      </c>
      <c r="B93" s="43"/>
      <c r="C93" s="46"/>
      <c r="D93" s="59">
        <v>2</v>
      </c>
      <c r="E93" s="59"/>
      <c r="F93" s="46"/>
      <c r="G93" s="59"/>
      <c r="H93" s="46"/>
      <c r="I93" s="46"/>
      <c r="J93" s="95"/>
      <c r="K93" s="95"/>
      <c r="L93" s="95"/>
      <c r="M93" s="129" t="s">
        <v>458</v>
      </c>
      <c r="N93" s="90" t="s">
        <v>459</v>
      </c>
      <c r="O93" s="110" t="s">
        <v>175</v>
      </c>
      <c r="P93" s="97" t="s">
        <v>144</v>
      </c>
      <c r="Q93" s="43" t="s">
        <v>92</v>
      </c>
      <c r="R93" s="153"/>
      <c r="S93" s="149" t="s">
        <v>42</v>
      </c>
      <c r="T93" s="129" t="s">
        <v>104</v>
      </c>
      <c r="U93" s="152" t="s">
        <v>97</v>
      </c>
      <c r="V93" s="186" t="s">
        <v>94</v>
      </c>
      <c r="W93" s="150" t="s">
        <v>93</v>
      </c>
      <c r="X93" s="108" t="s">
        <v>216</v>
      </c>
      <c r="Y93" s="45" t="s">
        <v>234</v>
      </c>
      <c r="Z93" s="337" t="s">
        <v>218</v>
      </c>
      <c r="AA93" s="210" t="s">
        <v>457</v>
      </c>
      <c r="AB93" s="205">
        <v>0.3062</v>
      </c>
      <c r="AC93" s="235" t="s">
        <v>97</v>
      </c>
      <c r="AD93" s="223" t="s">
        <v>126</v>
      </c>
      <c r="AE93" s="224">
        <f>AB93/0.395*1000</f>
        <v>775.189873417722</v>
      </c>
      <c r="AF93" s="224">
        <v>8</v>
      </c>
      <c r="AG93" s="224"/>
      <c r="AH93" s="277">
        <f>AE93*0.395/1000</f>
        <v>0.3062</v>
      </c>
      <c r="AI93" s="278">
        <f t="shared" si="13"/>
        <v>1</v>
      </c>
      <c r="AJ93" s="236"/>
      <c r="AK93" s="236"/>
      <c r="AL93" s="236"/>
      <c r="AM93" s="236"/>
      <c r="AN93" s="348"/>
      <c r="AO93" s="348"/>
      <c r="AP93" s="302"/>
      <c r="AQ93" s="314"/>
      <c r="AR93" s="289">
        <v>1</v>
      </c>
    </row>
    <row r="94" s="3" customFormat="1" ht="39.95" customHeight="1" spans="1:44">
      <c r="A94" s="42">
        <f t="shared" si="12"/>
        <v>86</v>
      </c>
      <c r="B94" s="43"/>
      <c r="C94" s="46"/>
      <c r="D94" s="59">
        <v>2</v>
      </c>
      <c r="E94" s="59"/>
      <c r="F94" s="46"/>
      <c r="G94" s="59"/>
      <c r="H94" s="46"/>
      <c r="I94" s="46"/>
      <c r="J94" s="95"/>
      <c r="K94" s="95"/>
      <c r="L94" s="95"/>
      <c r="M94" s="129" t="s">
        <v>460</v>
      </c>
      <c r="N94" s="90" t="s">
        <v>461</v>
      </c>
      <c r="O94" s="110" t="s">
        <v>175</v>
      </c>
      <c r="P94" s="97" t="s">
        <v>144</v>
      </c>
      <c r="Q94" s="43" t="s">
        <v>92</v>
      </c>
      <c r="R94" s="160"/>
      <c r="S94" s="149" t="s">
        <v>42</v>
      </c>
      <c r="T94" s="129" t="s">
        <v>104</v>
      </c>
      <c r="U94" s="152" t="s">
        <v>97</v>
      </c>
      <c r="V94" s="186" t="s">
        <v>94</v>
      </c>
      <c r="W94" s="150" t="s">
        <v>93</v>
      </c>
      <c r="X94" s="108" t="s">
        <v>216</v>
      </c>
      <c r="Y94" s="45" t="s">
        <v>234</v>
      </c>
      <c r="Z94" s="337" t="s">
        <v>218</v>
      </c>
      <c r="AA94" s="210" t="s">
        <v>462</v>
      </c>
      <c r="AB94" s="205">
        <v>0.1886</v>
      </c>
      <c r="AC94" s="235" t="s">
        <v>97</v>
      </c>
      <c r="AD94" s="223" t="s">
        <v>126</v>
      </c>
      <c r="AE94" s="224">
        <f>AB94/0.395*1000</f>
        <v>477.46835443038</v>
      </c>
      <c r="AF94" s="224">
        <v>8</v>
      </c>
      <c r="AG94" s="224"/>
      <c r="AH94" s="277">
        <f>AE94*0.395/1000</f>
        <v>0.1886</v>
      </c>
      <c r="AI94" s="278">
        <f t="shared" si="13"/>
        <v>1</v>
      </c>
      <c r="AJ94" s="236"/>
      <c r="AK94" s="236"/>
      <c r="AL94" s="236"/>
      <c r="AM94" s="236"/>
      <c r="AN94" s="348"/>
      <c r="AO94" s="348"/>
      <c r="AP94" s="302"/>
      <c r="AQ94" s="314"/>
      <c r="AR94" s="289">
        <v>1</v>
      </c>
    </row>
    <row r="95" ht="39.95" customHeight="1" spans="1:44">
      <c r="A95" s="42">
        <f t="shared" si="12"/>
        <v>87</v>
      </c>
      <c r="B95" s="43"/>
      <c r="C95" s="46"/>
      <c r="D95" s="59">
        <v>2</v>
      </c>
      <c r="E95" s="59"/>
      <c r="F95" s="46"/>
      <c r="G95" s="59"/>
      <c r="H95" s="46"/>
      <c r="I95" s="46"/>
      <c r="J95" s="95"/>
      <c r="K95" s="95"/>
      <c r="L95" s="95"/>
      <c r="M95" s="129" t="s">
        <v>463</v>
      </c>
      <c r="N95" s="90" t="s">
        <v>464</v>
      </c>
      <c r="O95" s="110" t="s">
        <v>175</v>
      </c>
      <c r="P95" s="97" t="s">
        <v>144</v>
      </c>
      <c r="Q95" s="43" t="s">
        <v>92</v>
      </c>
      <c r="R95" s="153"/>
      <c r="S95" s="149" t="s">
        <v>42</v>
      </c>
      <c r="T95" s="129" t="s">
        <v>104</v>
      </c>
      <c r="U95" s="152" t="s">
        <v>97</v>
      </c>
      <c r="V95" s="186" t="s">
        <v>94</v>
      </c>
      <c r="W95" s="150" t="s">
        <v>93</v>
      </c>
      <c r="X95" s="108" t="s">
        <v>216</v>
      </c>
      <c r="Y95" s="45" t="s">
        <v>217</v>
      </c>
      <c r="Z95" s="337" t="s">
        <v>218</v>
      </c>
      <c r="AA95" s="210" t="s">
        <v>465</v>
      </c>
      <c r="AB95" s="205">
        <v>0.0779</v>
      </c>
      <c r="AC95" s="235" t="s">
        <v>97</v>
      </c>
      <c r="AD95" s="223" t="s">
        <v>126</v>
      </c>
      <c r="AE95" s="224">
        <f>AB95/0.154*1000</f>
        <v>505.844155844156</v>
      </c>
      <c r="AF95" s="224">
        <v>5</v>
      </c>
      <c r="AG95" s="224"/>
      <c r="AH95" s="277">
        <f>AE95*0.154/1000</f>
        <v>0.0779</v>
      </c>
      <c r="AI95" s="278">
        <f t="shared" si="13"/>
        <v>1</v>
      </c>
      <c r="AJ95" s="236"/>
      <c r="AK95" s="236"/>
      <c r="AL95" s="236"/>
      <c r="AM95" s="236"/>
      <c r="AN95" s="348"/>
      <c r="AO95" s="348"/>
      <c r="AP95" s="302"/>
      <c r="AQ95" s="314"/>
      <c r="AR95" s="289">
        <v>1</v>
      </c>
    </row>
    <row r="96" ht="39.95" customHeight="1" spans="1:44">
      <c r="A96" s="42">
        <f t="shared" si="12"/>
        <v>88</v>
      </c>
      <c r="B96" s="43"/>
      <c r="C96" s="46"/>
      <c r="D96" s="59">
        <v>2</v>
      </c>
      <c r="E96" s="59"/>
      <c r="F96" s="46"/>
      <c r="G96" s="59"/>
      <c r="H96" s="46"/>
      <c r="I96" s="46"/>
      <c r="J96" s="95"/>
      <c r="K96" s="95"/>
      <c r="L96" s="95"/>
      <c r="M96" s="129" t="s">
        <v>466</v>
      </c>
      <c r="N96" s="90" t="s">
        <v>467</v>
      </c>
      <c r="O96" s="110" t="s">
        <v>175</v>
      </c>
      <c r="P96" s="97" t="s">
        <v>144</v>
      </c>
      <c r="Q96" s="43" t="s">
        <v>92</v>
      </c>
      <c r="R96" s="153"/>
      <c r="S96" s="149" t="s">
        <v>42</v>
      </c>
      <c r="T96" s="129" t="s">
        <v>104</v>
      </c>
      <c r="U96" s="152" t="s">
        <v>97</v>
      </c>
      <c r="V96" s="186" t="s">
        <v>94</v>
      </c>
      <c r="W96" s="150" t="s">
        <v>93</v>
      </c>
      <c r="X96" s="108" t="s">
        <v>216</v>
      </c>
      <c r="Y96" s="45" t="s">
        <v>217</v>
      </c>
      <c r="Z96" s="337" t="s">
        <v>218</v>
      </c>
      <c r="AA96" s="210" t="s">
        <v>468</v>
      </c>
      <c r="AB96" s="205">
        <v>0.0801</v>
      </c>
      <c r="AC96" s="235" t="s">
        <v>97</v>
      </c>
      <c r="AD96" s="223" t="s">
        <v>126</v>
      </c>
      <c r="AE96" s="224">
        <f t="shared" ref="AE96:AE101" si="14">AB96/0.154*1000</f>
        <v>520.12987012987</v>
      </c>
      <c r="AF96" s="224">
        <v>5</v>
      </c>
      <c r="AG96" s="224"/>
      <c r="AH96" s="277">
        <f t="shared" ref="AH96:AH101" si="15">AE96*0.154/1000</f>
        <v>0.0801</v>
      </c>
      <c r="AI96" s="278">
        <f t="shared" si="13"/>
        <v>1</v>
      </c>
      <c r="AJ96" s="236"/>
      <c r="AK96" s="236"/>
      <c r="AL96" s="236"/>
      <c r="AM96" s="236"/>
      <c r="AN96" s="348"/>
      <c r="AO96" s="348"/>
      <c r="AP96" s="302"/>
      <c r="AQ96" s="314"/>
      <c r="AR96" s="289">
        <v>1</v>
      </c>
    </row>
    <row r="97" ht="39.95" customHeight="1" spans="1:44">
      <c r="A97" s="42">
        <f t="shared" si="12"/>
        <v>89</v>
      </c>
      <c r="B97" s="43"/>
      <c r="C97" s="46"/>
      <c r="D97" s="59">
        <v>2</v>
      </c>
      <c r="E97" s="59"/>
      <c r="F97" s="46"/>
      <c r="G97" s="59"/>
      <c r="H97" s="46"/>
      <c r="I97" s="46"/>
      <c r="J97" s="95"/>
      <c r="K97" s="95"/>
      <c r="L97" s="95"/>
      <c r="M97" s="129" t="s">
        <v>469</v>
      </c>
      <c r="N97" s="90" t="s">
        <v>470</v>
      </c>
      <c r="O97" s="110" t="s">
        <v>175</v>
      </c>
      <c r="P97" s="97" t="s">
        <v>144</v>
      </c>
      <c r="Q97" s="43" t="s">
        <v>92</v>
      </c>
      <c r="R97" s="153"/>
      <c r="S97" s="149" t="s">
        <v>42</v>
      </c>
      <c r="T97" s="129" t="s">
        <v>104</v>
      </c>
      <c r="U97" s="152" t="s">
        <v>97</v>
      </c>
      <c r="V97" s="186" t="s">
        <v>94</v>
      </c>
      <c r="W97" s="150" t="s">
        <v>93</v>
      </c>
      <c r="X97" s="108" t="s">
        <v>216</v>
      </c>
      <c r="Y97" s="45" t="s">
        <v>217</v>
      </c>
      <c r="Z97" s="337" t="s">
        <v>218</v>
      </c>
      <c r="AA97" s="210" t="s">
        <v>471</v>
      </c>
      <c r="AB97" s="205">
        <v>0.0505</v>
      </c>
      <c r="AC97" s="235" t="s">
        <v>97</v>
      </c>
      <c r="AD97" s="223" t="s">
        <v>126</v>
      </c>
      <c r="AE97" s="224">
        <f t="shared" si="14"/>
        <v>327.922077922078</v>
      </c>
      <c r="AF97" s="224">
        <v>5</v>
      </c>
      <c r="AG97" s="224"/>
      <c r="AH97" s="277">
        <f t="shared" si="15"/>
        <v>0.0505</v>
      </c>
      <c r="AI97" s="278">
        <f t="shared" si="13"/>
        <v>1</v>
      </c>
      <c r="AJ97" s="236"/>
      <c r="AK97" s="236"/>
      <c r="AL97" s="236"/>
      <c r="AM97" s="236"/>
      <c r="AN97" s="348"/>
      <c r="AO97" s="348"/>
      <c r="AP97" s="302"/>
      <c r="AQ97" s="314"/>
      <c r="AR97" s="289">
        <v>1</v>
      </c>
    </row>
    <row r="98" ht="39.95" customHeight="1" spans="1:44">
      <c r="A98" s="42">
        <f t="shared" si="12"/>
        <v>90</v>
      </c>
      <c r="B98" s="43"/>
      <c r="C98" s="46"/>
      <c r="D98" s="59">
        <v>2</v>
      </c>
      <c r="E98" s="59"/>
      <c r="F98" s="46"/>
      <c r="G98" s="59"/>
      <c r="H98" s="46"/>
      <c r="I98" s="46"/>
      <c r="J98" s="95"/>
      <c r="K98" s="95"/>
      <c r="L98" s="95"/>
      <c r="M98" s="129" t="s">
        <v>472</v>
      </c>
      <c r="N98" s="90" t="s">
        <v>473</v>
      </c>
      <c r="O98" s="110" t="s">
        <v>175</v>
      </c>
      <c r="P98" s="97" t="s">
        <v>144</v>
      </c>
      <c r="Q98" s="43" t="s">
        <v>92</v>
      </c>
      <c r="R98" s="153"/>
      <c r="S98" s="149" t="s">
        <v>42</v>
      </c>
      <c r="T98" s="129" t="s">
        <v>104</v>
      </c>
      <c r="U98" s="152" t="s">
        <v>97</v>
      </c>
      <c r="V98" s="186" t="s">
        <v>94</v>
      </c>
      <c r="W98" s="150" t="s">
        <v>93</v>
      </c>
      <c r="X98" s="108" t="s">
        <v>216</v>
      </c>
      <c r="Y98" s="45" t="s">
        <v>217</v>
      </c>
      <c r="Z98" s="337" t="s">
        <v>218</v>
      </c>
      <c r="AA98" s="210" t="s">
        <v>471</v>
      </c>
      <c r="AB98" s="205">
        <v>0.0505</v>
      </c>
      <c r="AC98" s="235" t="s">
        <v>97</v>
      </c>
      <c r="AD98" s="223" t="s">
        <v>126</v>
      </c>
      <c r="AE98" s="224">
        <f t="shared" si="14"/>
        <v>327.922077922078</v>
      </c>
      <c r="AF98" s="224">
        <v>5</v>
      </c>
      <c r="AG98" s="224"/>
      <c r="AH98" s="277">
        <f t="shared" si="15"/>
        <v>0.0505</v>
      </c>
      <c r="AI98" s="278">
        <f t="shared" si="13"/>
        <v>1</v>
      </c>
      <c r="AJ98" s="236"/>
      <c r="AK98" s="236"/>
      <c r="AL98" s="236"/>
      <c r="AM98" s="236"/>
      <c r="AN98" s="348"/>
      <c r="AO98" s="348"/>
      <c r="AP98" s="302"/>
      <c r="AQ98" s="314"/>
      <c r="AR98" s="289">
        <v>1</v>
      </c>
    </row>
    <row r="99" s="3" customFormat="1" ht="39.95" customHeight="1" spans="1:44">
      <c r="A99" s="42">
        <f t="shared" si="12"/>
        <v>91</v>
      </c>
      <c r="B99" s="83"/>
      <c r="C99" s="46"/>
      <c r="D99" s="59">
        <v>2</v>
      </c>
      <c r="E99" s="46"/>
      <c r="F99" s="46"/>
      <c r="G99" s="46"/>
      <c r="H99" s="46"/>
      <c r="I99" s="46"/>
      <c r="J99" s="83"/>
      <c r="K99" s="83"/>
      <c r="L99" s="83"/>
      <c r="M99" s="129" t="s">
        <v>474</v>
      </c>
      <c r="N99" s="90" t="s">
        <v>475</v>
      </c>
      <c r="O99" s="110" t="s">
        <v>175</v>
      </c>
      <c r="P99" s="97" t="s">
        <v>144</v>
      </c>
      <c r="Q99" s="43" t="s">
        <v>92</v>
      </c>
      <c r="R99" s="150"/>
      <c r="S99" s="149" t="s">
        <v>42</v>
      </c>
      <c r="T99" s="129" t="s">
        <v>104</v>
      </c>
      <c r="U99" s="152" t="s">
        <v>97</v>
      </c>
      <c r="V99" s="186" t="s">
        <v>94</v>
      </c>
      <c r="W99" s="150" t="s">
        <v>93</v>
      </c>
      <c r="X99" s="108" t="s">
        <v>216</v>
      </c>
      <c r="Y99" s="45" t="s">
        <v>217</v>
      </c>
      <c r="Z99" s="337" t="s">
        <v>218</v>
      </c>
      <c r="AA99" s="210" t="s">
        <v>476</v>
      </c>
      <c r="AB99" s="205">
        <v>0.0653</v>
      </c>
      <c r="AC99" s="235" t="s">
        <v>97</v>
      </c>
      <c r="AD99" s="223" t="s">
        <v>126</v>
      </c>
      <c r="AE99" s="224">
        <f t="shared" si="14"/>
        <v>424.025974025974</v>
      </c>
      <c r="AF99" s="224">
        <v>5</v>
      </c>
      <c r="AG99" s="224"/>
      <c r="AH99" s="277">
        <f t="shared" si="15"/>
        <v>0.0653</v>
      </c>
      <c r="AI99" s="278">
        <f t="shared" si="13"/>
        <v>1</v>
      </c>
      <c r="AJ99" s="236"/>
      <c r="AK99" s="236"/>
      <c r="AL99" s="236"/>
      <c r="AM99" s="236"/>
      <c r="AN99" s="348"/>
      <c r="AO99" s="348"/>
      <c r="AP99" s="302"/>
      <c r="AQ99" s="314"/>
      <c r="AR99" s="289">
        <v>1</v>
      </c>
    </row>
    <row r="100" ht="39.95" customHeight="1" spans="1:44">
      <c r="A100" s="42">
        <f t="shared" ref="A100:A109" si="16">ROW()-8</f>
        <v>92</v>
      </c>
      <c r="B100" s="83"/>
      <c r="C100" s="46"/>
      <c r="D100" s="59">
        <v>2</v>
      </c>
      <c r="E100" s="46"/>
      <c r="F100" s="46"/>
      <c r="G100" s="46"/>
      <c r="H100" s="46"/>
      <c r="I100" s="46"/>
      <c r="J100" s="83"/>
      <c r="K100" s="83"/>
      <c r="L100" s="83"/>
      <c r="M100" s="129" t="s">
        <v>477</v>
      </c>
      <c r="N100" s="90" t="s">
        <v>478</v>
      </c>
      <c r="O100" s="110" t="s">
        <v>175</v>
      </c>
      <c r="P100" s="97" t="s">
        <v>144</v>
      </c>
      <c r="Q100" s="43" t="s">
        <v>92</v>
      </c>
      <c r="R100" s="150"/>
      <c r="S100" s="149" t="s">
        <v>42</v>
      </c>
      <c r="T100" s="129" t="s">
        <v>104</v>
      </c>
      <c r="U100" s="152" t="s">
        <v>97</v>
      </c>
      <c r="V100" s="186" t="s">
        <v>94</v>
      </c>
      <c r="W100" s="150" t="s">
        <v>93</v>
      </c>
      <c r="X100" s="108" t="s">
        <v>216</v>
      </c>
      <c r="Y100" s="45" t="s">
        <v>217</v>
      </c>
      <c r="Z100" s="337" t="s">
        <v>218</v>
      </c>
      <c r="AA100" s="210" t="s">
        <v>479</v>
      </c>
      <c r="AB100" s="205">
        <v>0.041</v>
      </c>
      <c r="AC100" s="235" t="s">
        <v>97</v>
      </c>
      <c r="AD100" s="223" t="s">
        <v>126</v>
      </c>
      <c r="AE100" s="224">
        <f t="shared" si="14"/>
        <v>266.233766233766</v>
      </c>
      <c r="AF100" s="224">
        <v>5</v>
      </c>
      <c r="AG100" s="224"/>
      <c r="AH100" s="277">
        <f t="shared" si="15"/>
        <v>0.041</v>
      </c>
      <c r="AI100" s="278">
        <f t="shared" si="13"/>
        <v>1</v>
      </c>
      <c r="AJ100" s="236"/>
      <c r="AK100" s="236"/>
      <c r="AL100" s="236"/>
      <c r="AM100" s="236"/>
      <c r="AN100" s="348"/>
      <c r="AO100" s="348"/>
      <c r="AP100" s="302"/>
      <c r="AQ100" s="314"/>
      <c r="AR100" s="289">
        <v>1</v>
      </c>
    </row>
    <row r="101" ht="39.95" customHeight="1" spans="1:44">
      <c r="A101" s="42">
        <f t="shared" si="16"/>
        <v>93</v>
      </c>
      <c r="B101" s="43"/>
      <c r="C101" s="46"/>
      <c r="D101" s="59">
        <v>2</v>
      </c>
      <c r="E101" s="47"/>
      <c r="F101" s="47"/>
      <c r="G101" s="46"/>
      <c r="H101" s="46"/>
      <c r="I101" s="46"/>
      <c r="J101" s="95"/>
      <c r="K101" s="106"/>
      <c r="L101" s="95"/>
      <c r="M101" s="129" t="s">
        <v>226</v>
      </c>
      <c r="N101" s="90" t="s">
        <v>227</v>
      </c>
      <c r="O101" s="110" t="s">
        <v>175</v>
      </c>
      <c r="P101" s="108" t="s">
        <v>144</v>
      </c>
      <c r="Q101" s="43" t="s">
        <v>92</v>
      </c>
      <c r="R101" s="160"/>
      <c r="S101" s="149" t="s">
        <v>42</v>
      </c>
      <c r="T101" s="129" t="s">
        <v>104</v>
      </c>
      <c r="U101" s="152" t="s">
        <v>97</v>
      </c>
      <c r="V101" s="186" t="s">
        <v>94</v>
      </c>
      <c r="W101" s="150" t="s">
        <v>93</v>
      </c>
      <c r="X101" s="43" t="s">
        <v>216</v>
      </c>
      <c r="Y101" s="45" t="s">
        <v>217</v>
      </c>
      <c r="Z101" s="152" t="s">
        <v>218</v>
      </c>
      <c r="AA101" s="210" t="s">
        <v>228</v>
      </c>
      <c r="AB101" s="205">
        <v>0.0241</v>
      </c>
      <c r="AC101" s="235" t="s">
        <v>97</v>
      </c>
      <c r="AD101" s="223" t="s">
        <v>126</v>
      </c>
      <c r="AE101" s="224">
        <f t="shared" si="14"/>
        <v>156.493506493506</v>
      </c>
      <c r="AF101" s="224">
        <v>5</v>
      </c>
      <c r="AG101" s="224"/>
      <c r="AH101" s="277">
        <f t="shared" si="15"/>
        <v>0.0241</v>
      </c>
      <c r="AI101" s="278">
        <f t="shared" si="13"/>
        <v>1</v>
      </c>
      <c r="AJ101" s="236"/>
      <c r="AK101" s="236"/>
      <c r="AL101" s="236"/>
      <c r="AM101" s="236"/>
      <c r="AN101" s="348"/>
      <c r="AO101" s="348"/>
      <c r="AP101" s="302"/>
      <c r="AQ101" s="314"/>
      <c r="AR101" s="289">
        <v>2</v>
      </c>
    </row>
    <row r="102" ht="39.95" customHeight="1" spans="1:44">
      <c r="A102" s="42">
        <f t="shared" si="16"/>
        <v>94</v>
      </c>
      <c r="B102" s="43"/>
      <c r="C102" s="46"/>
      <c r="D102" s="59">
        <v>2</v>
      </c>
      <c r="E102" s="59"/>
      <c r="F102" s="46"/>
      <c r="G102" s="59"/>
      <c r="H102" s="46"/>
      <c r="I102" s="46"/>
      <c r="J102" s="95"/>
      <c r="K102" s="95"/>
      <c r="L102" s="95"/>
      <c r="M102" s="129" t="s">
        <v>480</v>
      </c>
      <c r="N102" s="90" t="s">
        <v>481</v>
      </c>
      <c r="O102" s="110" t="s">
        <v>175</v>
      </c>
      <c r="P102" s="97" t="s">
        <v>144</v>
      </c>
      <c r="Q102" s="43" t="s">
        <v>92</v>
      </c>
      <c r="R102" s="153"/>
      <c r="S102" s="149" t="s">
        <v>42</v>
      </c>
      <c r="T102" s="129" t="s">
        <v>104</v>
      </c>
      <c r="U102" s="152" t="s">
        <v>97</v>
      </c>
      <c r="V102" s="186" t="s">
        <v>94</v>
      </c>
      <c r="W102" s="150" t="s">
        <v>93</v>
      </c>
      <c r="X102" s="108" t="s">
        <v>112</v>
      </c>
      <c r="Y102" s="45" t="s">
        <v>96</v>
      </c>
      <c r="Z102" s="152" t="s">
        <v>97</v>
      </c>
      <c r="AA102" s="210" t="s">
        <v>97</v>
      </c>
      <c r="AB102" s="205">
        <f>AB103+AB104</f>
        <v>0.0299</v>
      </c>
      <c r="AC102" s="235" t="s">
        <v>97</v>
      </c>
      <c r="AD102" s="236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348"/>
      <c r="AO102" s="348"/>
      <c r="AP102" s="302"/>
      <c r="AQ102" s="314"/>
      <c r="AR102" s="289">
        <v>4</v>
      </c>
    </row>
    <row r="103" s="16" customFormat="1" ht="39.95" customHeight="1" spans="1:44">
      <c r="A103" s="42">
        <f t="shared" si="16"/>
        <v>95</v>
      </c>
      <c r="B103" s="43"/>
      <c r="C103" s="46"/>
      <c r="D103" s="59"/>
      <c r="E103" s="59">
        <v>3</v>
      </c>
      <c r="F103" s="46"/>
      <c r="G103" s="59"/>
      <c r="H103" s="46"/>
      <c r="I103" s="46"/>
      <c r="J103" s="95"/>
      <c r="K103" s="95"/>
      <c r="L103" s="95"/>
      <c r="M103" s="129" t="s">
        <v>482</v>
      </c>
      <c r="N103" s="90" t="s">
        <v>483</v>
      </c>
      <c r="O103" s="110" t="s">
        <v>175</v>
      </c>
      <c r="P103" s="97" t="s">
        <v>144</v>
      </c>
      <c r="Q103" s="43" t="s">
        <v>92</v>
      </c>
      <c r="R103" s="153"/>
      <c r="S103" s="149" t="s">
        <v>42</v>
      </c>
      <c r="T103" s="129" t="s">
        <v>104</v>
      </c>
      <c r="U103" s="152" t="s">
        <v>97</v>
      </c>
      <c r="V103" s="186" t="s">
        <v>94</v>
      </c>
      <c r="W103" s="150" t="s">
        <v>93</v>
      </c>
      <c r="X103" s="108" t="s">
        <v>189</v>
      </c>
      <c r="Y103" s="45" t="s">
        <v>299</v>
      </c>
      <c r="Z103" s="152" t="s">
        <v>191</v>
      </c>
      <c r="AA103" s="210" t="s">
        <v>484</v>
      </c>
      <c r="AB103" s="205">
        <v>0.0161</v>
      </c>
      <c r="AC103" s="235" t="s">
        <v>97</v>
      </c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348"/>
      <c r="AO103" s="348"/>
      <c r="AP103" s="302"/>
      <c r="AQ103" s="314"/>
      <c r="AR103" s="289">
        <v>1</v>
      </c>
    </row>
    <row r="104" s="5" customFormat="1" ht="39.95" customHeight="1" spans="1:44">
      <c r="A104" s="42">
        <f t="shared" si="16"/>
        <v>96</v>
      </c>
      <c r="B104" s="43"/>
      <c r="C104" s="46"/>
      <c r="D104" s="59"/>
      <c r="E104" s="59">
        <v>3</v>
      </c>
      <c r="F104" s="46"/>
      <c r="G104" s="59"/>
      <c r="H104" s="46"/>
      <c r="I104" s="46"/>
      <c r="J104" s="95"/>
      <c r="K104" s="95"/>
      <c r="L104" s="95"/>
      <c r="M104" s="129" t="s">
        <v>485</v>
      </c>
      <c r="N104" s="90" t="s">
        <v>486</v>
      </c>
      <c r="O104" s="110" t="s">
        <v>175</v>
      </c>
      <c r="P104" s="97" t="s">
        <v>144</v>
      </c>
      <c r="Q104" s="43" t="s">
        <v>92</v>
      </c>
      <c r="R104" s="153"/>
      <c r="S104" s="149" t="s">
        <v>42</v>
      </c>
      <c r="T104" s="129" t="s">
        <v>104</v>
      </c>
      <c r="U104" s="152" t="s">
        <v>97</v>
      </c>
      <c r="V104" s="186" t="s">
        <v>94</v>
      </c>
      <c r="W104" s="150" t="s">
        <v>93</v>
      </c>
      <c r="X104" s="108" t="s">
        <v>189</v>
      </c>
      <c r="Y104" s="45" t="s">
        <v>322</v>
      </c>
      <c r="Z104" s="152" t="s">
        <v>97</v>
      </c>
      <c r="AA104" s="210" t="s">
        <v>97</v>
      </c>
      <c r="AB104" s="205">
        <v>0.0138</v>
      </c>
      <c r="AC104" s="235" t="s">
        <v>97</v>
      </c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236"/>
      <c r="AN104" s="348"/>
      <c r="AO104" s="348"/>
      <c r="AP104" s="302"/>
      <c r="AQ104" s="314"/>
      <c r="AR104" s="289">
        <v>1</v>
      </c>
    </row>
    <row r="105" ht="39.95" customHeight="1" spans="1:44">
      <c r="A105" s="42">
        <f t="shared" si="16"/>
        <v>97</v>
      </c>
      <c r="B105" s="43"/>
      <c r="C105" s="46">
        <v>1</v>
      </c>
      <c r="D105" s="59"/>
      <c r="E105" s="59"/>
      <c r="F105" s="46"/>
      <c r="G105" s="59"/>
      <c r="H105" s="46"/>
      <c r="I105" s="46"/>
      <c r="J105" s="95"/>
      <c r="K105" s="95"/>
      <c r="L105" s="95" t="s">
        <v>487</v>
      </c>
      <c r="M105" s="129" t="s">
        <v>488</v>
      </c>
      <c r="N105" s="90" t="s">
        <v>489</v>
      </c>
      <c r="O105" s="325" t="s">
        <v>175</v>
      </c>
      <c r="P105" s="97" t="s">
        <v>144</v>
      </c>
      <c r="Q105" s="43" t="s">
        <v>92</v>
      </c>
      <c r="R105" s="153"/>
      <c r="S105" s="149" t="s">
        <v>42</v>
      </c>
      <c r="T105" s="129" t="s">
        <v>104</v>
      </c>
      <c r="U105" s="152" t="s">
        <v>97</v>
      </c>
      <c r="V105" s="186" t="s">
        <v>94</v>
      </c>
      <c r="W105" s="150" t="s">
        <v>93</v>
      </c>
      <c r="X105" s="108" t="s">
        <v>216</v>
      </c>
      <c r="Y105" s="45" t="s">
        <v>327</v>
      </c>
      <c r="Z105" s="337" t="s">
        <v>218</v>
      </c>
      <c r="AA105" s="210" t="s">
        <v>490</v>
      </c>
      <c r="AB105" s="205">
        <v>0.0421</v>
      </c>
      <c r="AC105" s="235" t="s">
        <v>97</v>
      </c>
      <c r="AD105" s="223" t="s">
        <v>126</v>
      </c>
      <c r="AE105" s="224">
        <f>AB105/0.2219*1000</f>
        <v>189.725101397026</v>
      </c>
      <c r="AF105" s="224">
        <v>5</v>
      </c>
      <c r="AG105" s="224"/>
      <c r="AH105" s="277">
        <f>AE105*0.2219/1000</f>
        <v>0.0421</v>
      </c>
      <c r="AI105" s="278">
        <f>AB105/AH105</f>
        <v>1</v>
      </c>
      <c r="AJ105" s="207"/>
      <c r="AK105" s="260"/>
      <c r="AL105" s="262"/>
      <c r="AM105" s="262"/>
      <c r="AN105" s="263" t="s">
        <v>127</v>
      </c>
      <c r="AO105" s="263" t="s">
        <v>213</v>
      </c>
      <c r="AP105" s="302"/>
      <c r="AQ105" s="314"/>
      <c r="AR105" s="289">
        <v>1</v>
      </c>
    </row>
    <row r="106" ht="39.95" customHeight="1" spans="1:44">
      <c r="A106" s="42">
        <f t="shared" si="16"/>
        <v>98</v>
      </c>
      <c r="B106" s="43"/>
      <c r="C106" s="46">
        <v>1</v>
      </c>
      <c r="D106" s="59"/>
      <c r="E106" s="46"/>
      <c r="F106" s="59"/>
      <c r="G106" s="59"/>
      <c r="H106" s="46"/>
      <c r="I106" s="46"/>
      <c r="J106" s="95"/>
      <c r="K106" s="95"/>
      <c r="L106" s="129" t="s">
        <v>599</v>
      </c>
      <c r="M106" s="129" t="s">
        <v>599</v>
      </c>
      <c r="N106" s="90" t="s">
        <v>600</v>
      </c>
      <c r="O106" s="129" t="s">
        <v>599</v>
      </c>
      <c r="P106" s="97" t="s">
        <v>144</v>
      </c>
      <c r="Q106" s="43" t="s">
        <v>92</v>
      </c>
      <c r="R106" s="153"/>
      <c r="S106" s="149" t="s">
        <v>42</v>
      </c>
      <c r="T106" s="129" t="s">
        <v>104</v>
      </c>
      <c r="U106" s="152" t="s">
        <v>97</v>
      </c>
      <c r="V106" s="186" t="s">
        <v>94</v>
      </c>
      <c r="W106" s="150" t="s">
        <v>93</v>
      </c>
      <c r="X106" s="108" t="s">
        <v>494</v>
      </c>
      <c r="Y106" s="45" t="s">
        <v>495</v>
      </c>
      <c r="Z106" s="152" t="s">
        <v>97</v>
      </c>
      <c r="AA106" s="129" t="s">
        <v>97</v>
      </c>
      <c r="AB106" s="205">
        <v>0.1722</v>
      </c>
      <c r="AC106" s="235" t="s">
        <v>97</v>
      </c>
      <c r="AD106" s="246" t="s">
        <v>496</v>
      </c>
      <c r="AE106" s="207"/>
      <c r="AF106" s="207"/>
      <c r="AG106" s="207"/>
      <c r="AH106" s="260">
        <v>0.214</v>
      </c>
      <c r="AI106" s="261"/>
      <c r="AJ106" s="207"/>
      <c r="AK106" s="260"/>
      <c r="AL106" s="262">
        <f>50/60</f>
        <v>0.833333333333333</v>
      </c>
      <c r="AM106" s="264">
        <v>1</v>
      </c>
      <c r="AN106" s="263" t="s">
        <v>127</v>
      </c>
      <c r="AO106" s="263" t="s">
        <v>498</v>
      </c>
      <c r="AP106" s="302"/>
      <c r="AQ106" s="314"/>
      <c r="AR106" s="289">
        <v>1</v>
      </c>
    </row>
    <row r="107" s="5" customFormat="1" ht="39.95" customHeight="1" spans="1:44">
      <c r="A107" s="42">
        <f t="shared" si="16"/>
        <v>99</v>
      </c>
      <c r="B107" s="43"/>
      <c r="C107" s="46">
        <v>1</v>
      </c>
      <c r="D107" s="46"/>
      <c r="E107" s="46"/>
      <c r="F107" s="59"/>
      <c r="G107" s="59"/>
      <c r="H107" s="46"/>
      <c r="I107" s="46"/>
      <c r="J107" s="95"/>
      <c r="K107" s="95"/>
      <c r="L107" s="95" t="s">
        <v>499</v>
      </c>
      <c r="M107" s="129" t="s">
        <v>500</v>
      </c>
      <c r="N107" s="90" t="s">
        <v>501</v>
      </c>
      <c r="O107" s="325" t="s">
        <v>175</v>
      </c>
      <c r="P107" s="108" t="s">
        <v>117</v>
      </c>
      <c r="Q107" s="43" t="s">
        <v>92</v>
      </c>
      <c r="R107" s="153"/>
      <c r="S107" s="149" t="s">
        <v>42</v>
      </c>
      <c r="T107" s="129" t="s">
        <v>104</v>
      </c>
      <c r="U107" s="152" t="s">
        <v>97</v>
      </c>
      <c r="V107" s="186" t="s">
        <v>94</v>
      </c>
      <c r="W107" s="150" t="s">
        <v>93</v>
      </c>
      <c r="X107" s="108" t="s">
        <v>494</v>
      </c>
      <c r="Y107" s="45" t="s">
        <v>495</v>
      </c>
      <c r="Z107" s="152" t="s">
        <v>97</v>
      </c>
      <c r="AA107" s="129" t="s">
        <v>97</v>
      </c>
      <c r="AB107" s="205">
        <v>0.0807</v>
      </c>
      <c r="AC107" s="235" t="s">
        <v>97</v>
      </c>
      <c r="AD107" s="246" t="s">
        <v>496</v>
      </c>
      <c r="AE107" s="207"/>
      <c r="AF107" s="207"/>
      <c r="AG107" s="207"/>
      <c r="AH107" s="260">
        <v>0.106</v>
      </c>
      <c r="AI107" s="261"/>
      <c r="AJ107" s="207"/>
      <c r="AK107" s="260"/>
      <c r="AL107" s="262">
        <f>40/60</f>
        <v>0.666666666666667</v>
      </c>
      <c r="AM107" s="264">
        <v>1</v>
      </c>
      <c r="AN107" s="263" t="s">
        <v>127</v>
      </c>
      <c r="AO107" s="263" t="s">
        <v>498</v>
      </c>
      <c r="AP107" s="302"/>
      <c r="AQ107" s="314"/>
      <c r="AR107" s="289">
        <v>1</v>
      </c>
    </row>
    <row r="108" ht="39.95" customHeight="1" spans="1:44">
      <c r="A108" s="42">
        <f t="shared" si="16"/>
        <v>100</v>
      </c>
      <c r="B108" s="43"/>
      <c r="C108" s="46">
        <v>1</v>
      </c>
      <c r="D108" s="46"/>
      <c r="E108" s="46"/>
      <c r="F108" s="59"/>
      <c r="G108" s="59"/>
      <c r="H108" s="46"/>
      <c r="I108" s="46"/>
      <c r="J108" s="95"/>
      <c r="K108" s="95"/>
      <c r="L108" s="95" t="s">
        <v>502</v>
      </c>
      <c r="M108" s="129" t="s">
        <v>503</v>
      </c>
      <c r="N108" s="90" t="s">
        <v>504</v>
      </c>
      <c r="O108" s="139" t="s">
        <v>111</v>
      </c>
      <c r="P108" s="97" t="s">
        <v>144</v>
      </c>
      <c r="Q108" s="43" t="s">
        <v>92</v>
      </c>
      <c r="R108" s="153"/>
      <c r="S108" s="149" t="s">
        <v>42</v>
      </c>
      <c r="T108" s="129" t="s">
        <v>104</v>
      </c>
      <c r="U108" s="152" t="s">
        <v>97</v>
      </c>
      <c r="V108" s="186" t="s">
        <v>94</v>
      </c>
      <c r="W108" s="150" t="s">
        <v>93</v>
      </c>
      <c r="X108" s="108" t="s">
        <v>286</v>
      </c>
      <c r="Y108" s="45" t="s">
        <v>506</v>
      </c>
      <c r="Z108" s="45" t="s">
        <v>97</v>
      </c>
      <c r="AA108" s="129" t="s">
        <v>97</v>
      </c>
      <c r="AB108" s="205">
        <v>0.0013</v>
      </c>
      <c r="AC108" s="235" t="s">
        <v>97</v>
      </c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84" t="s">
        <v>127</v>
      </c>
      <c r="AO108" s="284" t="s">
        <v>427</v>
      </c>
      <c r="AP108" s="302"/>
      <c r="AQ108" s="314"/>
      <c r="AR108" s="289">
        <v>2</v>
      </c>
    </row>
    <row r="109" ht="39.95" customHeight="1" spans="1:44">
      <c r="A109" s="42">
        <f t="shared" si="16"/>
        <v>101</v>
      </c>
      <c r="B109" s="43"/>
      <c r="C109" s="46">
        <v>1</v>
      </c>
      <c r="D109" s="46"/>
      <c r="E109" s="59"/>
      <c r="F109" s="46"/>
      <c r="G109" s="59"/>
      <c r="H109" s="46"/>
      <c r="I109" s="46"/>
      <c r="J109" s="95"/>
      <c r="K109" s="95"/>
      <c r="L109" s="129" t="s">
        <v>507</v>
      </c>
      <c r="M109" s="129" t="s">
        <v>507</v>
      </c>
      <c r="N109" s="90" t="s">
        <v>601</v>
      </c>
      <c r="O109" s="139" t="s">
        <v>111</v>
      </c>
      <c r="P109" s="97" t="s">
        <v>144</v>
      </c>
      <c r="Q109" s="43" t="s">
        <v>92</v>
      </c>
      <c r="R109" s="153"/>
      <c r="S109" s="149" t="s">
        <v>42</v>
      </c>
      <c r="T109" s="129" t="s">
        <v>104</v>
      </c>
      <c r="U109" s="152" t="s">
        <v>97</v>
      </c>
      <c r="V109" s="186" t="s">
        <v>94</v>
      </c>
      <c r="W109" s="150" t="s">
        <v>93</v>
      </c>
      <c r="X109" s="108" t="s">
        <v>286</v>
      </c>
      <c r="Y109" s="45" t="s">
        <v>602</v>
      </c>
      <c r="Z109" s="45" t="s">
        <v>97</v>
      </c>
      <c r="AA109" s="129" t="s">
        <v>97</v>
      </c>
      <c r="AB109" s="205">
        <v>0.0023</v>
      </c>
      <c r="AC109" s="235" t="s">
        <v>512</v>
      </c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84" t="s">
        <v>127</v>
      </c>
      <c r="AO109" s="284" t="s">
        <v>427</v>
      </c>
      <c r="AP109" s="302"/>
      <c r="AQ109" s="314"/>
      <c r="AR109" s="289">
        <v>3</v>
      </c>
    </row>
    <row r="110" ht="39.95" customHeight="1" spans="1:44">
      <c r="A110" s="42">
        <f t="shared" ref="A110:A117" si="17">ROW()-8</f>
        <v>102</v>
      </c>
      <c r="B110" s="43"/>
      <c r="C110" s="46">
        <v>1</v>
      </c>
      <c r="D110" s="46"/>
      <c r="E110" s="58"/>
      <c r="F110" s="47"/>
      <c r="G110" s="46"/>
      <c r="H110" s="46"/>
      <c r="I110" s="46"/>
      <c r="J110" s="95"/>
      <c r="K110" s="106"/>
      <c r="L110" s="95" t="s">
        <v>521</v>
      </c>
      <c r="M110" s="129" t="s">
        <v>522</v>
      </c>
      <c r="N110" s="90" t="s">
        <v>523</v>
      </c>
      <c r="O110" s="110" t="s">
        <v>111</v>
      </c>
      <c r="P110" s="97" t="s">
        <v>144</v>
      </c>
      <c r="Q110" s="43" t="s">
        <v>92</v>
      </c>
      <c r="R110" s="160"/>
      <c r="S110" s="149" t="s">
        <v>42</v>
      </c>
      <c r="T110" s="129" t="s">
        <v>104</v>
      </c>
      <c r="U110" s="152" t="s">
        <v>97</v>
      </c>
      <c r="V110" s="186" t="s">
        <v>94</v>
      </c>
      <c r="W110" s="150" t="s">
        <v>93</v>
      </c>
      <c r="X110" s="108" t="s">
        <v>286</v>
      </c>
      <c r="Y110" s="152" t="s">
        <v>97</v>
      </c>
      <c r="Z110" s="152" t="s">
        <v>97</v>
      </c>
      <c r="AA110" s="129" t="s">
        <v>97</v>
      </c>
      <c r="AB110" s="205">
        <v>0.006</v>
      </c>
      <c r="AC110" s="235" t="s">
        <v>512</v>
      </c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84" t="s">
        <v>127</v>
      </c>
      <c r="AO110" s="284" t="s">
        <v>427</v>
      </c>
      <c r="AP110" s="302"/>
      <c r="AQ110" s="314"/>
      <c r="AR110" s="289">
        <v>4</v>
      </c>
    </row>
    <row r="111" s="15" customFormat="1" ht="39.95" customHeight="1" spans="1:44">
      <c r="A111" s="42">
        <f t="shared" si="17"/>
        <v>103</v>
      </c>
      <c r="B111" s="43"/>
      <c r="C111" s="46">
        <v>1</v>
      </c>
      <c r="D111" s="46"/>
      <c r="E111" s="47"/>
      <c r="F111" s="47"/>
      <c r="G111" s="46"/>
      <c r="H111" s="46"/>
      <c r="I111" s="46"/>
      <c r="J111" s="95"/>
      <c r="K111" s="106"/>
      <c r="L111" s="92" t="s">
        <v>525</v>
      </c>
      <c r="M111" s="92" t="s">
        <v>525</v>
      </c>
      <c r="N111" s="93" t="s">
        <v>526</v>
      </c>
      <c r="O111" s="326"/>
      <c r="P111" s="97" t="s">
        <v>144</v>
      </c>
      <c r="Q111" s="43" t="s">
        <v>92</v>
      </c>
      <c r="R111" s="152" t="s">
        <v>97</v>
      </c>
      <c r="S111" s="152" t="s">
        <v>97</v>
      </c>
      <c r="T111" s="129" t="s">
        <v>104</v>
      </c>
      <c r="U111" s="152" t="s">
        <v>97</v>
      </c>
      <c r="V111" s="186" t="s">
        <v>94</v>
      </c>
      <c r="W111" s="150" t="s">
        <v>93</v>
      </c>
      <c r="X111" s="333" t="s">
        <v>527</v>
      </c>
      <c r="Y111" s="333" t="s">
        <v>527</v>
      </c>
      <c r="Z111" s="152" t="s">
        <v>97</v>
      </c>
      <c r="AA111" s="129" t="s">
        <v>97</v>
      </c>
      <c r="AB111" s="205">
        <v>0.02</v>
      </c>
      <c r="AC111" s="235" t="s">
        <v>97</v>
      </c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284" t="s">
        <v>127</v>
      </c>
      <c r="AO111" s="284" t="s">
        <v>528</v>
      </c>
      <c r="AP111" s="302"/>
      <c r="AQ111" s="314"/>
      <c r="AR111" s="289">
        <v>1</v>
      </c>
    </row>
    <row r="112" s="15" customFormat="1" ht="39.95" customHeight="1" spans="1:44">
      <c r="A112" s="42">
        <f t="shared" si="17"/>
        <v>104</v>
      </c>
      <c r="B112" s="43"/>
      <c r="C112" s="46">
        <v>1</v>
      </c>
      <c r="D112" s="46"/>
      <c r="E112" s="47"/>
      <c r="F112" s="47"/>
      <c r="G112" s="46"/>
      <c r="H112" s="46"/>
      <c r="I112" s="46"/>
      <c r="J112" s="95"/>
      <c r="K112" s="106"/>
      <c r="L112" s="92" t="s">
        <v>529</v>
      </c>
      <c r="M112" s="92" t="s">
        <v>529</v>
      </c>
      <c r="N112" s="93" t="s">
        <v>526</v>
      </c>
      <c r="O112" s="326"/>
      <c r="P112" s="327"/>
      <c r="Q112" s="43" t="s">
        <v>92</v>
      </c>
      <c r="R112" s="152"/>
      <c r="S112" s="152"/>
      <c r="T112" s="129" t="s">
        <v>104</v>
      </c>
      <c r="U112" s="152" t="s">
        <v>97</v>
      </c>
      <c r="V112" s="186" t="s">
        <v>94</v>
      </c>
      <c r="W112" s="150" t="s">
        <v>93</v>
      </c>
      <c r="X112" s="333" t="s">
        <v>527</v>
      </c>
      <c r="Y112" s="333" t="s">
        <v>527</v>
      </c>
      <c r="Z112" s="152" t="s">
        <v>97</v>
      </c>
      <c r="AA112" s="129" t="s">
        <v>97</v>
      </c>
      <c r="AB112" s="205"/>
      <c r="AC112" s="235"/>
      <c r="AD112" s="236"/>
      <c r="AE112" s="236"/>
      <c r="AF112" s="236"/>
      <c r="AG112" s="236"/>
      <c r="AH112" s="236"/>
      <c r="AI112" s="236"/>
      <c r="AJ112" s="236"/>
      <c r="AK112" s="236"/>
      <c r="AL112" s="236"/>
      <c r="AM112" s="236"/>
      <c r="AN112" s="284" t="s">
        <v>127</v>
      </c>
      <c r="AO112" s="284" t="s">
        <v>528</v>
      </c>
      <c r="AP112" s="302"/>
      <c r="AQ112" s="314"/>
      <c r="AR112" s="289">
        <v>1</v>
      </c>
    </row>
    <row r="113" s="18" customFormat="1" ht="39.95" customHeight="1" spans="1:44">
      <c r="A113" s="42">
        <f t="shared" si="17"/>
        <v>105</v>
      </c>
      <c r="B113" s="43"/>
      <c r="C113" s="46">
        <v>1</v>
      </c>
      <c r="D113" s="46"/>
      <c r="E113" s="47"/>
      <c r="F113" s="47"/>
      <c r="G113" s="46"/>
      <c r="H113" s="46"/>
      <c r="I113" s="46"/>
      <c r="J113" s="95"/>
      <c r="K113" s="106"/>
      <c r="L113" s="92" t="s">
        <v>530</v>
      </c>
      <c r="M113" s="92" t="s">
        <v>530</v>
      </c>
      <c r="N113" s="328" t="s">
        <v>531</v>
      </c>
      <c r="O113" s="107"/>
      <c r="P113" s="97"/>
      <c r="Q113" s="43" t="s">
        <v>92</v>
      </c>
      <c r="R113" s="152"/>
      <c r="S113" s="152"/>
      <c r="T113" s="129"/>
      <c r="U113" s="152"/>
      <c r="V113" s="186"/>
      <c r="W113" s="150" t="s">
        <v>93</v>
      </c>
      <c r="X113" s="333"/>
      <c r="Y113" s="333"/>
      <c r="Z113" s="152"/>
      <c r="AA113" s="129"/>
      <c r="AB113" s="205"/>
      <c r="AC113" s="235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284" t="s">
        <v>127</v>
      </c>
      <c r="AO113" s="284" t="s">
        <v>532</v>
      </c>
      <c r="AP113" s="302"/>
      <c r="AQ113" s="314"/>
      <c r="AR113" s="289">
        <v>3</v>
      </c>
    </row>
    <row r="114" ht="39.95" customHeight="1" spans="1:44">
      <c r="A114" s="42">
        <f t="shared" si="17"/>
        <v>106</v>
      </c>
      <c r="B114" s="43">
        <v>0</v>
      </c>
      <c r="C114" s="46"/>
      <c r="D114" s="46"/>
      <c r="E114" s="58"/>
      <c r="F114" s="47"/>
      <c r="G114" s="46"/>
      <c r="H114" s="46"/>
      <c r="I114" s="46"/>
      <c r="J114" s="95"/>
      <c r="K114" s="106"/>
      <c r="L114" s="329" t="s">
        <v>603</v>
      </c>
      <c r="M114" s="329" t="s">
        <v>603</v>
      </c>
      <c r="N114" s="329" t="s">
        <v>604</v>
      </c>
      <c r="O114" s="326"/>
      <c r="P114" s="330"/>
      <c r="Q114" s="43" t="s">
        <v>92</v>
      </c>
      <c r="R114" s="170"/>
      <c r="S114" s="170"/>
      <c r="T114" s="169"/>
      <c r="U114" s="170" t="s">
        <v>97</v>
      </c>
      <c r="V114" s="334" t="s">
        <v>93</v>
      </c>
      <c r="W114" s="334" t="s">
        <v>94</v>
      </c>
      <c r="X114" s="335"/>
      <c r="Y114" s="335"/>
      <c r="Z114" s="170" t="s">
        <v>97</v>
      </c>
      <c r="AA114" s="169" t="s">
        <v>97</v>
      </c>
      <c r="AB114" s="227"/>
      <c r="AC114" s="341"/>
      <c r="AD114" s="342"/>
      <c r="AE114" s="342"/>
      <c r="AF114" s="342"/>
      <c r="AG114" s="342"/>
      <c r="AH114" s="349"/>
      <c r="AI114" s="349"/>
      <c r="AJ114" s="350"/>
      <c r="AK114" s="236"/>
      <c r="AL114" s="236"/>
      <c r="AM114" s="236"/>
      <c r="AN114" s="284" t="s">
        <v>99</v>
      </c>
      <c r="AO114" s="284" t="s">
        <v>146</v>
      </c>
      <c r="AP114" s="302"/>
      <c r="AQ114" s="314"/>
      <c r="AR114" s="289">
        <v>1</v>
      </c>
    </row>
    <row r="115" ht="39.95" customHeight="1" spans="1:44">
      <c r="A115" s="42">
        <f t="shared" si="17"/>
        <v>107</v>
      </c>
      <c r="B115" s="43"/>
      <c r="C115" s="46">
        <v>1</v>
      </c>
      <c r="D115" s="46"/>
      <c r="E115" s="58"/>
      <c r="F115" s="47"/>
      <c r="G115" s="46"/>
      <c r="H115" s="46"/>
      <c r="I115" s="46"/>
      <c r="J115" s="95"/>
      <c r="K115" s="106"/>
      <c r="L115" s="329" t="s">
        <v>605</v>
      </c>
      <c r="M115" s="329" t="s">
        <v>605</v>
      </c>
      <c r="N115" s="329" t="s">
        <v>606</v>
      </c>
      <c r="O115" s="326"/>
      <c r="P115" s="330"/>
      <c r="Q115" s="43" t="s">
        <v>92</v>
      </c>
      <c r="R115" s="170"/>
      <c r="S115" s="170"/>
      <c r="T115" s="169" t="s">
        <v>539</v>
      </c>
      <c r="U115" s="170" t="s">
        <v>97</v>
      </c>
      <c r="V115" s="334" t="s">
        <v>93</v>
      </c>
      <c r="W115" s="334" t="s">
        <v>94</v>
      </c>
      <c r="X115" s="335"/>
      <c r="Y115" s="335"/>
      <c r="Z115" s="170" t="s">
        <v>97</v>
      </c>
      <c r="AA115" s="169" t="s">
        <v>97</v>
      </c>
      <c r="AB115" s="227"/>
      <c r="AC115" s="341"/>
      <c r="AD115" s="342"/>
      <c r="AE115" s="342"/>
      <c r="AF115" s="342"/>
      <c r="AG115" s="342"/>
      <c r="AH115" s="349"/>
      <c r="AI115" s="349"/>
      <c r="AJ115" s="350"/>
      <c r="AK115" s="236"/>
      <c r="AL115" s="236"/>
      <c r="AM115" s="236"/>
      <c r="AN115" s="284" t="s">
        <v>127</v>
      </c>
      <c r="AO115" s="284"/>
      <c r="AP115" s="302"/>
      <c r="AQ115" s="314"/>
      <c r="AR115" s="289">
        <v>1</v>
      </c>
    </row>
    <row r="116" ht="39.95" customHeight="1" spans="1:44">
      <c r="A116" s="42">
        <f t="shared" si="17"/>
        <v>108</v>
      </c>
      <c r="B116" s="43"/>
      <c r="C116" s="46">
        <v>1</v>
      </c>
      <c r="D116" s="46"/>
      <c r="E116" s="58"/>
      <c r="F116" s="47"/>
      <c r="G116" s="46"/>
      <c r="H116" s="46"/>
      <c r="I116" s="46"/>
      <c r="J116" s="95"/>
      <c r="K116" s="106"/>
      <c r="L116" s="329" t="s">
        <v>607</v>
      </c>
      <c r="M116" s="329" t="s">
        <v>607</v>
      </c>
      <c r="N116" s="329" t="s">
        <v>608</v>
      </c>
      <c r="O116" s="326"/>
      <c r="P116" s="330"/>
      <c r="Q116" s="43" t="s">
        <v>92</v>
      </c>
      <c r="R116" s="170"/>
      <c r="S116" s="170"/>
      <c r="T116" s="169" t="s">
        <v>104</v>
      </c>
      <c r="U116" s="170" t="s">
        <v>97</v>
      </c>
      <c r="V116" s="334" t="s">
        <v>93</v>
      </c>
      <c r="W116" s="334" t="s">
        <v>94</v>
      </c>
      <c r="X116" s="335"/>
      <c r="Y116" s="335"/>
      <c r="Z116" s="170" t="s">
        <v>97</v>
      </c>
      <c r="AA116" s="169" t="s">
        <v>97</v>
      </c>
      <c r="AB116" s="227"/>
      <c r="AC116" s="341"/>
      <c r="AD116" s="342"/>
      <c r="AE116" s="342"/>
      <c r="AF116" s="342"/>
      <c r="AG116" s="342"/>
      <c r="AH116" s="349"/>
      <c r="AI116" s="349"/>
      <c r="AJ116" s="350"/>
      <c r="AK116" s="236"/>
      <c r="AL116" s="236"/>
      <c r="AM116" s="236"/>
      <c r="AN116" s="284" t="s">
        <v>99</v>
      </c>
      <c r="AO116" s="284" t="s">
        <v>146</v>
      </c>
      <c r="AP116" s="302"/>
      <c r="AQ116" s="314"/>
      <c r="AR116" s="289">
        <v>1</v>
      </c>
    </row>
    <row r="117" ht="39.95" customHeight="1" spans="1:44">
      <c r="A117" s="42">
        <f t="shared" si="17"/>
        <v>109</v>
      </c>
      <c r="B117" s="43">
        <v>0</v>
      </c>
      <c r="C117" s="46"/>
      <c r="D117" s="46"/>
      <c r="E117" s="58"/>
      <c r="F117" s="47"/>
      <c r="G117" s="46"/>
      <c r="H117" s="46"/>
      <c r="I117" s="46"/>
      <c r="J117" s="95"/>
      <c r="K117" s="106"/>
      <c r="L117" s="331" t="s">
        <v>533</v>
      </c>
      <c r="M117" s="331" t="s">
        <v>533</v>
      </c>
      <c r="N117" s="331" t="s">
        <v>534</v>
      </c>
      <c r="O117" s="326"/>
      <c r="P117" s="330"/>
      <c r="Q117" s="43" t="s">
        <v>92</v>
      </c>
      <c r="R117" s="170"/>
      <c r="S117" s="170"/>
      <c r="T117" s="169" t="s">
        <v>104</v>
      </c>
      <c r="U117" s="170" t="s">
        <v>97</v>
      </c>
      <c r="V117" s="334" t="s">
        <v>93</v>
      </c>
      <c r="W117" s="334" t="s">
        <v>94</v>
      </c>
      <c r="X117" s="335"/>
      <c r="Y117" s="335"/>
      <c r="Z117" s="170" t="s">
        <v>97</v>
      </c>
      <c r="AA117" s="169" t="s">
        <v>97</v>
      </c>
      <c r="AB117" s="227"/>
      <c r="AC117" s="341"/>
      <c r="AD117" s="342"/>
      <c r="AE117" s="342"/>
      <c r="AF117" s="342"/>
      <c r="AG117" s="342"/>
      <c r="AH117" s="349"/>
      <c r="AI117" s="349"/>
      <c r="AJ117" s="350"/>
      <c r="AK117" s="236"/>
      <c r="AL117" s="236"/>
      <c r="AM117" s="236"/>
      <c r="AN117" s="284" t="s">
        <v>127</v>
      </c>
      <c r="AO117" s="284"/>
      <c r="AP117" s="302"/>
      <c r="AQ117" s="314"/>
      <c r="AR117" s="289">
        <v>6</v>
      </c>
    </row>
    <row r="118" ht="15" customHeight="1" spans="18:44">
      <c r="R118" s="19"/>
      <c r="S118" s="19"/>
      <c r="T118" s="20"/>
      <c r="U118" s="19"/>
      <c r="V118" s="19"/>
      <c r="W118" s="19"/>
      <c r="X118" s="19"/>
      <c r="Y118" s="19"/>
      <c r="Z118" s="19"/>
      <c r="AR118" s="20"/>
    </row>
    <row r="119" ht="15" customHeight="1" spans="18:44">
      <c r="R119" s="19"/>
      <c r="S119" s="19"/>
      <c r="T119" s="20"/>
      <c r="U119" s="19"/>
      <c r="V119" s="19"/>
      <c r="W119" s="19"/>
      <c r="X119" s="19"/>
      <c r="Y119" s="19"/>
      <c r="Z119" s="19"/>
      <c r="AR119" s="20"/>
    </row>
    <row r="120" ht="15" customHeight="1" spans="18:44">
      <c r="R120" s="19"/>
      <c r="S120" s="19"/>
      <c r="T120" s="20"/>
      <c r="U120" s="19"/>
      <c r="V120" s="19"/>
      <c r="W120" s="19"/>
      <c r="X120" s="19"/>
      <c r="Y120" s="19"/>
      <c r="Z120" s="19"/>
      <c r="AR120" s="20"/>
    </row>
    <row r="121" ht="15" customHeight="1" spans="18:44">
      <c r="R121" s="19"/>
      <c r="S121" s="19"/>
      <c r="T121" s="20"/>
      <c r="U121" s="19"/>
      <c r="V121" s="19"/>
      <c r="W121" s="19"/>
      <c r="X121" s="19"/>
      <c r="Y121" s="19"/>
      <c r="Z121" s="19"/>
      <c r="AR121" s="20"/>
    </row>
    <row r="122" ht="15" customHeight="1" spans="18:44">
      <c r="R122" s="19"/>
      <c r="S122" s="19"/>
      <c r="T122" s="20"/>
      <c r="U122" s="19"/>
      <c r="V122" s="19"/>
      <c r="W122" s="19"/>
      <c r="X122" s="19"/>
      <c r="Y122" s="19"/>
      <c r="Z122" s="19"/>
      <c r="AR122" s="20"/>
    </row>
    <row r="123" ht="15" customHeight="1" spans="18:44">
      <c r="R123" s="19"/>
      <c r="S123" s="19"/>
      <c r="T123" s="20"/>
      <c r="U123" s="19"/>
      <c r="V123" s="19"/>
      <c r="W123" s="19"/>
      <c r="X123" s="19"/>
      <c r="Y123" s="19"/>
      <c r="Z123" s="19"/>
      <c r="AR123" s="20"/>
    </row>
    <row r="124" ht="15" customHeight="1" spans="18:44">
      <c r="R124" s="19"/>
      <c r="S124" s="19"/>
      <c r="T124" s="20"/>
      <c r="U124" s="19"/>
      <c r="V124" s="19"/>
      <c r="W124" s="19"/>
      <c r="X124" s="19"/>
      <c r="Y124" s="19"/>
      <c r="Z124" s="19"/>
      <c r="AR124" s="20"/>
    </row>
    <row r="125" ht="15" customHeight="1" spans="18:44">
      <c r="R125" s="19"/>
      <c r="S125" s="19"/>
      <c r="T125" s="20"/>
      <c r="U125" s="19"/>
      <c r="V125" s="19"/>
      <c r="W125" s="19"/>
      <c r="X125" s="19"/>
      <c r="Y125" s="19"/>
      <c r="Z125" s="19"/>
      <c r="AR125" s="20"/>
    </row>
    <row r="126" ht="15" customHeight="1" spans="18:44">
      <c r="R126" s="19"/>
      <c r="S126" s="19"/>
      <c r="T126" s="20"/>
      <c r="U126" s="19"/>
      <c r="V126" s="19"/>
      <c r="W126" s="19"/>
      <c r="X126" s="19"/>
      <c r="Y126" s="19"/>
      <c r="Z126" s="19"/>
      <c r="AR126" s="20"/>
    </row>
    <row r="127" ht="15" customHeight="1" spans="18:44">
      <c r="R127" s="19"/>
      <c r="S127" s="19"/>
      <c r="T127" s="20"/>
      <c r="U127" s="19"/>
      <c r="V127" s="19"/>
      <c r="W127" s="19"/>
      <c r="X127" s="19"/>
      <c r="Y127" s="19"/>
      <c r="Z127" s="19"/>
      <c r="AR127" s="20"/>
    </row>
    <row r="128" ht="15" customHeight="1" spans="18:44">
      <c r="R128" s="19"/>
      <c r="S128" s="19"/>
      <c r="T128" s="20"/>
      <c r="U128" s="19"/>
      <c r="V128" s="19"/>
      <c r="W128" s="19"/>
      <c r="X128" s="19"/>
      <c r="Y128" s="19"/>
      <c r="Z128" s="19"/>
      <c r="AR128" s="20"/>
    </row>
    <row r="129" ht="15" customHeight="1" spans="18:44">
      <c r="R129" s="19"/>
      <c r="S129" s="19"/>
      <c r="T129" s="20"/>
      <c r="U129" s="19"/>
      <c r="V129" s="19"/>
      <c r="W129" s="19"/>
      <c r="X129" s="19"/>
      <c r="Y129" s="19"/>
      <c r="Z129" s="19"/>
      <c r="AR129" s="20"/>
    </row>
    <row r="130" spans="18:44">
      <c r="R130" s="19"/>
      <c r="S130" s="19"/>
      <c r="T130" s="20"/>
      <c r="U130" s="19"/>
      <c r="V130" s="19"/>
      <c r="W130" s="19"/>
      <c r="X130" s="19"/>
      <c r="Y130" s="19"/>
      <c r="Z130" s="19"/>
      <c r="AR130" s="20"/>
    </row>
    <row r="131" spans="18:44">
      <c r="R131" s="19"/>
      <c r="S131" s="19"/>
      <c r="T131" s="20"/>
      <c r="U131" s="19"/>
      <c r="V131" s="19"/>
      <c r="W131" s="19"/>
      <c r="X131" s="19"/>
      <c r="Y131" s="19"/>
      <c r="Z131" s="19"/>
      <c r="AR131" s="20"/>
    </row>
    <row r="132" spans="18:44">
      <c r="R132" s="19"/>
      <c r="S132" s="19"/>
      <c r="T132" s="20"/>
      <c r="U132" s="19"/>
      <c r="V132" s="19"/>
      <c r="W132" s="19"/>
      <c r="X132" s="19"/>
      <c r="Y132" s="19"/>
      <c r="Z132" s="19"/>
      <c r="AR132" s="20"/>
    </row>
    <row r="133" spans="18:44">
      <c r="R133" s="19"/>
      <c r="S133" s="19"/>
      <c r="T133" s="20"/>
      <c r="U133" s="19"/>
      <c r="V133" s="19"/>
      <c r="W133" s="19"/>
      <c r="X133" s="19"/>
      <c r="Y133" s="19"/>
      <c r="Z133" s="19"/>
      <c r="AR133" s="20"/>
    </row>
    <row r="134" spans="18:44">
      <c r="R134" s="19"/>
      <c r="S134" s="19"/>
      <c r="T134" s="20"/>
      <c r="U134" s="19"/>
      <c r="V134" s="19"/>
      <c r="W134" s="19"/>
      <c r="X134" s="19"/>
      <c r="Y134" s="19"/>
      <c r="Z134" s="19"/>
      <c r="AR134" s="20"/>
    </row>
    <row r="135" spans="18:44">
      <c r="R135" s="19"/>
      <c r="S135" s="19"/>
      <c r="T135" s="20"/>
      <c r="U135" s="19"/>
      <c r="V135" s="19"/>
      <c r="W135" s="19"/>
      <c r="X135" s="19"/>
      <c r="Y135" s="19"/>
      <c r="Z135" s="19"/>
      <c r="AR135" s="20"/>
    </row>
    <row r="136" spans="18:44">
      <c r="R136" s="19"/>
      <c r="S136" s="19"/>
      <c r="T136" s="20"/>
      <c r="U136" s="19"/>
      <c r="V136" s="19"/>
      <c r="W136" s="19"/>
      <c r="X136" s="19"/>
      <c r="Y136" s="19"/>
      <c r="Z136" s="19"/>
      <c r="AR136" s="20"/>
    </row>
    <row r="137" spans="18:44">
      <c r="R137" s="19"/>
      <c r="S137" s="19"/>
      <c r="T137" s="20"/>
      <c r="U137" s="19"/>
      <c r="V137" s="19"/>
      <c r="W137" s="19"/>
      <c r="X137" s="19"/>
      <c r="Y137" s="19"/>
      <c r="Z137" s="19"/>
      <c r="AR137" s="20"/>
    </row>
    <row r="138" spans="18:44">
      <c r="R138" s="19"/>
      <c r="T138" s="20"/>
      <c r="AR138" s="20"/>
    </row>
  </sheetData>
  <autoFilter ref="A8:AR117">
    <extLst/>
  </autoFilter>
  <mergeCells count="42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O1:AP6"/>
    <mergeCell ref="A5:N6"/>
  </mergeCells>
  <conditionalFormatting sqref="K13">
    <cfRule type="duplicateValues" dxfId="4" priority="410"/>
  </conditionalFormatting>
  <conditionalFormatting sqref="V22">
    <cfRule type="cellIs" dxfId="5" priority="24" operator="equal">
      <formula>"Y"</formula>
    </cfRule>
    <cfRule type="cellIs" dxfId="6" priority="25" operator="equal">
      <formula>"N"</formula>
    </cfRule>
  </conditionalFormatting>
  <conditionalFormatting sqref="K27">
    <cfRule type="duplicateValues" dxfId="4" priority="176"/>
    <cfRule type="duplicateValues" dxfId="4" priority="177"/>
  </conditionalFormatting>
  <conditionalFormatting sqref="K45">
    <cfRule type="duplicateValues" dxfId="4" priority="164"/>
    <cfRule type="duplicateValues" dxfId="4" priority="165"/>
    <cfRule type="duplicateValues" dxfId="4" priority="166"/>
  </conditionalFormatting>
  <conditionalFormatting sqref="K51">
    <cfRule type="duplicateValues" dxfId="4" priority="143"/>
    <cfRule type="duplicateValues" dxfId="4" priority="144"/>
    <cfRule type="duplicateValues" dxfId="4" priority="145"/>
  </conditionalFormatting>
  <conditionalFormatting sqref="K54">
    <cfRule type="duplicateValues" dxfId="4" priority="167"/>
    <cfRule type="duplicateValues" dxfId="4" priority="168"/>
    <cfRule type="duplicateValues" dxfId="4" priority="169"/>
  </conditionalFormatting>
  <conditionalFormatting sqref="V63">
    <cfRule type="cellIs" dxfId="5" priority="22" operator="equal">
      <formula>"Y"</formula>
    </cfRule>
    <cfRule type="cellIs" dxfId="6" priority="23" operator="equal">
      <formula>"N"</formula>
    </cfRule>
  </conditionalFormatting>
  <conditionalFormatting sqref="W63">
    <cfRule type="cellIs" dxfId="5" priority="20" operator="equal">
      <formula>"Y"</formula>
    </cfRule>
    <cfRule type="cellIs" dxfId="6" priority="21" operator="equal">
      <formula>"N"</formula>
    </cfRule>
  </conditionalFormatting>
  <conditionalFormatting sqref="K64">
    <cfRule type="duplicateValues" dxfId="4" priority="45"/>
  </conditionalFormatting>
  <conditionalFormatting sqref="V64">
    <cfRule type="cellIs" dxfId="5" priority="43" operator="equal">
      <formula>"Y"</formula>
    </cfRule>
    <cfRule type="cellIs" dxfId="6" priority="44" operator="equal">
      <formula>"N"</formula>
    </cfRule>
  </conditionalFormatting>
  <conditionalFormatting sqref="W64">
    <cfRule type="cellIs" dxfId="5" priority="41" operator="equal">
      <formula>"Y"</formula>
    </cfRule>
    <cfRule type="cellIs" dxfId="6" priority="42" operator="equal">
      <formula>"N"</formula>
    </cfRule>
  </conditionalFormatting>
  <conditionalFormatting sqref="K65">
    <cfRule type="duplicateValues" dxfId="4" priority="125"/>
  </conditionalFormatting>
  <conditionalFormatting sqref="V65">
    <cfRule type="cellIs" dxfId="5" priority="123" operator="equal">
      <formula>"Y"</formula>
    </cfRule>
    <cfRule type="cellIs" dxfId="6" priority="124" operator="equal">
      <formula>"N"</formula>
    </cfRule>
  </conditionalFormatting>
  <conditionalFormatting sqref="W65">
    <cfRule type="cellIs" dxfId="5" priority="121" operator="equal">
      <formula>"Y"</formula>
    </cfRule>
    <cfRule type="cellIs" dxfId="6" priority="122" operator="equal">
      <formula>"N"</formula>
    </cfRule>
  </conditionalFormatting>
  <conditionalFormatting sqref="K66">
    <cfRule type="duplicateValues" dxfId="4" priority="120"/>
  </conditionalFormatting>
  <conditionalFormatting sqref="V66">
    <cfRule type="cellIs" dxfId="5" priority="118" operator="equal">
      <formula>"Y"</formula>
    </cfRule>
    <cfRule type="cellIs" dxfId="6" priority="119" operator="equal">
      <formula>"N"</formula>
    </cfRule>
  </conditionalFormatting>
  <conditionalFormatting sqref="W66">
    <cfRule type="cellIs" dxfId="5" priority="116" operator="equal">
      <formula>"Y"</formula>
    </cfRule>
    <cfRule type="cellIs" dxfId="6" priority="117" operator="equal">
      <formula>"N"</formula>
    </cfRule>
  </conditionalFormatting>
  <conditionalFormatting sqref="K67">
    <cfRule type="duplicateValues" dxfId="4" priority="115"/>
  </conditionalFormatting>
  <conditionalFormatting sqref="V67">
    <cfRule type="cellIs" dxfId="5" priority="113" operator="equal">
      <formula>"Y"</formula>
    </cfRule>
    <cfRule type="cellIs" dxfId="6" priority="114" operator="equal">
      <formula>"N"</formula>
    </cfRule>
  </conditionalFormatting>
  <conditionalFormatting sqref="W67">
    <cfRule type="cellIs" dxfId="5" priority="111" operator="equal">
      <formula>"Y"</formula>
    </cfRule>
    <cfRule type="cellIs" dxfId="6" priority="112" operator="equal">
      <formula>"N"</formula>
    </cfRule>
  </conditionalFormatting>
  <conditionalFormatting sqref="K68">
    <cfRule type="duplicateValues" dxfId="4" priority="110"/>
  </conditionalFormatting>
  <conditionalFormatting sqref="V68">
    <cfRule type="cellIs" dxfId="5" priority="108" operator="equal">
      <formula>"Y"</formula>
    </cfRule>
    <cfRule type="cellIs" dxfId="6" priority="109" operator="equal">
      <formula>"N"</formula>
    </cfRule>
  </conditionalFormatting>
  <conditionalFormatting sqref="W68">
    <cfRule type="cellIs" dxfId="5" priority="106" operator="equal">
      <formula>"Y"</formula>
    </cfRule>
    <cfRule type="cellIs" dxfId="6" priority="107" operator="equal">
      <formula>"N"</formula>
    </cfRule>
  </conditionalFormatting>
  <conditionalFormatting sqref="V69">
    <cfRule type="cellIs" dxfId="5" priority="103" operator="equal">
      <formula>"Y"</formula>
    </cfRule>
    <cfRule type="cellIs" dxfId="6" priority="104" operator="equal">
      <formula>"N"</formula>
    </cfRule>
  </conditionalFormatting>
  <conditionalFormatting sqref="W69">
    <cfRule type="cellIs" dxfId="5" priority="101" operator="equal">
      <formula>"Y"</formula>
    </cfRule>
    <cfRule type="cellIs" dxfId="6" priority="102" operator="equal">
      <formula>"N"</formula>
    </cfRule>
  </conditionalFormatting>
  <conditionalFormatting sqref="V70">
    <cfRule type="cellIs" dxfId="5" priority="79" operator="equal">
      <formula>"Y"</formula>
    </cfRule>
    <cfRule type="cellIs" dxfId="6" priority="80" operator="equal">
      <formula>"N"</formula>
    </cfRule>
  </conditionalFormatting>
  <conditionalFormatting sqref="W70">
    <cfRule type="cellIs" dxfId="5" priority="77" operator="equal">
      <formula>"Y"</formula>
    </cfRule>
    <cfRule type="cellIs" dxfId="6" priority="78" operator="equal">
      <formula>"N"</formula>
    </cfRule>
  </conditionalFormatting>
  <conditionalFormatting sqref="K71">
    <cfRule type="duplicateValues" dxfId="4" priority="67"/>
  </conditionalFormatting>
  <conditionalFormatting sqref="V71">
    <cfRule type="cellIs" dxfId="5" priority="65" operator="equal">
      <formula>"Y"</formula>
    </cfRule>
    <cfRule type="cellIs" dxfId="6" priority="66" operator="equal">
      <formula>"N"</formula>
    </cfRule>
  </conditionalFormatting>
  <conditionalFormatting sqref="W71">
    <cfRule type="cellIs" dxfId="5" priority="63" operator="equal">
      <formula>"Y"</formula>
    </cfRule>
    <cfRule type="cellIs" dxfId="6" priority="64" operator="equal">
      <formula>"N"</formula>
    </cfRule>
  </conditionalFormatting>
  <conditionalFormatting sqref="K72">
    <cfRule type="duplicateValues" dxfId="4" priority="100"/>
  </conditionalFormatting>
  <conditionalFormatting sqref="V72">
    <cfRule type="cellIs" dxfId="5" priority="98" operator="equal">
      <formula>"Y"</formula>
    </cfRule>
    <cfRule type="cellIs" dxfId="6" priority="99" operator="equal">
      <formula>"N"</formula>
    </cfRule>
  </conditionalFormatting>
  <conditionalFormatting sqref="W72">
    <cfRule type="cellIs" dxfId="5" priority="96" operator="equal">
      <formula>"Y"</formula>
    </cfRule>
    <cfRule type="cellIs" dxfId="6" priority="97" operator="equal">
      <formula>"N"</formula>
    </cfRule>
  </conditionalFormatting>
  <conditionalFormatting sqref="K73">
    <cfRule type="duplicateValues" dxfId="4" priority="95"/>
  </conditionalFormatting>
  <conditionalFormatting sqref="V73">
    <cfRule type="cellIs" dxfId="5" priority="93" operator="equal">
      <formula>"Y"</formula>
    </cfRule>
    <cfRule type="cellIs" dxfId="6" priority="94" operator="equal">
      <formula>"N"</formula>
    </cfRule>
  </conditionalFormatting>
  <conditionalFormatting sqref="W73">
    <cfRule type="cellIs" dxfId="5" priority="91" operator="equal">
      <formula>"Y"</formula>
    </cfRule>
    <cfRule type="cellIs" dxfId="6" priority="92" operator="equal">
      <formula>"N"</formula>
    </cfRule>
  </conditionalFormatting>
  <conditionalFormatting sqref="V74">
    <cfRule type="cellIs" dxfId="5" priority="88" operator="equal">
      <formula>"Y"</formula>
    </cfRule>
    <cfRule type="cellIs" dxfId="6" priority="89" operator="equal">
      <formula>"N"</formula>
    </cfRule>
  </conditionalFormatting>
  <conditionalFormatting sqref="W74">
    <cfRule type="cellIs" dxfId="5" priority="86" operator="equal">
      <formula>"Y"</formula>
    </cfRule>
    <cfRule type="cellIs" dxfId="6" priority="87" operator="equal">
      <formula>"N"</formula>
    </cfRule>
  </conditionalFormatting>
  <conditionalFormatting sqref="V75">
    <cfRule type="cellIs" dxfId="5" priority="75" operator="equal">
      <formula>"Y"</formula>
    </cfRule>
    <cfRule type="cellIs" dxfId="6" priority="76" operator="equal">
      <formula>"N"</formula>
    </cfRule>
  </conditionalFormatting>
  <conditionalFormatting sqref="W75">
    <cfRule type="cellIs" dxfId="5" priority="73" operator="equal">
      <formula>"Y"</formula>
    </cfRule>
    <cfRule type="cellIs" dxfId="6" priority="74" operator="equal">
      <formula>"N"</formula>
    </cfRule>
  </conditionalFormatting>
  <conditionalFormatting sqref="V76">
    <cfRule type="cellIs" dxfId="5" priority="70" operator="equal">
      <formula>"Y"</formula>
    </cfRule>
    <cfRule type="cellIs" dxfId="6" priority="71" operator="equal">
      <formula>"N"</formula>
    </cfRule>
  </conditionalFormatting>
  <conditionalFormatting sqref="W76">
    <cfRule type="cellIs" dxfId="5" priority="68" operator="equal">
      <formula>"Y"</formula>
    </cfRule>
    <cfRule type="cellIs" dxfId="6" priority="69" operator="equal">
      <formula>"N"</formula>
    </cfRule>
  </conditionalFormatting>
  <conditionalFormatting sqref="K77">
    <cfRule type="duplicateValues" dxfId="4" priority="30"/>
  </conditionalFormatting>
  <conditionalFormatting sqref="V77">
    <cfRule type="cellIs" dxfId="5" priority="28" operator="equal">
      <formula>"Y"</formula>
    </cfRule>
    <cfRule type="cellIs" dxfId="6" priority="29" operator="equal">
      <formula>"N"</formula>
    </cfRule>
  </conditionalFormatting>
  <conditionalFormatting sqref="W77">
    <cfRule type="cellIs" dxfId="5" priority="26" operator="equal">
      <formula>"Y"</formula>
    </cfRule>
    <cfRule type="cellIs" dxfId="6" priority="27" operator="equal">
      <formula>"N"</formula>
    </cfRule>
  </conditionalFormatting>
  <conditionalFormatting sqref="V78">
    <cfRule type="cellIs" dxfId="5" priority="61" operator="equal">
      <formula>"Y"</formula>
    </cfRule>
    <cfRule type="cellIs" dxfId="6" priority="62" operator="equal">
      <formula>"N"</formula>
    </cfRule>
  </conditionalFormatting>
  <conditionalFormatting sqref="W78">
    <cfRule type="cellIs" dxfId="5" priority="59" operator="equal">
      <formula>"Y"</formula>
    </cfRule>
    <cfRule type="cellIs" dxfId="6" priority="60" operator="equal">
      <formula>"N"</formula>
    </cfRule>
  </conditionalFormatting>
  <conditionalFormatting sqref="K79">
    <cfRule type="duplicateValues" dxfId="4" priority="52"/>
    <cfRule type="duplicateValues" dxfId="4" priority="53"/>
  </conditionalFormatting>
  <conditionalFormatting sqref="V79">
    <cfRule type="cellIs" dxfId="5" priority="48" operator="equal">
      <formula>"Y"</formula>
    </cfRule>
    <cfRule type="cellIs" dxfId="6" priority="49" operator="equal">
      <formula>"N"</formula>
    </cfRule>
  </conditionalFormatting>
  <conditionalFormatting sqref="W79">
    <cfRule type="cellIs" dxfId="5" priority="46" operator="equal">
      <formula>"Y"</formula>
    </cfRule>
    <cfRule type="cellIs" dxfId="6" priority="47" operator="equal">
      <formula>"N"</formula>
    </cfRule>
  </conditionalFormatting>
  <conditionalFormatting sqref="V80:W80">
    <cfRule type="cellIs" dxfId="5" priority="37" operator="equal">
      <formula>"Y"</formula>
    </cfRule>
    <cfRule type="cellIs" dxfId="6" priority="38" operator="equal">
      <formula>"N"</formula>
    </cfRule>
  </conditionalFormatting>
  <conditionalFormatting sqref="V81:W81">
    <cfRule type="cellIs" dxfId="5" priority="31" operator="equal">
      <formula>"Y"</formula>
    </cfRule>
    <cfRule type="cellIs" dxfId="6" priority="32" operator="equal">
      <formula>"N"</formula>
    </cfRule>
  </conditionalFormatting>
  <conditionalFormatting sqref="K82">
    <cfRule type="duplicateValues" dxfId="4" priority="210"/>
    <cfRule type="duplicateValues" dxfId="4" priority="211"/>
  </conditionalFormatting>
  <conditionalFormatting sqref="K101">
    <cfRule type="duplicateValues" dxfId="4" priority="204"/>
  </conditionalFormatting>
  <conditionalFormatting sqref="V111:W111">
    <cfRule type="cellIs" dxfId="5" priority="54" operator="equal">
      <formula>"Y"</formula>
    </cfRule>
    <cfRule type="cellIs" dxfId="6" priority="55" operator="equal">
      <formula>"N"</formula>
    </cfRule>
  </conditionalFormatting>
  <conditionalFormatting sqref="V112:W112">
    <cfRule type="cellIs" dxfId="5" priority="12" operator="equal">
      <formula>"Y"</formula>
    </cfRule>
    <cfRule type="cellIs" dxfId="6" priority="13" operator="equal">
      <formula>"N"</formula>
    </cfRule>
  </conditionalFormatting>
  <conditionalFormatting sqref="K113">
    <cfRule type="duplicateValues" dxfId="4" priority="4"/>
    <cfRule type="duplicateValues" dxfId="4" priority="3"/>
  </conditionalFormatting>
  <conditionalFormatting sqref="V113:W113">
    <cfRule type="cellIs" dxfId="6" priority="2" operator="equal">
      <formula>"N"</formula>
    </cfRule>
    <cfRule type="cellIs" dxfId="5" priority="1" operator="equal">
      <formula>"Y"</formula>
    </cfRule>
  </conditionalFormatting>
  <conditionalFormatting sqref="K14:K16">
    <cfRule type="duplicateValues" dxfId="4" priority="11"/>
    <cfRule type="duplicateValues" dxfId="4" priority="10"/>
  </conditionalFormatting>
  <conditionalFormatting sqref="K55:K57">
    <cfRule type="duplicateValues" dxfId="4" priority="160"/>
    <cfRule type="duplicateValues" dxfId="4" priority="161"/>
    <cfRule type="duplicateValues" dxfId="4" priority="162"/>
    <cfRule type="duplicateValues" dxfId="4" priority="163"/>
  </conditionalFormatting>
  <conditionalFormatting sqref="K69:K70">
    <cfRule type="duplicateValues" dxfId="4" priority="105"/>
  </conditionalFormatting>
  <conditionalFormatting sqref="K74:K75">
    <cfRule type="duplicateValues" dxfId="4" priority="90"/>
  </conditionalFormatting>
  <conditionalFormatting sqref="K80:K81">
    <cfRule type="duplicateValues" dxfId="4" priority="39"/>
    <cfRule type="duplicateValues" dxfId="4" priority="40"/>
  </conditionalFormatting>
  <conditionalFormatting sqref="K86:K87">
    <cfRule type="duplicateValues" dxfId="4" priority="7"/>
  </conditionalFormatting>
  <conditionalFormatting sqref="K111:K112">
    <cfRule type="duplicateValues" dxfId="4" priority="57"/>
    <cfRule type="duplicateValues" dxfId="4" priority="58"/>
  </conditionalFormatting>
  <conditionalFormatting sqref="V114:V117">
    <cfRule type="cellIs" dxfId="5" priority="18" operator="equal">
      <formula>"Y"</formula>
    </cfRule>
    <cfRule type="cellIs" dxfId="6" priority="19" operator="equal">
      <formula>"N"</formula>
    </cfRule>
  </conditionalFormatting>
  <conditionalFormatting sqref="V9:W13 V17:W21 V23:W37 V40:W57">
    <cfRule type="cellIs" dxfId="5" priority="146" operator="equal">
      <formula>"Y"</formula>
    </cfRule>
    <cfRule type="cellIs" dxfId="6" priority="147" operator="equal">
      <formula>"N"</formula>
    </cfRule>
  </conditionalFormatting>
  <conditionalFormatting sqref="K13 K17:K26 K52:K53 K28:K44 K46:K50 K58:K63">
    <cfRule type="duplicateValues" dxfId="4" priority="573"/>
  </conditionalFormatting>
  <conditionalFormatting sqref="V14:W16">
    <cfRule type="cellIs" dxfId="6" priority="9" operator="equal">
      <formula>"N"</formula>
    </cfRule>
    <cfRule type="cellIs" dxfId="5" priority="8" operator="equal">
      <formula>"Y"</formula>
    </cfRule>
  </conditionalFormatting>
  <conditionalFormatting sqref="K58:K63 K46:K50 K52:K53 K28:K44 K17:K26">
    <cfRule type="duplicateValues" dxfId="4" priority="584"/>
  </conditionalFormatting>
  <conditionalFormatting sqref="V58:W62 V82:W85 V88:W110">
    <cfRule type="cellIs" dxfId="5" priority="148" operator="equal">
      <formula>"Y"</formula>
    </cfRule>
    <cfRule type="cellIs" dxfId="6" priority="149" operator="equal">
      <formula>"N"</formula>
    </cfRule>
  </conditionalFormatting>
  <conditionalFormatting sqref="K76 K78">
    <cfRule type="duplicateValues" dxfId="4" priority="72"/>
  </conditionalFormatting>
  <conditionalFormatting sqref="K82:K85 K88:K104">
    <cfRule type="duplicateValues" dxfId="4" priority="201"/>
  </conditionalFormatting>
  <conditionalFormatting sqref="V86:W87">
    <cfRule type="cellIs" dxfId="6" priority="6" operator="equal">
      <formula>"N"</formula>
    </cfRule>
    <cfRule type="cellIs" dxfId="5" priority="5" operator="equal">
      <formula>"Y"</formula>
    </cfRule>
  </conditionalFormatting>
  <conditionalFormatting sqref="K105:K110 K114:K117">
    <cfRule type="duplicateValues" dxfId="4" priority="507"/>
  </conditionalFormatting>
  <conditionalFormatting sqref="K110 K114:K117">
    <cfRule type="duplicateValues" dxfId="4" priority="503"/>
  </conditionalFormatting>
  <conditionalFormatting sqref="W114 W116">
    <cfRule type="cellIs" dxfId="5" priority="16" operator="equal">
      <formula>"Y"</formula>
    </cfRule>
    <cfRule type="cellIs" dxfId="6" priority="17" operator="equal">
      <formula>"N"</formula>
    </cfRule>
  </conditionalFormatting>
  <conditionalFormatting sqref="W115 W117">
    <cfRule type="cellIs" dxfId="5" priority="14" operator="equal">
      <formula>"Y"</formula>
    </cfRule>
    <cfRule type="cellIs" dxfId="6" priority="15" operator="equal">
      <formula>"N"</formula>
    </cfRule>
  </conditionalFormatting>
  <dataValidations count="1">
    <dataValidation type="list" allowBlank="1" showInputMessage="1" showErrorMessage="1" sqref="V112 W112 V113 W113 V88:W111 V86:W87 V17:W80 V14:W16 V9:W13 V81:W85 V114:W117">
      <formula1>"Y,N"</formula1>
    </dataValidation>
  </dataValidations>
  <printOptions horizontalCentered="1"/>
  <pageMargins left="0.393055555555556" right="0.393055555555556" top="0.393055555555556" bottom="0.55" header="0.313888888888889" footer="0.313888888888889"/>
  <pageSetup paperSize="8" scale="68" fitToHeight="0" orientation="landscape"/>
  <headerFooter>
    <oddFooter>&amp;C第 &amp;P 页，共 &amp;N 页</oddFooter>
  </headerFooter>
  <rowBreaks count="4" manualBreakCount="4">
    <brk id="56" max="43" man="1"/>
    <brk id="71" max="43" man="1"/>
    <brk id="83" max="43" man="1"/>
    <brk id="98" max="4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总清单</vt:lpstr>
      <vt:lpstr>驾驶员首页</vt:lpstr>
      <vt:lpstr>驾驶员座椅总成EBOM清单 </vt:lpstr>
      <vt:lpstr>副驾驶员首页</vt:lpstr>
      <vt:lpstr>副驾驶员座总成EBOM清单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2006-09-13T11:21:00Z</dcterms:created>
  <dcterms:modified xsi:type="dcterms:W3CDTF">2022-02-18T06:28:03Z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eadingLayout">
    <vt:bool>true</vt:bool>
  </property>
  <property fmtid="{D5CDD505-2E9C-101B-9397-08002B2CF9AE}" pid="4" name="ICV">
    <vt:lpwstr>486BF549CB3344919F23B9270EBE4675</vt:lpwstr>
  </property>
</Properties>
</file>