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479" firstSheet="1" activeTab="2"/>
  </bookViews>
  <sheets>
    <sheet name="KING" sheetId="14" state="veryHidden" r:id="rId1"/>
    <sheet name="驾驶员座椅总成" sheetId="5" r:id="rId2"/>
    <sheet name="副驾驶员座椅总成" sheetId="13" r:id="rId3"/>
  </sheets>
  <definedNames>
    <definedName name="_xlnm._FilterDatabase" localSheetId="1" hidden="1">驾驶员座椅总成!$A$9:$AU$179</definedName>
    <definedName name="_xlnm._FilterDatabase" localSheetId="2" hidden="1">副驾驶员座椅总成!$A$9:$AR$148</definedName>
    <definedName name="_xlnm.Print_Titles" localSheetId="1">驾驶员座椅总成!$8:$9</definedName>
  </definedNames>
  <calcPr calcId="144525"/>
</workbook>
</file>

<file path=xl/sharedStrings.xml><?xml version="1.0" encoding="utf-8"?>
<sst xmlns="http://schemas.openxmlformats.org/spreadsheetml/2006/main" count="5333" uniqueCount="993">
  <si>
    <r>
      <rPr>
        <b/>
        <sz val="14"/>
        <color theme="1"/>
        <rFont val="宋体"/>
        <charset val="134"/>
      </rPr>
      <t>设计</t>
    </r>
    <r>
      <rPr>
        <b/>
        <sz val="14"/>
        <color theme="1"/>
        <rFont val="Arial"/>
        <charset val="134"/>
      </rPr>
      <t>:</t>
    </r>
  </si>
  <si>
    <t>校核：</t>
  </si>
  <si>
    <t>标准化：</t>
  </si>
  <si>
    <t>H4-2.2驾驶员座椅总成EBOM</t>
  </si>
  <si>
    <t>零件号</t>
  </si>
  <si>
    <t>H468100000064</t>
  </si>
  <si>
    <t>H468100000096</t>
  </si>
  <si>
    <t>H468100000044</t>
  </si>
  <si>
    <t>/</t>
  </si>
  <si>
    <t>内部号</t>
  </si>
  <si>
    <t>SHT0012914</t>
  </si>
  <si>
    <t>SHT0014069</t>
  </si>
  <si>
    <t>SHT0013939</t>
  </si>
  <si>
    <t>SHT0013981</t>
  </si>
  <si>
    <t>SHT0013982</t>
  </si>
  <si>
    <t>会签：</t>
  </si>
  <si>
    <t>名称</t>
  </si>
  <si>
    <t>驾驶员座椅总成</t>
  </si>
  <si>
    <t>批准：</t>
  </si>
  <si>
    <t>日期：</t>
  </si>
  <si>
    <t>规格型号</t>
  </si>
  <si>
    <t xml:space="preserve">通风加热 </t>
  </si>
  <si>
    <t>无通风无加热</t>
  </si>
  <si>
    <t>单加热</t>
  </si>
  <si>
    <t>单通风</t>
  </si>
  <si>
    <t>版本：A</t>
  </si>
  <si>
    <t>车型配置</t>
  </si>
  <si>
    <t>GTL-C</t>
  </si>
  <si>
    <t>GTL-E</t>
  </si>
  <si>
    <t>说明：</t>
  </si>
  <si>
    <t>种类</t>
  </si>
  <si>
    <t>序号</t>
  </si>
  <si>
    <t>装配等级</t>
  </si>
  <si>
    <t>来源</t>
  </si>
  <si>
    <t>QAD号</t>
  </si>
  <si>
    <r>
      <rPr>
        <sz val="14"/>
        <color theme="1"/>
        <rFont val="宋体"/>
        <charset val="134"/>
      </rPr>
      <t>零件描述</t>
    </r>
  </si>
  <si>
    <t>重要度</t>
  </si>
  <si>
    <t>单位</t>
  </si>
  <si>
    <t>图示</t>
  </si>
  <si>
    <t>数据版本</t>
  </si>
  <si>
    <r>
      <rPr>
        <sz val="14"/>
        <color theme="1"/>
        <rFont val="宋体"/>
        <charset val="134"/>
      </rPr>
      <t>图纸号</t>
    </r>
  </si>
  <si>
    <r>
      <rPr>
        <sz val="14"/>
        <color theme="1"/>
        <rFont val="宋体"/>
        <charset val="134"/>
      </rPr>
      <t>图纸版本</t>
    </r>
  </si>
  <si>
    <t>是否申请新零件号</t>
  </si>
  <si>
    <r>
      <rPr>
        <sz val="14"/>
        <color theme="1"/>
        <rFont val="宋体"/>
        <charset val="134"/>
      </rPr>
      <t>沿用件</t>
    </r>
    <r>
      <rPr>
        <sz val="14"/>
        <color theme="1"/>
        <rFont val="Arial"/>
        <charset val="134"/>
      </rPr>
      <t xml:space="preserve">            Y/N</t>
    </r>
  </si>
  <si>
    <r>
      <rPr>
        <sz val="14"/>
        <color theme="1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</si>
  <si>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</si>
  <si>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</si>
  <si>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</si>
  <si>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</si>
  <si>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</si>
  <si>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</si>
  <si>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</si>
  <si>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
（Kg）</t>
  </si>
  <si>
    <t>材料利用率</t>
  </si>
  <si>
    <t>焊接长度
（cm）</t>
  </si>
  <si>
    <r>
      <rPr>
        <sz val="14"/>
        <color theme="1"/>
        <rFont val="宋体"/>
        <charset val="134"/>
        <scheme val="minor"/>
      </rPr>
      <t>涂装面积
（m</t>
    </r>
    <r>
      <rPr>
        <vertAlign val="superscript"/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）</t>
    </r>
  </si>
  <si>
    <t>外购/ 自制</t>
  </si>
  <si>
    <t>供应商</t>
  </si>
  <si>
    <t>价格</t>
  </si>
  <si>
    <r>
      <rPr>
        <sz val="14"/>
        <color theme="1"/>
        <rFont val="宋体"/>
        <charset val="134"/>
      </rPr>
      <t>备注</t>
    </r>
  </si>
  <si>
    <t>用量</t>
  </si>
  <si>
    <t>长</t>
  </si>
  <si>
    <t>宽</t>
  </si>
  <si>
    <t>高</t>
  </si>
  <si>
    <t>——</t>
  </si>
  <si>
    <t>总成件</t>
  </si>
  <si>
    <t>A</t>
  </si>
  <si>
    <t>EA</t>
  </si>
  <si>
    <t>Y</t>
  </si>
  <si>
    <t>N</t>
  </si>
  <si>
    <t>装配总成件</t>
  </si>
  <si>
    <t>ASSY</t>
  </si>
  <si>
    <t>600*673*1209</t>
  </si>
  <si>
    <t>组装</t>
  </si>
  <si>
    <t>河北自制</t>
  </si>
  <si>
    <t>座椅组装车间</t>
  </si>
  <si>
    <t>600*673*1210</t>
  </si>
  <si>
    <t>SHT0011189</t>
  </si>
  <si>
    <t>驾驶员靠背总成</t>
  </si>
  <si>
    <t>装配分总成</t>
  </si>
  <si>
    <t>过程虚拟件</t>
  </si>
  <si>
    <t>551*235*858</t>
  </si>
  <si>
    <t>SHT0014070</t>
  </si>
  <si>
    <t>551*235*859</t>
  </si>
  <si>
    <t>SHT0011190</t>
  </si>
  <si>
    <t>SHT0013983</t>
  </si>
  <si>
    <t>SHT0013984</t>
  </si>
  <si>
    <t>H4</t>
  </si>
  <si>
    <t>SHT0000493</t>
  </si>
  <si>
    <t>H4681010091A0</t>
  </si>
  <si>
    <t>安全带外部罩壳</t>
  </si>
  <si>
    <t>黑色</t>
  </si>
  <si>
    <t>C</t>
  </si>
  <si>
    <t xml:space="preserve">N </t>
  </si>
  <si>
    <t>塑料件</t>
  </si>
  <si>
    <t>PA6</t>
  </si>
  <si>
    <t>19*99*76</t>
  </si>
  <si>
    <t>皮纹</t>
  </si>
  <si>
    <t>注塑</t>
  </si>
  <si>
    <t>4%损耗</t>
  </si>
  <si>
    <t>河北外购</t>
  </si>
  <si>
    <t>汇铭</t>
  </si>
  <si>
    <t>SHT0000496</t>
  </si>
  <si>
    <t>H4681010096A0</t>
  </si>
  <si>
    <t>安全带外部罩壳固定卡片</t>
  </si>
  <si>
    <t>冲压钣金</t>
  </si>
  <si>
    <t>65Mn
t=1</t>
  </si>
  <si>
    <t>GB/T 1222</t>
  </si>
  <si>
    <t>88*9*50</t>
  </si>
  <si>
    <t>电泳</t>
  </si>
  <si>
    <t>冲压</t>
  </si>
  <si>
    <t>1</t>
  </si>
  <si>
    <t>鑫祺</t>
  </si>
  <si>
    <t>BFA0000005</t>
  </si>
  <si>
    <t>H4681010095A0</t>
  </si>
  <si>
    <t>抽芯拉铆钉</t>
  </si>
  <si>
    <t>固定安全带外部罩壳固定钣金和白铝标牌</t>
  </si>
  <si>
    <t>标准件</t>
  </si>
  <si>
    <t xml:space="preserve">铝 </t>
  </si>
  <si>
    <t>Φ3.2*7</t>
  </si>
  <si>
    <t>北京三浦</t>
  </si>
  <si>
    <t>SHT0000494</t>
  </si>
  <si>
    <t xml:space="preserve">H4681010800A0 </t>
  </si>
  <si>
    <t>安全带总成</t>
  </si>
  <si>
    <t>包含卷收器、锁扣及螺栓</t>
  </si>
  <si>
    <t>安全件</t>
  </si>
  <si>
    <t>GB 14166</t>
  </si>
  <si>
    <t>浙江松原</t>
  </si>
  <si>
    <t>BFA0000287</t>
  </si>
  <si>
    <t>V3安全带螺栓</t>
  </si>
  <si>
    <t>浙江松原汽车安全系统股份有限公司</t>
  </si>
  <si>
    <t>新开</t>
  </si>
  <si>
    <t>SHT0013900</t>
  </si>
  <si>
    <t>驾驶员靠背泡沫总成（通风）</t>
  </si>
  <si>
    <t>563*180*844</t>
  </si>
  <si>
    <t>发泡</t>
  </si>
  <si>
    <t>发泡车间</t>
  </si>
  <si>
    <t>SHT0013908</t>
  </si>
  <si>
    <t>驾驶员靠背泡沫总成（非通风）</t>
  </si>
  <si>
    <t>SHT0013910</t>
  </si>
  <si>
    <t>驾驶员靠背泡沫本体（通风）</t>
  </si>
  <si>
    <t>虚拟件</t>
  </si>
  <si>
    <t>聚氨酯</t>
  </si>
  <si>
    <t>8%损耗</t>
  </si>
  <si>
    <t>SHT0013909</t>
  </si>
  <si>
    <t>驾驶员靠背泡沫本体（非通风）</t>
  </si>
  <si>
    <t>SHT0011065</t>
  </si>
  <si>
    <t>预埋钢丝A</t>
  </si>
  <si>
    <t>预埋在泡沫里</t>
  </si>
  <si>
    <t>钢丝</t>
  </si>
  <si>
    <t>60#</t>
  </si>
  <si>
    <t>GB/T699</t>
  </si>
  <si>
    <t>7.9*328*103</t>
  </si>
  <si>
    <t>折弯</t>
  </si>
  <si>
    <t>SHT0011066</t>
  </si>
  <si>
    <t>预埋钢丝B</t>
  </si>
  <si>
    <t>15*311*98</t>
  </si>
  <si>
    <t>SHT0011067</t>
  </si>
  <si>
    <t>预埋钢丝C</t>
  </si>
  <si>
    <t>3*268*9</t>
  </si>
  <si>
    <t>SHT0011068</t>
  </si>
  <si>
    <t>预埋钢丝D</t>
  </si>
  <si>
    <t>50*76*423</t>
  </si>
  <si>
    <t>SHT0011069</t>
  </si>
  <si>
    <t>预埋钢丝E</t>
  </si>
  <si>
    <t>51*76*423</t>
  </si>
  <si>
    <t>SHT0000800</t>
  </si>
  <si>
    <t>H4681010024A0</t>
  </si>
  <si>
    <t>安全带固定钣金</t>
  </si>
  <si>
    <t>钣金件</t>
  </si>
  <si>
    <t>65Mn
t=1.0</t>
  </si>
  <si>
    <t>54.5*99.6*100</t>
  </si>
  <si>
    <t>SHT0014176</t>
  </si>
  <si>
    <t>35mm刺毛条</t>
  </si>
  <si>
    <t>上海新梦顶</t>
  </si>
  <si>
    <t>BFA0000001</t>
  </si>
  <si>
    <t>GHRC000001</t>
  </si>
  <si>
    <t>C型钉</t>
  </si>
  <si>
    <t>固定面套</t>
  </si>
  <si>
    <t>SHT0011193</t>
  </si>
  <si>
    <t>驾驶员靠背面套总成</t>
  </si>
  <si>
    <t>缝纫总成</t>
  </si>
  <si>
    <t>560*233*858</t>
  </si>
  <si>
    <t>缝纫</t>
  </si>
  <si>
    <t>缝纫车间</t>
  </si>
  <si>
    <t>SHT0014071</t>
  </si>
  <si>
    <t>560*233*859</t>
  </si>
  <si>
    <t>SHT0011194</t>
  </si>
  <si>
    <t>SHT0014344</t>
  </si>
  <si>
    <t>驾驶员靠背骨架装配总成</t>
  </si>
  <si>
    <t>骨架组装车间</t>
  </si>
  <si>
    <t>SHT0002728</t>
  </si>
  <si>
    <t>扶手支架总成电泳</t>
  </si>
  <si>
    <t>SHT0014179</t>
  </si>
  <si>
    <t>焊接总成件</t>
  </si>
  <si>
    <t>98*90*77.5</t>
  </si>
  <si>
    <t>电泳车间</t>
  </si>
  <si>
    <t>T5</t>
  </si>
  <si>
    <t>扶手支架总成</t>
  </si>
  <si>
    <t>左右共用</t>
  </si>
  <si>
    <t>焊接</t>
  </si>
  <si>
    <t>焊接车间</t>
  </si>
  <si>
    <t>H6</t>
  </si>
  <si>
    <t>SHT0011364</t>
  </si>
  <si>
    <t>扶手转轴</t>
  </si>
  <si>
    <t>SHT0013120</t>
  </si>
  <si>
    <t>轴类</t>
  </si>
  <si>
    <t>35#φ26</t>
  </si>
  <si>
    <t>φ30*64</t>
  </si>
  <si>
    <t>机加</t>
  </si>
  <si>
    <t>沧州智凯金属制品有限公司</t>
  </si>
  <si>
    <t>SHT0011362</t>
  </si>
  <si>
    <t>H6扶手支架</t>
  </si>
  <si>
    <t>SPFH590   t=3.0</t>
  </si>
  <si>
    <t>97*20*85</t>
  </si>
  <si>
    <t>3</t>
  </si>
  <si>
    <t>荣威（模具未转移）</t>
  </si>
  <si>
    <t>BFA0010027</t>
  </si>
  <si>
    <t>内六角圆柱头螺钉</t>
  </si>
  <si>
    <t>固定扶手</t>
  </si>
  <si>
    <t>13*13*28</t>
  </si>
  <si>
    <t>上锐（常州）供应链管理有限公司</t>
  </si>
  <si>
    <t>SHT0013940</t>
  </si>
  <si>
    <t>驾驶员靠背焊接总成</t>
  </si>
  <si>
    <t>右扶手</t>
  </si>
  <si>
    <t>B</t>
  </si>
  <si>
    <t>508*151*811</t>
  </si>
  <si>
    <t>SHT0001927</t>
  </si>
  <si>
    <t>H5-6802108</t>
  </si>
  <si>
    <t>头枕主体管</t>
  </si>
  <si>
    <t>管件</t>
  </si>
  <si>
    <t>Q195  
Φ25×1.5</t>
  </si>
  <si>
    <t>307*21*145</t>
  </si>
  <si>
    <t>弯管</t>
  </si>
  <si>
    <t>弯管车间</t>
  </si>
  <si>
    <t>SHT0001937</t>
  </si>
  <si>
    <t>H4A-6802106</t>
  </si>
  <si>
    <t>头枕横衬板</t>
  </si>
  <si>
    <t>钣条</t>
  </si>
  <si>
    <t>Q235 t=2.0</t>
  </si>
  <si>
    <t>275*2*10</t>
  </si>
  <si>
    <t>2</t>
  </si>
  <si>
    <t>冲压车间</t>
  </si>
  <si>
    <t>SHT0001938</t>
  </si>
  <si>
    <t>H4A-6802107</t>
  </si>
  <si>
    <t>头枕竖衬板</t>
  </si>
  <si>
    <t>10*4*148</t>
  </si>
  <si>
    <t>SHT0001928</t>
  </si>
  <si>
    <t>H5-6802114</t>
  </si>
  <si>
    <t>靠背钢管上横骨架</t>
  </si>
  <si>
    <t>钢管Q235</t>
  </si>
  <si>
    <t>358*25*33</t>
  </si>
  <si>
    <t>SHT0001940</t>
  </si>
  <si>
    <t>H5-6802137</t>
  </si>
  <si>
    <t>靠背支撑板条</t>
  </si>
  <si>
    <t>38*15*276</t>
  </si>
  <si>
    <t>SHT0010671</t>
  </si>
  <si>
    <t>扶手支架焊接组件</t>
  </si>
  <si>
    <t>焊接分总成</t>
  </si>
  <si>
    <t>152*20*59</t>
  </si>
  <si>
    <t>再兴</t>
  </si>
  <si>
    <t>SHT0010632</t>
  </si>
  <si>
    <t>扶手支架</t>
  </si>
  <si>
    <t>Q235 
 t=3</t>
  </si>
  <si>
    <t>冲压件</t>
  </si>
  <si>
    <t>Q370C08</t>
  </si>
  <si>
    <t>扶手支架螺母</t>
  </si>
  <si>
    <t>M10</t>
  </si>
  <si>
    <t>SHT0001954</t>
  </si>
  <si>
    <t>SQX3000-6802113</t>
  </si>
  <si>
    <t>腰脱固定框线</t>
  </si>
  <si>
    <t>线材</t>
  </si>
  <si>
    <t>φ6*264</t>
  </si>
  <si>
    <t>海兴中盛</t>
  </si>
  <si>
    <t>SHT0002532</t>
  </si>
  <si>
    <t>H5-6802125</t>
  </si>
  <si>
    <t>侧翼支撑下安装钢丝</t>
  </si>
  <si>
    <t>172*45*29</t>
  </si>
  <si>
    <t>SHT0012971</t>
  </si>
  <si>
    <t>安全带上悬置固定板总成</t>
  </si>
  <si>
    <t>焊接件</t>
  </si>
  <si>
    <t>195*32*150</t>
  </si>
  <si>
    <t>新强力</t>
  </si>
  <si>
    <t>H4B-6805326</t>
  </si>
  <si>
    <t>7_16螺母</t>
  </si>
  <si>
    <t>7/16</t>
  </si>
  <si>
    <t>9*17*17</t>
  </si>
  <si>
    <t>SHT0012969</t>
  </si>
  <si>
    <t>安全带上悬置固定板</t>
  </si>
  <si>
    <t>SHT0012383</t>
  </si>
  <si>
    <t>左侧主板焊接组件</t>
  </si>
  <si>
    <t>174*42*358</t>
  </si>
  <si>
    <t>SHT0001934</t>
  </si>
  <si>
    <t>H5-6802109</t>
  </si>
  <si>
    <t>靠背左侧主钣总成</t>
  </si>
  <si>
    <t>SPFH590   t=2.0</t>
  </si>
  <si>
    <t>358*30*147</t>
  </si>
  <si>
    <t>成卓</t>
  </si>
  <si>
    <t>H5-6802110</t>
  </si>
  <si>
    <t>靠背左侧主钣</t>
  </si>
  <si>
    <t>Q370C10</t>
  </si>
  <si>
    <t>焊接六角螺母</t>
  </si>
  <si>
    <t>19*17*8</t>
  </si>
  <si>
    <t>SHT0001935</t>
  </si>
  <si>
    <t>H5-6802124</t>
  </si>
  <si>
    <t>侧翼支撑上安装钢丝</t>
  </si>
  <si>
    <t>∅8-Q235</t>
  </si>
  <si>
    <t>194*118*39</t>
  </si>
  <si>
    <t>SHT0012384</t>
  </si>
  <si>
    <t>右侧主板焊接组件</t>
  </si>
  <si>
    <t>SHT0001936</t>
  </si>
  <si>
    <t>H5-6802111</t>
  </si>
  <si>
    <t>靠背右侧主钣总成</t>
  </si>
  <si>
    <t>H5-6802112</t>
  </si>
  <si>
    <t>靠背右侧主钣</t>
  </si>
  <si>
    <t>SHT0012970</t>
  </si>
  <si>
    <t>靠背钢管骨架</t>
  </si>
  <si>
    <t>Q195  
Φ25×2.0</t>
  </si>
  <si>
    <t>505*107*576</t>
  </si>
  <si>
    <t>SHT0002732</t>
  </si>
  <si>
    <t>驾驶员上安全带导向钢丝电泳</t>
  </si>
  <si>
    <t>圆钢Q235</t>
  </si>
  <si>
    <t>452*24*76</t>
  </si>
  <si>
    <t>SHT0013855</t>
  </si>
  <si>
    <t>驾驶员上安全带导向钢丝</t>
  </si>
  <si>
    <t>SHT0002737</t>
  </si>
  <si>
    <t>驾驶员中间安全带导向钢丝电泳</t>
  </si>
  <si>
    <t>∅6-Q235</t>
  </si>
  <si>
    <t>286*71*89</t>
  </si>
  <si>
    <t>SHT0013856</t>
  </si>
  <si>
    <t>驾驶员中间安全带导向钢丝</t>
  </si>
  <si>
    <t>SHT0002730</t>
  </si>
  <si>
    <t>驾驶员下安全带导向钢丝电泳</t>
  </si>
  <si>
    <t>SHT0013857</t>
  </si>
  <si>
    <t>驾驶员下安全带导向钢丝</t>
  </si>
  <si>
    <t>SHT0001933</t>
  </si>
  <si>
    <t>H5-6802115</t>
  </si>
  <si>
    <t>靠背钢管下横骨架</t>
  </si>
  <si>
    <t>Q235</t>
  </si>
  <si>
    <t>φ25*2</t>
  </si>
  <si>
    <t>SHT0001953</t>
  </si>
  <si>
    <t>D04-6802106</t>
  </si>
  <si>
    <t>腰托固定横衬条</t>
  </si>
  <si>
    <t>265*15*5</t>
  </si>
  <si>
    <t>SHT0012218</t>
  </si>
  <si>
    <t>主驾驶靠背四气袋腰托总成</t>
  </si>
  <si>
    <t>在H6基础上更改气管长度</t>
  </si>
  <si>
    <t>150*235*217</t>
  </si>
  <si>
    <t>北京美好</t>
  </si>
  <si>
    <t>SHT0011091</t>
  </si>
  <si>
    <t>靠背3D网格上</t>
  </si>
  <si>
    <t>泡沫</t>
  </si>
  <si>
    <t>SHT0011090</t>
  </si>
  <si>
    <t>SHT0011316</t>
  </si>
  <si>
    <r>
      <rPr>
        <sz val="14"/>
        <rFont val="宋体"/>
        <charset val="134"/>
      </rPr>
      <t>靠背</t>
    </r>
    <r>
      <rPr>
        <sz val="14"/>
        <rFont val="Arial"/>
        <charset val="134"/>
      </rPr>
      <t>3D</t>
    </r>
    <r>
      <rPr>
        <sz val="14"/>
        <rFont val="宋体"/>
        <charset val="134"/>
      </rPr>
      <t>网格下</t>
    </r>
  </si>
  <si>
    <t>SHT0014177</t>
  </si>
  <si>
    <t>靠背舒适性海绵</t>
  </si>
  <si>
    <t>天津琪安</t>
  </si>
  <si>
    <t>BEC0010039</t>
  </si>
  <si>
    <t>通风加热控制器ECU</t>
  </si>
  <si>
    <t>电器件</t>
  </si>
  <si>
    <t>80*47*38</t>
  </si>
  <si>
    <t>安路普</t>
  </si>
  <si>
    <t>BEC0010040</t>
  </si>
  <si>
    <t>靠背风扇总成</t>
  </si>
  <si>
    <t>两个风扇加线束</t>
  </si>
  <si>
    <t>BEC0010017</t>
  </si>
  <si>
    <t>风扇保护壳</t>
  </si>
  <si>
    <t>ea</t>
  </si>
  <si>
    <t>ABS</t>
  </si>
  <si>
    <t>78*78*21.5</t>
  </si>
  <si>
    <t>瑞隆祥</t>
  </si>
  <si>
    <t>BEC0010184</t>
  </si>
  <si>
    <t>靠背加热垫总成</t>
  </si>
  <si>
    <t>SHT0011613</t>
  </si>
  <si>
    <t>右侧扶手本体总成</t>
  </si>
  <si>
    <t>378*64*89</t>
  </si>
  <si>
    <t>后视镜组装车间</t>
  </si>
  <si>
    <t>BFA0010014</t>
  </si>
  <si>
    <t>扶手锁止销</t>
  </si>
  <si>
    <t>冷镦件</t>
  </si>
  <si>
    <t>65Mn</t>
  </si>
  <si>
    <t>14*14*43（M14）</t>
  </si>
  <si>
    <t>冷镦</t>
  </si>
  <si>
    <t>瑞安市精艺标准件有限公司/沧州旭兴五金制造有限公司</t>
  </si>
  <si>
    <t>SHT0011330</t>
  </si>
  <si>
    <r>
      <rPr>
        <sz val="14"/>
        <color theme="1"/>
        <rFont val="宋体"/>
        <charset val="134"/>
      </rPr>
      <t>SHT0011330</t>
    </r>
  </si>
  <si>
    <t>扶手外盖</t>
  </si>
  <si>
    <t>PA6+GF30</t>
  </si>
  <si>
    <t>88*32*44</t>
  </si>
  <si>
    <t>注塑车间</t>
  </si>
  <si>
    <t>SHT0013980</t>
  </si>
  <si>
    <t>调角器总成</t>
  </si>
  <si>
    <t xml:space="preserve">Y </t>
  </si>
  <si>
    <t>SHT0014025</t>
  </si>
  <si>
    <t>主边调角器总成</t>
  </si>
  <si>
    <t>SHT0001053</t>
  </si>
  <si>
    <t>H4G-6805106</t>
  </si>
  <si>
    <t>左圆盘</t>
  </si>
  <si>
    <t>S3U</t>
  </si>
  <si>
    <t>核心件</t>
  </si>
  <si>
    <t>φ82*20</t>
  </si>
  <si>
    <t>佛吉亚</t>
  </si>
  <si>
    <t>SHT0001552</t>
  </si>
  <si>
    <t>调角器左下连接板组件电泳</t>
  </si>
  <si>
    <t>SHT0001387</t>
  </si>
  <si>
    <t>调角器左下连接板组件</t>
  </si>
  <si>
    <t>黄骅市成卓汽车部件厂</t>
  </si>
  <si>
    <t>H4B-6805101</t>
  </si>
  <si>
    <t>调角器左下连接板</t>
  </si>
  <si>
    <t>t=3.0</t>
  </si>
  <si>
    <t>SPFH590
t=3.0</t>
  </si>
  <si>
    <t>141*133*26</t>
  </si>
  <si>
    <t>H4B-6805115</t>
  </si>
  <si>
    <t>涡簧左固定片</t>
  </si>
  <si>
    <t>t=3</t>
  </si>
  <si>
    <t>Q235
t=3.0</t>
  </si>
  <si>
    <t>33*38*15</t>
  </si>
  <si>
    <t>H4B-6805110</t>
  </si>
  <si>
    <t>塑料件固定片</t>
  </si>
  <si>
    <t>t=2</t>
  </si>
  <si>
    <t>Q235
t=2.0</t>
  </si>
  <si>
    <t>24*12*17</t>
  </si>
  <si>
    <t>SHT0001553</t>
  </si>
  <si>
    <t>调角器左上连接板组件电泳</t>
  </si>
  <si>
    <t>SHT001388</t>
  </si>
  <si>
    <t>调角器左上连接板组件</t>
  </si>
  <si>
    <t>H4B-6805103</t>
  </si>
  <si>
    <t>调角器左上连接板</t>
  </si>
  <si>
    <t>132*96*8</t>
  </si>
  <si>
    <t>B40 6805 215</t>
  </si>
  <si>
    <t>涡簧固定座</t>
  </si>
  <si>
    <t>50*18*30</t>
  </si>
  <si>
    <t>H4A-6805104</t>
  </si>
  <si>
    <t>角度限位片</t>
  </si>
  <si>
    <t>49*18*23</t>
  </si>
  <si>
    <t>SHT0002660</t>
  </si>
  <si>
    <t>调角器解锁把手</t>
  </si>
  <si>
    <t>t=2.5</t>
  </si>
  <si>
    <t>SPFH590
t=2.5</t>
  </si>
  <si>
    <t>57*20*63</t>
  </si>
  <si>
    <t>汕德卡</t>
  </si>
  <si>
    <t>SHT0011978</t>
  </si>
  <si>
    <t>正大</t>
  </si>
  <si>
    <t>SHT0001073</t>
  </si>
  <si>
    <t>H4B-6805111</t>
  </si>
  <si>
    <t>连动杆</t>
  </si>
  <si>
    <t>Φ10x1.0</t>
  </si>
  <si>
    <t>管材件</t>
  </si>
  <si>
    <t>E235+CR1</t>
  </si>
  <si>
    <t>SHT0001005</t>
  </si>
  <si>
    <t>H4B-6805108</t>
  </si>
  <si>
    <t>涡簧</t>
  </si>
  <si>
    <t>t=4.0</t>
  </si>
  <si>
    <t>弹簧件</t>
  </si>
  <si>
    <t>皂化</t>
  </si>
  <si>
    <t>江苏万金汽车零部件制造有限公司</t>
  </si>
  <si>
    <t>H4A-6805118</t>
  </si>
  <si>
    <t>副边调角器总成</t>
  </si>
  <si>
    <t>SHT0001948</t>
  </si>
  <si>
    <t>SQX3000-6805114</t>
  </si>
  <si>
    <t>右圆盘</t>
  </si>
  <si>
    <t>SHT0001554</t>
  </si>
  <si>
    <t>调角器右下连接板组件电泳</t>
  </si>
  <si>
    <t>SHT0001389</t>
  </si>
  <si>
    <t>调角器右下连接板组件</t>
  </si>
  <si>
    <t>H4B-6805102</t>
  </si>
  <si>
    <t>调角器右下连接板</t>
  </si>
  <si>
    <t>H4B-6805114</t>
  </si>
  <si>
    <t>涡簧右固定片</t>
  </si>
  <si>
    <t>塑料件固定钣金</t>
  </si>
  <si>
    <t>SHT0001555</t>
  </si>
  <si>
    <t>调角器右上连接板组件电泳</t>
  </si>
  <si>
    <t>SHT0001390</t>
  </si>
  <si>
    <t>调角器右上连接板组件</t>
  </si>
  <si>
    <t>H4B-6805104</t>
  </si>
  <si>
    <t>调角器右上连接板</t>
  </si>
  <si>
    <t>SHT0002054</t>
  </si>
  <si>
    <t>SQX3000-6805112</t>
  </si>
  <si>
    <t>主驾驶星盘塑料件</t>
  </si>
  <si>
    <t xml:space="preserve">A </t>
  </si>
  <si>
    <t>Q01</t>
  </si>
  <si>
    <t>注塑件</t>
  </si>
  <si>
    <t>18*14*14</t>
  </si>
  <si>
    <t>t=4</t>
  </si>
  <si>
    <t>BFA0000011</t>
  </si>
  <si>
    <t>Q150B1025Q</t>
  </si>
  <si>
    <t>六角头螺栓</t>
  </si>
  <si>
    <t>调角器固定</t>
  </si>
  <si>
    <t>18*31*17</t>
  </si>
  <si>
    <t>北京三浦/苏州苏宁标准件有限公司</t>
  </si>
  <si>
    <t>8</t>
  </si>
  <si>
    <t>BFA0000006</t>
  </si>
  <si>
    <t>Q40110</t>
  </si>
  <si>
    <t>平垫圈</t>
  </si>
  <si>
    <t>20*2*20</t>
  </si>
  <si>
    <t>BFA0000009</t>
  </si>
  <si>
    <t>Q40310</t>
  </si>
  <si>
    <t>弹垫圈</t>
  </si>
  <si>
    <t>20*3*20</t>
  </si>
  <si>
    <t>SHT0011201</t>
  </si>
  <si>
    <t>驾驶员坐垫总成</t>
  </si>
  <si>
    <t>501*529*141</t>
  </si>
  <si>
    <t>SHT0014072</t>
  </si>
  <si>
    <t>501*529*142</t>
  </si>
  <si>
    <t>SHT0011202</t>
  </si>
  <si>
    <t>SHT0011205</t>
  </si>
  <si>
    <t>坐垫面套总成(通风）</t>
  </si>
  <si>
    <t>SHT0014096</t>
  </si>
  <si>
    <t>坐垫面套总成（非通风）</t>
  </si>
  <si>
    <t>SHT0011206</t>
  </si>
  <si>
    <t>SHT0013899</t>
  </si>
  <si>
    <t>通风坐垫泡沫总成</t>
  </si>
  <si>
    <t>SHT0011281</t>
  </si>
  <si>
    <t>非通风坐垫泡沫总成</t>
  </si>
  <si>
    <t>SHT0013917</t>
  </si>
  <si>
    <t>通风坐垫泡沫本体</t>
  </si>
  <si>
    <t>496*525*148</t>
  </si>
  <si>
    <t>SHT0011300</t>
  </si>
  <si>
    <t>非通风坐垫泡沫本体</t>
  </si>
  <si>
    <t>SHT0011070</t>
  </si>
  <si>
    <t>坐垫预埋钢丝A</t>
  </si>
  <si>
    <t>20#</t>
  </si>
  <si>
    <t>258.7*9*2.5</t>
  </si>
  <si>
    <t>SHT0011071</t>
  </si>
  <si>
    <t>坐垫预埋钢丝B</t>
  </si>
  <si>
    <t>370.4*3.7*25</t>
  </si>
  <si>
    <t>SHT0011603</t>
  </si>
  <si>
    <t>坐垫预埋钢丝C</t>
  </si>
  <si>
    <t>418.8*95.23.6</t>
  </si>
  <si>
    <t>SHT0011604</t>
  </si>
  <si>
    <t>坐垫预埋钢丝D</t>
  </si>
  <si>
    <t>418.8*95*23.6</t>
  </si>
  <si>
    <t>沧州崇文晟源机械制造有限公司/天津金庄新材料科技有限公司</t>
  </si>
  <si>
    <t>X3000</t>
  </si>
  <si>
    <t>SHT0001651</t>
  </si>
  <si>
    <t>SQX3000-6801100</t>
  </si>
  <si>
    <t>坐盆总成</t>
  </si>
  <si>
    <t>带座盆延伸</t>
  </si>
  <si>
    <t>420*478*75</t>
  </si>
  <si>
    <t>黄骅长生</t>
  </si>
  <si>
    <t>SQX3000-6801102</t>
  </si>
  <si>
    <t>加强板</t>
  </si>
  <si>
    <t>80*65*1</t>
  </si>
  <si>
    <t>H5-6801404</t>
  </si>
  <si>
    <t>铆钉</t>
  </si>
  <si>
    <t>15*15*11</t>
  </si>
  <si>
    <t>SQX3000-6801103</t>
  </si>
  <si>
    <t>弹簧板</t>
  </si>
  <si>
    <t>229*55*52</t>
  </si>
  <si>
    <t>SQX3000-6801101</t>
  </si>
  <si>
    <t>2.0通风座盆本体</t>
  </si>
  <si>
    <t>DC01</t>
  </si>
  <si>
    <t>420*466*44</t>
  </si>
  <si>
    <t>坐垫3D网格</t>
  </si>
  <si>
    <t>L5000</t>
  </si>
  <si>
    <t>BEC0010159</t>
  </si>
  <si>
    <t>坐垫风扇总成</t>
  </si>
  <si>
    <t>三个风扇加线束</t>
  </si>
  <si>
    <t>BEC0010160</t>
  </si>
  <si>
    <t>坐垫加热垫总成</t>
  </si>
  <si>
    <t>405*210*2</t>
  </si>
  <si>
    <t>BEC0010050</t>
  </si>
  <si>
    <t>通风加热开关</t>
  </si>
  <si>
    <t>26*26*36</t>
  </si>
  <si>
    <t>BEC0010161</t>
  </si>
  <si>
    <t>通风加热线束</t>
  </si>
  <si>
    <t>SHT0013976</t>
  </si>
  <si>
    <t>底座模块化总成</t>
  </si>
  <si>
    <t>分总成</t>
  </si>
  <si>
    <t>SQX3000-6805200</t>
  </si>
  <si>
    <t>480*419*148</t>
  </si>
  <si>
    <t>金属件组装车间</t>
  </si>
  <si>
    <t>P22</t>
  </si>
  <si>
    <t>SHT0012958</t>
  </si>
  <si>
    <t>阻尼器调节机构</t>
  </si>
  <si>
    <t>SQX3000-6806700</t>
  </si>
  <si>
    <t>60*74*34</t>
  </si>
  <si>
    <t>SHT0010520</t>
  </si>
  <si>
    <t>变阻尼弹簧</t>
  </si>
  <si>
    <t>弹簧钢</t>
  </si>
  <si>
    <t>Φ=0.7-GB/T342
65Mn-GB/T4357</t>
  </si>
  <si>
    <t>GB/T342
GB/T4357</t>
  </si>
  <si>
    <t>8*8*31</t>
  </si>
  <si>
    <t>海兴弹簧</t>
  </si>
  <si>
    <t>BFA0010076</t>
  </si>
  <si>
    <t>圆头割尾自攻钉</t>
  </si>
  <si>
    <t>固定可变阻尼</t>
  </si>
  <si>
    <t>ST4.8*13镀黑锌</t>
  </si>
  <si>
    <t>SHT0001653</t>
  </si>
  <si>
    <t xml:space="preserve">H5-6806004 </t>
  </si>
  <si>
    <t>延伸手柄</t>
  </si>
  <si>
    <t>SHT0010526</t>
  </si>
  <si>
    <t>26*126.5*23</t>
  </si>
  <si>
    <t>BFA0000285</t>
  </si>
  <si>
    <t>Q43640</t>
  </si>
  <si>
    <t>开口挡圈</t>
  </si>
  <si>
    <t>上锐/三浦</t>
  </si>
  <si>
    <t>SHT0011971</t>
  </si>
  <si>
    <t>调角器左罩壳</t>
  </si>
  <si>
    <t>PP-T30</t>
  </si>
  <si>
    <t>558*129*231</t>
  </si>
  <si>
    <t>SHT0011972</t>
  </si>
  <si>
    <t>左侧罩壳（带气动腰托加热通风）</t>
  </si>
  <si>
    <t>SHT0011961</t>
  </si>
  <si>
    <t>调角器右罩壳</t>
  </si>
  <si>
    <t>556.4*97*247</t>
  </si>
  <si>
    <t>SHT0011962</t>
  </si>
  <si>
    <t>座垫前部罩壳</t>
  </si>
  <si>
    <t>56*328*77</t>
  </si>
  <si>
    <t>SHT0011963</t>
  </si>
  <si>
    <t>后部罩壳</t>
  </si>
  <si>
    <t>77*361*110</t>
  </si>
  <si>
    <t>SHT0011967</t>
  </si>
  <si>
    <t>仰角手柄</t>
  </si>
  <si>
    <t>PC+ABS</t>
  </si>
  <si>
    <t>121*34*75</t>
  </si>
  <si>
    <t>黄骅隆润</t>
  </si>
  <si>
    <t>SHT0011964</t>
  </si>
  <si>
    <t>调角器手柄</t>
  </si>
  <si>
    <t>122*38*127</t>
  </si>
  <si>
    <t>SHT0011977</t>
  </si>
  <si>
    <t>通风加热底座</t>
  </si>
  <si>
    <t>PP</t>
  </si>
  <si>
    <t>105*40*66.5</t>
  </si>
  <si>
    <t>SHT0013272</t>
  </si>
  <si>
    <t>升降调节机构总成</t>
  </si>
  <si>
    <t>BPC0010177</t>
  </si>
  <si>
    <t>速降调节机构总成</t>
  </si>
  <si>
    <t>87×35×44</t>
  </si>
  <si>
    <t>固定升降手柄</t>
  </si>
  <si>
    <t>4.8*16</t>
  </si>
  <si>
    <t>SHT0011481</t>
  </si>
  <si>
    <t>司机六孔腰托开关总成</t>
  </si>
  <si>
    <t>BFA0010038</t>
  </si>
  <si>
    <t>内梅花盘头自攻螺钉（尾端平头）</t>
  </si>
  <si>
    <t>固定腰托开关</t>
  </si>
  <si>
    <t>ST4.2*12
K50*12</t>
  </si>
  <si>
    <t>黑锌</t>
  </si>
  <si>
    <t>BCL0010006</t>
  </si>
  <si>
    <t>气管卡扣</t>
  </si>
  <si>
    <t>固定线束</t>
  </si>
  <si>
    <t>北京瑞隆祥模具有限公司</t>
  </si>
  <si>
    <t>BCL0010010</t>
  </si>
  <si>
    <t>四管夹</t>
  </si>
  <si>
    <t>SHT0013907</t>
  </si>
  <si>
    <t>防爆波纹管</t>
  </si>
  <si>
    <t>包裹上下横骨架</t>
  </si>
  <si>
    <t>内径20*80</t>
  </si>
  <si>
    <t>河北宏广</t>
  </si>
  <si>
    <t>BCL0010014</t>
  </si>
  <si>
    <t>包装线束φ13的</t>
  </si>
  <si>
    <t>φ13*350</t>
  </si>
  <si>
    <t>BPC0010012</t>
  </si>
  <si>
    <t>管箍</t>
  </si>
  <si>
    <t>连接气管</t>
  </si>
  <si>
    <t>φ4</t>
  </si>
  <si>
    <t>H5</t>
  </si>
  <si>
    <t>BFA0000013</t>
  </si>
  <si>
    <t>Q2204213</t>
  </si>
  <si>
    <t>大扁头盘头自攻钉</t>
  </si>
  <si>
    <t>固定罩壳</t>
  </si>
  <si>
    <t>ST4.2*13</t>
  </si>
  <si>
    <t>GB/T9074.18-1988</t>
  </si>
  <si>
    <t>BEC0010190</t>
  </si>
  <si>
    <t>安全带插锁线延长线</t>
  </si>
  <si>
    <t>锁扣转接线</t>
  </si>
  <si>
    <t>华夏电子</t>
  </si>
  <si>
    <t>BFA0000004</t>
  </si>
  <si>
    <t>H4G-6802112</t>
  </si>
  <si>
    <t>扎带</t>
  </si>
  <si>
    <t>黄骅俊龙包装</t>
  </si>
  <si>
    <t>15</t>
  </si>
  <si>
    <t>SHT0000495</t>
  </si>
  <si>
    <t>靠背塑料包装套</t>
  </si>
  <si>
    <t>PE</t>
  </si>
  <si>
    <t>黄骅建昌</t>
  </si>
  <si>
    <t>SHT0000501</t>
  </si>
  <si>
    <t>坐垫塑料包装套</t>
  </si>
  <si>
    <t>SHT0014013</t>
  </si>
  <si>
    <t>装车接头</t>
  </si>
  <si>
    <t>客户零件号H435600004676</t>
  </si>
  <si>
    <t>SHT0000510</t>
  </si>
  <si>
    <t>白铝标牌</t>
  </si>
  <si>
    <t>黄骅市汇铭汽车部件有限公司</t>
  </si>
  <si>
    <t>SHT0000778</t>
  </si>
  <si>
    <t>H4681010099A0</t>
  </si>
  <si>
    <t>驾驶员座椅后端固定支座</t>
  </si>
  <si>
    <t>黄骅市正大纺织机械配件厂</t>
  </si>
  <si>
    <t>设计:</t>
  </si>
  <si>
    <t>H4-2.2副驾驶员座椅总成</t>
  </si>
  <si>
    <t>H468100000046</t>
  </si>
  <si>
    <t>H468100000062</t>
  </si>
  <si>
    <t>SHT0014024</t>
  </si>
  <si>
    <t>SHT0014073</t>
  </si>
  <si>
    <t>副驾驶员座椅总成</t>
  </si>
  <si>
    <t xml:space="preserve">批准: </t>
  </si>
  <si>
    <t>版本：01</t>
  </si>
  <si>
    <t>中文名称</t>
  </si>
  <si>
    <t>零件描述</t>
  </si>
  <si>
    <t>图纸号</t>
  </si>
  <si>
    <t>图纸版本</t>
  </si>
  <si>
    <t>沿用件            Y/N</t>
  </si>
  <si>
    <t>零件类别</t>
  </si>
  <si>
    <t>设计重量
（Kg）</t>
  </si>
  <si>
    <r>
      <rPr>
        <sz val="11"/>
        <color theme="1"/>
        <rFont val="宋体"/>
        <charset val="134"/>
        <scheme val="minor"/>
      </rPr>
      <t>涂装面积
（m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</t>
    </r>
  </si>
  <si>
    <t>备注</t>
  </si>
  <si>
    <t>装配总成</t>
  </si>
  <si>
    <t>1202*667*570</t>
  </si>
  <si>
    <t>SHT0014015</t>
  </si>
  <si>
    <t>副司机座椅靠背总成</t>
  </si>
  <si>
    <t>260*560*900</t>
  </si>
  <si>
    <t>SHT0014076</t>
  </si>
  <si>
    <t>260*560*901</t>
  </si>
  <si>
    <t>0.001</t>
  </si>
  <si>
    <t>SHT0000536</t>
  </si>
  <si>
    <t>H4681020800A0</t>
  </si>
  <si>
    <t>三点式安全带总成</t>
  </si>
  <si>
    <t>采购核心件</t>
  </si>
  <si>
    <t>松源</t>
  </si>
  <si>
    <t>SHT0014026</t>
  </si>
  <si>
    <t>靠背护面总成</t>
  </si>
  <si>
    <t>SHT0014074</t>
  </si>
  <si>
    <t>SHT0011062</t>
  </si>
  <si>
    <t>靠背泡沫总成</t>
  </si>
  <si>
    <t>发泡总成</t>
  </si>
  <si>
    <t>SHT0011063</t>
  </si>
  <si>
    <t>副驾驶靠背泡沫本体</t>
  </si>
  <si>
    <t>SHT0000801</t>
  </si>
  <si>
    <t>H4681020024A0</t>
  </si>
  <si>
    <t>安全带固定片</t>
  </si>
  <si>
    <t>33*112*82</t>
  </si>
  <si>
    <t>黄骅市鑫祺汽车配件有限公司</t>
  </si>
  <si>
    <t>SHT0011512</t>
  </si>
  <si>
    <t>靠背泡沫预埋钢丝1</t>
  </si>
  <si>
    <t>⌀2-GB/T 342
20-GB/T 699</t>
  </si>
  <si>
    <t>Φ2.0×830</t>
  </si>
  <si>
    <t>靠背泡沫预埋钢丝2</t>
  </si>
  <si>
    <t>Φ2.0×250</t>
  </si>
  <si>
    <t>靠背泡沫预埋钢丝3</t>
  </si>
  <si>
    <t>21#</t>
  </si>
  <si>
    <t>⌀2-GB/T 342
20-GB/T 700</t>
  </si>
  <si>
    <t>87*60*15</t>
  </si>
  <si>
    <t>黄骅鑫祺</t>
  </si>
  <si>
    <t>拉铆钉</t>
  </si>
  <si>
    <t>铝</t>
  </si>
  <si>
    <t>SHT0010244</t>
  </si>
  <si>
    <t>靠背骨架焊接总成</t>
  </si>
  <si>
    <t>焊接总成</t>
  </si>
  <si>
    <t>813*505*150</t>
  </si>
  <si>
    <t>钢管</t>
  </si>
  <si>
    <t>钢管Q195
t=1.5</t>
  </si>
  <si>
    <t>⌀20×1.5-GB/T 13793
    Q195-GB/T 700</t>
  </si>
  <si>
    <t>钢板Q235
15*2.0</t>
  </si>
  <si>
    <t>2-GB/T 708
Q235-GB/T 700</t>
  </si>
  <si>
    <t>SHT0012974</t>
  </si>
  <si>
    <t>副驾驶安全带上悬置固定板总成</t>
  </si>
  <si>
    <t>H5-6902150</t>
  </si>
  <si>
    <t>SHT0012973</t>
  </si>
  <si>
    <t>副驾驶安全带上悬置安装板</t>
  </si>
  <si>
    <t>H4681020431A0</t>
  </si>
  <si>
    <t>SAPH440</t>
  </si>
  <si>
    <t xml:space="preserve"> t=3.0</t>
  </si>
  <si>
    <t>Q/BQB301
Q/BQB310</t>
  </si>
  <si>
    <t>安全带7/16焊接螺母</t>
  </si>
  <si>
    <t>H4681010714A0</t>
  </si>
  <si>
    <t>SHT0012972</t>
  </si>
  <si>
    <t>H4A-6802108</t>
  </si>
  <si>
    <t>钢管Q235
φ25*2.0</t>
  </si>
  <si>
    <t>⌀25×2-GB/T 13793
    Q235-GB/T 700</t>
  </si>
  <si>
    <t>H4681010402A0</t>
  </si>
  <si>
    <t>Ø25×358</t>
  </si>
  <si>
    <t>SHT0002733</t>
  </si>
  <si>
    <t>副驾驶员上安全带导向钢丝电泳</t>
  </si>
  <si>
    <t>SHT0013858</t>
  </si>
  <si>
    <t>⌀6</t>
  </si>
  <si>
    <t>GB/T 700</t>
  </si>
  <si>
    <t>0.0587</t>
  </si>
  <si>
    <t>副驾驶员上安全带导向钢丝</t>
  </si>
  <si>
    <t>15*2.0*307</t>
  </si>
  <si>
    <t>靠背钢下管横骨架</t>
  </si>
  <si>
    <t>钢管Q235
Ø25*2.0</t>
  </si>
  <si>
    <t>Ø25×375×2.0</t>
  </si>
  <si>
    <t>金属件</t>
  </si>
  <si>
    <t>钢板Q235</t>
  </si>
  <si>
    <t>SHT0002255</t>
  </si>
  <si>
    <t>D04-6802105</t>
  </si>
  <si>
    <t>腰托固定框线</t>
  </si>
  <si>
    <t>Φ6</t>
  </si>
  <si>
    <t>SHT0002729</t>
  </si>
  <si>
    <t>副驾驶员中间安全带导向钢丝电泳</t>
  </si>
  <si>
    <t>SHT0013859</t>
  </si>
  <si>
    <t>⌀6 
GB/T 700</t>
  </si>
  <si>
    <t>91*71*285</t>
  </si>
  <si>
    <t>副驾驶员中间安全带导向钢丝</t>
  </si>
  <si>
    <t>左侧主板总成</t>
  </si>
  <si>
    <t xml:space="preserve">SPFH590  </t>
  </si>
  <si>
    <t xml:space="preserve"> t=2.0</t>
  </si>
  <si>
    <t>点焊螺母</t>
  </si>
  <si>
    <t>右主板总成</t>
  </si>
  <si>
    <t xml:space="preserve">SPFH590   </t>
  </si>
  <si>
    <t>t=2.0</t>
  </si>
  <si>
    <t>M10点焊螺母</t>
  </si>
  <si>
    <t>SHT0002731</t>
  </si>
  <si>
    <t>副驾驶员下安全带导向钢丝电泳</t>
  </si>
  <si>
    <t>SHT0013860</t>
  </si>
  <si>
    <t>⌀8</t>
  </si>
  <si>
    <t>SHT0001932</t>
  </si>
  <si>
    <t>H5-6802149</t>
  </si>
  <si>
    <t>副驾驶员下安全带导向钢丝</t>
  </si>
  <si>
    <t>SHT0014016</t>
  </si>
  <si>
    <t>副司机座垫总成</t>
  </si>
  <si>
    <t>SHT0014078</t>
  </si>
  <si>
    <t>SHT0014027</t>
  </si>
  <si>
    <t>座垫护面总成</t>
  </si>
  <si>
    <t>SHT0014079</t>
  </si>
  <si>
    <t>SHT0011060</t>
  </si>
  <si>
    <t>座坐垫泡沫总成</t>
  </si>
  <si>
    <t>泡沫总成</t>
  </si>
  <si>
    <t>SHT0011061</t>
  </si>
  <si>
    <t>坐垫聚氨酯泡沫</t>
  </si>
  <si>
    <t>坐垫泡沫预埋钢丝1.1</t>
  </si>
  <si>
    <t>Φ2.0×410</t>
  </si>
  <si>
    <t>坐垫泡沫预埋钢丝2.1</t>
  </si>
  <si>
    <t>Φ2.0×229</t>
  </si>
  <si>
    <t>SHT0011072</t>
  </si>
  <si>
    <t>坐垫泡沫预埋钢丝3.1</t>
  </si>
  <si>
    <t>Q02</t>
  </si>
  <si>
    <t>Φ2.0×230</t>
  </si>
  <si>
    <t>SHT0011597</t>
  </si>
  <si>
    <t>坐垫泡沫预埋钢丝4.1</t>
  </si>
  <si>
    <t>Q03</t>
  </si>
  <si>
    <t>⌀2-GB/T 342
20-GB/T 701</t>
  </si>
  <si>
    <t>Φ2.0×231</t>
  </si>
  <si>
    <t>SHT0000538</t>
  </si>
  <si>
    <t>H4691010650A0</t>
  </si>
  <si>
    <t>副司机座盆总成</t>
  </si>
  <si>
    <t>H4691010651A0</t>
  </si>
  <si>
    <t>座盆</t>
  </si>
  <si>
    <t>ST12</t>
  </si>
  <si>
    <t>钢板1-Q/BQB 401 
  ST12-Q/BQB 403</t>
  </si>
  <si>
    <t>1.86</t>
  </si>
  <si>
    <t>Q37106</t>
  </si>
  <si>
    <t>焊接方螺母</t>
  </si>
  <si>
    <t>M5</t>
  </si>
  <si>
    <t>SHT0000544</t>
  </si>
  <si>
    <t>H4A-6901100</t>
  </si>
  <si>
    <t>H4副司机座框总成</t>
  </si>
  <si>
    <t>恒伟五金</t>
  </si>
  <si>
    <t>H4681020061A0</t>
  </si>
  <si>
    <t>座框纵梁</t>
  </si>
  <si>
    <t>管材</t>
  </si>
  <si>
    <t>方管
20X20X2</t>
  </si>
  <si>
    <t>2-GB/T708  
  Q235-GB/T700</t>
  </si>
  <si>
    <t>H4A-6901103</t>
  </si>
  <si>
    <t>前座框横梁</t>
  </si>
  <si>
    <t>方管
20X10X2</t>
  </si>
  <si>
    <t>20X10X2</t>
  </si>
  <si>
    <t>H4A-6901101</t>
  </si>
  <si>
    <t>座框右连接板</t>
  </si>
  <si>
    <t xml:space="preserve"> SPFH590
t=3.0</t>
  </si>
  <si>
    <t>钢板3-Q/BQB 301 
 SPFH590-Q/BQB 310</t>
  </si>
  <si>
    <t>H4A-6901102</t>
  </si>
  <si>
    <t>座框左连接板</t>
  </si>
  <si>
    <t>GB/T 13680-1992</t>
  </si>
  <si>
    <t>SHT0014184</t>
  </si>
  <si>
    <t>垫块</t>
  </si>
  <si>
    <t>H4681020087A0</t>
  </si>
  <si>
    <t>SHT0000534</t>
  </si>
  <si>
    <t>副司机橡胶垫</t>
  </si>
  <si>
    <t>橡胶</t>
  </si>
  <si>
    <t>晶立泰（安广顺）</t>
  </si>
  <si>
    <t>SHT0000542</t>
  </si>
  <si>
    <t>H4A-6901200</t>
  </si>
  <si>
    <t>底座焊接总成</t>
  </si>
  <si>
    <t>H4A-6901201</t>
  </si>
  <si>
    <t>右侧立板</t>
  </si>
  <si>
    <t xml:space="preserve"> SPFH590
t=2.0</t>
  </si>
  <si>
    <t>钢板2.0-Q/BQB 301 
 SPFH590-Q/BQB 310</t>
  </si>
  <si>
    <t>H4A-6901202</t>
  </si>
  <si>
    <t>左侧立板</t>
  </si>
  <si>
    <t>H4681020313A0</t>
  </si>
  <si>
    <t>前下支撑板</t>
  </si>
  <si>
    <t>H4681020314A0</t>
  </si>
  <si>
    <t>后下支撑板</t>
  </si>
  <si>
    <t>H4681020315A0</t>
  </si>
  <si>
    <t>上连接方管A</t>
  </si>
  <si>
    <t>方管</t>
  </si>
  <si>
    <t>Q235
20*40*371</t>
  </si>
  <si>
    <t>40*20</t>
  </si>
  <si>
    <t>H4681020316A0</t>
  </si>
  <si>
    <t>上连接方管B</t>
  </si>
  <si>
    <t>Q235
20*20*372</t>
  </si>
  <si>
    <t>H4681010215A0</t>
  </si>
  <si>
    <t>安全带连接螺母柱</t>
  </si>
  <si>
    <t>轴套</t>
  </si>
  <si>
    <t>45#
φ25</t>
  </si>
  <si>
    <t>H4681010216A0</t>
  </si>
  <si>
    <t>安全带连接限位片</t>
  </si>
  <si>
    <t>钢板3-GB/T708  
  Q235-GB/T700</t>
  </si>
  <si>
    <t>H4681010391A0</t>
  </si>
  <si>
    <t xml:space="preserve">安全带固定板 </t>
  </si>
  <si>
    <t xml:space="preserve"> SPFH590
t=4.0</t>
  </si>
  <si>
    <t>钢板4.0-Q/BQB 301 
 SPFH590-Q/BQB 310</t>
  </si>
  <si>
    <t>4</t>
  </si>
  <si>
    <t>GB_T70.1-2000.2</t>
  </si>
  <si>
    <t>内六角螺栓</t>
  </si>
  <si>
    <t>Q32008.1</t>
  </si>
  <si>
    <t>六角法兰螺母</t>
  </si>
  <si>
    <t>H4A-6901203</t>
  </si>
  <si>
    <t>副边调角器固定钣金件</t>
  </si>
  <si>
    <t>钢板3.0-Q/BQB 301 
 SPFH590-Q/BQB 310</t>
  </si>
  <si>
    <t>H4A-6901204</t>
  </si>
  <si>
    <t>主边调角器固定钣金件</t>
  </si>
  <si>
    <t>焊接螺母</t>
  </si>
  <si>
    <t>H4A-6901215</t>
  </si>
  <si>
    <t>坐框连接板右总成</t>
  </si>
  <si>
    <t>H4A-6901205</t>
  </si>
  <si>
    <t>坐框连接板右</t>
  </si>
  <si>
    <t>GB/T95 8</t>
  </si>
  <si>
    <t>垫片</t>
  </si>
  <si>
    <t>Q32608</t>
  </si>
  <si>
    <t>自锁螺母</t>
  </si>
  <si>
    <t>M6</t>
  </si>
  <si>
    <t>镀锌</t>
  </si>
  <si>
    <t>H4681021412A0</t>
  </si>
  <si>
    <t>锁止块</t>
  </si>
  <si>
    <t>45#
t=5.0</t>
  </si>
  <si>
    <t>5</t>
  </si>
  <si>
    <t>H4681021401A0</t>
  </si>
  <si>
    <t>拉簧</t>
  </si>
  <si>
    <t>65Mn
∅1.2</t>
  </si>
  <si>
    <t>H4A-6901207</t>
  </si>
  <si>
    <t>坐框连接板左</t>
  </si>
  <si>
    <t>SHT0000830</t>
  </si>
  <si>
    <t>H4A-6905100</t>
  </si>
  <si>
    <t>0.162</t>
  </si>
  <si>
    <t>H4A-6905117</t>
  </si>
  <si>
    <t>SPFH590</t>
  </si>
  <si>
    <t>钢板2-GB/T708  
  Q235-GB/T700</t>
  </si>
  <si>
    <t>SHT0010721</t>
  </si>
  <si>
    <t>钢板2.5-Q/BQB 301 
 SPFH590-Q/BQB 310</t>
  </si>
  <si>
    <t>2.5</t>
  </si>
  <si>
    <t>SHT0001076</t>
  </si>
  <si>
    <t>H4G-6905106</t>
  </si>
  <si>
    <t>右圆盘总成</t>
  </si>
  <si>
    <t>H4A-6905118</t>
  </si>
  <si>
    <t>SHT0001956</t>
  </si>
  <si>
    <t>SQX3000-6905114</t>
  </si>
  <si>
    <t>左圆盘总成</t>
  </si>
  <si>
    <t>SHT0001949</t>
  </si>
  <si>
    <t>SQX3000-6905112</t>
  </si>
  <si>
    <t>副驾驶星盘塑料件</t>
  </si>
  <si>
    <t>加工管件</t>
  </si>
  <si>
    <t>1-GB/T708  
  Q235-GB/T700</t>
  </si>
  <si>
    <t>SHT0014057</t>
  </si>
  <si>
    <t>PP-TP30</t>
  </si>
  <si>
    <t>SHT0014058</t>
  </si>
  <si>
    <t>SHT0014059</t>
  </si>
  <si>
    <t>座垫后部罩壳</t>
  </si>
  <si>
    <t>SHT0010983</t>
  </si>
  <si>
    <t>PP8303</t>
  </si>
  <si>
    <t>SHT0014060</t>
  </si>
  <si>
    <t>座垫底部护板</t>
  </si>
  <si>
    <t>PP-TP40</t>
  </si>
  <si>
    <t>BFA0000293</t>
  </si>
  <si>
    <t>十字槽沉头螺钉</t>
  </si>
  <si>
    <t>M6*25镀白锌</t>
  </si>
  <si>
    <t>BFA0000292</t>
  </si>
  <si>
    <t>十字槽盘头自攻螺钉-C型</t>
  </si>
  <si>
    <t>ST4.2*16镀黑锌</t>
  </si>
  <si>
    <t>上锐/北京三浦/苏州苏宁</t>
  </si>
  <si>
    <t>BFA0000291</t>
  </si>
  <si>
    <t>H4A-6909001</t>
  </si>
  <si>
    <t>H4A副司机台阶螺栓</t>
  </si>
  <si>
    <t>M10×13</t>
  </si>
  <si>
    <t>天津市天龙得冷成型部件有限公司</t>
  </si>
  <si>
    <t>GB/T 5781-2000</t>
  </si>
  <si>
    <t>M10×25</t>
  </si>
  <si>
    <t>调角器固定螺栓</t>
  </si>
  <si>
    <t>SHT0000779</t>
  </si>
  <si>
    <t>H4681020200A0</t>
  </si>
  <si>
    <t xml:space="preserve">副驾驶座椅地板连接支座焊接总成 </t>
  </si>
  <si>
    <t>H4681020071A0</t>
  </si>
  <si>
    <t>上板</t>
  </si>
  <si>
    <t>钢板5-Q/BQB 301 
 SPFH590-Q/BQB 310</t>
  </si>
  <si>
    <t>H4681020072A0</t>
  </si>
  <si>
    <t>下板</t>
  </si>
  <si>
    <t>H4681020073A0</t>
  </si>
  <si>
    <t>支撑套</t>
  </si>
  <si>
    <t>33×Φ11×4</t>
  </si>
  <si>
    <t>H4681010392A0</t>
  </si>
  <si>
    <t>加强块</t>
  </si>
</sst>
</file>

<file path=xl/styles.xml><?xml version="1.0" encoding="utf-8"?>
<styleSheet xmlns="http://schemas.openxmlformats.org/spreadsheetml/2006/main">
  <numFmts count="13">
    <numFmt numFmtId="176" formatCode="_-&quot;€&quot;* #,##0_-;\-&quot;€&quot;* #,##0_-;_-&quot;€&quot;* &quot;-&quot;_-;_-@_-"/>
    <numFmt numFmtId="177" formatCode="_-&quot;€&quot;* #,##0.00_-;\-&quot;€&quot;* #,##0.00_-;_-&quot;€&quot;* \-??_-;_-@_-"/>
    <numFmt numFmtId="43" formatCode="_-* #,##0.00_-;\-* #,##0.00_-;_-* &quot;-&quot;??_-;_-@_-"/>
    <numFmt numFmtId="178" formatCode="0.0_);[Red]\(0.0\)"/>
    <numFmt numFmtId="41" formatCode="_-* #,##0_-;\-* #,##0_-;_-* &quot;-&quot;_-;_-@_-"/>
    <numFmt numFmtId="179" formatCode="_ * #,##0.00_ ;_ * \-#,##0.00_ ;_ * &quot;-&quot;??_ ;_ @_ "/>
    <numFmt numFmtId="180" formatCode="0_);[Red]\(0\)"/>
    <numFmt numFmtId="181" formatCode="0.000_ "/>
    <numFmt numFmtId="182" formatCode="0.000_);[Red]\(0.000\)"/>
    <numFmt numFmtId="183" formatCode="0.0000_ "/>
    <numFmt numFmtId="184" formatCode="0.0000"/>
    <numFmt numFmtId="185" formatCode="0.0000_);[Red]\(0.0000\)"/>
    <numFmt numFmtId="186" formatCode="&quot;√&quot;"/>
  </numFmts>
  <fonts count="9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Arial"/>
      <charset val="134"/>
    </font>
    <font>
      <sz val="11"/>
      <name val="Arial"/>
      <charset val="134"/>
    </font>
    <font>
      <b/>
      <sz val="14"/>
      <color theme="1"/>
      <name val="Arial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20"/>
      <name val="宋体"/>
      <charset val="134"/>
    </font>
    <font>
      <sz val="14"/>
      <color theme="1"/>
      <name val="华文楷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ajor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sz val="11"/>
      <color theme="1"/>
      <name val="Arial"/>
      <charset val="134"/>
    </font>
    <font>
      <sz val="14"/>
      <name val="宋体"/>
      <charset val="134"/>
      <scheme val="minor"/>
    </font>
    <font>
      <b/>
      <sz val="20"/>
      <color theme="1"/>
      <name val="宋体"/>
      <charset val="134"/>
    </font>
    <font>
      <sz val="14"/>
      <color rgb="FFFF0000"/>
      <name val="宋体"/>
      <charset val="134"/>
      <scheme val="minor"/>
    </font>
    <font>
      <sz val="14"/>
      <name val="华文楷体"/>
      <charset val="134"/>
    </font>
    <font>
      <sz val="14"/>
      <name val="宋体"/>
      <charset val="134"/>
      <scheme val="major"/>
    </font>
    <font>
      <sz val="9"/>
      <color theme="1"/>
      <name val="宋体"/>
      <charset val="134"/>
      <scheme val="minor"/>
    </font>
    <font>
      <sz val="14"/>
      <color rgb="FFFF0000"/>
      <name val="宋体"/>
      <charset val="134"/>
    </font>
    <font>
      <sz val="14"/>
      <color theme="1"/>
      <name val="仿宋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sz val="11"/>
      <color rgb="FFFF0000"/>
      <name val="宋体"/>
      <charset val="0"/>
      <scheme val="minor"/>
    </font>
    <font>
      <b/>
      <sz val="11"/>
      <color indexed="9"/>
      <name val="宋体"/>
      <charset val="134"/>
    </font>
    <font>
      <sz val="9"/>
      <name val="Arial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sz val="11"/>
      <color indexed="62"/>
      <name val="Tahoma"/>
      <charset val="134"/>
    </font>
    <font>
      <sz val="11"/>
      <color indexed="0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b/>
      <sz val="15"/>
      <color indexed="56"/>
      <name val="Tahoma"/>
      <charset val="134"/>
    </font>
    <font>
      <b/>
      <sz val="11"/>
      <color indexed="56"/>
      <name val="Tahoma"/>
      <charset val="134"/>
    </font>
    <font>
      <b/>
      <sz val="11"/>
      <color indexed="8"/>
      <name val="Tahoma"/>
      <charset val="134"/>
    </font>
    <font>
      <sz val="12"/>
      <color indexed="0"/>
      <name val="宋体"/>
      <charset val="134"/>
    </font>
    <font>
      <b/>
      <sz val="11"/>
      <color indexed="63"/>
      <name val="Tahoma"/>
      <charset val="134"/>
    </font>
    <font>
      <sz val="11"/>
      <color indexed="52"/>
      <name val="Tahoma"/>
      <charset val="134"/>
    </font>
    <font>
      <sz val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Tahoma"/>
      <charset val="134"/>
    </font>
    <font>
      <b/>
      <sz val="10"/>
      <name val="Arial"/>
      <charset val="134"/>
    </font>
    <font>
      <sz val="11"/>
      <color indexed="17"/>
      <name val="Tahoma"/>
      <charset val="134"/>
    </font>
    <font>
      <b/>
      <sz val="13"/>
      <color indexed="56"/>
      <name val="Tahoma"/>
      <charset val="134"/>
    </font>
    <font>
      <sz val="11"/>
      <color indexed="20"/>
      <name val="Tahoma"/>
      <charset val="134"/>
    </font>
    <font>
      <i/>
      <sz val="11"/>
      <color indexed="23"/>
      <name val="Tahoma"/>
      <charset val="134"/>
    </font>
    <font>
      <sz val="11"/>
      <color rgb="FF9C0006"/>
      <name val="宋体"/>
      <charset val="134"/>
      <scheme val="minor"/>
    </font>
    <font>
      <b/>
      <sz val="11"/>
      <color indexed="52"/>
      <name val="Tahoma"/>
      <charset val="134"/>
    </font>
    <font>
      <sz val="11"/>
      <color rgb="FF006100"/>
      <name val="宋体"/>
      <charset val="134"/>
      <scheme val="minor"/>
    </font>
    <font>
      <vertAlign val="superscript"/>
      <sz val="11"/>
      <color theme="1"/>
      <name val="宋体"/>
      <charset val="134"/>
      <scheme val="minor"/>
    </font>
    <font>
      <vertAlign val="superscript"/>
      <sz val="14"/>
      <color theme="1"/>
      <name val="宋体"/>
      <charset val="134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 diagonalDown="1">
      <left/>
      <right style="thin">
        <color indexed="8"/>
      </right>
      <top/>
      <bottom style="thin">
        <color indexed="8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indexed="8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6"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38" fillId="19" borderId="0" applyNumberFormat="0" applyBorder="0" applyAlignment="0" applyProtection="0">
      <alignment vertical="center"/>
    </xf>
    <xf numFmtId="0" fontId="43" fillId="13" borderId="41" applyNumberFormat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41" fillId="0" borderId="4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45" fillId="10" borderId="42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54" fillId="0" borderId="1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0" fillId="30" borderId="51" applyNumberFormat="0" applyFont="0" applyAlignment="0" applyProtection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67" fillId="0" borderId="0"/>
    <xf numFmtId="0" fontId="38" fillId="1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69" fillId="0" borderId="53" applyNumberFormat="0" applyFill="0" applyAlignment="0" applyProtection="0">
      <alignment vertical="center"/>
    </xf>
    <xf numFmtId="0" fontId="40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70" fillId="0" borderId="53" applyNumberFormat="0" applyFill="0" applyAlignment="0" applyProtection="0">
      <alignment vertical="center"/>
    </xf>
    <xf numFmtId="0" fontId="19" fillId="0" borderId="0">
      <alignment vertical="center"/>
    </xf>
    <xf numFmtId="0" fontId="56" fillId="3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19" fillId="0" borderId="0">
      <alignment vertical="center"/>
    </xf>
    <xf numFmtId="0" fontId="56" fillId="33" borderId="0" applyNumberFormat="0" applyBorder="0" applyAlignment="0" applyProtection="0">
      <alignment vertical="center"/>
    </xf>
    <xf numFmtId="0" fontId="71" fillId="35" borderId="54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2" fillId="35" borderId="41" applyNumberFormat="0" applyAlignment="0" applyProtection="0">
      <alignment vertical="center"/>
    </xf>
    <xf numFmtId="0" fontId="73" fillId="38" borderId="55" applyNumberFormat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40" fillId="0" borderId="0">
      <alignment vertical="center"/>
    </xf>
    <xf numFmtId="0" fontId="56" fillId="40" borderId="0" applyNumberFormat="0" applyBorder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74" fillId="0" borderId="56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75" fillId="0" borderId="57" applyNumberFormat="0" applyFill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7" borderId="0" applyNumberFormat="0" applyBorder="0" applyAlignment="0" applyProtection="0">
      <alignment vertical="center"/>
    </xf>
    <xf numFmtId="0" fontId="78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40" fillId="0" borderId="0">
      <alignment vertical="center"/>
    </xf>
    <xf numFmtId="0" fontId="56" fillId="44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49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5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54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6" fillId="56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34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6" fillId="53" borderId="0" applyNumberFormat="0" applyBorder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0" borderId="48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0" borderId="48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54" fillId="0" borderId="10" applyNumberForma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9" fillId="0" borderId="0"/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40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7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7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83" fillId="0" borderId="0" applyNumberFormat="0" applyBorder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3" fillId="24" borderId="46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53" fillId="24" borderId="46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0" borderId="0">
      <alignment vertical="center"/>
    </xf>
    <xf numFmtId="0" fontId="51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40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40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7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4" fillId="0" borderId="1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87" fillId="24" borderId="46" applyNumberForma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4" fillId="0" borderId="10" applyNumberForma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9" fillId="27" borderId="49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48" fillId="0" borderId="44" applyNumberFormat="0" applyFill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59" fillId="27" borderId="49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9" fillId="0" borderId="0"/>
    <xf numFmtId="0" fontId="40" fillId="3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0" fillId="3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7" fillId="3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5" fillId="10" borderId="42" applyNumberFormat="0" applyAlignment="0" applyProtection="0">
      <alignment vertical="center"/>
    </xf>
    <xf numFmtId="0" fontId="91" fillId="0" borderId="44" applyNumberFormat="0" applyFill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9" fillId="27" borderId="49" applyNumberFormat="0" applyFont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/>
    <xf numFmtId="0" fontId="4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40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40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9" fillId="0" borderId="0"/>
    <xf numFmtId="0" fontId="45" fillId="10" borderId="42" applyNumberFormat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86" fillId="0" borderId="0"/>
    <xf numFmtId="179" fontId="19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19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44" fillId="14" borderId="42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0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4" fillId="0" borderId="10" applyNumberFormat="0" applyFill="0" applyBorder="0" applyAlignment="0" applyProtection="0">
      <alignment vertical="center"/>
    </xf>
    <xf numFmtId="0" fontId="54" fillId="0" borderId="10" applyNumberFormat="0" applyFill="0" applyBorder="0" applyAlignment="0" applyProtection="0">
      <alignment vertical="center"/>
    </xf>
    <xf numFmtId="0" fontId="54" fillId="0" borderId="1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0" fillId="0" borderId="50" applyNumberFormat="0" applyFill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0" fillId="0" borderId="50" applyNumberFormat="0" applyFill="0" applyAlignment="0" applyProtection="0">
      <alignment vertical="center"/>
    </xf>
    <xf numFmtId="0" fontId="19" fillId="0" borderId="0"/>
    <xf numFmtId="0" fontId="80" fillId="0" borderId="50" applyNumberFormat="0" applyFill="0" applyAlignment="0" applyProtection="0">
      <alignment vertical="center"/>
    </xf>
    <xf numFmtId="0" fontId="60" fillId="0" borderId="50" applyNumberFormat="0" applyFill="0" applyAlignment="0" applyProtection="0">
      <alignment vertical="center"/>
    </xf>
    <xf numFmtId="0" fontId="60" fillId="0" borderId="50" applyNumberFormat="0" applyFill="0" applyAlignment="0" applyProtection="0">
      <alignment vertical="center"/>
    </xf>
    <xf numFmtId="0" fontId="60" fillId="0" borderId="50" applyNumberFormat="0" applyFill="0" applyAlignment="0" applyProtection="0">
      <alignment vertical="center"/>
    </xf>
    <xf numFmtId="0" fontId="40" fillId="0" borderId="0">
      <alignment vertical="center"/>
    </xf>
    <xf numFmtId="0" fontId="80" fillId="0" borderId="50" applyNumberFormat="0" applyFill="0" applyAlignment="0" applyProtection="0">
      <alignment vertical="center"/>
    </xf>
    <xf numFmtId="0" fontId="40" fillId="0" borderId="0">
      <alignment vertical="center"/>
    </xf>
    <xf numFmtId="0" fontId="19" fillId="0" borderId="0"/>
    <xf numFmtId="0" fontId="60" fillId="0" borderId="50" applyNumberFormat="0" applyFill="0" applyAlignment="0" applyProtection="0">
      <alignment vertical="center"/>
    </xf>
    <xf numFmtId="0" fontId="19" fillId="0" borderId="0"/>
    <xf numFmtId="0" fontId="60" fillId="0" borderId="50" applyNumberFormat="0" applyFill="0" applyAlignment="0" applyProtection="0">
      <alignment vertical="center"/>
    </xf>
    <xf numFmtId="0" fontId="60" fillId="0" borderId="50" applyNumberFormat="0" applyFill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60" fillId="0" borderId="50" applyNumberFormat="0" applyFill="0" applyAlignment="0" applyProtection="0">
      <alignment vertical="center"/>
    </xf>
    <xf numFmtId="0" fontId="19" fillId="0" borderId="0">
      <alignment vertical="center"/>
    </xf>
    <xf numFmtId="0" fontId="60" fillId="0" borderId="50" applyNumberFormat="0" applyFill="0" applyAlignment="0" applyProtection="0">
      <alignment vertical="center"/>
    </xf>
    <xf numFmtId="0" fontId="19" fillId="0" borderId="0">
      <alignment vertical="center"/>
    </xf>
    <xf numFmtId="0" fontId="60" fillId="0" borderId="50" applyNumberFormat="0" applyFill="0" applyAlignment="0" applyProtection="0">
      <alignment vertical="center"/>
    </xf>
    <xf numFmtId="0" fontId="40" fillId="0" borderId="0">
      <alignment vertical="center"/>
    </xf>
    <xf numFmtId="0" fontId="60" fillId="0" borderId="50" applyNumberFormat="0" applyFill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91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40" fillId="0" borderId="0">
      <alignment vertical="center"/>
    </xf>
    <xf numFmtId="0" fontId="40" fillId="27" borderId="49" applyNumberFormat="0" applyFont="0" applyAlignment="0" applyProtection="0">
      <alignment vertical="center"/>
    </xf>
    <xf numFmtId="0" fontId="41" fillId="0" borderId="48" applyNumberFormat="0" applyFill="0" applyAlignment="0" applyProtection="0">
      <alignment vertical="center"/>
    </xf>
    <xf numFmtId="0" fontId="19" fillId="0" borderId="0"/>
    <xf numFmtId="0" fontId="81" fillId="0" borderId="48" applyNumberFormat="0" applyFill="0" applyAlignment="0" applyProtection="0">
      <alignment vertical="center"/>
    </xf>
    <xf numFmtId="0" fontId="19" fillId="0" borderId="0">
      <alignment vertical="center"/>
    </xf>
    <xf numFmtId="0" fontId="41" fillId="0" borderId="48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81" fillId="0" borderId="48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41" fillId="0" borderId="4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41" fillId="0" borderId="4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41" fillId="0" borderId="4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41" fillId="0" borderId="4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41" fillId="0" borderId="4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41" fillId="0" borderId="4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40" fillId="0" borderId="0">
      <alignment vertical="center"/>
    </xf>
    <xf numFmtId="0" fontId="41" fillId="0" borderId="48" applyNumberFormat="0" applyFill="0" applyAlignment="0" applyProtection="0">
      <alignment vertical="center"/>
    </xf>
    <xf numFmtId="0" fontId="19" fillId="0" borderId="0">
      <alignment vertical="center"/>
    </xf>
    <xf numFmtId="0" fontId="44" fillId="14" borderId="4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92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92" fillId="1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4" fillId="28" borderId="0" applyNumberFormat="0" applyBorder="0" applyAlignment="0" applyProtection="0">
      <alignment vertical="center"/>
    </xf>
    <xf numFmtId="0" fontId="1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9" fillId="27" borderId="4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0" applyNumberFormat="0" applyBorder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19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9" fontId="4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>
      <alignment vertical="center"/>
    </xf>
    <xf numFmtId="0" fontId="19" fillId="0" borderId="0"/>
    <xf numFmtId="0" fontId="40" fillId="0" borderId="0">
      <alignment vertical="center"/>
    </xf>
    <xf numFmtId="0" fontId="19" fillId="0" borderId="0"/>
    <xf numFmtId="0" fontId="40" fillId="0" borderId="0">
      <alignment vertical="center"/>
    </xf>
    <xf numFmtId="0" fontId="19" fillId="0" borderId="0"/>
    <xf numFmtId="0" fontId="40" fillId="0" borderId="0">
      <alignment vertical="center"/>
    </xf>
    <xf numFmtId="0" fontId="19" fillId="0" borderId="0"/>
    <xf numFmtId="0" fontId="57" fillId="0" borderId="0" applyNumberFormat="0" applyFill="0" applyBorder="0" applyAlignment="0" applyProtection="0">
      <alignment vertical="center"/>
    </xf>
    <xf numFmtId="0" fontId="19" fillId="0" borderId="0"/>
    <xf numFmtId="0" fontId="4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10" borderId="42" applyNumberFormat="0" applyAlignment="0" applyProtection="0">
      <alignment vertical="center"/>
    </xf>
    <xf numFmtId="0" fontId="19" fillId="0" borderId="0">
      <alignment vertical="center"/>
    </xf>
    <xf numFmtId="0" fontId="45" fillId="10" borderId="4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14" borderId="42" applyNumberFormat="0" applyAlignment="0" applyProtection="0">
      <alignment vertical="center"/>
    </xf>
    <xf numFmtId="0" fontId="19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40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40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27" borderId="49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5" fillId="0" borderId="4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5" fillId="10" borderId="42" applyNumberFormat="0" applyAlignment="0" applyProtection="0">
      <alignment vertical="center"/>
    </xf>
    <xf numFmtId="0" fontId="19" fillId="0" borderId="0">
      <alignment vertical="center"/>
    </xf>
    <xf numFmtId="0" fontId="45" fillId="10" borderId="42" applyNumberFormat="0" applyAlignment="0" applyProtection="0">
      <alignment vertical="center"/>
    </xf>
    <xf numFmtId="0" fontId="19" fillId="0" borderId="0">
      <alignment vertical="center"/>
    </xf>
    <xf numFmtId="0" fontId="58" fillId="10" borderId="42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9" fillId="27" borderId="49" applyNumberFormat="0" applyFont="0" applyAlignment="0" applyProtection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27" borderId="49" applyNumberFormat="0" applyFont="0" applyAlignment="0" applyProtection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27" borderId="49" applyNumberFormat="0" applyFont="0" applyAlignment="0" applyProtection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27" borderId="49" applyNumberFormat="0" applyFont="0" applyAlignment="0" applyProtection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9" fillId="27" borderId="49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5" fillId="10" borderId="42" applyNumberFormat="0" applyAlignment="0" applyProtection="0">
      <alignment vertical="center"/>
    </xf>
    <xf numFmtId="0" fontId="59" fillId="27" borderId="49" applyNumberFormat="0" applyFont="0" applyAlignment="0" applyProtection="0">
      <alignment vertical="center"/>
    </xf>
    <xf numFmtId="0" fontId="40" fillId="0" borderId="0">
      <alignment vertical="center"/>
    </xf>
    <xf numFmtId="0" fontId="66" fillId="14" borderId="5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0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96" fillId="41" borderId="0" applyNumberFormat="0" applyBorder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82" fillId="0" borderId="47" applyNumberFormat="0" applyFill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87" fillId="24" borderId="46" applyNumberFormat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3" fillId="24" borderId="46" applyNumberFormat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3" fillId="24" borderId="46" applyNumberFormat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82" fillId="0" borderId="47" applyNumberFormat="0" applyFill="0" applyAlignment="0" applyProtection="0">
      <alignment vertical="center"/>
    </xf>
    <xf numFmtId="0" fontId="53" fillId="24" borderId="46" applyNumberFormat="0" applyAlignment="0" applyProtection="0">
      <alignment vertical="center"/>
    </xf>
    <xf numFmtId="0" fontId="82" fillId="0" borderId="47" applyNumberFormat="0" applyFill="0" applyAlignment="0" applyProtection="0">
      <alignment vertical="center"/>
    </xf>
    <xf numFmtId="0" fontId="53" fillId="24" borderId="46" applyNumberFormat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95" fillId="14" borderId="42" applyNumberForma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95" fillId="14" borderId="42" applyNumberFormat="0" applyAlignment="0" applyProtection="0">
      <alignment vertical="center"/>
    </xf>
    <xf numFmtId="0" fontId="95" fillId="14" borderId="42" applyNumberFormat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53" fillId="24" borderId="46" applyNumberFormat="0" applyAlignment="0" applyProtection="0">
      <alignment vertical="center"/>
    </xf>
    <xf numFmtId="0" fontId="53" fillId="24" borderId="46" applyNumberFormat="0" applyAlignment="0" applyProtection="0">
      <alignment vertical="center"/>
    </xf>
    <xf numFmtId="0" fontId="53" fillId="24" borderId="46" applyNumberFormat="0" applyAlignment="0" applyProtection="0">
      <alignment vertical="center"/>
    </xf>
    <xf numFmtId="0" fontId="53" fillId="24" borderId="46" applyNumberFormat="0" applyAlignment="0" applyProtection="0">
      <alignment vertical="center"/>
    </xf>
    <xf numFmtId="0" fontId="53" fillId="24" borderId="46" applyNumberFormat="0" applyAlignment="0" applyProtection="0">
      <alignment vertical="center"/>
    </xf>
    <xf numFmtId="0" fontId="53" fillId="24" borderId="46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85" fillId="0" borderId="45" applyNumberFormat="0" applyFill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85" fillId="0" borderId="45" applyNumberFormat="0" applyFill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84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84" fillId="14" borderId="52" applyNumberFormat="0" applyAlignment="0" applyProtection="0">
      <alignment vertical="center"/>
    </xf>
    <xf numFmtId="0" fontId="84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66" fillId="14" borderId="52" applyNumberFormat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58" fillId="10" borderId="42" applyNumberFormat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59" fillId="27" borderId="49" applyNumberFormat="0" applyFont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40" fillId="27" borderId="49" applyNumberFormat="0" applyFont="0" applyAlignment="0" applyProtection="0">
      <alignment vertical="center"/>
    </xf>
    <xf numFmtId="0" fontId="40" fillId="27" borderId="49" applyNumberFormat="0" applyFont="0" applyAlignment="0" applyProtection="0">
      <alignment vertical="center"/>
    </xf>
  </cellStyleXfs>
  <cellXfs count="64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329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>
      <alignment vertical="center"/>
    </xf>
    <xf numFmtId="0" fontId="3" fillId="2" borderId="0" xfId="177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>
      <alignment vertical="center"/>
    </xf>
    <xf numFmtId="0" fontId="0" fillId="3" borderId="0" xfId="0" applyFill="1">
      <alignment vertical="center"/>
    </xf>
    <xf numFmtId="0" fontId="5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0" fontId="6" fillId="0" borderId="0" xfId="177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177" applyFont="1" applyFill="1" applyBorder="1" applyAlignment="1" applyProtection="1">
      <alignment horizontal="left" vertical="center"/>
      <protection locked="0"/>
    </xf>
    <xf numFmtId="0" fontId="7" fillId="0" borderId="2" xfId="177" applyFont="1" applyFill="1" applyBorder="1" applyAlignment="1" applyProtection="1">
      <alignment horizontal="left" vertical="center"/>
      <protection locked="0"/>
    </xf>
    <xf numFmtId="0" fontId="7" fillId="0" borderId="3" xfId="177" applyFont="1" applyFill="1" applyBorder="1" applyAlignment="1" applyProtection="1">
      <alignment horizontal="left" vertical="center"/>
      <protection locked="0"/>
    </xf>
    <xf numFmtId="0" fontId="8" fillId="0" borderId="4" xfId="177" applyFont="1" applyFill="1" applyBorder="1" applyAlignment="1" applyProtection="1">
      <alignment horizontal="left" vertical="center"/>
      <protection locked="0"/>
    </xf>
    <xf numFmtId="0" fontId="8" fillId="0" borderId="2" xfId="177" applyFont="1" applyFill="1" applyBorder="1" applyAlignment="1" applyProtection="1">
      <alignment horizontal="left" vertical="center"/>
      <protection locked="0"/>
    </xf>
    <xf numFmtId="0" fontId="7" fillId="0" borderId="5" xfId="177" applyFont="1" applyFill="1" applyBorder="1" applyAlignment="1" applyProtection="1">
      <alignment horizontal="left" vertical="center"/>
      <protection locked="0"/>
    </xf>
    <xf numFmtId="0" fontId="7" fillId="0" borderId="6" xfId="177" applyFont="1" applyFill="1" applyBorder="1" applyAlignment="1" applyProtection="1">
      <alignment horizontal="left" vertical="center"/>
      <protection locked="0"/>
    </xf>
    <xf numFmtId="0" fontId="7" fillId="0" borderId="7" xfId="177" applyFont="1" applyFill="1" applyBorder="1" applyAlignment="1" applyProtection="1">
      <alignment horizontal="left" vertical="center"/>
      <protection locked="0"/>
    </xf>
    <xf numFmtId="0" fontId="8" fillId="0" borderId="8" xfId="177" applyFont="1" applyFill="1" applyBorder="1" applyAlignment="1" applyProtection="1">
      <alignment horizontal="left" vertical="center"/>
      <protection locked="0"/>
    </xf>
    <xf numFmtId="0" fontId="8" fillId="0" borderId="6" xfId="177" applyFont="1" applyFill="1" applyBorder="1" applyAlignment="1" applyProtection="1">
      <alignment horizontal="left" vertical="center"/>
      <protection locked="0"/>
    </xf>
    <xf numFmtId="0" fontId="9" fillId="0" borderId="9" xfId="177" applyFont="1" applyFill="1" applyBorder="1" applyAlignment="1" applyProtection="1">
      <alignment horizontal="left" vertical="center"/>
      <protection locked="0"/>
    </xf>
    <xf numFmtId="0" fontId="9" fillId="0" borderId="10" xfId="177" applyFont="1" applyFill="1" applyBorder="1" applyAlignment="1" applyProtection="1">
      <alignment horizontal="left" vertical="center"/>
      <protection locked="0"/>
    </xf>
    <xf numFmtId="0" fontId="10" fillId="0" borderId="9" xfId="177" applyFont="1" applyFill="1" applyBorder="1" applyAlignment="1" applyProtection="1">
      <alignment horizontal="left" vertical="center" wrapText="1"/>
      <protection locked="0"/>
    </xf>
    <xf numFmtId="0" fontId="10" fillId="0" borderId="10" xfId="177" applyFont="1" applyFill="1" applyBorder="1" applyAlignment="1" applyProtection="1">
      <alignment horizontal="left" vertical="center" wrapText="1"/>
      <protection locked="0"/>
    </xf>
    <xf numFmtId="0" fontId="9" fillId="0" borderId="9" xfId="177" applyFont="1" applyFill="1" applyBorder="1" applyAlignment="1" applyProtection="1">
      <alignment horizontal="left" vertical="center" wrapText="1"/>
      <protection locked="0"/>
    </xf>
    <xf numFmtId="0" fontId="9" fillId="0" borderId="10" xfId="177" applyFont="1" applyFill="1" applyBorder="1" applyAlignment="1" applyProtection="1">
      <alignment horizontal="left" vertical="center" wrapText="1"/>
      <protection locked="0"/>
    </xf>
    <xf numFmtId="0" fontId="9" fillId="0" borderId="11" xfId="177" applyFont="1" applyFill="1" applyBorder="1" applyAlignment="1" applyProtection="1">
      <alignment horizontal="left" vertical="top" wrapText="1"/>
      <protection locked="0"/>
    </xf>
    <xf numFmtId="0" fontId="9" fillId="0" borderId="12" xfId="177" applyFont="1" applyFill="1" applyBorder="1" applyAlignment="1" applyProtection="1">
      <alignment horizontal="left" vertical="top" wrapText="1"/>
      <protection locked="0"/>
    </xf>
    <xf numFmtId="0" fontId="11" fillId="0" borderId="9" xfId="32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77" applyFont="1" applyFill="1" applyBorder="1" applyAlignment="1" applyProtection="1">
      <alignment horizontal="center" vertical="center" wrapText="1"/>
      <protection locked="0"/>
    </xf>
    <xf numFmtId="0" fontId="0" fillId="2" borderId="10" xfId="177" applyFont="1" applyFill="1" applyBorder="1" applyAlignment="1" applyProtection="1">
      <alignment horizontal="center" vertical="center" wrapText="1"/>
      <protection locked="0"/>
    </xf>
    <xf numFmtId="0" fontId="12" fillId="2" borderId="10" xfId="177" applyFont="1" applyFill="1" applyBorder="1" applyAlignment="1" applyProtection="1">
      <alignment horizontal="center" vertical="center" wrapText="1"/>
      <protection locked="0"/>
    </xf>
    <xf numFmtId="0" fontId="1" fillId="2" borderId="10" xfId="177" applyFont="1" applyFill="1" applyBorder="1" applyAlignment="1" applyProtection="1">
      <alignment horizontal="center" vertical="center" wrapText="1"/>
      <protection locked="0"/>
    </xf>
    <xf numFmtId="0" fontId="12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12" fillId="2" borderId="10" xfId="329" applyNumberFormat="1" applyFont="1" applyFill="1" applyBorder="1" applyAlignment="1">
      <alignment horizontal="center" vertical="center" wrapText="1"/>
    </xf>
    <xf numFmtId="0" fontId="12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329" applyFont="1" applyFill="1" applyBorder="1" applyAlignment="1">
      <alignment horizontal="center" vertical="center" wrapText="1"/>
    </xf>
    <xf numFmtId="0" fontId="12" fillId="0" borderId="13" xfId="177" applyFont="1" applyFill="1" applyBorder="1" applyAlignment="1" applyProtection="1">
      <alignment horizontal="center" vertical="center" wrapText="1"/>
      <protection locked="0"/>
    </xf>
    <xf numFmtId="0" fontId="12" fillId="0" borderId="13" xfId="177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329" applyNumberFormat="1" applyFont="1" applyFill="1" applyBorder="1" applyAlignment="1">
      <alignment horizontal="center" vertical="center" wrapText="1"/>
    </xf>
    <xf numFmtId="0" fontId="12" fillId="0" borderId="10" xfId="320" applyNumberFormat="1" applyFont="1" applyFill="1" applyBorder="1" applyAlignment="1" applyProtection="1">
      <alignment horizontal="center" vertical="center" wrapText="1"/>
      <protection locked="0"/>
    </xf>
    <xf numFmtId="0" fontId="12" fillId="2" borderId="10" xfId="32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329" applyFont="1" applyFill="1" applyBorder="1" applyAlignment="1">
      <alignment horizontal="center" vertical="center" wrapText="1"/>
    </xf>
    <xf numFmtId="0" fontId="8" fillId="0" borderId="3" xfId="177" applyFont="1" applyFill="1" applyBorder="1" applyAlignment="1" applyProtection="1">
      <alignment horizontal="left" vertical="center"/>
      <protection locked="0"/>
    </xf>
    <xf numFmtId="0" fontId="8" fillId="0" borderId="4" xfId="177" applyFont="1" applyFill="1" applyBorder="1" applyAlignment="1" applyProtection="1">
      <alignment horizontal="left" vertical="center" wrapText="1"/>
      <protection locked="0"/>
    </xf>
    <xf numFmtId="0" fontId="8" fillId="0" borderId="2" xfId="177" applyFont="1" applyFill="1" applyBorder="1" applyAlignment="1" applyProtection="1">
      <alignment horizontal="left" vertical="center" wrapText="1"/>
      <protection locked="0"/>
    </xf>
    <xf numFmtId="0" fontId="8" fillId="0" borderId="3" xfId="177" applyFont="1" applyFill="1" applyBorder="1" applyAlignment="1" applyProtection="1">
      <alignment horizontal="left" vertical="center" wrapText="1"/>
      <protection locked="0"/>
    </xf>
    <xf numFmtId="0" fontId="13" fillId="0" borderId="4" xfId="177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177" applyFont="1" applyFill="1" applyBorder="1" applyAlignment="1" applyProtection="1">
      <alignment horizontal="left" vertical="center"/>
      <protection locked="0"/>
    </xf>
    <xf numFmtId="0" fontId="8" fillId="0" borderId="8" xfId="177" applyFont="1" applyFill="1" applyBorder="1" applyAlignment="1" applyProtection="1">
      <alignment horizontal="left" vertical="center" wrapText="1"/>
      <protection locked="0"/>
    </xf>
    <xf numFmtId="0" fontId="8" fillId="0" borderId="6" xfId="177" applyFont="1" applyFill="1" applyBorder="1" applyAlignment="1" applyProtection="1">
      <alignment horizontal="left" vertical="center" wrapText="1"/>
      <protection locked="0"/>
    </xf>
    <xf numFmtId="0" fontId="8" fillId="0" borderId="7" xfId="177" applyFont="1" applyFill="1" applyBorder="1" applyAlignment="1" applyProtection="1">
      <alignment horizontal="left" vertical="center" wrapText="1"/>
      <protection locked="0"/>
    </xf>
    <xf numFmtId="0" fontId="13" fillId="0" borderId="14" xfId="177" applyNumberFormat="1" applyFont="1" applyFill="1" applyBorder="1" applyAlignment="1" applyProtection="1">
      <alignment horizontal="center" vertical="center" wrapText="1"/>
      <protection locked="0"/>
    </xf>
    <xf numFmtId="0" fontId="9" fillId="0" borderId="15" xfId="177" applyFont="1" applyFill="1" applyBorder="1" applyAlignment="1" applyProtection="1">
      <alignment horizontal="left" vertical="top" wrapText="1"/>
      <protection locked="0"/>
    </xf>
    <xf numFmtId="0" fontId="11" fillId="0" borderId="16" xfId="177" applyNumberFormat="1" applyFont="1" applyFill="1" applyBorder="1" applyAlignment="1" applyProtection="1">
      <alignment horizontal="center" vertical="center" wrapText="1"/>
      <protection locked="0"/>
    </xf>
    <xf numFmtId="49" fontId="11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177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637" applyFont="1" applyFill="1" applyBorder="1" applyAlignment="1">
      <alignment horizontal="center" vertical="center" wrapText="1"/>
    </xf>
    <xf numFmtId="49" fontId="11" fillId="3" borderId="10" xfId="177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329" applyFont="1" applyFill="1" applyBorder="1" applyAlignment="1">
      <alignment horizontal="center" vertical="center" wrapText="1"/>
    </xf>
    <xf numFmtId="49" fontId="11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11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637" applyFont="1" applyFill="1" applyBorder="1" applyAlignment="1">
      <alignment horizontal="center" vertical="center" wrapText="1"/>
    </xf>
    <xf numFmtId="0" fontId="1" fillId="0" borderId="10" xfId="637" applyFont="1" applyFill="1" applyBorder="1" applyAlignment="1">
      <alignment horizontal="center" vertical="center" wrapText="1"/>
    </xf>
    <xf numFmtId="0" fontId="1" fillId="0" borderId="10" xfId="637" applyFont="1" applyFill="1" applyBorder="1" applyAlignment="1">
      <alignment horizontal="center" vertical="center"/>
    </xf>
    <xf numFmtId="0" fontId="1" fillId="3" borderId="10" xfId="637" applyFont="1" applyFill="1" applyBorder="1" applyAlignment="1">
      <alignment horizontal="center" vertical="center"/>
    </xf>
    <xf numFmtId="0" fontId="12" fillId="0" borderId="16" xfId="177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637" applyFont="1" applyFill="1" applyBorder="1" applyAlignment="1">
      <alignment horizontal="center" vertical="center"/>
    </xf>
    <xf numFmtId="0" fontId="1" fillId="0" borderId="16" xfId="329" applyFont="1" applyFill="1" applyBorder="1" applyAlignment="1">
      <alignment horizontal="center" vertical="center" wrapText="1"/>
    </xf>
    <xf numFmtId="0" fontId="1" fillId="0" borderId="13" xfId="329" applyFont="1" applyFill="1" applyBorder="1" applyAlignment="1">
      <alignment horizontal="center" vertical="center" wrapText="1"/>
    </xf>
    <xf numFmtId="0" fontId="12" fillId="3" borderId="10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0" xfId="32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177" applyNumberFormat="1" applyFont="1" applyFill="1" applyBorder="1" applyAlignment="1" applyProtection="1">
      <alignment horizontal="left" vertical="center" wrapText="1"/>
      <protection locked="0"/>
    </xf>
    <xf numFmtId="0" fontId="11" fillId="3" borderId="10" xfId="177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329" applyFont="1" applyFill="1" applyBorder="1" applyAlignment="1">
      <alignment horizontal="center" vertical="center"/>
    </xf>
    <xf numFmtId="0" fontId="1" fillId="0" borderId="10" xfId="329" applyFont="1" applyFill="1" applyBorder="1" applyAlignment="1">
      <alignment horizontal="center" vertical="center"/>
    </xf>
    <xf numFmtId="0" fontId="6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177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77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177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320" applyNumberFormat="1" applyFont="1" applyFill="1" applyBorder="1" applyAlignment="1" applyProtection="1">
      <alignment horizontal="center" vertical="center" wrapText="1"/>
      <protection locked="0"/>
    </xf>
    <xf numFmtId="181" fontId="14" fillId="0" borderId="10" xfId="0" applyNumberFormat="1" applyFont="1" applyFill="1" applyBorder="1" applyAlignment="1">
      <alignment horizontal="center" vertical="center" wrapText="1"/>
    </xf>
    <xf numFmtId="49" fontId="6" fillId="2" borderId="10" xfId="177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320" applyNumberFormat="1" applyFont="1" applyFill="1" applyBorder="1" applyAlignment="1" applyProtection="1">
      <alignment horizontal="center" vertical="center" wrapText="1"/>
      <protection locked="0"/>
    </xf>
    <xf numFmtId="0" fontId="12" fillId="2" borderId="10" xfId="320" applyFont="1" applyFill="1" applyBorder="1" applyAlignment="1" applyProtection="1">
      <alignment horizontal="center" vertical="center" wrapText="1"/>
      <protection locked="0"/>
    </xf>
    <xf numFmtId="0" fontId="12" fillId="0" borderId="10" xfId="320" applyFont="1" applyFill="1" applyBorder="1" applyAlignment="1" applyProtection="1">
      <alignment horizontal="center" vertical="center" wrapText="1"/>
      <protection locked="0"/>
    </xf>
    <xf numFmtId="0" fontId="12" fillId="0" borderId="16" xfId="320" applyFont="1" applyFill="1" applyBorder="1" applyAlignment="1" applyProtection="1">
      <alignment horizontal="center" vertical="center" wrapText="1"/>
      <protection locked="0"/>
    </xf>
    <xf numFmtId="0" fontId="1" fillId="0" borderId="16" xfId="329" applyFont="1" applyFill="1" applyBorder="1" applyAlignment="1">
      <alignment horizontal="center" vertical="center"/>
    </xf>
    <xf numFmtId="49" fontId="11" fillId="0" borderId="16" xfId="177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177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320" applyNumberFormat="1" applyFont="1" applyFill="1" applyBorder="1" applyAlignment="1" applyProtection="1">
      <alignment horizontal="center" vertical="center" wrapText="1"/>
      <protection locked="0"/>
    </xf>
    <xf numFmtId="0" fontId="0" fillId="2" borderId="10" xfId="0" applyNumberFormat="1" applyFont="1" applyFill="1" applyBorder="1" applyAlignment="1">
      <alignment horizontal="center" vertical="center" wrapText="1"/>
    </xf>
    <xf numFmtId="182" fontId="0" fillId="2" borderId="10" xfId="502" applyNumberFormat="1" applyFont="1" applyFill="1" applyBorder="1" applyAlignment="1" applyProtection="1">
      <alignment horizontal="center" vertical="center" wrapText="1"/>
      <protection locked="0"/>
    </xf>
    <xf numFmtId="0" fontId="15" fillId="2" borderId="10" xfId="502" applyFont="1" applyFill="1" applyBorder="1" applyAlignment="1" applyProtection="1">
      <alignment horizontal="center" vertical="center" wrapText="1"/>
      <protection locked="0"/>
    </xf>
    <xf numFmtId="0" fontId="0" fillId="2" borderId="10" xfId="177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502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49" fontId="11" fillId="0" borderId="13" xfId="177" applyNumberFormat="1" applyFont="1" applyFill="1" applyBorder="1" applyAlignment="1" applyProtection="1">
      <alignment horizontal="center" vertical="center" wrapText="1"/>
      <protection locked="0"/>
    </xf>
    <xf numFmtId="182" fontId="1" fillId="0" borderId="13" xfId="32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177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32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82" fontId="1" fillId="0" borderId="10" xfId="32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177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320" applyNumberFormat="1" applyFont="1" applyFill="1" applyBorder="1" applyAlignment="1" applyProtection="1">
      <alignment horizontal="center" vertical="center" wrapText="1"/>
      <protection locked="0"/>
    </xf>
    <xf numFmtId="49" fontId="11" fillId="0" borderId="10" xfId="320" applyNumberFormat="1" applyFont="1" applyFill="1" applyBorder="1" applyAlignment="1" applyProtection="1">
      <alignment horizontal="center" vertical="center" wrapText="1"/>
      <protection locked="0"/>
    </xf>
    <xf numFmtId="0" fontId="15" fillId="4" borderId="16" xfId="177" applyNumberFormat="1" applyFont="1" applyFill="1" applyBorder="1" applyAlignment="1" applyProtection="1">
      <alignment horizontal="center" vertical="center" wrapText="1"/>
      <protection locked="0"/>
    </xf>
    <xf numFmtId="0" fontId="0" fillId="4" borderId="17" xfId="0" applyFont="1" applyFill="1" applyBorder="1" applyAlignment="1">
      <alignment horizontal="center" vertical="center" wrapText="1"/>
    </xf>
    <xf numFmtId="0" fontId="15" fillId="4" borderId="18" xfId="177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320" applyNumberFormat="1" applyFont="1" applyFill="1" applyBorder="1" applyAlignment="1" applyProtection="1">
      <alignment horizontal="center" vertical="center" wrapText="1"/>
      <protection locked="0"/>
    </xf>
    <xf numFmtId="0" fontId="16" fillId="0" borderId="10" xfId="502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502" applyNumberFormat="1" applyFont="1" applyFill="1" applyBorder="1" applyAlignment="1" applyProtection="1">
      <alignment horizontal="center" vertical="center" wrapText="1"/>
      <protection locked="0"/>
    </xf>
    <xf numFmtId="0" fontId="15" fillId="4" borderId="10" xfId="502" applyNumberFormat="1" applyFont="1" applyFill="1" applyBorder="1" applyAlignment="1" applyProtection="1">
      <alignment horizontal="center" vertical="center" wrapText="1"/>
      <protection locked="0"/>
    </xf>
    <xf numFmtId="0" fontId="17" fillId="4" borderId="10" xfId="502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177" applyNumberFormat="1" applyFont="1" applyFill="1" applyBorder="1" applyAlignment="1" applyProtection="1">
      <alignment horizontal="center" vertical="center" wrapText="1"/>
      <protection locked="0"/>
    </xf>
    <xf numFmtId="0" fontId="11" fillId="4" borderId="10" xfId="177" applyNumberFormat="1" applyFont="1" applyFill="1" applyBorder="1" applyAlignment="1" applyProtection="1">
      <alignment horizontal="center" vertical="center" wrapText="1"/>
      <protection locked="0"/>
    </xf>
    <xf numFmtId="0" fontId="11" fillId="4" borderId="17" xfId="177" applyNumberFormat="1" applyFont="1" applyFill="1" applyBorder="1" applyAlignment="1" applyProtection="1">
      <alignment horizontal="center" vertical="center" wrapText="1"/>
      <protection locked="0"/>
    </xf>
    <xf numFmtId="49" fontId="12" fillId="2" borderId="10" xfId="320" applyNumberFormat="1" applyFont="1" applyFill="1" applyBorder="1" applyAlignment="1" applyProtection="1">
      <alignment horizontal="center" vertical="center" wrapText="1"/>
      <protection locked="0"/>
    </xf>
    <xf numFmtId="49" fontId="12" fillId="0" borderId="10" xfId="320" applyNumberFormat="1" applyFont="1" applyFill="1" applyBorder="1" applyAlignment="1" applyProtection="1">
      <alignment horizontal="center" vertical="center" wrapText="1"/>
      <protection locked="0"/>
    </xf>
    <xf numFmtId="49" fontId="12" fillId="4" borderId="17" xfId="320" applyNumberFormat="1" applyFont="1" applyFill="1" applyBorder="1" applyAlignment="1" applyProtection="1">
      <alignment horizontal="center" vertical="center" wrapText="1"/>
      <protection locked="0"/>
    </xf>
    <xf numFmtId="0" fontId="18" fillId="0" borderId="10" xfId="177" applyFont="1" applyFill="1" applyBorder="1" applyAlignment="1" applyProtection="1">
      <alignment horizontal="center" vertical="center" wrapText="1"/>
      <protection locked="0"/>
    </xf>
    <xf numFmtId="178" fontId="1" fillId="4" borderId="10" xfId="0" applyNumberFormat="1" applyFont="1" applyFill="1" applyBorder="1" applyAlignment="1">
      <alignment horizontal="center" vertical="center" wrapText="1"/>
    </xf>
    <xf numFmtId="182" fontId="4" fillId="4" borderId="10" xfId="502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329" applyFont="1" applyFill="1" applyBorder="1" applyAlignment="1">
      <alignment horizontal="center" vertical="center" wrapText="1"/>
    </xf>
    <xf numFmtId="183" fontId="18" fillId="0" borderId="10" xfId="320" applyNumberFormat="1" applyFont="1" applyFill="1" applyBorder="1" applyAlignment="1" applyProtection="1">
      <alignment horizontal="center" vertical="center" wrapText="1"/>
      <protection locked="0"/>
    </xf>
    <xf numFmtId="0" fontId="12" fillId="4" borderId="10" xfId="177" applyNumberFormat="1" applyFont="1" applyFill="1" applyBorder="1" applyAlignment="1" applyProtection="1">
      <alignment horizontal="center" vertical="center" wrapText="1"/>
      <protection locked="0"/>
    </xf>
    <xf numFmtId="178" fontId="12" fillId="4" borderId="10" xfId="177" applyNumberFormat="1" applyFont="1" applyFill="1" applyBorder="1" applyAlignment="1" applyProtection="1">
      <alignment horizontal="center" vertical="center" wrapText="1"/>
      <protection locked="0"/>
    </xf>
    <xf numFmtId="0" fontId="12" fillId="0" borderId="16" xfId="177" applyFont="1" applyFill="1" applyBorder="1" applyAlignment="1" applyProtection="1">
      <alignment horizontal="center" vertical="center" wrapText="1"/>
      <protection locked="0"/>
    </xf>
    <xf numFmtId="0" fontId="19" fillId="0" borderId="16" xfId="329" applyFont="1" applyFill="1" applyBorder="1" applyAlignment="1">
      <alignment horizontal="center" vertical="center" wrapText="1"/>
    </xf>
    <xf numFmtId="49" fontId="12" fillId="0" borderId="16" xfId="32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177" applyFont="1" applyFill="1" applyBorder="1" applyAlignment="1" applyProtection="1">
      <alignment horizontal="center" vertical="center" wrapText="1"/>
      <protection locked="0"/>
    </xf>
    <xf numFmtId="0" fontId="1" fillId="0" borderId="13" xfId="320" applyNumberFormat="1" applyFont="1" applyFill="1" applyBorder="1" applyAlignment="1" applyProtection="1">
      <alignment horizontal="center" vertical="center" wrapText="1"/>
      <protection locked="0"/>
    </xf>
    <xf numFmtId="184" fontId="1" fillId="0" borderId="13" xfId="0" applyNumberFormat="1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1" fillId="0" borderId="10" xfId="177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184" fontId="1" fillId="0" borderId="10" xfId="0" applyNumberFormat="1" applyFont="1" applyFill="1" applyBorder="1" applyAlignment="1">
      <alignment horizontal="center" vertical="center" wrapText="1"/>
    </xf>
    <xf numFmtId="49" fontId="12" fillId="4" borderId="10" xfId="320" applyNumberFormat="1" applyFont="1" applyFill="1" applyBorder="1" applyAlignment="1" applyProtection="1">
      <alignment horizontal="center" vertical="center" wrapText="1"/>
      <protection locked="0"/>
    </xf>
    <xf numFmtId="0" fontId="11" fillId="4" borderId="13" xfId="177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329" applyFont="1" applyFill="1" applyBorder="1" applyAlignment="1">
      <alignment horizontal="center" vertical="center" wrapText="1"/>
    </xf>
    <xf numFmtId="0" fontId="21" fillId="4" borderId="10" xfId="177" applyNumberFormat="1" applyFont="1" applyFill="1" applyBorder="1" applyAlignment="1" applyProtection="1">
      <alignment horizontal="center" vertical="center" wrapText="1"/>
      <protection locked="0"/>
    </xf>
    <xf numFmtId="178" fontId="21" fillId="4" borderId="10" xfId="0" applyNumberFormat="1" applyFont="1" applyFill="1" applyBorder="1" applyAlignment="1">
      <alignment horizontal="center" vertical="center" wrapText="1"/>
    </xf>
    <xf numFmtId="184" fontId="1" fillId="0" borderId="10" xfId="329" applyNumberFormat="1" applyFont="1" applyFill="1" applyBorder="1" applyAlignment="1">
      <alignment horizontal="center" vertical="center" wrapText="1"/>
    </xf>
    <xf numFmtId="0" fontId="19" fillId="2" borderId="10" xfId="329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11" fillId="5" borderId="16" xfId="177" applyFont="1" applyFill="1" applyBorder="1" applyAlignment="1" applyProtection="1">
      <alignment horizontal="center" vertical="center" wrapText="1"/>
      <protection locked="0"/>
    </xf>
    <xf numFmtId="0" fontId="0" fillId="4" borderId="18" xfId="0" applyFont="1" applyFill="1" applyBorder="1" applyAlignment="1">
      <alignment horizontal="center" vertical="center" wrapText="1"/>
    </xf>
    <xf numFmtId="0" fontId="6" fillId="5" borderId="13" xfId="177" applyFont="1" applyFill="1" applyBorder="1" applyAlignment="1" applyProtection="1">
      <alignment horizontal="center" vertical="center" wrapText="1"/>
      <protection locked="0"/>
    </xf>
    <xf numFmtId="0" fontId="11" fillId="5" borderId="13" xfId="177" applyFont="1" applyFill="1" applyBorder="1" applyAlignment="1" applyProtection="1">
      <alignment horizontal="center" vertical="center" wrapText="1"/>
      <protection locked="0"/>
    </xf>
    <xf numFmtId="180" fontId="14" fillId="4" borderId="10" xfId="0" applyNumberFormat="1" applyFont="1" applyFill="1" applyBorder="1" applyAlignment="1">
      <alignment horizontal="center" vertical="center" wrapText="1"/>
    </xf>
    <xf numFmtId="0" fontId="5" fillId="4" borderId="10" xfId="502" applyFont="1" applyFill="1" applyBorder="1" applyAlignment="1" applyProtection="1">
      <alignment horizontal="center" vertical="center" wrapText="1"/>
      <protection locked="0"/>
    </xf>
    <xf numFmtId="0" fontId="6" fillId="5" borderId="8" xfId="177" applyFont="1" applyFill="1" applyBorder="1" applyAlignment="1" applyProtection="1">
      <alignment horizontal="center" vertical="center" wrapText="1"/>
      <protection locked="0"/>
    </xf>
    <xf numFmtId="0" fontId="11" fillId="5" borderId="8" xfId="177" applyFont="1" applyFill="1" applyBorder="1" applyAlignment="1" applyProtection="1">
      <alignment horizontal="center" vertical="center" wrapText="1"/>
      <protection locked="0"/>
    </xf>
    <xf numFmtId="0" fontId="1" fillId="5" borderId="17" xfId="329" applyFont="1" applyFill="1" applyBorder="1" applyAlignment="1">
      <alignment horizontal="center" vertical="center" wrapText="1"/>
    </xf>
    <xf numFmtId="185" fontId="1" fillId="4" borderId="10" xfId="0" applyNumberFormat="1" applyFont="1" applyFill="1" applyBorder="1" applyAlignment="1">
      <alignment horizontal="center" vertical="center" wrapText="1"/>
    </xf>
    <xf numFmtId="10" fontId="1" fillId="4" borderId="10" xfId="0" applyNumberFormat="1" applyFont="1" applyFill="1" applyBorder="1" applyAlignment="1">
      <alignment horizontal="center" vertical="center" wrapText="1"/>
    </xf>
    <xf numFmtId="49" fontId="4" fillId="4" borderId="10" xfId="502" applyNumberFormat="1" applyFont="1" applyFill="1" applyBorder="1" applyAlignment="1" applyProtection="1">
      <alignment horizontal="center" vertical="center" wrapText="1"/>
      <protection locked="0"/>
    </xf>
    <xf numFmtId="185" fontId="1" fillId="4" borderId="13" xfId="25" applyNumberFormat="1" applyFont="1" applyFill="1" applyBorder="1" applyAlignment="1" applyProtection="1">
      <alignment horizontal="center" vertical="center" wrapText="1"/>
      <protection locked="0"/>
    </xf>
    <xf numFmtId="10" fontId="1" fillId="4" borderId="13" xfId="25" applyNumberFormat="1" applyFont="1" applyFill="1" applyBorder="1" applyAlignment="1" applyProtection="1">
      <alignment horizontal="center" vertical="center" wrapText="1"/>
      <protection locked="0"/>
    </xf>
    <xf numFmtId="0" fontId="1" fillId="5" borderId="10" xfId="637" applyFont="1" applyFill="1" applyBorder="1" applyAlignment="1">
      <alignment horizontal="center" vertical="center" wrapText="1"/>
    </xf>
    <xf numFmtId="185" fontId="12" fillId="4" borderId="10" xfId="177" applyNumberFormat="1" applyFont="1" applyFill="1" applyBorder="1" applyAlignment="1" applyProtection="1">
      <alignment horizontal="center" vertical="center" wrapText="1"/>
      <protection locked="0"/>
    </xf>
    <xf numFmtId="10" fontId="12" fillId="4" borderId="10" xfId="177" applyNumberFormat="1" applyFont="1" applyFill="1" applyBorder="1" applyAlignment="1" applyProtection="1">
      <alignment horizontal="center" vertical="center" wrapText="1"/>
      <protection locked="0"/>
    </xf>
    <xf numFmtId="49" fontId="12" fillId="4" borderId="16" xfId="320" applyNumberFormat="1" applyFont="1" applyFill="1" applyBorder="1" applyAlignment="1" applyProtection="1">
      <alignment horizontal="center" vertical="center" wrapText="1"/>
      <protection locked="0"/>
    </xf>
    <xf numFmtId="0" fontId="1" fillId="5" borderId="16" xfId="637" applyFont="1" applyFill="1" applyBorder="1" applyAlignment="1">
      <alignment horizontal="center" vertical="center" wrapText="1"/>
    </xf>
    <xf numFmtId="0" fontId="1" fillId="4" borderId="10" xfId="329" applyFont="1" applyFill="1" applyBorder="1" applyAlignment="1">
      <alignment horizontal="center" vertical="center" wrapText="1"/>
    </xf>
    <xf numFmtId="0" fontId="1" fillId="5" borderId="10" xfId="329" applyFont="1" applyFill="1" applyBorder="1" applyAlignment="1">
      <alignment horizontal="center" vertical="center" wrapText="1"/>
    </xf>
    <xf numFmtId="178" fontId="1" fillId="4" borderId="10" xfId="25" applyNumberFormat="1" applyFont="1" applyFill="1" applyBorder="1" applyAlignment="1" applyProtection="1">
      <alignment horizontal="center" vertical="center" wrapText="1"/>
      <protection locked="0"/>
    </xf>
    <xf numFmtId="185" fontId="1" fillId="4" borderId="10" xfId="25" applyNumberFormat="1" applyFont="1" applyFill="1" applyBorder="1" applyAlignment="1" applyProtection="1">
      <alignment horizontal="center" vertical="center" wrapText="1"/>
      <protection locked="0"/>
    </xf>
    <xf numFmtId="49" fontId="1" fillId="4" borderId="13" xfId="320" applyNumberFormat="1" applyFont="1" applyFill="1" applyBorder="1" applyAlignment="1" applyProtection="1">
      <alignment horizontal="center" vertical="center" wrapText="1"/>
      <protection locked="0"/>
    </xf>
    <xf numFmtId="0" fontId="1" fillId="5" borderId="13" xfId="637" applyFont="1" applyFill="1" applyBorder="1" applyAlignment="1">
      <alignment horizontal="center" vertical="center" wrapText="1"/>
    </xf>
    <xf numFmtId="182" fontId="1" fillId="4" borderId="10" xfId="320" applyNumberFormat="1" applyFont="1" applyFill="1" applyBorder="1" applyAlignment="1" applyProtection="1">
      <alignment horizontal="center" vertical="center" wrapText="1"/>
      <protection locked="0"/>
    </xf>
    <xf numFmtId="185" fontId="21" fillId="4" borderId="10" xfId="0" applyNumberFormat="1" applyFont="1" applyFill="1" applyBorder="1" applyAlignment="1">
      <alignment horizontal="center" vertical="center" wrapText="1"/>
    </xf>
    <xf numFmtId="10" fontId="21" fillId="4" borderId="10" xfId="0" applyNumberFormat="1" applyFont="1" applyFill="1" applyBorder="1" applyAlignment="1">
      <alignment horizontal="center" vertical="center" wrapText="1"/>
    </xf>
    <xf numFmtId="0" fontId="1" fillId="5" borderId="21" xfId="637" applyFont="1" applyFill="1" applyBorder="1" applyAlignment="1">
      <alignment horizontal="center" vertical="center" wrapText="1"/>
    </xf>
    <xf numFmtId="0" fontId="11" fillId="4" borderId="8" xfId="177" applyNumberFormat="1" applyFont="1" applyFill="1" applyBorder="1" applyAlignment="1" applyProtection="1">
      <alignment horizontal="center" vertical="center" wrapText="1"/>
      <protection locked="0"/>
    </xf>
    <xf numFmtId="0" fontId="19" fillId="4" borderId="17" xfId="329" applyFont="1" applyFill="1" applyBorder="1" applyAlignment="1">
      <alignment horizontal="center" vertical="center" wrapText="1"/>
    </xf>
    <xf numFmtId="0" fontId="1" fillId="5" borderId="10" xfId="637" applyFont="1" applyFill="1" applyBorder="1" applyAlignment="1">
      <alignment horizontal="center" vertical="center"/>
    </xf>
    <xf numFmtId="0" fontId="1" fillId="5" borderId="21" xfId="637" applyFont="1" applyFill="1" applyBorder="1" applyAlignment="1">
      <alignment horizontal="center" vertical="center"/>
    </xf>
    <xf numFmtId="0" fontId="1" fillId="5" borderId="22" xfId="329" applyFont="1" applyFill="1" applyBorder="1" applyAlignment="1">
      <alignment horizontal="center" vertical="center" wrapText="1"/>
    </xf>
    <xf numFmtId="0" fontId="6" fillId="3" borderId="0" xfId="177" applyNumberFormat="1" applyFont="1" applyFill="1" applyBorder="1" applyAlignment="1" applyProtection="1">
      <alignment horizontal="right" vertical="center" wrapText="1"/>
      <protection locked="0"/>
    </xf>
    <xf numFmtId="0" fontId="13" fillId="0" borderId="3" xfId="177" applyNumberFormat="1" applyFont="1" applyFill="1" applyBorder="1" applyAlignment="1" applyProtection="1">
      <alignment horizontal="center" vertical="center" wrapText="1"/>
      <protection locked="0"/>
    </xf>
    <xf numFmtId="0" fontId="11" fillId="0" borderId="23" xfId="177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329" applyFont="1" applyFill="1" applyBorder="1" applyAlignment="1">
      <alignment horizontal="left" vertical="center" wrapText="1"/>
    </xf>
    <xf numFmtId="0" fontId="11" fillId="3" borderId="24" xfId="177" applyNumberFormat="1" applyFont="1" applyFill="1" applyBorder="1" applyAlignment="1" applyProtection="1">
      <alignment horizontal="center" vertical="center" wrapText="1"/>
      <protection locked="0"/>
    </xf>
    <xf numFmtId="0" fontId="13" fillId="0" borderId="25" xfId="177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329" applyFont="1" applyFill="1" applyBorder="1" applyAlignment="1">
      <alignment horizontal="left" vertical="center" wrapText="1"/>
    </xf>
    <xf numFmtId="0" fontId="11" fillId="3" borderId="26" xfId="177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750" applyFont="1" applyFill="1" applyBorder="1" applyAlignment="1" applyProtection="1">
      <alignment horizontal="center" vertical="center" wrapText="1"/>
      <protection locked="0"/>
    </xf>
    <xf numFmtId="0" fontId="3" fillId="0" borderId="10" xfId="75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177" applyFont="1" applyFill="1" applyBorder="1" applyAlignment="1" applyProtection="1">
      <alignment horizontal="center" vertical="center" wrapText="1"/>
      <protection locked="0"/>
    </xf>
    <xf numFmtId="0" fontId="22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11" fillId="3" borderId="26" xfId="177" applyFont="1" applyFill="1" applyBorder="1" applyAlignment="1" applyProtection="1">
      <alignment horizontal="center" vertical="center" wrapText="1"/>
      <protection locked="0"/>
    </xf>
    <xf numFmtId="0" fontId="11" fillId="0" borderId="16" xfId="177" applyFont="1" applyFill="1" applyBorder="1" applyAlignment="1" applyProtection="1">
      <alignment horizontal="center" vertical="center" wrapText="1"/>
      <protection locked="0"/>
    </xf>
    <xf numFmtId="0" fontId="6" fillId="0" borderId="16" xfId="320" applyFont="1" applyFill="1" applyBorder="1" applyAlignment="1" applyProtection="1">
      <alignment horizontal="center" vertical="center" wrapText="1" shrinkToFit="1"/>
      <protection locked="0"/>
    </xf>
    <xf numFmtId="0" fontId="11" fillId="3" borderId="16" xfId="177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177" applyFont="1" applyFill="1" applyBorder="1" applyAlignment="1" applyProtection="1">
      <alignment horizontal="center" vertical="center" wrapText="1"/>
      <protection locked="0"/>
    </xf>
    <xf numFmtId="0" fontId="6" fillId="0" borderId="13" xfId="320" applyFont="1" applyFill="1" applyBorder="1" applyAlignment="1" applyProtection="1">
      <alignment horizontal="center" vertical="center" wrapText="1" shrinkToFit="1"/>
      <protection locked="0"/>
    </xf>
    <xf numFmtId="0" fontId="11" fillId="3" borderId="13" xfId="177" applyNumberFormat="1" applyFont="1" applyFill="1" applyBorder="1" applyAlignment="1" applyProtection="1">
      <alignment horizontal="center" vertical="center" wrapText="1"/>
      <protection locked="0"/>
    </xf>
    <xf numFmtId="0" fontId="6" fillId="3" borderId="27" xfId="320" applyFont="1" applyFill="1" applyBorder="1" applyAlignment="1" applyProtection="1">
      <alignment horizontal="center" vertical="center" wrapText="1" shrinkToFit="1"/>
      <protection locked="0"/>
    </xf>
    <xf numFmtId="0" fontId="11" fillId="2" borderId="13" xfId="177" applyFont="1" applyFill="1" applyBorder="1" applyAlignment="1" applyProtection="1">
      <alignment horizontal="center" vertical="center" wrapText="1"/>
      <protection locked="0"/>
    </xf>
    <xf numFmtId="0" fontId="6" fillId="2" borderId="13" xfId="320" applyFont="1" applyFill="1" applyBorder="1" applyAlignment="1" applyProtection="1">
      <alignment horizontal="center" vertical="center" wrapText="1" shrinkToFit="1"/>
      <protection locked="0"/>
    </xf>
    <xf numFmtId="182" fontId="12" fillId="0" borderId="10" xfId="320" applyNumberFormat="1" applyFont="1" applyFill="1" applyBorder="1" applyAlignment="1" applyProtection="1">
      <alignment horizontal="center" vertical="center" wrapText="1"/>
      <protection locked="0"/>
    </xf>
    <xf numFmtId="0" fontId="12" fillId="3" borderId="26" xfId="177" applyNumberFormat="1" applyFont="1" applyFill="1" applyBorder="1" applyAlignment="1" applyProtection="1">
      <alignment horizontal="center" vertical="center" wrapText="1"/>
      <protection locked="0"/>
    </xf>
    <xf numFmtId="182" fontId="12" fillId="2" borderId="10" xfId="320" applyNumberFormat="1" applyFont="1" applyFill="1" applyBorder="1" applyAlignment="1" applyProtection="1">
      <alignment horizontal="center" vertical="center" wrapText="1"/>
      <protection locked="0"/>
    </xf>
    <xf numFmtId="182" fontId="12" fillId="0" borderId="16" xfId="320" applyNumberFormat="1" applyFont="1" applyFill="1" applyBorder="1" applyAlignment="1" applyProtection="1">
      <alignment horizontal="center" vertical="center" wrapText="1"/>
      <protection locked="0"/>
    </xf>
    <xf numFmtId="0" fontId="12" fillId="3" borderId="28" xfId="177" applyNumberFormat="1" applyFont="1" applyFill="1" applyBorder="1" applyAlignment="1" applyProtection="1">
      <alignment horizontal="center" vertical="center" wrapText="1"/>
      <protection locked="0"/>
    </xf>
    <xf numFmtId="0" fontId="1" fillId="3" borderId="26" xfId="329" applyFont="1" applyFill="1" applyBorder="1" applyAlignment="1">
      <alignment horizontal="center" vertical="center" wrapText="1"/>
    </xf>
    <xf numFmtId="182" fontId="12" fillId="0" borderId="13" xfId="320" applyNumberFormat="1" applyFont="1" applyFill="1" applyBorder="1" applyAlignment="1" applyProtection="1">
      <alignment horizontal="center" vertical="center" wrapText="1"/>
      <protection locked="0"/>
    </xf>
    <xf numFmtId="0" fontId="12" fillId="3" borderId="27" xfId="177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329" applyFont="1" applyFill="1" applyBorder="1" applyAlignment="1">
      <alignment horizontal="center" vertical="center"/>
    </xf>
    <xf numFmtId="0" fontId="1" fillId="0" borderId="13" xfId="329" applyFont="1" applyFill="1" applyBorder="1" applyAlignment="1">
      <alignment horizontal="center" vertical="center"/>
    </xf>
    <xf numFmtId="0" fontId="1" fillId="2" borderId="16" xfId="329" applyFont="1" applyFill="1" applyBorder="1" applyAlignment="1">
      <alignment horizontal="center" vertical="center" wrapText="1"/>
    </xf>
    <xf numFmtId="0" fontId="4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177" applyFont="1" applyFill="1" applyBorder="1" applyAlignment="1" applyProtection="1">
      <alignment horizontal="center" vertical="center" wrapText="1"/>
      <protection locked="0"/>
    </xf>
    <xf numFmtId="0" fontId="4" fillId="0" borderId="10" xfId="502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502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177" applyFont="1" applyFill="1" applyBorder="1" applyAlignment="1" applyProtection="1">
      <alignment horizontal="center" vertical="center" wrapText="1"/>
      <protection locked="0"/>
    </xf>
    <xf numFmtId="0" fontId="4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329" applyNumberFormat="1" applyFont="1" applyFill="1" applyBorder="1" applyAlignment="1">
      <alignment horizontal="center" vertical="center"/>
    </xf>
    <xf numFmtId="180" fontId="1" fillId="0" borderId="10" xfId="329" applyNumberFormat="1" applyFont="1" applyFill="1" applyBorder="1" applyAlignment="1">
      <alignment horizontal="center" vertical="center"/>
    </xf>
    <xf numFmtId="0" fontId="1" fillId="0" borderId="10" xfId="419" applyNumberFormat="1" applyFont="1" applyFill="1" applyBorder="1" applyAlignment="1" applyProtection="1">
      <alignment horizontal="center" vertical="center" wrapText="1"/>
    </xf>
    <xf numFmtId="0" fontId="1" fillId="0" borderId="10" xfId="416" applyNumberFormat="1" applyFont="1" applyFill="1" applyBorder="1" applyAlignment="1" applyProtection="1">
      <alignment horizontal="center" vertical="center" wrapText="1"/>
    </xf>
    <xf numFmtId="0" fontId="23" fillId="0" borderId="10" xfId="637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180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180" fontId="4" fillId="2" borderId="10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1" fillId="3" borderId="10" xfId="329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3" xfId="637" applyFont="1" applyFill="1" applyBorder="1" applyAlignment="1">
      <alignment horizontal="center" vertical="center" wrapText="1"/>
    </xf>
    <xf numFmtId="0" fontId="1" fillId="0" borderId="13" xfId="637" applyFont="1" applyFill="1" applyBorder="1" applyAlignment="1">
      <alignment horizontal="center" vertical="center"/>
    </xf>
    <xf numFmtId="0" fontId="1" fillId="0" borderId="16" xfId="637" applyFont="1" applyFill="1" applyBorder="1" applyAlignment="1">
      <alignment horizontal="center" vertical="center" wrapText="1"/>
    </xf>
    <xf numFmtId="180" fontId="12" fillId="2" borderId="10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49" fontId="12" fillId="0" borderId="10" xfId="372" applyNumberFormat="1" applyFont="1" applyFill="1" applyBorder="1" applyAlignment="1">
      <alignment horizontal="center" vertical="center" wrapText="1"/>
    </xf>
    <xf numFmtId="0" fontId="1" fillId="2" borderId="10" xfId="177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177" applyNumberFormat="1" applyFont="1" applyFill="1" applyBorder="1" applyAlignment="1" applyProtection="1">
      <alignment horizontal="center" vertical="center" wrapText="1"/>
      <protection locked="0"/>
    </xf>
    <xf numFmtId="49" fontId="24" fillId="0" borderId="10" xfId="177" applyNumberFormat="1" applyFont="1" applyFill="1" applyBorder="1" applyAlignment="1" applyProtection="1">
      <alignment horizontal="center" vertical="center" wrapText="1"/>
      <protection locked="0"/>
    </xf>
    <xf numFmtId="49" fontId="24" fillId="0" borderId="10" xfId="320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320" applyFont="1" applyFill="1" applyBorder="1" applyAlignment="1" applyProtection="1">
      <alignment horizontal="center" vertical="center" wrapText="1"/>
      <protection locked="0"/>
    </xf>
    <xf numFmtId="0" fontId="1" fillId="2" borderId="13" xfId="177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177" applyNumberFormat="1" applyFont="1" applyFill="1" applyBorder="1" applyAlignment="1" applyProtection="1">
      <alignment horizontal="center" vertical="center" wrapText="1"/>
      <protection locked="0"/>
    </xf>
    <xf numFmtId="49" fontId="24" fillId="0" borderId="13" xfId="177" applyNumberFormat="1" applyFont="1" applyFill="1" applyBorder="1" applyAlignment="1" applyProtection="1">
      <alignment horizontal="center" vertical="center" wrapText="1"/>
      <protection locked="0"/>
    </xf>
    <xf numFmtId="49" fontId="24" fillId="0" borderId="13" xfId="32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637" applyFont="1" applyFill="1" applyBorder="1" applyAlignment="1">
      <alignment horizontal="center" vertical="center"/>
    </xf>
    <xf numFmtId="49" fontId="1" fillId="2" borderId="10" xfId="177" applyNumberFormat="1" applyFont="1" applyFill="1" applyBorder="1" applyAlignment="1" applyProtection="1">
      <alignment horizontal="center" vertical="center" wrapText="1"/>
      <protection locked="0"/>
    </xf>
    <xf numFmtId="49" fontId="24" fillId="2" borderId="10" xfId="177" applyNumberFormat="1" applyFont="1" applyFill="1" applyBorder="1" applyAlignment="1" applyProtection="1">
      <alignment horizontal="center" vertical="center" wrapText="1"/>
      <protection locked="0"/>
    </xf>
    <xf numFmtId="49" fontId="24" fillId="2" borderId="10" xfId="320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177" applyNumberFormat="1" applyFont="1" applyFill="1" applyBorder="1" applyAlignment="1" applyProtection="1">
      <alignment horizontal="center" vertical="center" wrapText="1"/>
      <protection locked="0"/>
    </xf>
    <xf numFmtId="49" fontId="1" fillId="0" borderId="16" xfId="177" applyNumberFormat="1" applyFont="1" applyFill="1" applyBorder="1" applyAlignment="1" applyProtection="1">
      <alignment horizontal="center" vertical="center" wrapText="1"/>
      <protection locked="0"/>
    </xf>
    <xf numFmtId="49" fontId="24" fillId="0" borderId="16" xfId="177" applyNumberFormat="1" applyFont="1" applyFill="1" applyBorder="1" applyAlignment="1" applyProtection="1">
      <alignment horizontal="center" vertical="center" wrapText="1"/>
      <protection locked="0"/>
    </xf>
    <xf numFmtId="49" fontId="24" fillId="0" borderId="16" xfId="320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320" applyNumberFormat="1" applyFont="1" applyFill="1" applyBorder="1" applyAlignment="1" applyProtection="1">
      <alignment horizontal="center" vertical="center" wrapText="1"/>
      <protection locked="0"/>
    </xf>
    <xf numFmtId="182" fontId="12" fillId="4" borderId="10" xfId="320" applyNumberFormat="1" applyFont="1" applyFill="1" applyBorder="1" applyAlignment="1" applyProtection="1">
      <alignment horizontal="center" vertical="center" wrapText="1"/>
      <protection locked="0"/>
    </xf>
    <xf numFmtId="0" fontId="18" fillId="0" borderId="10" xfId="329" applyNumberFormat="1" applyFont="1" applyFill="1" applyBorder="1" applyAlignment="1">
      <alignment horizontal="center" vertical="center" wrapText="1"/>
    </xf>
    <xf numFmtId="0" fontId="19" fillId="0" borderId="10" xfId="329" applyFont="1" applyFill="1" applyBorder="1" applyAlignment="1">
      <alignment horizontal="center" vertical="center"/>
    </xf>
    <xf numFmtId="49" fontId="12" fillId="4" borderId="7" xfId="320" applyNumberFormat="1" applyFont="1" applyFill="1" applyBorder="1" applyAlignment="1" applyProtection="1">
      <alignment horizontal="center" vertical="center" wrapText="1"/>
      <protection locked="0"/>
    </xf>
    <xf numFmtId="49" fontId="12" fillId="0" borderId="10" xfId="329" applyNumberFormat="1" applyFont="1" applyFill="1" applyBorder="1" applyAlignment="1">
      <alignment horizontal="center" vertical="center" wrapText="1"/>
    </xf>
    <xf numFmtId="182" fontId="4" fillId="4" borderId="7" xfId="502" applyNumberFormat="1" applyFont="1" applyFill="1" applyBorder="1" applyAlignment="1" applyProtection="1">
      <alignment horizontal="center" vertical="center" wrapText="1"/>
      <protection locked="0"/>
    </xf>
    <xf numFmtId="182" fontId="12" fillId="4" borderId="7" xfId="32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422" applyNumberFormat="1" applyFont="1" applyFill="1" applyBorder="1" applyAlignment="1" applyProtection="1">
      <alignment horizontal="center" vertical="center" wrapText="1"/>
    </xf>
    <xf numFmtId="0" fontId="19" fillId="0" borderId="10" xfId="261" applyNumberFormat="1" applyFont="1" applyFill="1" applyBorder="1" applyAlignment="1" applyProtection="1">
      <alignment horizontal="center" vertical="center" wrapText="1"/>
    </xf>
    <xf numFmtId="0" fontId="1" fillId="0" borderId="10" xfId="329" applyNumberFormat="1" applyFont="1" applyFill="1" applyBorder="1" applyAlignment="1">
      <alignment horizontal="center" vertical="center" wrapText="1"/>
    </xf>
    <xf numFmtId="183" fontId="12" fillId="0" borderId="10" xfId="320" applyNumberFormat="1" applyFont="1" applyFill="1" applyBorder="1" applyAlignment="1" applyProtection="1">
      <alignment horizontal="center" vertical="center" wrapText="1"/>
      <protection locked="0"/>
    </xf>
    <xf numFmtId="49" fontId="12" fillId="4" borderId="13" xfId="320" applyNumberFormat="1" applyFont="1" applyFill="1" applyBorder="1" applyAlignment="1" applyProtection="1">
      <alignment horizontal="center" vertical="center" wrapText="1"/>
      <protection locked="0"/>
    </xf>
    <xf numFmtId="49" fontId="12" fillId="0" borderId="13" xfId="329" applyNumberFormat="1" applyFont="1" applyFill="1" applyBorder="1" applyAlignment="1">
      <alignment horizontal="center" vertical="center" wrapText="1"/>
    </xf>
    <xf numFmtId="49" fontId="12" fillId="0" borderId="13" xfId="32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329" applyNumberFormat="1" applyFont="1" applyFill="1" applyBorder="1" applyAlignment="1">
      <alignment horizontal="center" vertical="center"/>
    </xf>
    <xf numFmtId="183" fontId="12" fillId="2" borderId="10" xfId="320" applyNumberFormat="1" applyFont="1" applyFill="1" applyBorder="1" applyAlignment="1" applyProtection="1">
      <alignment horizontal="center" vertical="center" wrapText="1"/>
      <protection locked="0"/>
    </xf>
    <xf numFmtId="183" fontId="12" fillId="0" borderId="16" xfId="320" applyNumberFormat="1" applyFont="1" applyFill="1" applyBorder="1" applyAlignment="1" applyProtection="1">
      <alignment horizontal="center" vertical="center" wrapText="1"/>
      <protection locked="0"/>
    </xf>
    <xf numFmtId="0" fontId="1" fillId="5" borderId="21" xfId="329" applyFont="1" applyFill="1" applyBorder="1" applyAlignment="1">
      <alignment horizontal="center" vertical="center" wrapText="1"/>
    </xf>
    <xf numFmtId="0" fontId="1" fillId="5" borderId="29" xfId="329" applyFont="1" applyFill="1" applyBorder="1" applyAlignment="1">
      <alignment horizontal="center" vertical="center"/>
    </xf>
    <xf numFmtId="0" fontId="1" fillId="5" borderId="7" xfId="329" applyFont="1" applyFill="1" applyBorder="1" applyAlignment="1">
      <alignment horizontal="center" vertical="center"/>
    </xf>
    <xf numFmtId="0" fontId="1" fillId="5" borderId="30" xfId="329" applyFont="1" applyFill="1" applyBorder="1" applyAlignment="1">
      <alignment horizontal="center" vertical="center"/>
    </xf>
    <xf numFmtId="0" fontId="1" fillId="5" borderId="31" xfId="329" applyFont="1" applyFill="1" applyBorder="1" applyAlignment="1">
      <alignment horizontal="center" vertical="center"/>
    </xf>
    <xf numFmtId="0" fontId="1" fillId="5" borderId="32" xfId="329" applyFont="1" applyFill="1" applyBorder="1" applyAlignment="1">
      <alignment horizontal="center" vertical="center"/>
    </xf>
    <xf numFmtId="49" fontId="4" fillId="4" borderId="7" xfId="502" applyNumberFormat="1" applyFont="1" applyFill="1" applyBorder="1" applyAlignment="1" applyProtection="1">
      <alignment horizontal="center" vertical="center" wrapText="1"/>
      <protection locked="0"/>
    </xf>
    <xf numFmtId="185" fontId="1" fillId="4" borderId="7" xfId="25" applyNumberFormat="1" applyFont="1" applyFill="1" applyBorder="1" applyAlignment="1" applyProtection="1">
      <alignment horizontal="center" vertical="center" wrapText="1"/>
      <protection locked="0"/>
    </xf>
    <xf numFmtId="10" fontId="1" fillId="4" borderId="7" xfId="25" applyNumberFormat="1" applyFont="1" applyFill="1" applyBorder="1" applyAlignment="1" applyProtection="1">
      <alignment horizontal="center" vertical="center" wrapText="1"/>
      <protection locked="0"/>
    </xf>
    <xf numFmtId="0" fontId="1" fillId="5" borderId="33" xfId="329" applyFont="1" applyFill="1" applyBorder="1" applyAlignment="1">
      <alignment horizontal="center" vertical="center" wrapText="1"/>
    </xf>
    <xf numFmtId="0" fontId="1" fillId="5" borderId="33" xfId="637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 wrapText="1"/>
    </xf>
    <xf numFmtId="0" fontId="1" fillId="5" borderId="20" xfId="637" applyFont="1" applyFill="1" applyBorder="1" applyAlignment="1">
      <alignment horizontal="center" vertical="center"/>
    </xf>
    <xf numFmtId="0" fontId="1" fillId="0" borderId="34" xfId="329" applyFont="1" applyFill="1" applyBorder="1" applyAlignment="1">
      <alignment horizontal="center" vertical="center"/>
    </xf>
    <xf numFmtId="0" fontId="1" fillId="0" borderId="35" xfId="265" applyNumberFormat="1" applyFont="1" applyFill="1" applyBorder="1" applyAlignment="1" applyProtection="1">
      <alignment horizontal="center" vertical="center" wrapText="1"/>
    </xf>
    <xf numFmtId="0" fontId="4" fillId="3" borderId="10" xfId="0" applyNumberFormat="1" applyFont="1" applyFill="1" applyBorder="1" applyAlignment="1">
      <alignment horizontal="center" vertical="center" wrapText="1"/>
    </xf>
    <xf numFmtId="0" fontId="12" fillId="0" borderId="17" xfId="177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329" applyFont="1" applyFill="1" applyBorder="1" applyAlignment="1">
      <alignment horizontal="center" vertical="center" wrapText="1"/>
    </xf>
    <xf numFmtId="182" fontId="12" fillId="0" borderId="20" xfId="320" applyNumberFormat="1" applyFont="1" applyFill="1" applyBorder="1" applyAlignment="1" applyProtection="1">
      <alignment horizontal="center" vertical="center" wrapText="1"/>
      <protection locked="0"/>
    </xf>
    <xf numFmtId="0" fontId="12" fillId="3" borderId="10" xfId="177" applyFont="1" applyFill="1" applyBorder="1" applyAlignment="1" applyProtection="1">
      <alignment horizontal="center" vertical="center" wrapText="1"/>
      <protection locked="0"/>
    </xf>
    <xf numFmtId="0" fontId="12" fillId="3" borderId="10" xfId="177" applyNumberFormat="1" applyFont="1" applyFill="1" applyBorder="1" applyAlignment="1" applyProtection="1">
      <alignment horizontal="center" vertical="center" wrapText="1"/>
      <protection locked="0"/>
    </xf>
    <xf numFmtId="0" fontId="16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12" fillId="0" borderId="36" xfId="177" applyFont="1" applyFill="1" applyBorder="1" applyAlignment="1" applyProtection="1">
      <alignment horizontal="center" vertical="center" wrapText="1"/>
      <protection locked="0"/>
    </xf>
    <xf numFmtId="0" fontId="12" fillId="0" borderId="36" xfId="177" applyNumberFormat="1" applyFont="1" applyFill="1" applyBorder="1" applyAlignment="1" applyProtection="1">
      <alignment horizontal="center" vertical="center" wrapText="1"/>
      <protection locked="0"/>
    </xf>
    <xf numFmtId="180" fontId="1" fillId="0" borderId="10" xfId="329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36" xfId="637" applyFont="1" applyFill="1" applyBorder="1" applyAlignment="1">
      <alignment horizontal="center" vertical="center" wrapText="1"/>
    </xf>
    <xf numFmtId="0" fontId="1" fillId="0" borderId="36" xfId="329" applyFont="1" applyFill="1" applyBorder="1" applyAlignment="1">
      <alignment horizontal="center" vertical="center" wrapText="1"/>
    </xf>
    <xf numFmtId="0" fontId="12" fillId="3" borderId="10" xfId="320" applyFont="1" applyFill="1" applyBorder="1" applyAlignment="1" applyProtection="1">
      <alignment horizontal="center" vertical="center" wrapText="1"/>
      <protection locked="0"/>
    </xf>
    <xf numFmtId="49" fontId="6" fillId="3" borderId="10" xfId="177" applyNumberFormat="1" applyFont="1" applyFill="1" applyBorder="1" applyAlignment="1" applyProtection="1">
      <alignment horizontal="center" vertical="center" wrapText="1"/>
      <protection locked="0"/>
    </xf>
    <xf numFmtId="49" fontId="6" fillId="3" borderId="10" xfId="320" applyNumberFormat="1" applyFont="1" applyFill="1" applyBorder="1" applyAlignment="1" applyProtection="1">
      <alignment horizontal="center" vertical="center" wrapText="1"/>
      <protection locked="0"/>
    </xf>
    <xf numFmtId="0" fontId="0" fillId="3" borderId="10" xfId="329" applyFill="1" applyBorder="1">
      <alignment vertical="center"/>
    </xf>
    <xf numFmtId="0" fontId="4" fillId="0" borderId="10" xfId="627" applyNumberFormat="1" applyFont="1" applyFill="1" applyBorder="1" applyAlignment="1">
      <alignment horizontal="center" vertical="center" wrapText="1"/>
    </xf>
    <xf numFmtId="49" fontId="4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502" applyFont="1" applyFill="1" applyBorder="1" applyAlignment="1" applyProtection="1">
      <alignment horizontal="center" vertical="center" wrapText="1"/>
      <protection locked="0"/>
    </xf>
    <xf numFmtId="49" fontId="4" fillId="0" borderId="10" xfId="502" applyNumberFormat="1" applyFont="1" applyFill="1" applyBorder="1" applyAlignment="1" applyProtection="1">
      <alignment horizontal="center" vertical="center" wrapText="1"/>
      <protection locked="0"/>
    </xf>
    <xf numFmtId="0" fontId="12" fillId="0" borderId="36" xfId="320" applyFont="1" applyFill="1" applyBorder="1" applyAlignment="1" applyProtection="1">
      <alignment horizontal="center" vertical="center" wrapText="1"/>
      <protection locked="0"/>
    </xf>
    <xf numFmtId="0" fontId="11" fillId="2" borderId="36" xfId="177" applyNumberFormat="1" applyFont="1" applyFill="1" applyBorder="1" applyAlignment="1" applyProtection="1">
      <alignment horizontal="center" vertical="center" wrapText="1"/>
      <protection locked="0"/>
    </xf>
    <xf numFmtId="49" fontId="11" fillId="0" borderId="36" xfId="177" applyNumberFormat="1" applyFont="1" applyFill="1" applyBorder="1" applyAlignment="1" applyProtection="1">
      <alignment horizontal="center" vertical="center" wrapText="1"/>
      <protection locked="0"/>
    </xf>
    <xf numFmtId="49" fontId="6" fillId="0" borderId="36" xfId="177" applyNumberFormat="1" applyFont="1" applyFill="1" applyBorder="1" applyAlignment="1" applyProtection="1">
      <alignment horizontal="center" vertical="center" wrapText="1"/>
      <protection locked="0"/>
    </xf>
    <xf numFmtId="49" fontId="6" fillId="0" borderId="36" xfId="320" applyNumberFormat="1" applyFont="1" applyFill="1" applyBorder="1" applyAlignment="1" applyProtection="1">
      <alignment horizontal="center" vertical="center" wrapText="1"/>
      <protection locked="0"/>
    </xf>
    <xf numFmtId="182" fontId="12" fillId="4" borderId="10" xfId="502" applyNumberFormat="1" applyFont="1" applyFill="1" applyBorder="1" applyAlignment="1" applyProtection="1">
      <alignment horizontal="center" vertical="center" wrapText="1"/>
      <protection locked="0"/>
    </xf>
    <xf numFmtId="49" fontId="12" fillId="3" borderId="10" xfId="320" applyNumberFormat="1" applyFont="1" applyFill="1" applyBorder="1" applyAlignment="1" applyProtection="1">
      <alignment horizontal="center" vertical="center" wrapText="1"/>
      <protection locked="0"/>
    </xf>
    <xf numFmtId="185" fontId="4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4" fillId="4" borderId="10" xfId="177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19" fillId="0" borderId="36" xfId="329" applyFont="1" applyFill="1" applyBorder="1" applyAlignment="1">
      <alignment horizontal="center" vertical="center" wrapText="1"/>
    </xf>
    <xf numFmtId="49" fontId="12" fillId="0" borderId="36" xfId="320" applyNumberFormat="1" applyFont="1" applyFill="1" applyBorder="1" applyAlignment="1" applyProtection="1">
      <alignment horizontal="center" vertical="center" wrapText="1"/>
      <protection locked="0"/>
    </xf>
    <xf numFmtId="182" fontId="12" fillId="0" borderId="36" xfId="320" applyNumberFormat="1" applyFont="1" applyFill="1" applyBorder="1" applyAlignment="1" applyProtection="1">
      <alignment horizontal="center" vertical="center" wrapText="1"/>
      <protection locked="0"/>
    </xf>
    <xf numFmtId="182" fontId="12" fillId="4" borderId="37" xfId="320" applyNumberFormat="1" applyFont="1" applyFill="1" applyBorder="1" applyAlignment="1" applyProtection="1">
      <alignment horizontal="center" vertical="center" wrapText="1"/>
      <protection locked="0"/>
    </xf>
    <xf numFmtId="49" fontId="12" fillId="4" borderId="10" xfId="502" applyNumberFormat="1" applyFont="1" applyFill="1" applyBorder="1" applyAlignment="1" applyProtection="1">
      <alignment horizontal="center" vertical="center" wrapText="1"/>
      <protection locked="0"/>
    </xf>
    <xf numFmtId="49" fontId="18" fillId="4" borderId="8" xfId="320" applyNumberFormat="1" applyFont="1" applyFill="1" applyBorder="1" applyAlignment="1" applyProtection="1">
      <alignment horizontal="center" vertical="center" wrapText="1"/>
      <protection locked="0"/>
    </xf>
    <xf numFmtId="0" fontId="1" fillId="5" borderId="8" xfId="329" applyFont="1" applyFill="1" applyBorder="1" applyAlignment="1">
      <alignment horizontal="center" vertical="center" wrapText="1"/>
    </xf>
    <xf numFmtId="49" fontId="18" fillId="4" borderId="17" xfId="320" applyNumberFormat="1" applyFont="1" applyFill="1" applyBorder="1" applyAlignment="1" applyProtection="1">
      <alignment horizontal="center" vertical="center" wrapText="1"/>
      <protection locked="0"/>
    </xf>
    <xf numFmtId="0" fontId="11" fillId="5" borderId="10" xfId="637" applyFont="1" applyFill="1" applyBorder="1" applyAlignment="1">
      <alignment horizontal="center" vertical="center" wrapText="1"/>
    </xf>
    <xf numFmtId="0" fontId="4" fillId="4" borderId="10" xfId="502" applyNumberFormat="1" applyFont="1" applyFill="1" applyBorder="1" applyAlignment="1" applyProtection="1">
      <alignment horizontal="center" vertical="center" wrapText="1"/>
      <protection locked="0"/>
    </xf>
    <xf numFmtId="0" fontId="25" fillId="4" borderId="10" xfId="177" applyNumberFormat="1" applyFont="1" applyFill="1" applyBorder="1" applyAlignment="1" applyProtection="1">
      <alignment horizontal="center" vertical="center" wrapText="1"/>
      <protection locked="0"/>
    </xf>
    <xf numFmtId="49" fontId="4" fillId="4" borderId="10" xfId="25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637" applyFont="1" applyFill="1" applyBorder="1" applyAlignment="1">
      <alignment horizontal="center" vertical="center" wrapText="1"/>
    </xf>
    <xf numFmtId="0" fontId="1" fillId="5" borderId="38" xfId="329" applyFont="1" applyFill="1" applyBorder="1" applyAlignment="1">
      <alignment horizontal="center" vertical="center" wrapText="1"/>
    </xf>
    <xf numFmtId="0" fontId="1" fillId="5" borderId="39" xfId="329" applyFont="1" applyFill="1" applyBorder="1" applyAlignment="1">
      <alignment horizontal="center" vertical="center" wrapText="1"/>
    </xf>
    <xf numFmtId="182" fontId="12" fillId="3" borderId="10" xfId="320" applyNumberFormat="1" applyFont="1" applyFill="1" applyBorder="1" applyAlignment="1" applyProtection="1">
      <alignment horizontal="center" vertical="center" wrapText="1"/>
      <protection locked="0"/>
    </xf>
    <xf numFmtId="182" fontId="4" fillId="0" borderId="10" xfId="25" applyNumberFormat="1" applyFont="1" applyFill="1" applyBorder="1" applyAlignment="1" applyProtection="1">
      <alignment horizontal="center" vertical="center" wrapText="1"/>
      <protection locked="0"/>
    </xf>
    <xf numFmtId="49" fontId="4" fillId="3" borderId="10" xfId="177" applyNumberFormat="1" applyFont="1" applyFill="1" applyBorder="1" applyAlignment="1" applyProtection="1">
      <alignment horizontal="center" vertical="center" wrapText="1"/>
      <protection locked="0"/>
    </xf>
    <xf numFmtId="0" fontId="12" fillId="3" borderId="40" xfId="17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5" applyFont="1" applyFill="1" applyBorder="1" applyAlignment="1" applyProtection="1">
      <alignment horizontal="center" vertical="center" wrapText="1"/>
      <protection locked="0"/>
    </xf>
    <xf numFmtId="0" fontId="17" fillId="2" borderId="0" xfId="177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177" applyNumberFormat="1" applyFont="1" applyFill="1" applyBorder="1" applyAlignment="1" applyProtection="1">
      <alignment horizontal="center" vertical="center" wrapText="1"/>
      <protection locked="0"/>
    </xf>
    <xf numFmtId="0" fontId="26" fillId="2" borderId="0" xfId="177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177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77" applyNumberFormat="1" applyFont="1" applyFill="1" applyAlignment="1" applyProtection="1">
      <alignment horizontal="center" vertical="center" wrapText="1"/>
      <protection locked="0"/>
    </xf>
    <xf numFmtId="0" fontId="28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77" applyNumberFormat="1" applyFont="1" applyFill="1" applyBorder="1" applyAlignment="1" applyProtection="1">
      <alignment horizontal="left" vertical="center" wrapText="1"/>
      <protection locked="0"/>
    </xf>
    <xf numFmtId="0" fontId="28" fillId="0" borderId="0" xfId="177" applyFont="1" applyFill="1" applyBorder="1" applyAlignment="1" applyProtection="1">
      <alignment horizontal="center" vertical="center" wrapText="1"/>
      <protection locked="0"/>
    </xf>
    <xf numFmtId="49" fontId="28" fillId="0" borderId="0" xfId="177" applyNumberFormat="1" applyFont="1" applyFill="1" applyBorder="1" applyAlignment="1" applyProtection="1">
      <alignment horizontal="center" vertical="center" wrapText="1"/>
      <protection locked="0"/>
    </xf>
    <xf numFmtId="184" fontId="28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28" fillId="3" borderId="0" xfId="177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77" applyNumberFormat="1" applyFont="1" applyFill="1" applyBorder="1" applyAlignment="1" applyProtection="1">
      <alignment horizontal="right" vertical="center" wrapText="1"/>
      <protection locked="0"/>
    </xf>
    <xf numFmtId="0" fontId="7" fillId="0" borderId="22" xfId="177" applyFont="1" applyFill="1" applyBorder="1" applyAlignment="1" applyProtection="1">
      <alignment horizontal="left" vertical="center"/>
      <protection locked="0"/>
    </xf>
    <xf numFmtId="0" fontId="7" fillId="0" borderId="12" xfId="177" applyFont="1" applyFill="1" applyBorder="1" applyAlignment="1" applyProtection="1">
      <alignment horizontal="left" vertical="center"/>
      <protection locked="0"/>
    </xf>
    <xf numFmtId="0" fontId="7" fillId="0" borderId="15" xfId="177" applyFont="1" applyFill="1" applyBorder="1" applyAlignment="1" applyProtection="1">
      <alignment horizontal="left" vertical="center"/>
      <protection locked="0"/>
    </xf>
    <xf numFmtId="0" fontId="8" fillId="0" borderId="22" xfId="177" applyFont="1" applyFill="1" applyBorder="1" applyAlignment="1" applyProtection="1">
      <alignment horizontal="left" vertical="center"/>
      <protection locked="0"/>
    </xf>
    <xf numFmtId="0" fontId="8" fillId="0" borderId="12" xfId="177" applyFont="1" applyFill="1" applyBorder="1" applyAlignment="1" applyProtection="1">
      <alignment horizontal="left" vertical="center"/>
      <protection locked="0"/>
    </xf>
    <xf numFmtId="0" fontId="7" fillId="0" borderId="8" xfId="177" applyFont="1" applyFill="1" applyBorder="1" applyAlignment="1" applyProtection="1">
      <alignment horizontal="left" vertical="center"/>
      <protection locked="0"/>
    </xf>
    <xf numFmtId="0" fontId="8" fillId="0" borderId="10" xfId="177" applyFont="1" applyFill="1" applyBorder="1" applyAlignment="1" applyProtection="1">
      <alignment horizontal="left" vertical="center"/>
      <protection locked="0"/>
    </xf>
    <xf numFmtId="0" fontId="8" fillId="0" borderId="10" xfId="177" applyFont="1" applyFill="1" applyBorder="1" applyAlignment="1" applyProtection="1">
      <alignment horizontal="left" vertical="center" wrapText="1"/>
      <protection locked="0"/>
    </xf>
    <xf numFmtId="0" fontId="8" fillId="0" borderId="10" xfId="177" applyFont="1" applyFill="1" applyBorder="1" applyAlignment="1" applyProtection="1">
      <alignment horizontal="center" vertical="center" wrapText="1"/>
      <protection locked="0"/>
    </xf>
    <xf numFmtId="0" fontId="8" fillId="0" borderId="10" xfId="177" applyFont="1" applyFill="1" applyBorder="1" applyAlignment="1" applyProtection="1">
      <alignment horizontal="center" vertical="top" wrapText="1"/>
      <protection locked="0"/>
    </xf>
    <xf numFmtId="0" fontId="17" fillId="0" borderId="10" xfId="25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17" fillId="0" borderId="16" xfId="25" applyNumberFormat="1" applyFont="1" applyFill="1" applyBorder="1" applyAlignment="1" applyProtection="1">
      <alignment horizontal="center" vertical="center" wrapText="1"/>
      <protection locked="0"/>
    </xf>
    <xf numFmtId="0" fontId="16" fillId="0" borderId="16" xfId="177" applyFont="1" applyFill="1" applyBorder="1" applyAlignment="1" applyProtection="1">
      <alignment horizontal="center" vertical="center" wrapText="1"/>
      <protection locked="0"/>
    </xf>
    <xf numFmtId="0" fontId="16" fillId="2" borderId="10" xfId="177" applyFont="1" applyFill="1" applyBorder="1" applyAlignment="1" applyProtection="1">
      <alignment horizontal="center" vertical="center" wrapText="1"/>
      <protection locked="0"/>
    </xf>
    <xf numFmtId="0" fontId="16" fillId="2" borderId="10" xfId="0" applyNumberFormat="1" applyFont="1" applyFill="1" applyBorder="1" applyAlignment="1">
      <alignment horizontal="center" vertical="center" wrapText="1"/>
    </xf>
    <xf numFmtId="186" fontId="16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29" fillId="2" borderId="10" xfId="0" applyNumberFormat="1" applyFont="1" applyFill="1" applyBorder="1" applyAlignment="1">
      <alignment horizontal="center" vertical="center" wrapText="1"/>
    </xf>
    <xf numFmtId="0" fontId="29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26" fillId="2" borderId="10" xfId="177" applyNumberFormat="1" applyFont="1" applyFill="1" applyBorder="1" applyAlignment="1" applyProtection="1">
      <alignment horizontal="center" vertical="center" wrapText="1"/>
      <protection locked="0"/>
    </xf>
    <xf numFmtId="186" fontId="29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>
      <alignment horizontal="center" vertical="center" wrapText="1"/>
    </xf>
    <xf numFmtId="0" fontId="29" fillId="2" borderId="10" xfId="502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177" applyFont="1" applyFill="1" applyBorder="1" applyAlignment="1" applyProtection="1">
      <alignment horizontal="left" vertical="center"/>
      <protection locked="0"/>
    </xf>
    <xf numFmtId="0" fontId="8" fillId="0" borderId="22" xfId="177" applyFont="1" applyFill="1" applyBorder="1" applyAlignment="1" applyProtection="1">
      <alignment horizontal="left" vertical="center" wrapText="1"/>
      <protection locked="0"/>
    </xf>
    <xf numFmtId="0" fontId="8" fillId="0" borderId="12" xfId="177" applyFont="1" applyFill="1" applyBorder="1" applyAlignment="1" applyProtection="1">
      <alignment horizontal="left" vertical="center" wrapText="1"/>
      <protection locked="0"/>
    </xf>
    <xf numFmtId="0" fontId="8" fillId="0" borderId="15" xfId="177" applyFont="1" applyFill="1" applyBorder="1" applyAlignment="1" applyProtection="1">
      <alignment horizontal="left" vertical="center" wrapText="1"/>
      <protection locked="0"/>
    </xf>
    <xf numFmtId="0" fontId="30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177" applyFont="1" applyFill="1" applyBorder="1" applyAlignment="1" applyProtection="1">
      <alignment horizontal="left" vertical="center" wrapText="1"/>
      <protection locked="0"/>
    </xf>
    <xf numFmtId="0" fontId="17" fillId="0" borderId="16" xfId="177" applyNumberFormat="1" applyFont="1" applyFill="1" applyBorder="1" applyAlignment="1" applyProtection="1">
      <alignment horizontal="center" vertical="center" wrapText="1"/>
      <protection locked="0"/>
    </xf>
    <xf numFmtId="49" fontId="17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16" fillId="0" borderId="16" xfId="25" applyNumberFormat="1" applyFont="1" applyFill="1" applyBorder="1" applyAlignment="1" applyProtection="1">
      <alignment horizontal="center" vertical="center" wrapText="1"/>
      <protection locked="0"/>
    </xf>
    <xf numFmtId="0" fontId="17" fillId="0" borderId="18" xfId="177" applyNumberFormat="1" applyFont="1" applyFill="1" applyBorder="1" applyAlignment="1" applyProtection="1">
      <alignment horizontal="center" vertical="center" wrapText="1"/>
      <protection locked="0"/>
    </xf>
    <xf numFmtId="49" fontId="17" fillId="0" borderId="16" xfId="177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177" applyNumberFormat="1" applyFont="1" applyFill="1" applyBorder="1" applyAlignment="1" applyProtection="1">
      <alignment horizontal="center" vertical="center" wrapText="1"/>
      <protection locked="0"/>
    </xf>
    <xf numFmtId="49" fontId="16" fillId="0" borderId="10" xfId="0" applyNumberFormat="1" applyFont="1" applyFill="1" applyBorder="1" applyAlignment="1">
      <alignment horizontal="center" vertical="center" wrapText="1"/>
    </xf>
    <xf numFmtId="0" fontId="17" fillId="2" borderId="10" xfId="637" applyFont="1" applyFill="1" applyBorder="1" applyAlignment="1">
      <alignment horizontal="center" vertical="center"/>
    </xf>
    <xf numFmtId="0" fontId="31" fillId="2" borderId="10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2" borderId="10" xfId="637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 wrapText="1"/>
    </xf>
    <xf numFmtId="182" fontId="16" fillId="2" borderId="10" xfId="502" applyNumberFormat="1" applyFont="1" applyFill="1" applyBorder="1" applyAlignment="1" applyProtection="1">
      <alignment horizontal="center" vertical="center" wrapText="1"/>
      <protection locked="0"/>
    </xf>
    <xf numFmtId="182" fontId="16" fillId="0" borderId="10" xfId="502" applyNumberFormat="1" applyFont="1" applyFill="1" applyBorder="1" applyAlignment="1" applyProtection="1">
      <alignment horizontal="center" vertical="center" wrapText="1"/>
      <protection locked="0"/>
    </xf>
    <xf numFmtId="182" fontId="29" fillId="0" borderId="10" xfId="502" applyNumberFormat="1" applyFont="1" applyFill="1" applyBorder="1" applyAlignment="1" applyProtection="1">
      <alignment horizontal="center" vertical="center" wrapText="1"/>
      <protection locked="0"/>
    </xf>
    <xf numFmtId="0" fontId="0" fillId="2" borderId="10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9" fillId="0" borderId="10" xfId="0" applyNumberFormat="1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 vertical="center" wrapText="1"/>
    </xf>
    <xf numFmtId="0" fontId="26" fillId="2" borderId="10" xfId="0" applyNumberFormat="1" applyFont="1" applyFill="1" applyBorder="1" applyAlignment="1">
      <alignment horizontal="center" vertical="center" wrapText="1"/>
    </xf>
    <xf numFmtId="0" fontId="29" fillId="0" borderId="10" xfId="502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502" applyNumberFormat="1" applyFont="1" applyFill="1" applyBorder="1" applyAlignment="1" applyProtection="1">
      <alignment horizontal="center" vertical="center" wrapText="1"/>
      <protection locked="0"/>
    </xf>
    <xf numFmtId="49" fontId="17" fillId="0" borderId="10" xfId="177" applyNumberFormat="1" applyFont="1" applyFill="1" applyBorder="1" applyAlignment="1" applyProtection="1">
      <alignment horizontal="center" vertical="top" wrapText="1"/>
      <protection locked="0"/>
    </xf>
    <xf numFmtId="0" fontId="5" fillId="0" borderId="10" xfId="177" applyNumberFormat="1" applyFont="1" applyFill="1" applyBorder="1" applyAlignment="1" applyProtection="1">
      <alignment horizontal="center" vertical="top" wrapText="1"/>
      <protection locked="0"/>
    </xf>
    <xf numFmtId="49" fontId="5" fillId="0" borderId="10" xfId="177" applyNumberFormat="1" applyFont="1" applyFill="1" applyBorder="1" applyAlignment="1" applyProtection="1">
      <alignment horizontal="center" vertical="top" wrapText="1"/>
      <protection locked="0"/>
    </xf>
    <xf numFmtId="49" fontId="5" fillId="0" borderId="10" xfId="25" applyNumberFormat="1" applyFont="1" applyFill="1" applyBorder="1" applyAlignment="1" applyProtection="1">
      <alignment horizontal="center" vertical="top" wrapText="1"/>
      <protection locked="0"/>
    </xf>
    <xf numFmtId="49" fontId="17" fillId="0" borderId="16" xfId="177" applyNumberFormat="1" applyFont="1" applyFill="1" applyBorder="1" applyAlignment="1" applyProtection="1">
      <alignment horizontal="center" vertical="top" wrapText="1"/>
      <protection locked="0"/>
    </xf>
    <xf numFmtId="0" fontId="5" fillId="0" borderId="16" xfId="177" applyNumberFormat="1" applyFont="1" applyFill="1" applyBorder="1" applyAlignment="1" applyProtection="1">
      <alignment horizontal="center" vertical="top" wrapText="1"/>
      <protection locked="0"/>
    </xf>
    <xf numFmtId="49" fontId="5" fillId="0" borderId="16" xfId="177" applyNumberFormat="1" applyFont="1" applyFill="1" applyBorder="1" applyAlignment="1" applyProtection="1">
      <alignment horizontal="center" vertical="top" wrapText="1"/>
      <protection locked="0"/>
    </xf>
    <xf numFmtId="49" fontId="5" fillId="0" borderId="16" xfId="25" applyNumberFormat="1" applyFont="1" applyFill="1" applyBorder="1" applyAlignment="1" applyProtection="1">
      <alignment horizontal="center" vertical="top" wrapText="1"/>
      <protection locked="0"/>
    </xf>
    <xf numFmtId="181" fontId="14" fillId="2" borderId="10" xfId="0" applyNumberFormat="1" applyFont="1" applyFill="1" applyBorder="1" applyAlignment="1">
      <alignment horizontal="center" vertical="center" wrapText="1"/>
    </xf>
    <xf numFmtId="0" fontId="17" fillId="2" borderId="10" xfId="502" applyFont="1" applyFill="1" applyBorder="1" applyAlignment="1" applyProtection="1">
      <alignment horizontal="center" vertical="center" wrapText="1"/>
      <protection locked="0"/>
    </xf>
    <xf numFmtId="49" fontId="16" fillId="2" borderId="10" xfId="502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501" applyNumberFormat="1" applyFont="1" applyFill="1" applyBorder="1" applyAlignment="1" applyProtection="1">
      <alignment horizontal="center" vertical="center" wrapText="1"/>
      <protection locked="0"/>
    </xf>
    <xf numFmtId="0" fontId="17" fillId="2" borderId="10" xfId="503" applyFont="1" applyFill="1" applyBorder="1" applyAlignment="1" applyProtection="1">
      <alignment horizontal="center" vertical="center" wrapText="1"/>
      <protection locked="0"/>
    </xf>
    <xf numFmtId="181" fontId="32" fillId="2" borderId="10" xfId="0" applyNumberFormat="1" applyFont="1" applyFill="1" applyBorder="1" applyAlignment="1">
      <alignment horizontal="center" vertical="center" wrapText="1"/>
    </xf>
    <xf numFmtId="0" fontId="26" fillId="2" borderId="10" xfId="502" applyFont="1" applyFill="1" applyBorder="1" applyAlignment="1" applyProtection="1">
      <alignment horizontal="center" vertical="center" wrapText="1"/>
      <protection locked="0"/>
    </xf>
    <xf numFmtId="0" fontId="26" fillId="2" borderId="10" xfId="502" applyNumberFormat="1" applyFont="1" applyFill="1" applyBorder="1" applyAlignment="1" applyProtection="1">
      <alignment horizontal="center" vertical="center" wrapText="1"/>
      <protection locked="0"/>
    </xf>
    <xf numFmtId="49" fontId="29" fillId="2" borderId="10" xfId="502" applyNumberFormat="1" applyFont="1" applyFill="1" applyBorder="1" applyAlignment="1" applyProtection="1">
      <alignment horizontal="center" vertical="center" wrapText="1"/>
      <protection locked="0"/>
    </xf>
    <xf numFmtId="0" fontId="26" fillId="2" borderId="10" xfId="177" applyFont="1" applyFill="1" applyBorder="1" applyAlignment="1" applyProtection="1">
      <alignment horizontal="center" vertical="center" wrapText="1"/>
      <protection locked="0"/>
    </xf>
    <xf numFmtId="0" fontId="16" fillId="2" borderId="10" xfId="502" applyFont="1" applyFill="1" applyBorder="1" applyAlignment="1" applyProtection="1">
      <alignment horizontal="center" vertical="center" wrapText="1"/>
      <protection locked="0"/>
    </xf>
    <xf numFmtId="49" fontId="17" fillId="0" borderId="10" xfId="25" applyNumberFormat="1" applyFont="1" applyFill="1" applyBorder="1" applyAlignment="1" applyProtection="1">
      <alignment horizontal="center" vertical="top" wrapText="1"/>
      <protection locked="0"/>
    </xf>
    <xf numFmtId="0" fontId="17" fillId="0" borderId="10" xfId="177" applyNumberFormat="1" applyFont="1" applyFill="1" applyBorder="1" applyAlignment="1" applyProtection="1">
      <alignment horizontal="center" vertical="top" wrapText="1"/>
      <protection locked="0"/>
    </xf>
    <xf numFmtId="184" fontId="17" fillId="0" borderId="10" xfId="177" applyNumberFormat="1" applyFont="1" applyFill="1" applyBorder="1" applyAlignment="1" applyProtection="1">
      <alignment horizontal="center" vertical="top" wrapText="1"/>
      <protection locked="0"/>
    </xf>
    <xf numFmtId="0" fontId="17" fillId="4" borderId="16" xfId="177" applyNumberFormat="1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>
      <alignment horizontal="center" vertical="top" wrapText="1"/>
    </xf>
    <xf numFmtId="49" fontId="17" fillId="0" borderId="16" xfId="25" applyNumberFormat="1" applyFont="1" applyFill="1" applyBorder="1" applyAlignment="1" applyProtection="1">
      <alignment horizontal="center" vertical="top" wrapText="1"/>
      <protection locked="0"/>
    </xf>
    <xf numFmtId="0" fontId="17" fillId="0" borderId="16" xfId="177" applyNumberFormat="1" applyFont="1" applyFill="1" applyBorder="1" applyAlignment="1" applyProtection="1">
      <alignment horizontal="center" vertical="top" wrapText="1"/>
      <protection locked="0"/>
    </xf>
    <xf numFmtId="184" fontId="17" fillId="0" borderId="16" xfId="177" applyNumberFormat="1" applyFont="1" applyFill="1" applyBorder="1" applyAlignment="1" applyProtection="1">
      <alignment horizontal="center" vertical="top" wrapText="1"/>
      <protection locked="0"/>
    </xf>
    <xf numFmtId="0" fontId="17" fillId="4" borderId="18" xfId="177" applyNumberFormat="1" applyFont="1" applyFill="1" applyBorder="1" applyAlignment="1" applyProtection="1">
      <alignment horizontal="center" vertical="center" wrapText="1"/>
      <protection locked="0"/>
    </xf>
    <xf numFmtId="0" fontId="17" fillId="2" borderId="10" xfId="502" applyNumberFormat="1" applyFont="1" applyFill="1" applyBorder="1" applyAlignment="1" applyProtection="1">
      <alignment horizontal="center" vertical="center" wrapText="1"/>
      <protection locked="0"/>
    </xf>
    <xf numFmtId="0" fontId="16" fillId="4" borderId="10" xfId="0" applyNumberFormat="1" applyFont="1" applyFill="1" applyBorder="1" applyAlignment="1">
      <alignment horizontal="center" vertical="center" wrapText="1"/>
    </xf>
    <xf numFmtId="178" fontId="26" fillId="4" borderId="10" xfId="0" applyNumberFormat="1" applyFont="1" applyFill="1" applyBorder="1" applyAlignment="1">
      <alignment horizontal="center" vertical="center" wrapText="1"/>
    </xf>
    <xf numFmtId="182" fontId="16" fillId="4" borderId="10" xfId="502" applyNumberFormat="1" applyFont="1" applyFill="1" applyBorder="1" applyAlignment="1" applyProtection="1">
      <alignment horizontal="center" vertical="center" wrapText="1"/>
      <protection locked="0"/>
    </xf>
    <xf numFmtId="184" fontId="17" fillId="2" borderId="10" xfId="0" applyNumberFormat="1" applyFont="1" applyFill="1" applyBorder="1" applyAlignment="1">
      <alignment horizontal="center" vertical="center" wrapText="1"/>
    </xf>
    <xf numFmtId="184" fontId="17" fillId="2" borderId="10" xfId="0" applyNumberFormat="1" applyFont="1" applyFill="1" applyBorder="1" applyAlignment="1">
      <alignment horizontal="center" vertical="center"/>
    </xf>
    <xf numFmtId="49" fontId="26" fillId="4" borderId="10" xfId="25" applyNumberFormat="1" applyFont="1" applyFill="1" applyBorder="1" applyAlignment="1" applyProtection="1">
      <alignment horizontal="center" vertical="center" wrapText="1"/>
      <protection locked="0"/>
    </xf>
    <xf numFmtId="178" fontId="26" fillId="4" borderId="10" xfId="25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503" applyNumberFormat="1" applyFont="1" applyFill="1" applyBorder="1" applyAlignment="1" applyProtection="1">
      <alignment horizontal="center" vertical="center" wrapText="1"/>
      <protection locked="0"/>
    </xf>
    <xf numFmtId="0" fontId="17" fillId="2" borderId="10" xfId="733" applyFont="1" applyFill="1" applyBorder="1" applyAlignment="1">
      <alignment horizontal="center" vertical="center" wrapText="1"/>
    </xf>
    <xf numFmtId="0" fontId="5" fillId="4" borderId="10" xfId="177" applyNumberFormat="1" applyFont="1" applyFill="1" applyBorder="1" applyAlignment="1" applyProtection="1">
      <alignment horizontal="center" vertical="center" wrapText="1"/>
      <protection locked="0"/>
    </xf>
    <xf numFmtId="182" fontId="4" fillId="2" borderId="10" xfId="25" applyNumberFormat="1" applyFont="1" applyFill="1" applyBorder="1" applyAlignment="1" applyProtection="1">
      <alignment horizontal="center" vertical="center" wrapText="1"/>
      <protection locked="0"/>
    </xf>
    <xf numFmtId="0" fontId="29" fillId="4" borderId="10" xfId="177" applyNumberFormat="1" applyFont="1" applyFill="1" applyBorder="1" applyAlignment="1" applyProtection="1">
      <alignment horizontal="center" vertical="center" wrapText="1"/>
      <protection locked="0"/>
    </xf>
    <xf numFmtId="178" fontId="29" fillId="4" borderId="10" xfId="177" applyNumberFormat="1" applyFont="1" applyFill="1" applyBorder="1" applyAlignment="1" applyProtection="1">
      <alignment horizontal="center" vertical="center" wrapText="1"/>
      <protection locked="0"/>
    </xf>
    <xf numFmtId="184" fontId="29" fillId="2" borderId="10" xfId="502" applyNumberFormat="1" applyFont="1" applyFill="1" applyBorder="1" applyAlignment="1" applyProtection="1">
      <alignment horizontal="center" vertical="center" wrapText="1"/>
      <protection locked="0"/>
    </xf>
    <xf numFmtId="182" fontId="26" fillId="2" borderId="10" xfId="502" applyNumberFormat="1" applyFont="1" applyFill="1" applyBorder="1" applyAlignment="1" applyProtection="1">
      <alignment horizontal="center" vertical="center" wrapText="1"/>
      <protection locked="0"/>
    </xf>
    <xf numFmtId="0" fontId="26" fillId="4" borderId="10" xfId="502" applyNumberFormat="1" applyFont="1" applyFill="1" applyBorder="1" applyAlignment="1" applyProtection="1">
      <alignment horizontal="center" vertical="center" wrapText="1"/>
      <protection locked="0"/>
    </xf>
    <xf numFmtId="49" fontId="26" fillId="2" borderId="10" xfId="502" applyNumberFormat="1" applyFont="1" applyFill="1" applyBorder="1" applyAlignment="1" applyProtection="1">
      <alignment horizontal="center" vertical="center" wrapText="1"/>
      <protection locked="0"/>
    </xf>
    <xf numFmtId="184" fontId="26" fillId="2" borderId="10" xfId="0" applyNumberFormat="1" applyFont="1" applyFill="1" applyBorder="1" applyAlignment="1">
      <alignment horizontal="center" vertical="center" wrapText="1"/>
    </xf>
    <xf numFmtId="182" fontId="29" fillId="2" borderId="10" xfId="502" applyNumberFormat="1" applyFont="1" applyFill="1" applyBorder="1" applyAlignment="1" applyProtection="1">
      <alignment horizontal="center" vertical="center" wrapText="1"/>
      <protection locked="0"/>
    </xf>
    <xf numFmtId="182" fontId="29" fillId="4" borderId="10" xfId="502" applyNumberFormat="1" applyFont="1" applyFill="1" applyBorder="1" applyAlignment="1" applyProtection="1">
      <alignment horizontal="center" vertical="center" wrapText="1"/>
      <protection locked="0"/>
    </xf>
    <xf numFmtId="0" fontId="33" fillId="4" borderId="10" xfId="177" applyNumberFormat="1" applyFont="1" applyFill="1" applyBorder="1" applyAlignment="1" applyProtection="1">
      <alignment horizontal="center" vertical="center" wrapText="1"/>
      <protection locked="0"/>
    </xf>
    <xf numFmtId="178" fontId="33" fillId="4" borderId="10" xfId="0" applyNumberFormat="1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top" wrapText="1"/>
    </xf>
    <xf numFmtId="0" fontId="16" fillId="4" borderId="20" xfId="0" applyFont="1" applyFill="1" applyBorder="1" applyAlignment="1">
      <alignment vertical="top" wrapText="1"/>
    </xf>
    <xf numFmtId="0" fontId="16" fillId="4" borderId="10" xfId="0" applyFont="1" applyFill="1" applyBorder="1" applyAlignment="1">
      <alignment horizontal="center" vertical="top" wrapText="1"/>
    </xf>
    <xf numFmtId="0" fontId="16" fillId="4" borderId="16" xfId="0" applyFont="1" applyFill="1" applyBorder="1" applyAlignment="1">
      <alignment horizontal="center" vertical="top" wrapText="1"/>
    </xf>
    <xf numFmtId="0" fontId="17" fillId="5" borderId="10" xfId="177" applyFont="1" applyFill="1" applyBorder="1" applyAlignment="1" applyProtection="1">
      <alignment horizontal="center" vertical="top" wrapText="1"/>
      <protection locked="0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top" wrapText="1"/>
    </xf>
    <xf numFmtId="0" fontId="5" fillId="5" borderId="16" xfId="177" applyFont="1" applyFill="1" applyBorder="1" applyAlignment="1" applyProtection="1">
      <alignment horizontal="center" vertical="top" wrapText="1"/>
      <protection locked="0"/>
    </xf>
    <xf numFmtId="0" fontId="17" fillId="5" borderId="16" xfId="177" applyFont="1" applyFill="1" applyBorder="1" applyAlignment="1" applyProtection="1">
      <alignment horizontal="center" vertical="top" wrapText="1"/>
      <protection locked="0"/>
    </xf>
    <xf numFmtId="0" fontId="17" fillId="5" borderId="10" xfId="637" applyFont="1" applyFill="1" applyBorder="1" applyAlignment="1">
      <alignment horizontal="center" vertical="center" wrapText="1"/>
    </xf>
    <xf numFmtId="185" fontId="26" fillId="4" borderId="10" xfId="25" applyNumberFormat="1" applyFont="1" applyFill="1" applyBorder="1" applyAlignment="1" applyProtection="1">
      <alignment horizontal="center" vertical="center" wrapText="1"/>
      <protection locked="0"/>
    </xf>
    <xf numFmtId="10" fontId="26" fillId="4" borderId="13" xfId="25" applyNumberFormat="1" applyFont="1" applyFill="1" applyBorder="1" applyAlignment="1" applyProtection="1">
      <alignment horizontal="center" vertical="center" wrapText="1"/>
      <protection locked="0"/>
    </xf>
    <xf numFmtId="49" fontId="16" fillId="4" borderId="10" xfId="502" applyNumberFormat="1" applyFont="1" applyFill="1" applyBorder="1" applyAlignment="1" applyProtection="1">
      <alignment horizontal="center" vertical="center" wrapText="1"/>
      <protection locked="0"/>
    </xf>
    <xf numFmtId="0" fontId="17" fillId="4" borderId="10" xfId="177" applyNumberFormat="1" applyFont="1" applyFill="1" applyBorder="1" applyAlignment="1" applyProtection="1">
      <alignment horizontal="center" vertical="center" wrapText="1"/>
      <protection locked="0"/>
    </xf>
    <xf numFmtId="185" fontId="26" fillId="4" borderId="13" xfId="25" applyNumberFormat="1" applyFont="1" applyFill="1" applyBorder="1" applyAlignment="1" applyProtection="1">
      <alignment horizontal="center" vertical="center" wrapText="1"/>
      <protection locked="0"/>
    </xf>
    <xf numFmtId="0" fontId="17" fillId="4" borderId="10" xfId="637" applyFont="1" applyFill="1" applyBorder="1" applyAlignment="1">
      <alignment horizontal="center" vertical="center" wrapText="1"/>
    </xf>
    <xf numFmtId="182" fontId="16" fillId="5" borderId="10" xfId="25" applyNumberFormat="1" applyFont="1" applyFill="1" applyBorder="1" applyAlignment="1" applyProtection="1">
      <alignment horizontal="center" vertical="center" wrapText="1"/>
      <protection locked="0"/>
    </xf>
    <xf numFmtId="10" fontId="26" fillId="4" borderId="10" xfId="25" applyNumberFormat="1" applyFont="1" applyFill="1" applyBorder="1" applyAlignment="1" applyProtection="1">
      <alignment horizontal="center" vertical="center" wrapText="1"/>
      <protection locked="0"/>
    </xf>
    <xf numFmtId="185" fontId="26" fillId="4" borderId="10" xfId="0" applyNumberFormat="1" applyFont="1" applyFill="1" applyBorder="1" applyAlignment="1">
      <alignment horizontal="center" vertical="center" wrapText="1"/>
    </xf>
    <xf numFmtId="10" fontId="26" fillId="4" borderId="10" xfId="0" applyNumberFormat="1" applyFont="1" applyFill="1" applyBorder="1" applyAlignment="1">
      <alignment horizontal="center" vertical="center" wrapText="1"/>
    </xf>
    <xf numFmtId="185" fontId="29" fillId="4" borderId="10" xfId="177" applyNumberFormat="1" applyFont="1" applyFill="1" applyBorder="1" applyAlignment="1" applyProtection="1">
      <alignment horizontal="center" vertical="center" wrapText="1"/>
      <protection locked="0"/>
    </xf>
    <xf numFmtId="10" fontId="29" fillId="4" borderId="10" xfId="177" applyNumberFormat="1" applyFont="1" applyFill="1" applyBorder="1" applyAlignment="1" applyProtection="1">
      <alignment horizontal="center" vertical="center" wrapText="1"/>
      <protection locked="0"/>
    </xf>
    <xf numFmtId="180" fontId="32" fillId="4" borderId="10" xfId="0" applyNumberFormat="1" applyFont="1" applyFill="1" applyBorder="1" applyAlignment="1">
      <alignment horizontal="center" vertical="center" wrapText="1"/>
    </xf>
    <xf numFmtId="0" fontId="27" fillId="4" borderId="10" xfId="502" applyFont="1" applyFill="1" applyBorder="1" applyAlignment="1" applyProtection="1">
      <alignment horizontal="center" vertical="center" wrapText="1"/>
      <protection locked="0"/>
    </xf>
    <xf numFmtId="0" fontId="26" fillId="5" borderId="10" xfId="637" applyFont="1" applyFill="1" applyBorder="1" applyAlignment="1">
      <alignment horizontal="center" vertical="center" wrapText="1"/>
    </xf>
    <xf numFmtId="182" fontId="29" fillId="5" borderId="10" xfId="25" applyNumberFormat="1" applyFont="1" applyFill="1" applyBorder="1" applyAlignment="1" applyProtection="1">
      <alignment horizontal="center" vertical="center" wrapText="1"/>
      <protection locked="0"/>
    </xf>
    <xf numFmtId="49" fontId="29" fillId="4" borderId="10" xfId="502" applyNumberFormat="1" applyFont="1" applyFill="1" applyBorder="1" applyAlignment="1" applyProtection="1">
      <alignment horizontal="center" vertical="center" wrapText="1"/>
      <protection locked="0"/>
    </xf>
    <xf numFmtId="0" fontId="26" fillId="4" borderId="10" xfId="637" applyFont="1" applyFill="1" applyBorder="1" applyAlignment="1">
      <alignment horizontal="center" vertical="center" wrapText="1"/>
    </xf>
    <xf numFmtId="0" fontId="16" fillId="4" borderId="10" xfId="177" applyFont="1" applyFill="1" applyBorder="1" applyAlignment="1" applyProtection="1">
      <alignment horizontal="center" vertical="center" wrapText="1"/>
      <protection locked="0"/>
    </xf>
    <xf numFmtId="0" fontId="16" fillId="4" borderId="10" xfId="0" applyFont="1" applyFill="1" applyBorder="1" applyAlignment="1">
      <alignment horizontal="center" vertical="center" wrapText="1"/>
    </xf>
    <xf numFmtId="185" fontId="33" fillId="4" borderId="10" xfId="0" applyNumberFormat="1" applyFont="1" applyFill="1" applyBorder="1" applyAlignment="1">
      <alignment horizontal="center" vertical="center" wrapText="1"/>
    </xf>
    <xf numFmtId="10" fontId="33" fillId="4" borderId="10" xfId="0" applyNumberFormat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28" fillId="3" borderId="0" xfId="177" applyNumberFormat="1" applyFont="1" applyFill="1" applyBorder="1" applyAlignment="1" applyProtection="1">
      <alignment horizontal="right" vertical="center" wrapText="1"/>
      <protection locked="0"/>
    </xf>
    <xf numFmtId="0" fontId="15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34" fillId="0" borderId="10" xfId="0" applyNumberFormat="1" applyFont="1" applyFill="1" applyBorder="1" applyAlignment="1">
      <alignment horizontal="center" vertical="center" wrapText="1"/>
    </xf>
    <xf numFmtId="0" fontId="34" fillId="3" borderId="10" xfId="0" applyNumberFormat="1" applyFont="1" applyFill="1" applyBorder="1" applyAlignment="1">
      <alignment horizontal="center" vertical="center" wrapText="1"/>
    </xf>
    <xf numFmtId="0" fontId="15" fillId="3" borderId="10" xfId="177" applyNumberFormat="1" applyFont="1" applyFill="1" applyBorder="1" applyAlignment="1" applyProtection="1">
      <alignment horizontal="center" vertical="center" wrapText="1"/>
      <protection locked="0"/>
    </xf>
    <xf numFmtId="0" fontId="28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177" applyFont="1" applyFill="1" applyBorder="1" applyAlignment="1" applyProtection="1">
      <alignment horizontal="center" vertical="center" wrapText="1"/>
      <protection locked="0"/>
    </xf>
    <xf numFmtId="0" fontId="17" fillId="0" borderId="10" xfId="177" applyFont="1" applyFill="1" applyBorder="1" applyAlignment="1" applyProtection="1">
      <alignment horizontal="center" vertical="top" wrapText="1"/>
      <protection locked="0"/>
    </xf>
    <xf numFmtId="0" fontId="5" fillId="0" borderId="10" xfId="25" applyFont="1" applyFill="1" applyBorder="1" applyAlignment="1" applyProtection="1">
      <alignment horizontal="center" vertical="top" wrapText="1" shrinkToFit="1"/>
      <protection locked="0"/>
    </xf>
    <xf numFmtId="0" fontId="17" fillId="0" borderId="13" xfId="177" applyNumberFormat="1" applyFont="1" applyFill="1" applyBorder="1" applyAlignment="1" applyProtection="1">
      <alignment horizontal="center" vertical="top" wrapText="1"/>
      <protection locked="0"/>
    </xf>
    <xf numFmtId="0" fontId="17" fillId="3" borderId="18" xfId="177" applyNumberFormat="1" applyFont="1" applyFill="1" applyBorder="1" applyAlignment="1" applyProtection="1">
      <alignment horizontal="center" vertical="top" wrapText="1"/>
      <protection locked="0"/>
    </xf>
    <xf numFmtId="0" fontId="17" fillId="0" borderId="16" xfId="177" applyFont="1" applyFill="1" applyBorder="1" applyAlignment="1" applyProtection="1">
      <alignment horizontal="center" vertical="top" wrapText="1"/>
      <protection locked="0"/>
    </xf>
    <xf numFmtId="0" fontId="5" fillId="0" borderId="16" xfId="25" applyFont="1" applyFill="1" applyBorder="1" applyAlignment="1" applyProtection="1">
      <alignment horizontal="center" vertical="top" wrapText="1" shrinkToFit="1"/>
      <protection locked="0"/>
    </xf>
    <xf numFmtId="182" fontId="16" fillId="2" borderId="10" xfId="25" applyNumberFormat="1" applyFont="1" applyFill="1" applyBorder="1" applyAlignment="1" applyProtection="1">
      <alignment horizontal="center" vertical="center" wrapText="1"/>
      <protection locked="0"/>
    </xf>
    <xf numFmtId="0" fontId="17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0" applyNumberFormat="1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182" fontId="29" fillId="2" borderId="10" xfId="25" applyNumberFormat="1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186" fontId="16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29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177" applyNumberFormat="1" applyFont="1" applyFill="1" applyBorder="1" applyAlignment="1" applyProtection="1">
      <alignment horizontal="center" vertical="center" wrapText="1"/>
      <protection locked="0"/>
    </xf>
    <xf numFmtId="186" fontId="29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>
      <alignment horizontal="center" vertical="center" wrapText="1"/>
    </xf>
    <xf numFmtId="0" fontId="16" fillId="0" borderId="10" xfId="177" applyFont="1" applyFill="1" applyBorder="1" applyAlignment="1" applyProtection="1">
      <alignment horizontal="center" vertical="center" wrapText="1"/>
      <protection locked="0"/>
    </xf>
    <xf numFmtId="0" fontId="26" fillId="0" borderId="10" xfId="502" applyNumberFormat="1" applyFont="1" applyFill="1" applyBorder="1" applyAlignment="1" applyProtection="1">
      <alignment horizontal="center" vertical="center" wrapText="1"/>
      <protection locked="0"/>
    </xf>
    <xf numFmtId="0" fontId="17" fillId="2" borderId="10" xfId="177" applyFont="1" applyFill="1" applyBorder="1" applyAlignment="1" applyProtection="1">
      <alignment horizontal="center" vertical="center" wrapText="1"/>
      <protection locked="0"/>
    </xf>
    <xf numFmtId="0" fontId="36" fillId="0" borderId="10" xfId="0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17" fillId="0" borderId="10" xfId="684" applyFont="1" applyFill="1" applyBorder="1" applyAlignment="1">
      <alignment horizontal="center" vertical="center"/>
    </xf>
    <xf numFmtId="0" fontId="31" fillId="0" borderId="10" xfId="0" applyNumberFormat="1" applyFont="1" applyFill="1" applyBorder="1" applyAlignment="1">
      <alignment horizontal="center" vertical="center" wrapText="1"/>
    </xf>
    <xf numFmtId="180" fontId="29" fillId="0" borderId="10" xfId="0" applyNumberFormat="1" applyFont="1" applyFill="1" applyBorder="1" applyAlignment="1">
      <alignment horizontal="center" vertical="center" wrapText="1"/>
    </xf>
    <xf numFmtId="49" fontId="29" fillId="0" borderId="10" xfId="0" applyNumberFormat="1" applyFont="1" applyFill="1" applyBorder="1" applyAlignment="1">
      <alignment horizontal="center" vertical="center" wrapText="1"/>
    </xf>
    <xf numFmtId="180" fontId="16" fillId="0" borderId="10" xfId="0" applyNumberFormat="1" applyFont="1" applyFill="1" applyBorder="1" applyAlignment="1">
      <alignment horizontal="center" vertical="center" wrapText="1"/>
    </xf>
    <xf numFmtId="0" fontId="26" fillId="0" borderId="10" xfId="637" applyFont="1" applyFill="1" applyBorder="1" applyAlignment="1">
      <alignment horizontal="center" vertical="center" wrapText="1"/>
    </xf>
    <xf numFmtId="0" fontId="17" fillId="0" borderId="10" xfId="502" applyFont="1" applyFill="1" applyBorder="1" applyAlignment="1" applyProtection="1">
      <alignment horizontal="center" vertical="center" wrapText="1"/>
      <protection locked="0"/>
    </xf>
    <xf numFmtId="49" fontId="16" fillId="0" borderId="10" xfId="502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502" applyFont="1" applyFill="1" applyBorder="1" applyAlignment="1" applyProtection="1">
      <alignment horizontal="center" vertical="center" wrapText="1"/>
      <protection locked="0"/>
    </xf>
    <xf numFmtId="49" fontId="29" fillId="0" borderId="10" xfId="502" applyNumberFormat="1" applyFont="1" applyFill="1" applyBorder="1" applyAlignment="1" applyProtection="1">
      <alignment horizontal="center" vertical="center" wrapText="1"/>
      <protection locked="0"/>
    </xf>
    <xf numFmtId="0" fontId="17" fillId="2" borderId="10" xfId="0" applyNumberFormat="1" applyFont="1" applyFill="1" applyBorder="1" applyAlignment="1">
      <alignment horizontal="center" vertical="center" wrapText="1"/>
    </xf>
    <xf numFmtId="49" fontId="1" fillId="2" borderId="10" xfId="25" applyNumberFormat="1" applyFont="1" applyFill="1" applyBorder="1" applyAlignment="1" applyProtection="1">
      <alignment horizontal="center" vertical="center" wrapText="1"/>
      <protection locked="0"/>
    </xf>
    <xf numFmtId="0" fontId="16" fillId="0" borderId="10" xfId="502" applyFont="1" applyFill="1" applyBorder="1" applyAlignment="1" applyProtection="1">
      <alignment horizontal="center" vertical="center" wrapText="1"/>
      <protection locked="0"/>
    </xf>
    <xf numFmtId="184" fontId="17" fillId="0" borderId="10" xfId="502" applyNumberFormat="1" applyFont="1" applyFill="1" applyBorder="1" applyAlignment="1" applyProtection="1">
      <alignment horizontal="center" vertical="center" wrapText="1"/>
      <protection locked="0"/>
    </xf>
    <xf numFmtId="184" fontId="26" fillId="0" borderId="10" xfId="502" applyNumberFormat="1" applyFont="1" applyFill="1" applyBorder="1" applyAlignment="1" applyProtection="1">
      <alignment horizontal="center" vertical="center" wrapText="1"/>
      <protection locked="0"/>
    </xf>
    <xf numFmtId="0" fontId="29" fillId="0" borderId="10" xfId="177" applyFont="1" applyFill="1" applyBorder="1" applyAlignment="1" applyProtection="1">
      <alignment horizontal="center" vertical="center" wrapText="1"/>
      <protection locked="0"/>
    </xf>
    <xf numFmtId="0" fontId="29" fillId="4" borderId="10" xfId="177" applyFont="1" applyFill="1" applyBorder="1" applyAlignment="1" applyProtection="1">
      <alignment horizontal="center" vertical="center" wrapText="1"/>
      <protection locked="0"/>
    </xf>
    <xf numFmtId="0" fontId="26" fillId="4" borderId="10" xfId="0" applyFont="1" applyFill="1" applyBorder="1" applyAlignment="1">
      <alignment horizontal="center" vertical="center" wrapText="1"/>
    </xf>
    <xf numFmtId="184" fontId="17" fillId="2" borderId="10" xfId="684" applyNumberFormat="1" applyFont="1" applyFill="1" applyBorder="1" applyAlignment="1">
      <alignment horizontal="center" vertical="center"/>
    </xf>
    <xf numFmtId="49" fontId="17" fillId="2" borderId="10" xfId="285" applyNumberFormat="1" applyFont="1" applyFill="1" applyBorder="1" applyAlignment="1" applyProtection="1">
      <alignment horizontal="center" vertical="center" wrapText="1"/>
      <protection locked="0"/>
    </xf>
    <xf numFmtId="0" fontId="17" fillId="2" borderId="10" xfId="684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185" fontId="16" fillId="2" borderId="10" xfId="177" applyNumberFormat="1" applyFont="1" applyFill="1" applyBorder="1" applyAlignment="1" applyProtection="1">
      <alignment horizontal="center" vertical="center" wrapText="1"/>
      <protection locked="0"/>
    </xf>
    <xf numFmtId="183" fontId="16" fillId="0" borderId="10" xfId="177" applyNumberFormat="1" applyFont="1" applyFill="1" applyBorder="1" applyAlignment="1" applyProtection="1">
      <alignment horizontal="center" vertical="center" wrapText="1"/>
      <protection locked="0"/>
    </xf>
    <xf numFmtId="183" fontId="16" fillId="4" borderId="10" xfId="177" applyNumberFormat="1" applyFont="1" applyFill="1" applyBorder="1" applyAlignment="1" applyProtection="1">
      <alignment horizontal="center" vertical="center" wrapText="1"/>
      <protection locked="0"/>
    </xf>
    <xf numFmtId="185" fontId="16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26" fillId="5" borderId="10" xfId="0" applyFont="1" applyFill="1" applyBorder="1" applyAlignment="1">
      <alignment horizontal="center" vertical="center" wrapText="1"/>
    </xf>
    <xf numFmtId="182" fontId="16" fillId="5" borderId="10" xfId="171" applyNumberFormat="1" applyFont="1" applyFill="1" applyBorder="1" applyAlignment="1" applyProtection="1">
      <alignment horizontal="center" vertical="center" wrapText="1"/>
      <protection locked="0"/>
    </xf>
    <xf numFmtId="182" fontId="29" fillId="5" borderId="10" xfId="171" applyNumberFormat="1" applyFont="1" applyFill="1" applyBorder="1" applyAlignment="1" applyProtection="1">
      <alignment horizontal="center" vertical="center" wrapText="1"/>
      <protection locked="0"/>
    </xf>
    <xf numFmtId="0" fontId="16" fillId="5" borderId="10" xfId="0" applyNumberFormat="1" applyFont="1" applyFill="1" applyBorder="1" applyAlignment="1">
      <alignment horizontal="center" vertical="center" wrapText="1"/>
    </xf>
    <xf numFmtId="0" fontId="16" fillId="5" borderId="21" xfId="0" applyNumberFormat="1" applyFont="1" applyFill="1" applyBorder="1" applyAlignment="1">
      <alignment horizontal="center" vertical="center" wrapText="1"/>
    </xf>
    <xf numFmtId="185" fontId="26" fillId="0" borderId="13" xfId="25" applyNumberFormat="1" applyFont="1" applyFill="1" applyBorder="1" applyAlignment="1" applyProtection="1">
      <alignment horizontal="center" vertical="center" wrapText="1"/>
      <protection locked="0"/>
    </xf>
    <xf numFmtId="10" fontId="26" fillId="0" borderId="13" xfId="25" applyNumberFormat="1" applyFont="1" applyFill="1" applyBorder="1" applyAlignment="1" applyProtection="1">
      <alignment horizontal="center" vertical="center" wrapText="1"/>
      <protection locked="0"/>
    </xf>
    <xf numFmtId="0" fontId="16" fillId="4" borderId="10" xfId="502" applyFont="1" applyFill="1" applyBorder="1" applyAlignment="1" applyProtection="1">
      <alignment horizontal="center" vertical="center" wrapText="1"/>
      <protection locked="0"/>
    </xf>
    <xf numFmtId="180" fontId="16" fillId="4" borderId="10" xfId="502" applyNumberFormat="1" applyFont="1" applyFill="1" applyBorder="1" applyAlignment="1" applyProtection="1">
      <alignment horizontal="center" vertical="center" wrapText="1"/>
      <protection locked="0"/>
    </xf>
    <xf numFmtId="49" fontId="16" fillId="4" borderId="10" xfId="25" applyNumberFormat="1" applyFont="1" applyFill="1" applyBorder="1" applyAlignment="1" applyProtection="1">
      <alignment horizontal="center" vertical="center" wrapText="1"/>
      <protection locked="0"/>
    </xf>
    <xf numFmtId="182" fontId="16" fillId="4" borderId="10" xfId="25" applyNumberFormat="1" applyFont="1" applyFill="1" applyBorder="1" applyAlignment="1" applyProtection="1">
      <alignment horizontal="center" vertical="center" wrapText="1"/>
      <protection locked="0"/>
    </xf>
    <xf numFmtId="0" fontId="17" fillId="3" borderId="10" xfId="177" applyNumberFormat="1" applyFont="1" applyFill="1" applyBorder="1" applyAlignment="1" applyProtection="1">
      <alignment horizontal="center" vertical="center" wrapText="1"/>
      <protection locked="0"/>
    </xf>
    <xf numFmtId="0" fontId="26" fillId="3" borderId="10" xfId="177" applyNumberFormat="1" applyFont="1" applyFill="1" applyBorder="1" applyAlignment="1" applyProtection="1">
      <alignment horizontal="center" vertical="center" wrapText="1"/>
      <protection locked="0"/>
    </xf>
    <xf numFmtId="180" fontId="16" fillId="2" borderId="10" xfId="502" applyNumberFormat="1" applyFont="1" applyFill="1" applyBorder="1" applyAlignment="1" applyProtection="1">
      <alignment horizontal="center" vertical="center" wrapText="1"/>
      <protection locked="0"/>
    </xf>
    <xf numFmtId="180" fontId="16" fillId="3" borderId="10" xfId="502" applyNumberFormat="1" applyFont="1" applyFill="1" applyBorder="1" applyAlignment="1" applyProtection="1">
      <alignment horizontal="center" vertical="center" wrapText="1"/>
      <protection locked="0"/>
    </xf>
    <xf numFmtId="182" fontId="16" fillId="0" borderId="10" xfId="25" applyNumberFormat="1" applyFont="1" applyFill="1" applyBorder="1" applyAlignment="1" applyProtection="1">
      <alignment horizontal="center" vertical="center" wrapText="1"/>
      <protection locked="0"/>
    </xf>
    <xf numFmtId="180" fontId="16" fillId="0" borderId="10" xfId="502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171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>
      <alignment horizontal="center" vertical="center"/>
    </xf>
    <xf numFmtId="0" fontId="16" fillId="0" borderId="10" xfId="285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285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285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25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502" applyNumberFormat="1" applyFont="1" applyFill="1" applyBorder="1" applyAlignment="1" applyProtection="1">
      <alignment horizontal="center" vertical="center" wrapText="1"/>
      <protection locked="0"/>
    </xf>
    <xf numFmtId="49" fontId="16" fillId="2" borderId="10" xfId="171" applyNumberFormat="1" applyFont="1" applyFill="1" applyBorder="1" applyAlignment="1" applyProtection="1">
      <alignment horizontal="center" vertical="center" wrapText="1"/>
      <protection locked="0"/>
    </xf>
    <xf numFmtId="0" fontId="17" fillId="2" borderId="10" xfId="285" applyFont="1" applyFill="1" applyBorder="1" applyAlignment="1" applyProtection="1">
      <alignment horizontal="center" vertical="center" wrapText="1"/>
      <protection locked="0"/>
    </xf>
    <xf numFmtId="0" fontId="16" fillId="3" borderId="10" xfId="502" applyFont="1" applyFill="1" applyBorder="1" applyAlignment="1" applyProtection="1">
      <alignment horizontal="center" vertical="center" wrapText="1"/>
      <protection locked="0"/>
    </xf>
    <xf numFmtId="181" fontId="14" fillId="3" borderId="10" xfId="0" applyNumberFormat="1" applyFont="1" applyFill="1" applyBorder="1" applyAlignment="1">
      <alignment horizontal="center" vertical="center" wrapText="1"/>
    </xf>
    <xf numFmtId="0" fontId="17" fillId="3" borderId="10" xfId="502" applyFont="1" applyFill="1" applyBorder="1" applyAlignment="1" applyProtection="1">
      <alignment horizontal="center" vertical="center" wrapText="1"/>
      <protection locked="0"/>
    </xf>
    <xf numFmtId="0" fontId="17" fillId="3" borderId="10" xfId="285" applyFont="1" applyFill="1" applyBorder="1" applyAlignment="1" applyProtection="1">
      <alignment horizontal="center" vertical="center" wrapText="1"/>
      <protection locked="0"/>
    </xf>
    <xf numFmtId="0" fontId="16" fillId="3" borderId="10" xfId="177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502" applyNumberFormat="1" applyFont="1" applyFill="1" applyBorder="1" applyAlignment="1" applyProtection="1">
      <alignment horizontal="center" vertical="center" wrapText="1"/>
      <protection locked="0"/>
    </xf>
    <xf numFmtId="49" fontId="16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25" applyFont="1" applyFill="1" applyBorder="1" applyAlignment="1" applyProtection="1">
      <alignment horizontal="center" vertical="center" wrapText="1"/>
      <protection locked="0"/>
    </xf>
    <xf numFmtId="0" fontId="17" fillId="2" borderId="10" xfId="25" applyFont="1" applyFill="1" applyBorder="1" applyAlignment="1" applyProtection="1">
      <alignment horizontal="center" vertical="center" wrapText="1"/>
      <protection locked="0"/>
    </xf>
    <xf numFmtId="49" fontId="16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736" applyFont="1" applyFill="1" applyBorder="1" applyAlignment="1">
      <alignment horizontal="center" vertical="center"/>
    </xf>
    <xf numFmtId="49" fontId="16" fillId="3" borderId="10" xfId="177" applyNumberFormat="1" applyFont="1" applyFill="1" applyBorder="1" applyAlignment="1" applyProtection="1">
      <alignment horizontal="center" vertical="center" wrapText="1"/>
      <protection locked="0"/>
    </xf>
    <xf numFmtId="0" fontId="17" fillId="3" borderId="10" xfId="736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9" fillId="0" borderId="10" xfId="502" applyFont="1" applyFill="1" applyBorder="1" applyAlignment="1" applyProtection="1">
      <alignment horizontal="center" vertical="center" wrapText="1"/>
      <protection locked="0"/>
    </xf>
    <xf numFmtId="0" fontId="29" fillId="0" borderId="10" xfId="627" applyNumberFormat="1" applyFont="1" applyFill="1" applyBorder="1" applyAlignment="1">
      <alignment horizontal="center" vertical="center" wrapText="1"/>
    </xf>
    <xf numFmtId="49" fontId="29" fillId="0" borderId="10" xfId="177" applyNumberFormat="1" applyFont="1" applyFill="1" applyBorder="1" applyAlignment="1" applyProtection="1">
      <alignment horizontal="center" vertical="center" wrapText="1"/>
      <protection locked="0"/>
    </xf>
    <xf numFmtId="0" fontId="16" fillId="0" borderId="10" xfId="627" applyNumberFormat="1" applyFont="1" applyFill="1" applyBorder="1" applyAlignment="1">
      <alignment horizontal="center" vertical="center" wrapText="1"/>
    </xf>
    <xf numFmtId="0" fontId="16" fillId="3" borderId="10" xfId="627" applyNumberFormat="1" applyFont="1" applyFill="1" applyBorder="1" applyAlignment="1">
      <alignment horizontal="center" vertical="center" wrapText="1"/>
    </xf>
    <xf numFmtId="183" fontId="16" fillId="2" borderId="10" xfId="177" applyNumberFormat="1" applyFont="1" applyFill="1" applyBorder="1" applyAlignment="1" applyProtection="1">
      <alignment horizontal="center" vertical="center" wrapText="1"/>
      <protection locked="0"/>
    </xf>
    <xf numFmtId="0" fontId="1" fillId="4" borderId="10" xfId="177" applyFont="1" applyFill="1" applyBorder="1" applyAlignment="1" applyProtection="1">
      <alignment horizontal="center" vertical="center" wrapText="1"/>
      <protection locked="0"/>
    </xf>
    <xf numFmtId="185" fontId="29" fillId="0" borderId="10" xfId="177" applyNumberFormat="1" applyFont="1" applyFill="1" applyBorder="1" applyAlignment="1" applyProtection="1">
      <alignment horizontal="center" vertical="center" wrapText="1"/>
      <protection locked="0"/>
    </xf>
    <xf numFmtId="185" fontId="16" fillId="0" borderId="10" xfId="502" applyNumberFormat="1" applyFont="1" applyFill="1" applyBorder="1" applyAlignment="1" applyProtection="1">
      <alignment horizontal="center" vertical="center" wrapText="1"/>
      <protection locked="0"/>
    </xf>
    <xf numFmtId="49" fontId="16" fillId="2" borderId="10" xfId="285" applyNumberFormat="1" applyFont="1" applyFill="1" applyBorder="1" applyAlignment="1" applyProtection="1">
      <alignment horizontal="center" vertical="center" wrapText="1"/>
      <protection locked="0"/>
    </xf>
    <xf numFmtId="185" fontId="16" fillId="2" borderId="10" xfId="285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285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177" applyFont="1" applyFill="1" applyBorder="1" applyAlignment="1" applyProtection="1">
      <alignment horizontal="center" vertical="center" wrapText="1"/>
      <protection locked="0"/>
    </xf>
    <xf numFmtId="185" fontId="16" fillId="3" borderId="10" xfId="285" applyNumberFormat="1" applyFont="1" applyFill="1" applyBorder="1" applyAlignment="1" applyProtection="1">
      <alignment horizontal="center" vertical="center" wrapText="1"/>
      <protection locked="0"/>
    </xf>
    <xf numFmtId="0" fontId="16" fillId="4" borderId="10" xfId="285" applyNumberFormat="1" applyFont="1" applyFill="1" applyBorder="1" applyAlignment="1" applyProtection="1">
      <alignment horizontal="center" vertical="center" wrapText="1"/>
      <protection locked="0"/>
    </xf>
    <xf numFmtId="185" fontId="16" fillId="0" borderId="10" xfId="285" applyNumberFormat="1" applyFont="1" applyFill="1" applyBorder="1" applyAlignment="1" applyProtection="1">
      <alignment horizontal="center" vertical="center" wrapText="1"/>
      <protection locked="0"/>
    </xf>
    <xf numFmtId="49" fontId="16" fillId="2" borderId="10" xfId="25" applyNumberFormat="1" applyFont="1" applyFill="1" applyBorder="1" applyAlignment="1" applyProtection="1">
      <alignment horizontal="center" vertical="center" wrapText="1"/>
      <protection locked="0"/>
    </xf>
    <xf numFmtId="0" fontId="16" fillId="4" borderId="10" xfId="177" applyNumberFormat="1" applyFont="1" applyFill="1" applyBorder="1" applyAlignment="1" applyProtection="1">
      <alignment horizontal="center" vertical="center" wrapText="1"/>
      <protection locked="0"/>
    </xf>
    <xf numFmtId="0" fontId="17" fillId="5" borderId="21" xfId="637" applyFont="1" applyFill="1" applyBorder="1" applyAlignment="1">
      <alignment horizontal="center" vertical="center" wrapText="1"/>
    </xf>
    <xf numFmtId="0" fontId="16" fillId="4" borderId="10" xfId="502" applyNumberFormat="1" applyFont="1" applyFill="1" applyBorder="1" applyAlignment="1" applyProtection="1">
      <alignment horizontal="center" vertical="center" wrapText="1"/>
      <protection locked="0"/>
    </xf>
    <xf numFmtId="0" fontId="29" fillId="4" borderId="10" xfId="502" applyNumberFormat="1" applyFont="1" applyFill="1" applyBorder="1" applyAlignment="1" applyProtection="1">
      <alignment horizontal="center" vertical="center" wrapText="1"/>
      <protection locked="0"/>
    </xf>
    <xf numFmtId="49" fontId="29" fillId="4" borderId="10" xfId="25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171" applyNumberFormat="1" applyFont="1" applyFill="1" applyBorder="1" applyAlignment="1" applyProtection="1">
      <alignment horizontal="center" vertical="center" wrapText="1"/>
      <protection locked="0"/>
    </xf>
    <xf numFmtId="180" fontId="14" fillId="0" borderId="10" xfId="0" applyNumberFormat="1" applyFont="1" applyFill="1" applyBorder="1" applyAlignment="1">
      <alignment horizontal="center" vertical="center" wrapText="1"/>
    </xf>
    <xf numFmtId="180" fontId="14" fillId="3" borderId="10" xfId="0" applyNumberFormat="1" applyFont="1" applyFill="1" applyBorder="1" applyAlignment="1">
      <alignment horizontal="center" vertical="center" wrapText="1"/>
    </xf>
    <xf numFmtId="180" fontId="16" fillId="0" borderId="10" xfId="177" applyNumberFormat="1" applyFont="1" applyFill="1" applyBorder="1" applyAlignment="1" applyProtection="1">
      <alignment horizontal="center" vertical="center" wrapText="1"/>
      <protection locked="0"/>
    </xf>
    <xf numFmtId="180" fontId="16" fillId="3" borderId="10" xfId="177" applyNumberFormat="1" applyFont="1" applyFill="1" applyBorder="1" applyAlignment="1" applyProtection="1">
      <alignment horizontal="center" vertical="center" wrapText="1"/>
      <protection locked="0"/>
    </xf>
    <xf numFmtId="182" fontId="29" fillId="0" borderId="10" xfId="25" applyNumberFormat="1" applyFont="1" applyFill="1" applyBorder="1" applyAlignment="1" applyProtection="1">
      <alignment horizontal="center" vertical="center" wrapText="1"/>
      <protection locked="0"/>
    </xf>
    <xf numFmtId="180" fontId="29" fillId="0" borderId="10" xfId="177" applyNumberFormat="1" applyFont="1" applyFill="1" applyBorder="1" applyAlignment="1" applyProtection="1">
      <alignment horizontal="center" vertical="center" wrapText="1"/>
      <protection locked="0"/>
    </xf>
    <xf numFmtId="180" fontId="29" fillId="3" borderId="10" xfId="177" applyNumberFormat="1" applyFont="1" applyFill="1" applyBorder="1" applyAlignment="1" applyProtection="1">
      <alignment horizontal="center" vertical="center" wrapText="1"/>
      <protection locked="0"/>
    </xf>
    <xf numFmtId="49" fontId="29" fillId="3" borderId="10" xfId="177" applyNumberFormat="1" applyFont="1" applyFill="1" applyBorder="1" applyAlignment="1" applyProtection="1">
      <alignment horizontal="center" vertical="center" wrapText="1"/>
      <protection locked="0"/>
    </xf>
  </cellXfs>
  <cellStyles count="1026">
    <cellStyle name="常规" xfId="0" builtinId="0"/>
    <cellStyle name="常规 3 27" xfId="1"/>
    <cellStyle name="货币[0]" xfId="2" builtinId="7"/>
    <cellStyle name="货币" xfId="3" builtinId="4"/>
    <cellStyle name="常规 39" xfId="4"/>
    <cellStyle name="常规 2 2 4" xfId="5"/>
    <cellStyle name="60% - 强调文字颜色 1 11" xfId="6"/>
    <cellStyle name="输入" xfId="7" builtinId="20"/>
    <cellStyle name="链接单元格 5" xfId="8"/>
    <cellStyle name="20% - 强调文字颜色 3" xfId="9" builtinId="38"/>
    <cellStyle name="常规 2 2 2 20" xfId="10"/>
    <cellStyle name="常规 2 2 2 15" xfId="11"/>
    <cellStyle name="20% - 强调文字颜色 1 2" xfId="12"/>
    <cellStyle name="标题 3 11" xfId="13"/>
    <cellStyle name="常规 3 14" xfId="14"/>
    <cellStyle name="常规 2 26" xfId="15"/>
    <cellStyle name="千位分隔[0]" xfId="16" builtinId="6"/>
    <cellStyle name="千位分隔" xfId="17" builtinId="3"/>
    <cellStyle name="常规 7 3" xfId="18"/>
    <cellStyle name="输入 8 2" xfId="19"/>
    <cellStyle name="强调文字颜色 3 11" xfId="20"/>
    <cellStyle name="差" xfId="21" builtinId="27"/>
    <cellStyle name="40% - 强调文字颜色 3" xfId="22" builtinId="39"/>
    <cellStyle name="60% - 强调文字颜色 3" xfId="23" builtinId="40"/>
    <cellStyle name="常规 4 13" xfId="24"/>
    <cellStyle name="BOM_Level_Below3" xfId="25"/>
    <cellStyle name="超链接" xfId="26" builtinId="8"/>
    <cellStyle name="样式 1 5" xfId="27"/>
    <cellStyle name="百分比" xfId="28" builtinId="5"/>
    <cellStyle name="20% - 强调文字颜色 1 11" xfId="29"/>
    <cellStyle name="已访问的超链接" xfId="30" builtinId="9"/>
    <cellStyle name="20% - 强调文字颜色 4 5" xfId="31"/>
    <cellStyle name="常规 6 13" xfId="32"/>
    <cellStyle name="60% - 强调文字颜色 2 3" xfId="33"/>
    <cellStyle name="注释" xfId="34" builtinId="10"/>
    <cellStyle name="常规 6" xfId="35"/>
    <cellStyle name="常规 4 12" xfId="36"/>
    <cellStyle name="60% - 强调文字颜色 2" xfId="37" builtinId="36"/>
    <cellStyle name="40% - 强调文字颜色 3 9" xfId="38"/>
    <cellStyle name="标题 4" xfId="39" builtinId="19"/>
    <cellStyle name="解释性文本 2 2" xfId="40"/>
    <cellStyle name="差 9" xfId="41"/>
    <cellStyle name="常规 6 5" xfId="42"/>
    <cellStyle name="常规 4 2 2 3" xfId="43"/>
    <cellStyle name="警告文本" xfId="44" builtinId="11"/>
    <cellStyle name="注释 5" xfId="45"/>
    <cellStyle name="标题" xfId="46" builtinId="15"/>
    <cellStyle name="强调文字颜色 1 2 3" xfId="47"/>
    <cellStyle name="40% - 强调文字颜色 3 10" xfId="48"/>
    <cellStyle name="60% - 强调文字颜色 4 11" xfId="49"/>
    <cellStyle name="常规 5 2" xfId="50"/>
    <cellStyle name="60% - 强调文字颜色 2 2 2" xfId="51"/>
    <cellStyle name="60% - 强调文字颜色 6 8" xfId="52"/>
    <cellStyle name="解释性文本" xfId="53" builtinId="53"/>
    <cellStyle name="解释性文本 9" xfId="54"/>
    <cellStyle name="差 6" xfId="55"/>
    <cellStyle name="标题 1" xfId="56" builtinId="16"/>
    <cellStyle name="常规 5 2 2" xfId="57"/>
    <cellStyle name="差 7" xfId="58"/>
    <cellStyle name="标题 2" xfId="59" builtinId="17"/>
    <cellStyle name="常规 4 11" xfId="60"/>
    <cellStyle name="60% - 强调文字颜色 1" xfId="61" builtinId="32"/>
    <cellStyle name="40% - 强调文字颜色 3 8" xfId="62"/>
    <cellStyle name="差 8" xfId="63"/>
    <cellStyle name="标题 3" xfId="64" builtinId="18"/>
    <cellStyle name="常规 4 14" xfId="65"/>
    <cellStyle name="60% - 强调文字颜色 4" xfId="66" builtinId="44"/>
    <cellStyle name="输出" xfId="67" builtinId="21"/>
    <cellStyle name="常规 31" xfId="68"/>
    <cellStyle name="常规 26" xfId="69"/>
    <cellStyle name="计算" xfId="70" builtinId="22"/>
    <cellStyle name="检查单元格" xfId="71" builtinId="23"/>
    <cellStyle name="计算 3 2" xfId="72"/>
    <cellStyle name="40% - 强调文字颜色 4 2" xfId="73"/>
    <cellStyle name="输入 9 2" xfId="74"/>
    <cellStyle name="20% - 强调文字颜色 6" xfId="75" builtinId="50"/>
    <cellStyle name="链接单元格 8" xfId="76"/>
    <cellStyle name="常规 2 2 2 5" xfId="77"/>
    <cellStyle name="强调文字颜色 2" xfId="78" builtinId="33"/>
    <cellStyle name="注释 2 3" xfId="79"/>
    <cellStyle name="40% - 强调文字颜色 5 7" xfId="80"/>
    <cellStyle name="常规 6 2 3" xfId="81"/>
    <cellStyle name="链接单元格" xfId="82" builtinId="24"/>
    <cellStyle name="标题 2 11" xfId="83"/>
    <cellStyle name="汇总" xfId="84" builtinId="25"/>
    <cellStyle name="适中 2 5" xfId="85"/>
    <cellStyle name="强调文字颜色 3 2 4" xfId="86"/>
    <cellStyle name="40% - 强调文字颜色 6 5" xfId="87"/>
    <cellStyle name="60% - 强调文字颜色 4 2 3" xfId="88"/>
    <cellStyle name="好" xfId="89" builtinId="26"/>
    <cellStyle name="适中 8" xfId="90"/>
    <cellStyle name="常规 3 2 6" xfId="91"/>
    <cellStyle name="20% - 强调文字颜色 3 3" xfId="92"/>
    <cellStyle name="适中" xfId="93" builtinId="28"/>
    <cellStyle name="20% - 强调文字颜色 5" xfId="94" builtinId="46"/>
    <cellStyle name="链接单元格 7" xfId="95"/>
    <cellStyle name="常规 2 2 2 4" xfId="96"/>
    <cellStyle name="强调文字颜色 1" xfId="97" builtinId="29"/>
    <cellStyle name="20% - 强调文字颜色 1" xfId="98" builtinId="30"/>
    <cellStyle name="链接单元格 3" xfId="99"/>
    <cellStyle name="40% - 强调文字颜色 1" xfId="100" builtinId="31"/>
    <cellStyle name="标题 5 4" xfId="101"/>
    <cellStyle name="20% - 强调文字颜色 2" xfId="102" builtinId="34"/>
    <cellStyle name="链接单元格 4" xfId="103"/>
    <cellStyle name="40% - 强调文字颜色 2" xfId="104" builtinId="35"/>
    <cellStyle name="常规 2 2 2 6" xfId="105"/>
    <cellStyle name="强调文字颜色 3" xfId="106" builtinId="37"/>
    <cellStyle name="常规 2 2 2 7" xfId="107"/>
    <cellStyle name="强调文字颜色 4" xfId="108" builtinId="41"/>
    <cellStyle name="20% - 强调文字颜色 4" xfId="109" builtinId="42"/>
    <cellStyle name="链接单元格 6" xfId="110"/>
    <cellStyle name="40% - 强调文字颜色 4" xfId="111" builtinId="43"/>
    <cellStyle name="常规 2 2 2 8" xfId="112"/>
    <cellStyle name="强调文字颜色 5" xfId="113" builtinId="45"/>
    <cellStyle name="40% - 强调文字颜色 5" xfId="114" builtinId="47"/>
    <cellStyle name="常规 4 20" xfId="115"/>
    <cellStyle name="常规 4 15" xfId="116"/>
    <cellStyle name="60% - 强调文字颜色 5" xfId="117" builtinId="48"/>
    <cellStyle name="常规 2 2 2 9" xfId="118"/>
    <cellStyle name="强调文字颜色 6" xfId="119" builtinId="49"/>
    <cellStyle name="40% - 强调文字颜色 6" xfId="120" builtinId="51"/>
    <cellStyle name="常规 4 21" xfId="121"/>
    <cellStyle name="常规 4 16" xfId="122"/>
    <cellStyle name="60% - 强调文字颜色 6" xfId="123" builtinId="52"/>
    <cellStyle name="输入 11 2" xfId="124"/>
    <cellStyle name="强调文字颜色 1 2 4" xfId="125"/>
    <cellStyle name="20% - 强调文字颜色 2 10" xfId="126"/>
    <cellStyle name="40% - 强调文字颜色 3 11" xfId="127"/>
    <cellStyle name="输入 6 2" xfId="128"/>
    <cellStyle name="60% - 强调文字颜色 2 2 3" xfId="129"/>
    <cellStyle name="60% - 强调文字颜色 6 9" xfId="130"/>
    <cellStyle name="20% - 强调文字颜色 1 5" xfId="131"/>
    <cellStyle name="常规 2 2 2 18" xfId="132"/>
    <cellStyle name="40% - 强调文字颜色 2 2" xfId="133"/>
    <cellStyle name="20% - 强调文字颜色 1 2 3" xfId="134"/>
    <cellStyle name="60% - 强调文字颜色 5 10" xfId="135"/>
    <cellStyle name="20% - 强调文字颜色 1 4" xfId="136"/>
    <cellStyle name="常规 2 2 2 17" xfId="137"/>
    <cellStyle name="常规 2 2 2 22" xfId="138"/>
    <cellStyle name="20% - 强调文字颜色 1 6" xfId="139"/>
    <cellStyle name="常规 2 2 2 19" xfId="140"/>
    <cellStyle name="20% - 强调文字颜色 1 7" xfId="141"/>
    <cellStyle name="20% - 强调文字颜色 1 3" xfId="142"/>
    <cellStyle name="常规 2 2 2 16" xfId="143"/>
    <cellStyle name="常规 2 2 2 21" xfId="144"/>
    <cellStyle name="20% - 强调文字颜色 1 8" xfId="145"/>
    <cellStyle name="好 5" xfId="146"/>
    <cellStyle name="标题 3 2 2" xfId="147"/>
    <cellStyle name="20% - 强调文字颜色 1 9" xfId="148"/>
    <cellStyle name="好 6" xfId="149"/>
    <cellStyle name="标题 3 2 3" xfId="150"/>
    <cellStyle name="20% - 强调文字颜色 1 10" xfId="151"/>
    <cellStyle name="40% - 强调文字颜色 2 11" xfId="152"/>
    <cellStyle name="60% - 强调文字颜色 1 9" xfId="153"/>
    <cellStyle name="20% - 强调文字颜色 1 2 2" xfId="154"/>
    <cellStyle name="40% - 强调文字颜色 2 3" xfId="155"/>
    <cellStyle name="20% - 强调文字颜色 1 2 4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强调文字颜色 1 2 5" xfId="163"/>
    <cellStyle name="20% - 强调文字颜色 2 11" xfId="164"/>
    <cellStyle name="60% - 强调文字颜色 2 2 4" xfId="165"/>
    <cellStyle name="20% - 强调文字颜色 2 2" xfId="166"/>
    <cellStyle name="20% - 强调文字颜色 2 2 2" xfId="167"/>
    <cellStyle name="20% - 强调文字颜色 2 2 3" xfId="168"/>
    <cellStyle name="20% - 强调文字颜色 2 2 4" xfId="169"/>
    <cellStyle name="20% - 强调文字颜色 2 2 5" xfId="170"/>
    <cellStyle name="BOM_Level_Below3 2" xfId="171"/>
    <cellStyle name="20% - 强调文字颜色 2 3" xfId="172"/>
    <cellStyle name="20% - 强调文字颜色 2 4" xfId="173"/>
    <cellStyle name="20% - 强调文字颜色 2 5" xfId="174"/>
    <cellStyle name="20% - 强调文字颜色 2 6" xfId="175"/>
    <cellStyle name="20% - 强调文字颜色 2 7" xfId="176"/>
    <cellStyle name="样式 1" xfId="177"/>
    <cellStyle name="20% - 强调文字颜色 2 8" xfId="178"/>
    <cellStyle name="20% - 强调文字颜色 2 9" xfId="179"/>
    <cellStyle name="输出 10" xfId="180"/>
    <cellStyle name="20% - 强调文字颜色 3 11" xfId="181"/>
    <cellStyle name="40% - 强调文字颜色 2 5" xfId="182"/>
    <cellStyle name="适中 7" xfId="183"/>
    <cellStyle name="常规 3 2 5" xfId="184"/>
    <cellStyle name="20% - 强调文字颜色 3 2" xfId="185"/>
    <cellStyle name="20% - 强调文字颜色 3 2 2" xfId="186"/>
    <cellStyle name="标题 4 9" xfId="187"/>
    <cellStyle name="20% - 强调文字颜色 3 2 3" xfId="188"/>
    <cellStyle name="20% - 强调文字颜色 3 2 4" xfId="189"/>
    <cellStyle name="20% - 强调文字颜色 3 2 5" xfId="190"/>
    <cellStyle name="适中 9" xfId="191"/>
    <cellStyle name="常规 3 2 7" xfId="192"/>
    <cellStyle name="20% - 强调文字颜色 3 4" xfId="193"/>
    <cellStyle name="60% - 强调文字颜色 1 2" xfId="194"/>
    <cellStyle name="常规 3 2 8" xfId="195"/>
    <cellStyle name="20% - 强调文字颜色 3 5" xfId="196"/>
    <cellStyle name="60% - 强调文字颜色 1 3" xfId="197"/>
    <cellStyle name="常规 3 2 9" xfId="198"/>
    <cellStyle name="20% - 强调文字颜色 3 6" xfId="199"/>
    <cellStyle name="60% - 强调文字颜色 1 4" xfId="200"/>
    <cellStyle name="警告文本 2 2" xfId="201"/>
    <cellStyle name="20% - 强调文字颜色 3 7" xfId="202"/>
    <cellStyle name="60% - 强调文字颜色 1 5" xfId="203"/>
    <cellStyle name="警告文本 2 3" xfId="204"/>
    <cellStyle name="20% - 强调文字颜色 3 8" xfId="205"/>
    <cellStyle name="60% - 强调文字颜色 1 6" xfId="206"/>
    <cellStyle name="60% - 强调文字颜色 1 7" xfId="207"/>
    <cellStyle name="警告文本 2 4" xfId="208"/>
    <cellStyle name="20% - 强调文字颜色 3 9" xfId="209"/>
    <cellStyle name="60% - 强调文字颜色 3 10" xfId="210"/>
    <cellStyle name="20% - 强调文字颜色 4 10" xfId="211"/>
    <cellStyle name="40% - 强调文字颜色 5 11" xfId="212"/>
    <cellStyle name="常规 15" xfId="213"/>
    <cellStyle name="常规 20" xfId="214"/>
    <cellStyle name="20% - 强调文字颜色 4 11" xfId="215"/>
    <cellStyle name="常规 16" xfId="216"/>
    <cellStyle name="常规 21" xfId="217"/>
    <cellStyle name="20% - 强调文字颜色 4 2" xfId="218"/>
    <cellStyle name="20% - 强调文字颜色 4 2 2" xfId="219"/>
    <cellStyle name="注释 10 2" xfId="220"/>
    <cellStyle name="常规 3 2" xfId="221"/>
    <cellStyle name="60% - 强调文字颜色 4 8" xfId="222"/>
    <cellStyle name="检查单元格 10" xfId="223"/>
    <cellStyle name="20% - 强调文字颜色 4 2 3" xfId="224"/>
    <cellStyle name="输入 4 2" xfId="225"/>
    <cellStyle name="60% - 强调文字颜色 4 9" xfId="226"/>
    <cellStyle name="常规 3 3" xfId="227"/>
    <cellStyle name="检查单元格 11" xfId="228"/>
    <cellStyle name="20% - 强调文字颜色 4 2 4" xfId="229"/>
    <cellStyle name="强调文字颜色 5 2" xfId="230"/>
    <cellStyle name="20% - 强调文字颜色 4 2 5" xfId="231"/>
    <cellStyle name="20% - 强调文字颜色 4 3" xfId="232"/>
    <cellStyle name="20% - 强调文字颜色 4 4" xfId="233"/>
    <cellStyle name="常规 6 12" xfId="234"/>
    <cellStyle name="60% - 强调文字颜色 2 2" xfId="235"/>
    <cellStyle name="常规 5" xfId="236"/>
    <cellStyle name="20% - 强调文字颜色 4 6" xfId="237"/>
    <cellStyle name="常规 7" xfId="238"/>
    <cellStyle name="常规 6 14" xfId="239"/>
    <cellStyle name="60% - 强调文字颜色 2 4" xfId="240"/>
    <cellStyle name="20% - 强调文字颜色 4 7" xfId="241"/>
    <cellStyle name="常规 8" xfId="242"/>
    <cellStyle name="常规 6 20" xfId="243"/>
    <cellStyle name="常规 6 15" xfId="244"/>
    <cellStyle name="60% - 强调文字颜色 2 5" xfId="245"/>
    <cellStyle name="20% - 强调文字颜色 4 8" xfId="246"/>
    <cellStyle name="常规 9" xfId="247"/>
    <cellStyle name="常规 6 21" xfId="248"/>
    <cellStyle name="常规 6 16" xfId="249"/>
    <cellStyle name="60% - 强调文字颜色 2 6" xfId="250"/>
    <cellStyle name="20% - 强调文字颜色 4 9" xfId="251"/>
    <cellStyle name="常规 6 22" xfId="252"/>
    <cellStyle name="常规 6 17" xfId="253"/>
    <cellStyle name="60% - 强调文字颜色 2 7" xfId="254"/>
    <cellStyle name="20% - 强调文字颜色 5 10" xfId="255"/>
    <cellStyle name="40% - 强调文字颜色 6 11" xfId="256"/>
    <cellStyle name="20% - 强调文字颜色 5 11" xfId="257"/>
    <cellStyle name="20% - 强调文字颜色 5 2" xfId="258"/>
    <cellStyle name="常规 2 28" xfId="259"/>
    <cellStyle name="20% - 强调文字颜色 5 2 2" xfId="260"/>
    <cellStyle name="常规_正司机座椅 _25" xfId="261"/>
    <cellStyle name="常规 2 2 15" xfId="262"/>
    <cellStyle name="常规 2 2 20" xfId="263"/>
    <cellStyle name="20% - 强调文字颜色 5 2 3" xfId="264"/>
    <cellStyle name="常规_正司机座椅 _26" xfId="265"/>
    <cellStyle name="常规 2 2 16" xfId="266"/>
    <cellStyle name="常规 2 2 21" xfId="267"/>
    <cellStyle name="20% - 强调文字颜色 5 2 4" xfId="268"/>
    <cellStyle name="常规 2 2 17" xfId="269"/>
    <cellStyle name="常规 2 2 22" xfId="270"/>
    <cellStyle name="20% - 强调文字颜色 5 2 5" xfId="271"/>
    <cellStyle name="常规 2 2 18" xfId="272"/>
    <cellStyle name="常规 2 2 23" xfId="273"/>
    <cellStyle name="20% - 强调文字颜色 5 3" xfId="274"/>
    <cellStyle name="20% - 强调文字颜色 5 4" xfId="275"/>
    <cellStyle name="强调文字颜色 4 10" xfId="276"/>
    <cellStyle name="60% - 强调文字颜色 3 2" xfId="277"/>
    <cellStyle name="20% - 强调文字颜色 5 5" xfId="278"/>
    <cellStyle name="强调文字颜色 4 11" xfId="279"/>
    <cellStyle name="汇总 10" xfId="280"/>
    <cellStyle name="60% - 强调文字颜色 3 3" xfId="281"/>
    <cellStyle name="汇总 11" xfId="282"/>
    <cellStyle name="60% - 强调文字颜色 3 4" xfId="283"/>
    <cellStyle name="20% - 强调文字颜色 5 6" xfId="284"/>
    <cellStyle name="BOM_Level_Below3 2 2" xfId="285"/>
    <cellStyle name="20% - 强调文字颜色 5 7" xfId="286"/>
    <cellStyle name="60% - 强调文字颜色 3 5" xfId="287"/>
    <cellStyle name="20% - 强调文字颜色 5 8" xfId="288"/>
    <cellStyle name="60% - 强调文字颜色 3 6" xfId="289"/>
    <cellStyle name="20% - 强调文字颜色 5 9" xfId="290"/>
    <cellStyle name="60% - 强调文字颜色 3 7" xfId="291"/>
    <cellStyle name="检查单元格 2 5" xfId="292"/>
    <cellStyle name="20% - 强调文字颜色 6 10" xfId="293"/>
    <cellStyle name="20% - 强调文字颜色 6 11" xfId="294"/>
    <cellStyle name="20% - 强调文字颜色 6 2" xfId="295"/>
    <cellStyle name="60% - 强调文字颜色 6 2 4" xfId="296"/>
    <cellStyle name="输出 6 2" xfId="297"/>
    <cellStyle name="强调文字颜色 5 2 5" xfId="298"/>
    <cellStyle name="标题 4 11" xfId="299"/>
    <cellStyle name="20% - 强调文字颜色 6 2 2" xfId="300"/>
    <cellStyle name="40% - 强调文字颜色 4 4" xfId="301"/>
    <cellStyle name="解释性文本 10" xfId="302"/>
    <cellStyle name="20% - 强调文字颜色 6 2 3" xfId="303"/>
    <cellStyle name="40% - 强调文字颜色 4 5" xfId="304"/>
    <cellStyle name="解释性文本 11" xfId="305"/>
    <cellStyle name="20% - 强调文字颜色 6 2 4" xfId="306"/>
    <cellStyle name="40% - 强调文字颜色 4 6" xfId="307"/>
    <cellStyle name="20% - 强调文字颜色 6 2 5" xfId="308"/>
    <cellStyle name="40% - 强调文字颜色 4 7" xfId="309"/>
    <cellStyle name="20% - 强调文字颜色 6 3" xfId="310"/>
    <cellStyle name="60% - 强调文字颜色 6 2 5" xfId="311"/>
    <cellStyle name="20% - 强调文字颜色 6 4" xfId="312"/>
    <cellStyle name="60% - 强调文字颜色 4 2" xfId="313"/>
    <cellStyle name="20% - 强调文字颜色 6 5" xfId="314"/>
    <cellStyle name="40% - 强调文字颜色 5 2 2" xfId="315"/>
    <cellStyle name="60% - 强调文字颜色 4 3" xfId="316"/>
    <cellStyle name="60% - 强调文字颜色 4 4" xfId="317"/>
    <cellStyle name="20% - 强调文字颜色 6 6" xfId="318"/>
    <cellStyle name="40% - 强调文字颜色 5 2 3" xfId="319"/>
    <cellStyle name="BOM_Level_Below3 3 2" xfId="320"/>
    <cellStyle name="20% - 强调文字颜色 6 7" xfId="321"/>
    <cellStyle name="40% - 强调文字颜色 5 2 4" xfId="322"/>
    <cellStyle name="60% - 强调文字颜色 4 5" xfId="323"/>
    <cellStyle name="20% - 强调文字颜色 6 8" xfId="324"/>
    <cellStyle name="40% - 强调文字颜色 5 2 5" xfId="325"/>
    <cellStyle name="60% - 强调文字颜色 4 6" xfId="326"/>
    <cellStyle name="20% - 强调文字颜色 6 9" xfId="327"/>
    <cellStyle name="60% - 强调文字颜色 4 7" xfId="328"/>
    <cellStyle name="常规 41" xfId="329"/>
    <cellStyle name="常规 36" xfId="330"/>
    <cellStyle name="40% - 强调文字颜色 1 10" xfId="331"/>
    <cellStyle name="60% - 强调文字颜色 2 11" xfId="332"/>
    <cellStyle name="常规 37" xfId="333"/>
    <cellStyle name="40% - 强调文字颜色 1 11" xfId="334"/>
    <cellStyle name="常规 2 2 2" xfId="335"/>
    <cellStyle name="40% - 强调文字颜色 1 2" xfId="336"/>
    <cellStyle name="40% - 强调文字颜色 1 2 2" xfId="337"/>
    <cellStyle name="40% - 强调文字颜色 1 2 3" xfId="338"/>
    <cellStyle name="40% - 强调文字颜色 1 2 4" xfId="339"/>
    <cellStyle name="40% - 强调文字颜色 1 2 5" xfId="340"/>
    <cellStyle name="40% - 强调文字颜色 1 3" xfId="341"/>
    <cellStyle name="40% - 强调文字颜色 1 4" xfId="342"/>
    <cellStyle name="40% - 强调文字颜色 1 5" xfId="343"/>
    <cellStyle name="40% - 强调文字颜色 1 6" xfId="344"/>
    <cellStyle name="40% - 强调文字颜色 1 7" xfId="345"/>
    <cellStyle name="40% - 强调文字颜色 1 8" xfId="346"/>
    <cellStyle name="40% - 强调文字颜色 1 9" xfId="347"/>
    <cellStyle name="60% - 强调文字颜色 1 8" xfId="348"/>
    <cellStyle name="警告文本 2 5" xfId="349"/>
    <cellStyle name="40% - 强调文字颜色 2 10" xfId="350"/>
    <cellStyle name="60% - 强调文字颜色 3 11" xfId="351"/>
    <cellStyle name="常规 3 2 22" xfId="352"/>
    <cellStyle name="常规 3 2 17" xfId="353"/>
    <cellStyle name="40% - 强调文字颜色 2 2 2" xfId="354"/>
    <cellStyle name="常规 3 2 18" xfId="355"/>
    <cellStyle name="40% - 强调文字颜色 2 2 3" xfId="356"/>
    <cellStyle name="常规 3 2 19" xfId="357"/>
    <cellStyle name="40% - 强调文字颜色 2 2 4" xfId="358"/>
    <cellStyle name="40% - 强调文字颜色 2 2 5" xfId="359"/>
    <cellStyle name="40% - 强调文字颜色 2 6" xfId="360"/>
    <cellStyle name="40% - 强调文字颜色 2 7" xfId="361"/>
    <cellStyle name="40% - 强调文字颜色 2 8" xfId="362"/>
    <cellStyle name="40% - 强调文字颜色 2 9" xfId="363"/>
    <cellStyle name="40% - 强调文字颜色 3 2" xfId="364"/>
    <cellStyle name="40% - 强调文字颜色 3 2 2" xfId="365"/>
    <cellStyle name="40% - 强调文字颜色 6 9" xfId="366"/>
    <cellStyle name="40% - 强调文字颜色 3 2 3" xfId="367"/>
    <cellStyle name="40% - 强调文字颜色 3 2 4" xfId="368"/>
    <cellStyle name="40% - 强调文字颜色 3 2 5" xfId="369"/>
    <cellStyle name="40% - 强调文字颜色 3 3" xfId="370"/>
    <cellStyle name="计算 2 3" xfId="371"/>
    <cellStyle name="BOM_Level_1" xfId="372"/>
    <cellStyle name="40% - 强调文字颜色 3 4" xfId="373"/>
    <cellStyle name="40% - 强调文字颜色 3 5" xfId="374"/>
    <cellStyle name="40% - 强调文字颜色 3 6" xfId="375"/>
    <cellStyle name="40% - 强调文字颜色 3 7" xfId="376"/>
    <cellStyle name="40% - 强调文字颜色 4 2 2" xfId="377"/>
    <cellStyle name="标题 4 4" xfId="378"/>
    <cellStyle name="40% - 强调文字颜色 4 2 3" xfId="379"/>
    <cellStyle name="标题 4 5" xfId="380"/>
    <cellStyle name="40% - 强调文字颜色 4 2 4" xfId="381"/>
    <cellStyle name="标题 4 6" xfId="382"/>
    <cellStyle name="40% - 强调文字颜色 4 2 5" xfId="383"/>
    <cellStyle name="标题 4 7" xfId="384"/>
    <cellStyle name="输入 2 2 2" xfId="385"/>
    <cellStyle name="40% - 强调文字颜色 4 3" xfId="386"/>
    <cellStyle name="40% - 强调文字颜色 4 8" xfId="387"/>
    <cellStyle name="40% - 强调文字颜色 4 9" xfId="388"/>
    <cellStyle name="40% - 强调文字颜色 5 10" xfId="389"/>
    <cellStyle name="60% - 强调文字颜色 6 11" xfId="390"/>
    <cellStyle name="常规 14" xfId="391"/>
    <cellStyle name="好 2 3" xfId="392"/>
    <cellStyle name="40% - 强调文字颜色 5 2" xfId="393"/>
    <cellStyle name="输入 2 3 2" xfId="394"/>
    <cellStyle name="好 2 4" xfId="395"/>
    <cellStyle name="40% - 强调文字颜色 5 3" xfId="396"/>
    <cellStyle name="好 2 5" xfId="397"/>
    <cellStyle name="40% - 强调文字颜色 5 4" xfId="398"/>
    <cellStyle name="40% - 强调文字颜色 5 5" xfId="399"/>
    <cellStyle name="注释 2 2" xfId="400"/>
    <cellStyle name="40% - 强调文字颜色 5 6" xfId="401"/>
    <cellStyle name="常规 6 2 2" xfId="402"/>
    <cellStyle name="标题 2 10" xfId="403"/>
    <cellStyle name="注释 2 4" xfId="404"/>
    <cellStyle name="40% - 强调文字颜色 5 8" xfId="405"/>
    <cellStyle name="常规 6 2 4" xfId="406"/>
    <cellStyle name="注释 2 5" xfId="407"/>
    <cellStyle name="40% - 强调文字颜色 5 9" xfId="408"/>
    <cellStyle name="常规 6 2 5" xfId="409"/>
    <cellStyle name="40% - 强调文字颜色 6 10" xfId="410"/>
    <cellStyle name="40% - 强调文字颜色 6 2" xfId="411"/>
    <cellStyle name="标题 2 2 4" xfId="412"/>
    <cellStyle name="40% - 强调文字颜色 6 2 2" xfId="413"/>
    <cellStyle name="常规 2 2 10" xfId="414"/>
    <cellStyle name="40% - 强调文字颜色 6 2 3" xfId="415"/>
    <cellStyle name="常规_正司机座椅 _21" xfId="416"/>
    <cellStyle name="常规 2 2 11" xfId="417"/>
    <cellStyle name="40% - 强调文字颜色 6 2 4" xfId="418"/>
    <cellStyle name="常规_正司机座椅 _22" xfId="419"/>
    <cellStyle name="常规 2 2 12" xfId="420"/>
    <cellStyle name="40% - 强调文字颜色 6 2 5" xfId="421"/>
    <cellStyle name="常规_正司机座椅 _23" xfId="422"/>
    <cellStyle name="常规 2 2 13" xfId="423"/>
    <cellStyle name="输入 2 4 2" xfId="424"/>
    <cellStyle name="标题 2 2 5" xfId="425"/>
    <cellStyle name="40% - 强调文字颜色 6 3" xfId="426"/>
    <cellStyle name="40% - 强调文字颜色 6 4" xfId="427"/>
    <cellStyle name="60% - 强调文字颜色 4 2 2" xfId="428"/>
    <cellStyle name="注释 3 2" xfId="429"/>
    <cellStyle name="40% - 强调文字颜色 6 6" xfId="430"/>
    <cellStyle name="60% - 强调文字颜色 4 2 4" xfId="431"/>
    <cellStyle name="40% - 强调文字颜色 6 7" xfId="432"/>
    <cellStyle name="60% - 强调文字颜色 4 2 5" xfId="433"/>
    <cellStyle name="40% - 强调文字颜色 6 8" xfId="434"/>
    <cellStyle name="60% - 强调文字颜色 1 10" xfId="435"/>
    <cellStyle name="60% - 强调文字颜色 1 2 2" xfId="436"/>
    <cellStyle name="60% - 强调文字颜色 1 2 3" xfId="437"/>
    <cellStyle name="60% - 强调文字颜色 1 2 4" xfId="438"/>
    <cellStyle name="60% - 强调文字颜色 1 2 5" xfId="439"/>
    <cellStyle name="常规 40" xfId="440"/>
    <cellStyle name="常规 35" xfId="441"/>
    <cellStyle name="60% - 强调文字颜色 2 10" xfId="442"/>
    <cellStyle name="60% - 强调文字颜色 2 2 5" xfId="443"/>
    <cellStyle name="常规 6 23" xfId="444"/>
    <cellStyle name="常规 6 18" xfId="445"/>
    <cellStyle name="60% - 强调文字颜色 2 8" xfId="446"/>
    <cellStyle name="输入 2 2" xfId="447"/>
    <cellStyle name="常规 6 24" xfId="448"/>
    <cellStyle name="常规 6 19" xfId="449"/>
    <cellStyle name="60% - 强调文字颜色 2 9" xfId="450"/>
    <cellStyle name="常规 3 2 12" xfId="451"/>
    <cellStyle name="60% - 强调文字颜色 3 2 2" xfId="452"/>
    <cellStyle name="常规 3 2 13" xfId="453"/>
    <cellStyle name="60% - 强调文字颜色 3 2 3" xfId="454"/>
    <cellStyle name="常规 3 2 14" xfId="455"/>
    <cellStyle name="60% - 强调文字颜色 3 2 4" xfId="456"/>
    <cellStyle name="常规 3 2 20" xfId="457"/>
    <cellStyle name="常规 3 2 15" xfId="458"/>
    <cellStyle name="60% - 强调文字颜色 3 2 5" xfId="459"/>
    <cellStyle name="60% - 强调文字颜色 3 8" xfId="460"/>
    <cellStyle name="常规 2 2" xfId="461"/>
    <cellStyle name="输入 3 2" xfId="462"/>
    <cellStyle name="60% - 强调文字颜色 3 9" xfId="463"/>
    <cellStyle name="常规 2 3" xfId="464"/>
    <cellStyle name="强调文字颜色 1 2 2" xfId="465"/>
    <cellStyle name="60% - 强调文字颜色 4 10" xfId="466"/>
    <cellStyle name="60% - 强调文字颜色 6 7" xfId="467"/>
    <cellStyle name="60% - 强调文字颜色 5 2" xfId="468"/>
    <cellStyle name="好 9" xfId="469"/>
    <cellStyle name="60% - 强调文字颜色 5 2 2" xfId="470"/>
    <cellStyle name="60% - 强调文字颜色 5 2 3" xfId="471"/>
    <cellStyle name="千位分隔 2" xfId="472"/>
    <cellStyle name="60% - 强调文字颜色 5 2 4" xfId="473"/>
    <cellStyle name="Normal_Rag6Idx" xfId="474"/>
    <cellStyle name="千位分隔 3" xfId="475"/>
    <cellStyle name="标题 4 2" xfId="476"/>
    <cellStyle name="60% - 强调文字颜色 5 2 5" xfId="477"/>
    <cellStyle name="60% - 强调文字颜色 5 3" xfId="478"/>
    <cellStyle name="60% - 强调文字颜色 5 4" xfId="479"/>
    <cellStyle name="60% - 强调文字颜色 5 5" xfId="480"/>
    <cellStyle name="60% - 强调文字颜色 5 6" xfId="481"/>
    <cellStyle name="60% - 强调文字颜色 5 7" xfId="482"/>
    <cellStyle name="注释 11 2" xfId="483"/>
    <cellStyle name="常规 4 2" xfId="484"/>
    <cellStyle name="60% - 强调文字颜色 5 8" xfId="485"/>
    <cellStyle name="输入 5 2" xfId="486"/>
    <cellStyle name="60% - 强调文字颜色 5 9" xfId="487"/>
    <cellStyle name="常规 4 3" xfId="488"/>
    <cellStyle name="计算 6 2" xfId="489"/>
    <cellStyle name="60% - 强调文字颜色 6 10" xfId="490"/>
    <cellStyle name="常规 13" xfId="491"/>
    <cellStyle name="60% - 强调文字颜色 6 2" xfId="492"/>
    <cellStyle name="60% - 强调文字颜色 6 2 2" xfId="493"/>
    <cellStyle name="60% - 强调文字颜色 6 2 3" xfId="494"/>
    <cellStyle name="强调文字颜色 5 2 4" xfId="495"/>
    <cellStyle name="标题 4 10" xfId="496"/>
    <cellStyle name="60% - 强调文字颜色 6 3" xfId="497"/>
    <cellStyle name="60% - 强调文字颜色 6 4" xfId="498"/>
    <cellStyle name="60% - 强调文字颜色 6 5" xfId="499"/>
    <cellStyle name="60% - 强调文字颜色 6 6" xfId="500"/>
    <cellStyle name="BOM_Level_Below3 3" xfId="501"/>
    <cellStyle name="BOM_Level_Below3 4" xfId="502"/>
    <cellStyle name="BOM_Level_Below3 5" xfId="503"/>
    <cellStyle name="百分比 2" xfId="504"/>
    <cellStyle name="解释性文本 7" xfId="505"/>
    <cellStyle name="差 4" xfId="506"/>
    <cellStyle name="计算 11" xfId="507"/>
    <cellStyle name="输出 8" xfId="508"/>
    <cellStyle name="标题 1 10" xfId="509"/>
    <cellStyle name="输出 9" xfId="510"/>
    <cellStyle name="标题 1 11" xfId="511"/>
    <cellStyle name="常规 2 2 6" xfId="512"/>
    <cellStyle name="标题 1 2" xfId="513"/>
    <cellStyle name="标题 1 2 2" xfId="514"/>
    <cellStyle name="标题 1 2 3" xfId="515"/>
    <cellStyle name="标题 1 2 4" xfId="516"/>
    <cellStyle name="常规 3 2 10" xfId="517"/>
    <cellStyle name="标题 1 2 5" xfId="518"/>
    <cellStyle name="常规 3 2 11" xfId="519"/>
    <cellStyle name="常规 2 2 7" xfId="520"/>
    <cellStyle name="标题 1 3" xfId="521"/>
    <cellStyle name="常规 2 2 8" xfId="522"/>
    <cellStyle name="标题 1 4" xfId="523"/>
    <cellStyle name="标题 1 5" xfId="524"/>
    <cellStyle name="常规 2 2 9" xfId="525"/>
    <cellStyle name="常规 6 2 10" xfId="526"/>
    <cellStyle name="标题 1 6" xfId="527"/>
    <cellStyle name="常规 6 2 11" xfId="528"/>
    <cellStyle name="标题 1 7" xfId="529"/>
    <cellStyle name="常规 6 2 12" xfId="530"/>
    <cellStyle name="标题 1 8" xfId="531"/>
    <cellStyle name="常规 3 2 2 2" xfId="532"/>
    <cellStyle name="标题 1 9" xfId="533"/>
    <cellStyle name="计算 7 2" xfId="534"/>
    <cellStyle name="标题 10" xfId="535"/>
    <cellStyle name="计算 11 2" xfId="536"/>
    <cellStyle name="标题 11" xfId="537"/>
    <cellStyle name="输出 11 2" xfId="538"/>
    <cellStyle name="标题 12" xfId="539"/>
    <cellStyle name="标题 13" xfId="540"/>
    <cellStyle name="标题 14" xfId="541"/>
    <cellStyle name="标题 2 2" xfId="542"/>
    <cellStyle name="标题 2 2 2" xfId="543"/>
    <cellStyle name="标题 2 2 3" xfId="544"/>
    <cellStyle name="标题 2 3" xfId="545"/>
    <cellStyle name="标题 2 4" xfId="546"/>
    <cellStyle name="标题 2 5" xfId="547"/>
    <cellStyle name="标题 2 6" xfId="548"/>
    <cellStyle name="标题 2 7" xfId="549"/>
    <cellStyle name="标题 2 8" xfId="550"/>
    <cellStyle name="标题 2 9" xfId="551"/>
    <cellStyle name="计算 8 2" xfId="552"/>
    <cellStyle name="常规 2 2 2 14" xfId="553"/>
    <cellStyle name="注释 7 2" xfId="554"/>
    <cellStyle name="标题 3 10" xfId="555"/>
    <cellStyle name="常规 2 2 2 2 4" xfId="556"/>
    <cellStyle name="标题 3 2" xfId="557"/>
    <cellStyle name="常规 7 2 3" xfId="558"/>
    <cellStyle name="标题 3 2 4" xfId="559"/>
    <cellStyle name="好 7" xfId="560"/>
    <cellStyle name="标题 3 2 5" xfId="561"/>
    <cellStyle name="好 8" xfId="562"/>
    <cellStyle name="常规 2 2 2 2 5" xfId="563"/>
    <cellStyle name="常规 2 2 2 2 10" xfId="564"/>
    <cellStyle name="标题 3 3" xfId="565"/>
    <cellStyle name="常规 7 2 4" xfId="566"/>
    <cellStyle name="常规 2 2 2 2 6" xfId="567"/>
    <cellStyle name="常规 2 2 2 2 11" xfId="568"/>
    <cellStyle name="标题 3 4" xfId="569"/>
    <cellStyle name="常规 7 2 5" xfId="570"/>
    <cellStyle name="常规 2 2 2 2 7" xfId="571"/>
    <cellStyle name="常规 2 2 2 2 12" xfId="572"/>
    <cellStyle name="标题 3 5" xfId="573"/>
    <cellStyle name="常规 7 2 6" xfId="574"/>
    <cellStyle name="常规 2 2 2 2 8" xfId="575"/>
    <cellStyle name="常规 2 2 2 2 13" xfId="576"/>
    <cellStyle name="标题 3 6" xfId="577"/>
    <cellStyle name="常规 7 2 7" xfId="578"/>
    <cellStyle name="常规 2 2 2 2 9" xfId="579"/>
    <cellStyle name="常规 2 2 2 2 14" xfId="580"/>
    <cellStyle name="标题 3 7" xfId="581"/>
    <cellStyle name="常规 7 2 8" xfId="582"/>
    <cellStyle name="常规 2 2 2 2 20" xfId="583"/>
    <cellStyle name="常规 2 2 2 2 15" xfId="584"/>
    <cellStyle name="标题 3 8" xfId="585"/>
    <cellStyle name="常规 7 2 10" xfId="586"/>
    <cellStyle name="常规 7 2 9" xfId="587"/>
    <cellStyle name="常规 2 2 2 2 21" xfId="588"/>
    <cellStyle name="常规 2 2 2 2 16" xfId="589"/>
    <cellStyle name="常规 2 2 2 10" xfId="590"/>
    <cellStyle name="标题 3 9" xfId="591"/>
    <cellStyle name="常规 7 2 11" xfId="592"/>
    <cellStyle name="计算 9 2" xfId="593"/>
    <cellStyle name="标题 4 2 2" xfId="594"/>
    <cellStyle name="标题 4 2 3" xfId="595"/>
    <cellStyle name="标题 4 2 4" xfId="596"/>
    <cellStyle name="标题 4 2 5" xfId="597"/>
    <cellStyle name="标题 4 3" xfId="598"/>
    <cellStyle name="标题 4 8" xfId="599"/>
    <cellStyle name="标题 5" xfId="600"/>
    <cellStyle name="解释性文本 2 3" xfId="601"/>
    <cellStyle name="标题 5 2" xfId="602"/>
    <cellStyle name="标题 5 3" xfId="603"/>
    <cellStyle name="标题 6" xfId="604"/>
    <cellStyle name="解释性文本 2 4" xfId="605"/>
    <cellStyle name="标题 7" xfId="606"/>
    <cellStyle name="解释性文本 2 5" xfId="607"/>
    <cellStyle name="常规 10 2" xfId="608"/>
    <cellStyle name="标题 8" xfId="609"/>
    <cellStyle name="标题 9" xfId="610"/>
    <cellStyle name="差 10" xfId="611"/>
    <cellStyle name="差 11" xfId="612"/>
    <cellStyle name="差 2" xfId="613"/>
    <cellStyle name="解释性文本 5" xfId="614"/>
    <cellStyle name="差 2 2" xfId="615"/>
    <cellStyle name="差 2 3" xfId="616"/>
    <cellStyle name="差 2 4" xfId="617"/>
    <cellStyle name="强调文字颜色 6 10" xfId="618"/>
    <cellStyle name="差 2 5" xfId="619"/>
    <cellStyle name="强调文字颜色 6 11" xfId="620"/>
    <cellStyle name="计算 10" xfId="621"/>
    <cellStyle name="差 3" xfId="622"/>
    <cellStyle name="解释性文本 6" xfId="623"/>
    <cellStyle name="差 5" xfId="624"/>
    <cellStyle name="解释性文本 8" xfId="625"/>
    <cellStyle name="差_KING" xfId="626"/>
    <cellStyle name="常规 10" xfId="627"/>
    <cellStyle name="常规 11" xfId="628"/>
    <cellStyle name="常规 12" xfId="629"/>
    <cellStyle name="常规 22" xfId="630"/>
    <cellStyle name="常规 17" xfId="631"/>
    <cellStyle name="注释 4 2" xfId="632"/>
    <cellStyle name="常规 23" xfId="633"/>
    <cellStyle name="常规 18" xfId="634"/>
    <cellStyle name="常规 24" xfId="635"/>
    <cellStyle name="常规 19" xfId="636"/>
    <cellStyle name="常规 2" xfId="637"/>
    <cellStyle name="好 10" xfId="638"/>
    <cellStyle name="常规 2 10" xfId="639"/>
    <cellStyle name="强调文字颜色 3 3" xfId="640"/>
    <cellStyle name="常规 2 11" xfId="641"/>
    <cellStyle name="强调文字颜色 3 4" xfId="642"/>
    <cellStyle name="汇总 5 2" xfId="643"/>
    <cellStyle name="常规 2 12" xfId="644"/>
    <cellStyle name="强调文字颜色 3 5" xfId="645"/>
    <cellStyle name="常规 2 13" xfId="646"/>
    <cellStyle name="强调文字颜色 3 6" xfId="647"/>
    <cellStyle name="常规 2 14" xfId="648"/>
    <cellStyle name="强调文字颜色 3 7" xfId="649"/>
    <cellStyle name="常规 2 20" xfId="650"/>
    <cellStyle name="常规 2 15" xfId="651"/>
    <cellStyle name="强调文字颜色 3 8" xfId="652"/>
    <cellStyle name="常规 2 21" xfId="653"/>
    <cellStyle name="常规 2 16" xfId="654"/>
    <cellStyle name="强调文字颜色 3 9" xfId="655"/>
    <cellStyle name="常规 2 22" xfId="656"/>
    <cellStyle name="常规 2 17" xfId="657"/>
    <cellStyle name="千位分隔 2 2" xfId="658"/>
    <cellStyle name="常规 2 23" xfId="659"/>
    <cellStyle name="常规 2 18" xfId="660"/>
    <cellStyle name="常规 2 24" xfId="661"/>
    <cellStyle name="常规 2 19" xfId="662"/>
    <cellStyle name="常规 2 2 14" xfId="663"/>
    <cellStyle name="常规 2 2 24" xfId="664"/>
    <cellStyle name="常规 2 2 19" xfId="665"/>
    <cellStyle name="常规 2 2 2 2 22" xfId="666"/>
    <cellStyle name="常规 2 2 2 2 17" xfId="667"/>
    <cellStyle name="常规 2 2 2 11" xfId="668"/>
    <cellStyle name="常规 2 2 2 2 18" xfId="669"/>
    <cellStyle name="常规 2 2 2 12" xfId="670"/>
    <cellStyle name="常规 2 2 2 2 19" xfId="671"/>
    <cellStyle name="常规 2 2 2 13" xfId="672"/>
    <cellStyle name="常规 2 2 2 2" xfId="673"/>
    <cellStyle name="常规 2 2 2 2 2" xfId="674"/>
    <cellStyle name="常规 2 2 2 2 2 2" xfId="675"/>
    <cellStyle name="警告文本 9" xfId="676"/>
    <cellStyle name="常规 2 2 2 2 3" xfId="677"/>
    <cellStyle name="常规 2 2 2 3" xfId="678"/>
    <cellStyle name="常规 2 2 25" xfId="679"/>
    <cellStyle name="常规 2 2 26" xfId="680"/>
    <cellStyle name="常规 2 2 3" xfId="681"/>
    <cellStyle name="常规 2 2 5" xfId="682"/>
    <cellStyle name="常规 2 25" xfId="683"/>
    <cellStyle name="常规 2 27" xfId="684"/>
    <cellStyle name="常规 2 4" xfId="685"/>
    <cellStyle name="常规 2 5" xfId="686"/>
    <cellStyle name="常规 2 6" xfId="687"/>
    <cellStyle name="常规 2 7" xfId="688"/>
    <cellStyle name="常规 2 8" xfId="689"/>
    <cellStyle name="输入 2" xfId="690"/>
    <cellStyle name="常规 2 9" xfId="691"/>
    <cellStyle name="输入 3" xfId="692"/>
    <cellStyle name="常规 25" xfId="693"/>
    <cellStyle name="常规 30" xfId="694"/>
    <cellStyle name="常规 27" xfId="695"/>
    <cellStyle name="常规 32" xfId="696"/>
    <cellStyle name="常规 28" xfId="697"/>
    <cellStyle name="常规 33" xfId="698"/>
    <cellStyle name="常规 29" xfId="699"/>
    <cellStyle name="常规 34" xfId="700"/>
    <cellStyle name="常规 6 10" xfId="701"/>
    <cellStyle name="常规 3" xfId="702"/>
    <cellStyle name="好 11" xfId="703"/>
    <cellStyle name="输出 4 2" xfId="704"/>
    <cellStyle name="注释 10" xfId="705"/>
    <cellStyle name="常规 3 10" xfId="706"/>
    <cellStyle name="常规 3 11" xfId="707"/>
    <cellStyle name="常规 3 12" xfId="708"/>
    <cellStyle name="常规 3 13" xfId="709"/>
    <cellStyle name="常规 3 15" xfId="710"/>
    <cellStyle name="常规 3 20" xfId="711"/>
    <cellStyle name="常规 3 16" xfId="712"/>
    <cellStyle name="常规 3 21" xfId="713"/>
    <cellStyle name="常规 3 17" xfId="714"/>
    <cellStyle name="常规 3 22" xfId="715"/>
    <cellStyle name="常规 3 18" xfId="716"/>
    <cellStyle name="常规 3 23" xfId="717"/>
    <cellStyle name="常规 3 19" xfId="718"/>
    <cellStyle name="常规 3 24" xfId="719"/>
    <cellStyle name="常规 3 2 16" xfId="720"/>
    <cellStyle name="常规 3 2 21" xfId="721"/>
    <cellStyle name="计算 7" xfId="722"/>
    <cellStyle name="常规 3 2 2" xfId="723"/>
    <cellStyle name="适中 4" xfId="724"/>
    <cellStyle name="计算 8" xfId="725"/>
    <cellStyle name="常规 3 2 3" xfId="726"/>
    <cellStyle name="适中 5" xfId="727"/>
    <cellStyle name="注释 9 2" xfId="728"/>
    <cellStyle name="计算 9" xfId="729"/>
    <cellStyle name="常规 3 2 4" xfId="730"/>
    <cellStyle name="适中 6" xfId="731"/>
    <cellStyle name="常规 3 25" xfId="732"/>
    <cellStyle name="常规 3 30" xfId="733"/>
    <cellStyle name="常规 3 26" xfId="734"/>
    <cellStyle name="常规 3 28" xfId="735"/>
    <cellStyle name="常规 3 29" xfId="736"/>
    <cellStyle name="常规 3 4" xfId="737"/>
    <cellStyle name="常规 3 5" xfId="738"/>
    <cellStyle name="常规 3 6" xfId="739"/>
    <cellStyle name="常规 3 7" xfId="740"/>
    <cellStyle name="常规 3 8" xfId="741"/>
    <cellStyle name="常规 3 9" xfId="742"/>
    <cellStyle name="常规 38" xfId="743"/>
    <cellStyle name="常规 6 11" xfId="744"/>
    <cellStyle name="常规 4" xfId="745"/>
    <cellStyle name="注释 11" xfId="746"/>
    <cellStyle name="常规 4 10" xfId="747"/>
    <cellStyle name="常规 4 17" xfId="748"/>
    <cellStyle name="常规 4 22" xfId="749"/>
    <cellStyle name="样式 1 10" xfId="750"/>
    <cellStyle name="常规 4 18" xfId="751"/>
    <cellStyle name="常规 4 23" xfId="752"/>
    <cellStyle name="常规 4 19" xfId="753"/>
    <cellStyle name="常规 4 24" xfId="754"/>
    <cellStyle name="汇总 11 2" xfId="755"/>
    <cellStyle name="常规 4 2 10" xfId="756"/>
    <cellStyle name="常规 4 2 11" xfId="757"/>
    <cellStyle name="常规 4 2 12" xfId="758"/>
    <cellStyle name="常规 4 2 13" xfId="759"/>
    <cellStyle name="常规 4 2 14" xfId="760"/>
    <cellStyle name="常规 4 2 15" xfId="761"/>
    <cellStyle name="常规 4 2 20" xfId="762"/>
    <cellStyle name="常规 4 2 16" xfId="763"/>
    <cellStyle name="常规 4 2 21" xfId="764"/>
    <cellStyle name="常规 4 2 17" xfId="765"/>
    <cellStyle name="常规 4 2 22" xfId="766"/>
    <cellStyle name="常规 4 2 18" xfId="767"/>
    <cellStyle name="常规 4 2 23" xfId="768"/>
    <cellStyle name="常规 4 2 19" xfId="769"/>
    <cellStyle name="常规 4 2 24" xfId="770"/>
    <cellStyle name="常规 4 2 2" xfId="771"/>
    <cellStyle name="常规 4 4" xfId="772"/>
    <cellStyle name="常规 4 2 2 10" xfId="773"/>
    <cellStyle name="输入 2 3" xfId="774"/>
    <cellStyle name="常规 4 2 2 11" xfId="775"/>
    <cellStyle name="输入 2 4" xfId="776"/>
    <cellStyle name="常规 4 2 2 12" xfId="777"/>
    <cellStyle name="输入 2 5" xfId="778"/>
    <cellStyle name="常规 4 2 2 2" xfId="779"/>
    <cellStyle name="常规 6 4" xfId="780"/>
    <cellStyle name="注释 4" xfId="781"/>
    <cellStyle name="常规 4 2 2 4" xfId="782"/>
    <cellStyle name="常规 6 6" xfId="783"/>
    <cellStyle name="注释 6" xfId="784"/>
    <cellStyle name="常规 4 2 2 5" xfId="785"/>
    <cellStyle name="常规 6 7" xfId="786"/>
    <cellStyle name="注释 7" xfId="787"/>
    <cellStyle name="常规 4 2 2 6" xfId="788"/>
    <cellStyle name="常规 6 8" xfId="789"/>
    <cellStyle name="注释 8" xfId="790"/>
    <cellStyle name="常规 4 2 2 7" xfId="791"/>
    <cellStyle name="常规 6 9" xfId="792"/>
    <cellStyle name="常规 4 2 2 8" xfId="793"/>
    <cellStyle name="常规 4 2 2 9" xfId="794"/>
    <cellStyle name="常规 4 2 3" xfId="795"/>
    <cellStyle name="常规 4 5" xfId="796"/>
    <cellStyle name="常规 4 2 4" xfId="797"/>
    <cellStyle name="常规 4 6" xfId="798"/>
    <cellStyle name="常规 4 2 5" xfId="799"/>
    <cellStyle name="常规 4 7" xfId="800"/>
    <cellStyle name="常规 4 2 6" xfId="801"/>
    <cellStyle name="常规 4 8" xfId="802"/>
    <cellStyle name="常规 4 2 7" xfId="803"/>
    <cellStyle name="常规 4 9" xfId="804"/>
    <cellStyle name="常规 4 2 8" xfId="805"/>
    <cellStyle name="常规 4 2 9" xfId="806"/>
    <cellStyle name="常规 6 2" xfId="807"/>
    <cellStyle name="常规 7 18" xfId="808"/>
    <cellStyle name="常规 7 23" xfId="809"/>
    <cellStyle name="注释 2" xfId="810"/>
    <cellStyle name="常规 6 2 6" xfId="811"/>
    <cellStyle name="常规 6 2 7" xfId="812"/>
    <cellStyle name="常规 6 2 8" xfId="813"/>
    <cellStyle name="常规 6 2 9" xfId="814"/>
    <cellStyle name="常规 6 3" xfId="815"/>
    <cellStyle name="常规 7 19" xfId="816"/>
    <cellStyle name="常规 7 24" xfId="817"/>
    <cellStyle name="输入 7 2" xfId="818"/>
    <cellStyle name="注释 3" xfId="819"/>
    <cellStyle name="常规 7 10" xfId="820"/>
    <cellStyle name="输出 9 2" xfId="821"/>
    <cellStyle name="常规 7 11" xfId="822"/>
    <cellStyle name="常规 7 12" xfId="823"/>
    <cellStyle name="样式 1 10 2" xfId="824"/>
    <cellStyle name="常规 7 13" xfId="825"/>
    <cellStyle name="常规 7 14" xfId="826"/>
    <cellStyle name="常规 7 15" xfId="827"/>
    <cellStyle name="常规 7 20" xfId="828"/>
    <cellStyle name="常规 7 16" xfId="829"/>
    <cellStyle name="常规 7 21" xfId="830"/>
    <cellStyle name="常规 7 17" xfId="831"/>
    <cellStyle name="常规 7 22" xfId="832"/>
    <cellStyle name="常规 7 2" xfId="833"/>
    <cellStyle name="常规 7 2 12" xfId="834"/>
    <cellStyle name="常规 7 2 2" xfId="835"/>
    <cellStyle name="常规 7 4" xfId="836"/>
    <cellStyle name="常规 7 5" xfId="837"/>
    <cellStyle name="常规 7 6" xfId="838"/>
    <cellStyle name="常规 7 7" xfId="839"/>
    <cellStyle name="常规 7 8" xfId="840"/>
    <cellStyle name="常规 7 9" xfId="841"/>
    <cellStyle name="好 2" xfId="842"/>
    <cellStyle name="好 2 2" xfId="843"/>
    <cellStyle name="好 3" xfId="844"/>
    <cellStyle name="好 4" xfId="845"/>
    <cellStyle name="好_KING" xfId="846"/>
    <cellStyle name="汇总 10 2" xfId="847"/>
    <cellStyle name="汇总 7" xfId="848"/>
    <cellStyle name="汇总 2" xfId="849"/>
    <cellStyle name="汇总 2 2" xfId="850"/>
    <cellStyle name="汇总 2 2 2" xfId="851"/>
    <cellStyle name="汇总 2 3" xfId="852"/>
    <cellStyle name="检查单元格 2" xfId="853"/>
    <cellStyle name="汇总 2 3 2" xfId="854"/>
    <cellStyle name="检查单元格 2 2" xfId="855"/>
    <cellStyle name="汇总 2 4" xfId="856"/>
    <cellStyle name="检查单元格 3" xfId="857"/>
    <cellStyle name="汇总 2 4 2" xfId="858"/>
    <cellStyle name="汇总 2 5" xfId="859"/>
    <cellStyle name="检查单元格 4" xfId="860"/>
    <cellStyle name="汇总 2 6" xfId="861"/>
    <cellStyle name="检查单元格 5" xfId="862"/>
    <cellStyle name="汇总 3" xfId="863"/>
    <cellStyle name="汇总 3 2" xfId="864"/>
    <cellStyle name="强调文字颜色 1 5" xfId="865"/>
    <cellStyle name="汇总 4" xfId="866"/>
    <cellStyle name="汇总 4 2" xfId="867"/>
    <cellStyle name="强调文字颜色 2 5" xfId="868"/>
    <cellStyle name="汇总 5" xfId="869"/>
    <cellStyle name="汇总 6" xfId="870"/>
    <cellStyle name="汇总 6 2" xfId="871"/>
    <cellStyle name="强调文字颜色 4 5" xfId="872"/>
    <cellStyle name="汇总 7 2" xfId="873"/>
    <cellStyle name="强调文字颜色 5 5" xfId="874"/>
    <cellStyle name="汇总 8" xfId="875"/>
    <cellStyle name="汇总 8 2" xfId="876"/>
    <cellStyle name="强调文字颜色 6 5" xfId="877"/>
    <cellStyle name="汇总 9" xfId="878"/>
    <cellStyle name="汇总 9 2" xfId="879"/>
    <cellStyle name="计算 10 2" xfId="880"/>
    <cellStyle name="计算 2" xfId="881"/>
    <cellStyle name="强调文字颜色 1 8" xfId="882"/>
    <cellStyle name="计算 2 2" xfId="883"/>
    <cellStyle name="计算 2 2 2" xfId="884"/>
    <cellStyle name="计算 2 3 2" xfId="885"/>
    <cellStyle name="计算 2 4" xfId="886"/>
    <cellStyle name="计算 2 4 2" xfId="887"/>
    <cellStyle name="计算 2 5" xfId="888"/>
    <cellStyle name="计算 2 6" xfId="889"/>
    <cellStyle name="计算 3" xfId="890"/>
    <cellStyle name="强调文字颜色 1 9" xfId="891"/>
    <cellStyle name="计算 4" xfId="892"/>
    <cellStyle name="计算 4 2" xfId="893"/>
    <cellStyle name="计算 5" xfId="894"/>
    <cellStyle name="适中 2" xfId="895"/>
    <cellStyle name="计算 5 2" xfId="896"/>
    <cellStyle name="适中 2 2" xfId="897"/>
    <cellStyle name="计算 6" xfId="898"/>
    <cellStyle name="适中 3" xfId="899"/>
    <cellStyle name="检查单元格 2 3" xfId="900"/>
    <cellStyle name="检查单元格 2 4" xfId="901"/>
    <cellStyle name="检查单元格 6" xfId="902"/>
    <cellStyle name="检查单元格 7" xfId="903"/>
    <cellStyle name="检查单元格 8" xfId="904"/>
    <cellStyle name="检查单元格 9" xfId="905"/>
    <cellStyle name="解释性文本 2" xfId="906"/>
    <cellStyle name="解释性文本 3" xfId="907"/>
    <cellStyle name="解释性文本 4" xfId="908"/>
    <cellStyle name="警告文本 10" xfId="909"/>
    <cellStyle name="警告文本 11" xfId="910"/>
    <cellStyle name="警告文本 2" xfId="911"/>
    <cellStyle name="注释 5 2" xfId="912"/>
    <cellStyle name="警告文本 3" xfId="913"/>
    <cellStyle name="警告文本 4" xfId="914"/>
    <cellStyle name="警告文本 5" xfId="915"/>
    <cellStyle name="警告文本 6" xfId="916"/>
    <cellStyle name="警告文本 7" xfId="917"/>
    <cellStyle name="警告文本 8" xfId="918"/>
    <cellStyle name="链接单元格 10" xfId="919"/>
    <cellStyle name="链接单元格 11" xfId="920"/>
    <cellStyle name="链接单元格 2" xfId="921"/>
    <cellStyle name="链接单元格 2 2" xfId="922"/>
    <cellStyle name="链接单元格 2 3" xfId="923"/>
    <cellStyle name="链接单元格 2 4" xfId="924"/>
    <cellStyle name="链接单元格 2 5" xfId="925"/>
    <cellStyle name="链接单元格 9" xfId="926"/>
    <cellStyle name="强调文字颜色 1 10" xfId="927"/>
    <cellStyle name="强调文字颜色 1 11" xfId="928"/>
    <cellStyle name="强调文字颜色 1 2" xfId="929"/>
    <cellStyle name="强调文字颜色 1 3" xfId="930"/>
    <cellStyle name="强调文字颜色 1 4" xfId="931"/>
    <cellStyle name="强调文字颜色 1 6" xfId="932"/>
    <cellStyle name="强调文字颜色 1 7" xfId="933"/>
    <cellStyle name="强调文字颜色 2 10" xfId="934"/>
    <cellStyle name="强调文字颜色 2 11" xfId="935"/>
    <cellStyle name="强调文字颜色 2 2" xfId="936"/>
    <cellStyle name="强调文字颜色 2 2 2" xfId="937"/>
    <cellStyle name="强调文字颜色 2 2 3" xfId="938"/>
    <cellStyle name="强调文字颜色 2 2 4" xfId="939"/>
    <cellStyle name="强调文字颜色 2 2 5" xfId="940"/>
    <cellStyle name="强调文字颜色 2 3" xfId="941"/>
    <cellStyle name="强调文字颜色 2 4" xfId="942"/>
    <cellStyle name="强调文字颜色 2 6" xfId="943"/>
    <cellStyle name="强调文字颜色 2 7" xfId="944"/>
    <cellStyle name="强调文字颜色 2 8" xfId="945"/>
    <cellStyle name="强调文字颜色 2 9" xfId="946"/>
    <cellStyle name="强调文字颜色 3 10" xfId="947"/>
    <cellStyle name="强调文字颜色 3 2" xfId="948"/>
    <cellStyle name="强调文字颜色 3 2 2" xfId="949"/>
    <cellStyle name="适中 2 3" xfId="950"/>
    <cellStyle name="强调文字颜色 3 2 3" xfId="951"/>
    <cellStyle name="适中 2 4" xfId="952"/>
    <cellStyle name="强调文字颜色 3 2 5" xfId="953"/>
    <cellStyle name="强调文字颜色 4 2" xfId="954"/>
    <cellStyle name="强调文字颜色 4 2 2" xfId="955"/>
    <cellStyle name="强调文字颜色 4 2 3" xfId="956"/>
    <cellStyle name="强调文字颜色 4 2 4" xfId="957"/>
    <cellStyle name="强调文字颜色 4 2 5" xfId="958"/>
    <cellStyle name="强调文字颜色 4 3" xfId="959"/>
    <cellStyle name="强调文字颜色 4 4" xfId="960"/>
    <cellStyle name="强调文字颜色 4 6" xfId="961"/>
    <cellStyle name="强调文字颜色 4 7" xfId="962"/>
    <cellStyle name="强调文字颜色 4 8" xfId="963"/>
    <cellStyle name="输入 10" xfId="964"/>
    <cellStyle name="强调文字颜色 4 9" xfId="965"/>
    <cellStyle name="输入 11" xfId="966"/>
    <cellStyle name="强调文字颜色 5 10" xfId="967"/>
    <cellStyle name="强调文字颜色 5 11" xfId="968"/>
    <cellStyle name="强调文字颜色 5 2 2" xfId="969"/>
    <cellStyle name="强调文字颜色 5 2 3" xfId="970"/>
    <cellStyle name="强调文字颜色 5 3" xfId="971"/>
    <cellStyle name="强调文字颜色 5 4" xfId="972"/>
    <cellStyle name="强调文字颜色 5 6" xfId="973"/>
    <cellStyle name="强调文字颜色 5 7" xfId="974"/>
    <cellStyle name="强调文字颜色 5 8" xfId="975"/>
    <cellStyle name="强调文字颜色 5 9" xfId="976"/>
    <cellStyle name="强调文字颜色 6 2" xfId="977"/>
    <cellStyle name="强调文字颜色 6 2 2" xfId="978"/>
    <cellStyle name="强调文字颜色 6 2 3" xfId="979"/>
    <cellStyle name="强调文字颜色 6 2 4" xfId="980"/>
    <cellStyle name="强调文字颜色 6 2 5" xfId="981"/>
    <cellStyle name="强调文字颜色 6 3" xfId="982"/>
    <cellStyle name="强调文字颜色 6 4" xfId="983"/>
    <cellStyle name="强调文字颜色 6 6" xfId="984"/>
    <cellStyle name="强调文字颜色 6 7" xfId="985"/>
    <cellStyle name="强调文字颜色 6 8" xfId="986"/>
    <cellStyle name="强调文字颜色 6 9" xfId="987"/>
    <cellStyle name="适中 10" xfId="988"/>
    <cellStyle name="适中 11" xfId="989"/>
    <cellStyle name="输出 10 2" xfId="990"/>
    <cellStyle name="输出 11" xfId="991"/>
    <cellStyle name="输出 2" xfId="992"/>
    <cellStyle name="输出 2 2" xfId="993"/>
    <cellStyle name="输出 2 2 2" xfId="994"/>
    <cellStyle name="输出 2 3" xfId="995"/>
    <cellStyle name="输出 2 3 2" xfId="996"/>
    <cellStyle name="输出 2 4" xfId="997"/>
    <cellStyle name="输出 2 4 2" xfId="998"/>
    <cellStyle name="输出 2 5" xfId="999"/>
    <cellStyle name="输出 2 6" xfId="1000"/>
    <cellStyle name="输出 3" xfId="1001"/>
    <cellStyle name="输出 3 2" xfId="1002"/>
    <cellStyle name="输出 4" xfId="1003"/>
    <cellStyle name="输出 5" xfId="1004"/>
    <cellStyle name="输出 5 2" xfId="1005"/>
    <cellStyle name="输出 6" xfId="1006"/>
    <cellStyle name="输出 7" xfId="1007"/>
    <cellStyle name="输出 7 2" xfId="1008"/>
    <cellStyle name="输出 8 2" xfId="1009"/>
    <cellStyle name="输入 10 2" xfId="1010"/>
    <cellStyle name="输入 2 6" xfId="1011"/>
    <cellStyle name="输入 4" xfId="1012"/>
    <cellStyle name="输入 5" xfId="1013"/>
    <cellStyle name="输入 6" xfId="1014"/>
    <cellStyle name="输入 7" xfId="1015"/>
    <cellStyle name="输入 8" xfId="1016"/>
    <cellStyle name="输入 9" xfId="1017"/>
    <cellStyle name="注释 2 2 2" xfId="1018"/>
    <cellStyle name="注释 2 2 2 2" xfId="1019"/>
    <cellStyle name="注释 2 2 3" xfId="1020"/>
    <cellStyle name="注释 2 3 2" xfId="1021"/>
    <cellStyle name="注释 2 4 2" xfId="1022"/>
    <cellStyle name="注释 6 2" xfId="1023"/>
    <cellStyle name="注释 8 2" xfId="1024"/>
    <cellStyle name="注释 9" xfId="102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emf"/><Relationship Id="rId97" Type="http://schemas.openxmlformats.org/officeDocument/2006/relationships/image" Target="../media/image97.jpeg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emf"/><Relationship Id="rId93" Type="http://schemas.openxmlformats.org/officeDocument/2006/relationships/image" Target="../media/image93.emf"/><Relationship Id="rId92" Type="http://schemas.openxmlformats.org/officeDocument/2006/relationships/image" Target="../media/image92.png"/><Relationship Id="rId91" Type="http://schemas.openxmlformats.org/officeDocument/2006/relationships/image" Target="../media/image91.emf"/><Relationship Id="rId90" Type="http://schemas.openxmlformats.org/officeDocument/2006/relationships/image" Target="../media/image90.emf"/><Relationship Id="rId9" Type="http://schemas.openxmlformats.org/officeDocument/2006/relationships/image" Target="../media/image9.png"/><Relationship Id="rId89" Type="http://schemas.openxmlformats.org/officeDocument/2006/relationships/image" Target="../media/image89.emf"/><Relationship Id="rId88" Type="http://schemas.openxmlformats.org/officeDocument/2006/relationships/image" Target="../media/image88.png"/><Relationship Id="rId87" Type="http://schemas.openxmlformats.org/officeDocument/2006/relationships/image" Target="../media/image87.jpeg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emf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emf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png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jpeg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png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emf"/><Relationship Id="rId3" Type="http://schemas.openxmlformats.org/officeDocument/2006/relationships/image" Target="../media/image3.png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3" Type="http://schemas.openxmlformats.org/officeDocument/2006/relationships/image" Target="../media/image122.png"/><Relationship Id="rId122" Type="http://schemas.openxmlformats.org/officeDocument/2006/relationships/image" Target="../media/image121.png"/><Relationship Id="rId121" Type="http://schemas.openxmlformats.org/officeDocument/2006/relationships/image" Target="../media/image120.emf"/><Relationship Id="rId120" Type="http://schemas.openxmlformats.org/officeDocument/2006/relationships/image" Target="../media/image119.emf"/><Relationship Id="rId12" Type="http://schemas.openxmlformats.org/officeDocument/2006/relationships/image" Target="../media/image12.emf"/><Relationship Id="rId119" Type="http://schemas.openxmlformats.org/officeDocument/2006/relationships/image" Target="../media/image118.png"/><Relationship Id="rId118" Type="http://schemas.openxmlformats.org/officeDocument/2006/relationships/image" Target="../media/image117.jpeg"/><Relationship Id="rId117" Type="http://schemas.openxmlformats.org/officeDocument/2006/relationships/image" Target="../media/image116.jpeg"/><Relationship Id="rId116" Type="http://schemas.openxmlformats.org/officeDocument/2006/relationships/image" Target="NULL" TargetMode="External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wmf"/><Relationship Id="rId111" Type="http://schemas.openxmlformats.org/officeDocument/2006/relationships/image" Target="../media/image111.wmf"/><Relationship Id="rId110" Type="http://schemas.openxmlformats.org/officeDocument/2006/relationships/image" Target="../media/image110.wmf"/><Relationship Id="rId11" Type="http://schemas.openxmlformats.org/officeDocument/2006/relationships/image" Target="../media/image11.emf"/><Relationship Id="rId109" Type="http://schemas.openxmlformats.org/officeDocument/2006/relationships/image" Target="../media/image109.emf"/><Relationship Id="rId108" Type="http://schemas.openxmlformats.org/officeDocument/2006/relationships/image" Target="../media/image108.emf"/><Relationship Id="rId107" Type="http://schemas.openxmlformats.org/officeDocument/2006/relationships/image" Target="../media/image107.emf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emf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51.emf"/><Relationship Id="rId98" Type="http://schemas.openxmlformats.org/officeDocument/2006/relationships/image" Target="../media/image50.emf"/><Relationship Id="rId97" Type="http://schemas.openxmlformats.org/officeDocument/2006/relationships/image" Target="../media/image202.png"/><Relationship Id="rId96" Type="http://schemas.openxmlformats.org/officeDocument/2006/relationships/image" Target="../media/image201.png"/><Relationship Id="rId95" Type="http://schemas.openxmlformats.org/officeDocument/2006/relationships/image" Target="../media/image200.png"/><Relationship Id="rId94" Type="http://schemas.openxmlformats.org/officeDocument/2006/relationships/image" Target="../media/image199.png"/><Relationship Id="rId93" Type="http://schemas.openxmlformats.org/officeDocument/2006/relationships/image" Target="../media/image198.emf"/><Relationship Id="rId92" Type="http://schemas.openxmlformats.org/officeDocument/2006/relationships/image" Target="../media/image197.wmf"/><Relationship Id="rId91" Type="http://schemas.openxmlformats.org/officeDocument/2006/relationships/image" Target="../media/image196.wmf"/><Relationship Id="rId90" Type="http://schemas.openxmlformats.org/officeDocument/2006/relationships/image" Target="../media/image195.wmf"/><Relationship Id="rId9" Type="http://schemas.openxmlformats.org/officeDocument/2006/relationships/image" Target="../media/image131.emf"/><Relationship Id="rId89" Type="http://schemas.openxmlformats.org/officeDocument/2006/relationships/image" Target="../media/image194.wmf"/><Relationship Id="rId88" Type="http://schemas.openxmlformats.org/officeDocument/2006/relationships/image" Target="../media/image193.wmf"/><Relationship Id="rId87" Type="http://schemas.openxmlformats.org/officeDocument/2006/relationships/image" Target="../media/image192.wmf"/><Relationship Id="rId86" Type="http://schemas.openxmlformats.org/officeDocument/2006/relationships/image" Target="../media/image14.png"/><Relationship Id="rId85" Type="http://schemas.openxmlformats.org/officeDocument/2006/relationships/image" Target="../media/image13.png"/><Relationship Id="rId84" Type="http://schemas.openxmlformats.org/officeDocument/2006/relationships/image" Target="../media/image109.emf"/><Relationship Id="rId83" Type="http://schemas.openxmlformats.org/officeDocument/2006/relationships/image" Target="../media/image191.emf"/><Relationship Id="rId82" Type="http://schemas.openxmlformats.org/officeDocument/2006/relationships/image" Target="../media/image190.emf"/><Relationship Id="rId81" Type="http://schemas.openxmlformats.org/officeDocument/2006/relationships/image" Target="../media/image189.emf"/><Relationship Id="rId80" Type="http://schemas.openxmlformats.org/officeDocument/2006/relationships/image" Target="../media/image188.emf"/><Relationship Id="rId8" Type="http://schemas.openxmlformats.org/officeDocument/2006/relationships/image" Target="../media/image130.png"/><Relationship Id="rId79" Type="http://schemas.openxmlformats.org/officeDocument/2006/relationships/image" Target="../media/image187.emf"/><Relationship Id="rId78" Type="http://schemas.openxmlformats.org/officeDocument/2006/relationships/image" Target="../media/image186.emf"/><Relationship Id="rId77" Type="http://schemas.openxmlformats.org/officeDocument/2006/relationships/image" Target="../media/image185.emf"/><Relationship Id="rId76" Type="http://schemas.openxmlformats.org/officeDocument/2006/relationships/image" Target="../media/image184.emf"/><Relationship Id="rId75" Type="http://schemas.openxmlformats.org/officeDocument/2006/relationships/image" Target="../media/image183.emf"/><Relationship Id="rId74" Type="http://schemas.openxmlformats.org/officeDocument/2006/relationships/image" Target="../media/image182.emf"/><Relationship Id="rId73" Type="http://schemas.openxmlformats.org/officeDocument/2006/relationships/image" Target="../media/image181.emf"/><Relationship Id="rId72" Type="http://schemas.openxmlformats.org/officeDocument/2006/relationships/image" Target="../media/image180.emf"/><Relationship Id="rId71" Type="http://schemas.openxmlformats.org/officeDocument/2006/relationships/image" Target="../media/image179.emf"/><Relationship Id="rId70" Type="http://schemas.openxmlformats.org/officeDocument/2006/relationships/image" Target="../media/image178.png"/><Relationship Id="rId7" Type="http://schemas.openxmlformats.org/officeDocument/2006/relationships/image" Target="../media/image129.png"/><Relationship Id="rId69" Type="http://schemas.openxmlformats.org/officeDocument/2006/relationships/image" Target="../media/image177.emf"/><Relationship Id="rId68" Type="http://schemas.openxmlformats.org/officeDocument/2006/relationships/image" Target="../media/image176.emf"/><Relationship Id="rId67" Type="http://schemas.openxmlformats.org/officeDocument/2006/relationships/image" Target="../media/image175.emf"/><Relationship Id="rId66" Type="http://schemas.openxmlformats.org/officeDocument/2006/relationships/image" Target="../media/image174.emf"/><Relationship Id="rId65" Type="http://schemas.openxmlformats.org/officeDocument/2006/relationships/image" Target="../media/image173.emf"/><Relationship Id="rId64" Type="http://schemas.openxmlformats.org/officeDocument/2006/relationships/image" Target="../media/image172.emf"/><Relationship Id="rId63" Type="http://schemas.openxmlformats.org/officeDocument/2006/relationships/image" Target="../media/image171.emf"/><Relationship Id="rId62" Type="http://schemas.openxmlformats.org/officeDocument/2006/relationships/image" Target="../media/image170.emf"/><Relationship Id="rId61" Type="http://schemas.openxmlformats.org/officeDocument/2006/relationships/image" Target="../media/image169.emf"/><Relationship Id="rId60" Type="http://schemas.openxmlformats.org/officeDocument/2006/relationships/image" Target="../media/image168.emf"/><Relationship Id="rId6" Type="http://schemas.openxmlformats.org/officeDocument/2006/relationships/image" Target="../media/image128.png"/><Relationship Id="rId59" Type="http://schemas.openxmlformats.org/officeDocument/2006/relationships/image" Target="../media/image167.png"/><Relationship Id="rId58" Type="http://schemas.openxmlformats.org/officeDocument/2006/relationships/image" Target="../media/image166.png"/><Relationship Id="rId57" Type="http://schemas.openxmlformats.org/officeDocument/2006/relationships/image" Target="../media/image165.emf"/><Relationship Id="rId56" Type="http://schemas.openxmlformats.org/officeDocument/2006/relationships/image" Target="../media/image164.jpeg"/><Relationship Id="rId55" Type="http://schemas.openxmlformats.org/officeDocument/2006/relationships/image" Target="../media/image163.jpeg"/><Relationship Id="rId54" Type="http://schemas.openxmlformats.org/officeDocument/2006/relationships/image" Target="../media/image42.emf"/><Relationship Id="rId53" Type="http://schemas.openxmlformats.org/officeDocument/2006/relationships/image" Target="../media/image41.emf"/><Relationship Id="rId52" Type="http://schemas.openxmlformats.org/officeDocument/2006/relationships/image" Target="../media/image91.emf"/><Relationship Id="rId51" Type="http://schemas.openxmlformats.org/officeDocument/2006/relationships/image" Target="../media/image162.jpeg"/><Relationship Id="rId50" Type="http://schemas.openxmlformats.org/officeDocument/2006/relationships/image" Target="../media/image161.jpeg"/><Relationship Id="rId5" Type="http://schemas.openxmlformats.org/officeDocument/2006/relationships/image" Target="../media/image127.png"/><Relationship Id="rId49" Type="http://schemas.openxmlformats.org/officeDocument/2006/relationships/image" Target="../media/image160.jpeg"/><Relationship Id="rId48" Type="http://schemas.openxmlformats.org/officeDocument/2006/relationships/image" Target="../media/image159.png"/><Relationship Id="rId47" Type="http://schemas.openxmlformats.org/officeDocument/2006/relationships/image" Target="../media/image158.png"/><Relationship Id="rId46" Type="http://schemas.openxmlformats.org/officeDocument/2006/relationships/image" Target="../media/image157.png"/><Relationship Id="rId45" Type="http://schemas.openxmlformats.org/officeDocument/2006/relationships/image" Target="../media/image156.emf"/><Relationship Id="rId44" Type="http://schemas.openxmlformats.org/officeDocument/2006/relationships/image" Target="../media/image155.emf"/><Relationship Id="rId43" Type="http://schemas.openxmlformats.org/officeDocument/2006/relationships/image" Target="../media/image154.png"/><Relationship Id="rId42" Type="http://schemas.openxmlformats.org/officeDocument/2006/relationships/image" Target="../media/image153.emf"/><Relationship Id="rId41" Type="http://schemas.openxmlformats.org/officeDocument/2006/relationships/image" Target="../media/image152.png"/><Relationship Id="rId40" Type="http://schemas.openxmlformats.org/officeDocument/2006/relationships/image" Target="../media/image151.png"/><Relationship Id="rId4" Type="http://schemas.openxmlformats.org/officeDocument/2006/relationships/image" Target="../media/image126.jpeg"/><Relationship Id="rId39" Type="http://schemas.openxmlformats.org/officeDocument/2006/relationships/image" Target="../media/image150.emf"/><Relationship Id="rId38" Type="http://schemas.openxmlformats.org/officeDocument/2006/relationships/image" Target="../media/image149.emf"/><Relationship Id="rId37" Type="http://schemas.openxmlformats.org/officeDocument/2006/relationships/image" Target="../media/image148.emf"/><Relationship Id="rId36" Type="http://schemas.openxmlformats.org/officeDocument/2006/relationships/image" Target="../media/image147.emf"/><Relationship Id="rId35" Type="http://schemas.openxmlformats.org/officeDocument/2006/relationships/image" Target="../media/image146.emf"/><Relationship Id="rId34" Type="http://schemas.openxmlformats.org/officeDocument/2006/relationships/image" Target="../media/image145.emf"/><Relationship Id="rId33" Type="http://schemas.openxmlformats.org/officeDocument/2006/relationships/image" Target="../media/image144.emf"/><Relationship Id="rId32" Type="http://schemas.openxmlformats.org/officeDocument/2006/relationships/image" Target="../media/image143.png"/><Relationship Id="rId31" Type="http://schemas.openxmlformats.org/officeDocument/2006/relationships/image" Target="../media/image97.jpeg"/><Relationship Id="rId30" Type="http://schemas.openxmlformats.org/officeDocument/2006/relationships/image" Target="../media/image99.emf"/><Relationship Id="rId3" Type="http://schemas.openxmlformats.org/officeDocument/2006/relationships/image" Target="../media/image125.png"/><Relationship Id="rId29" Type="http://schemas.openxmlformats.org/officeDocument/2006/relationships/image" Target="../media/image96.emf"/><Relationship Id="rId28" Type="http://schemas.openxmlformats.org/officeDocument/2006/relationships/image" Target="../media/image88.png"/><Relationship Id="rId27" Type="http://schemas.openxmlformats.org/officeDocument/2006/relationships/image" Target="../media/image87.jpeg"/><Relationship Id="rId26" Type="http://schemas.openxmlformats.org/officeDocument/2006/relationships/image" Target="../media/image142.emf"/><Relationship Id="rId25" Type="http://schemas.openxmlformats.org/officeDocument/2006/relationships/image" Target="../media/image90.emf"/><Relationship Id="rId24" Type="http://schemas.openxmlformats.org/officeDocument/2006/relationships/image" Target="../media/image94.emf"/><Relationship Id="rId23" Type="http://schemas.openxmlformats.org/officeDocument/2006/relationships/image" Target="../media/image86.emf"/><Relationship Id="rId22" Type="http://schemas.openxmlformats.org/officeDocument/2006/relationships/image" Target="../media/image89.emf"/><Relationship Id="rId21" Type="http://schemas.openxmlformats.org/officeDocument/2006/relationships/image" Target="../media/image93.emf"/><Relationship Id="rId20" Type="http://schemas.openxmlformats.org/officeDocument/2006/relationships/image" Target="../media/image85.emf"/><Relationship Id="rId2" Type="http://schemas.openxmlformats.org/officeDocument/2006/relationships/image" Target="../media/image124.png"/><Relationship Id="rId19" Type="http://schemas.openxmlformats.org/officeDocument/2006/relationships/image" Target="../media/image141.png"/><Relationship Id="rId18" Type="http://schemas.openxmlformats.org/officeDocument/2006/relationships/image" Target="../media/image140.png"/><Relationship Id="rId17" Type="http://schemas.openxmlformats.org/officeDocument/2006/relationships/image" Target="../media/image139.png"/><Relationship Id="rId16" Type="http://schemas.openxmlformats.org/officeDocument/2006/relationships/image" Target="../media/image138.png"/><Relationship Id="rId15" Type="http://schemas.openxmlformats.org/officeDocument/2006/relationships/image" Target="../media/image137.png"/><Relationship Id="rId14" Type="http://schemas.openxmlformats.org/officeDocument/2006/relationships/image" Target="../media/image136.png"/><Relationship Id="rId13" Type="http://schemas.openxmlformats.org/officeDocument/2006/relationships/image" Target="../media/image135.png"/><Relationship Id="rId12" Type="http://schemas.openxmlformats.org/officeDocument/2006/relationships/image" Target="../media/image134.png"/><Relationship Id="rId11" Type="http://schemas.openxmlformats.org/officeDocument/2006/relationships/image" Target="../media/image133.emf"/><Relationship Id="rId10" Type="http://schemas.openxmlformats.org/officeDocument/2006/relationships/image" Target="../media/image132.emf"/><Relationship Id="rId1" Type="http://schemas.openxmlformats.org/officeDocument/2006/relationships/image" Target="../media/image12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282412</xdr:colOff>
      <xdr:row>17</xdr:row>
      <xdr:rowOff>172888</xdr:rowOff>
    </xdr:from>
    <xdr:to>
      <xdr:col>18</xdr:col>
      <xdr:colOff>615787</xdr:colOff>
      <xdr:row>17</xdr:row>
      <xdr:rowOff>430063</xdr:rowOff>
    </xdr:to>
    <xdr:pic>
      <xdr:nvPicPr>
        <xdr:cNvPr id="5" name="Picture 19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21115" y="7807325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219316</xdr:colOff>
      <xdr:row>18</xdr:row>
      <xdr:rowOff>167442</xdr:rowOff>
    </xdr:from>
    <xdr:to>
      <xdr:col>18</xdr:col>
      <xdr:colOff>647941</xdr:colOff>
      <xdr:row>18</xdr:row>
      <xdr:rowOff>424617</xdr:rowOff>
    </xdr:to>
    <xdr:pic>
      <xdr:nvPicPr>
        <xdr:cNvPr id="6" name="Picture 2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8250" y="8373110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82144</xdr:colOff>
      <xdr:row>20</xdr:row>
      <xdr:rowOff>112058</xdr:rowOff>
    </xdr:from>
    <xdr:to>
      <xdr:col>18</xdr:col>
      <xdr:colOff>529819</xdr:colOff>
      <xdr:row>20</xdr:row>
      <xdr:rowOff>321608</xdr:rowOff>
    </xdr:to>
    <xdr:pic>
      <xdr:nvPicPr>
        <xdr:cNvPr id="7" name="Picture 36" descr="036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21090" y="960183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262082</xdr:colOff>
      <xdr:row>20</xdr:row>
      <xdr:rowOff>303122</xdr:rowOff>
    </xdr:from>
    <xdr:to>
      <xdr:col>18</xdr:col>
      <xdr:colOff>690707</xdr:colOff>
      <xdr:row>20</xdr:row>
      <xdr:rowOff>541248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96045" y="9697720"/>
          <a:ext cx="238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287193</xdr:colOff>
      <xdr:row>131</xdr:row>
      <xdr:rowOff>130787</xdr:rowOff>
    </xdr:from>
    <xdr:to>
      <xdr:col>18</xdr:col>
      <xdr:colOff>572943</xdr:colOff>
      <xdr:row>131</xdr:row>
      <xdr:rowOff>464162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26195" y="72992615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118223</xdr:colOff>
      <xdr:row>136</xdr:row>
      <xdr:rowOff>123264</xdr:rowOff>
    </xdr:from>
    <xdr:to>
      <xdr:col>18</xdr:col>
      <xdr:colOff>480173</xdr:colOff>
      <xdr:row>136</xdr:row>
      <xdr:rowOff>389964</xdr:rowOff>
    </xdr:to>
    <xdr:pic>
      <xdr:nvPicPr>
        <xdr:cNvPr id="56" name="Picture 7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8757285" y="75843130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162485</xdr:colOff>
      <xdr:row>150</xdr:row>
      <xdr:rowOff>141195</xdr:rowOff>
    </xdr:from>
    <xdr:to>
      <xdr:col>18</xdr:col>
      <xdr:colOff>562535</xdr:colOff>
      <xdr:row>150</xdr:row>
      <xdr:rowOff>407895</xdr:rowOff>
    </xdr:to>
    <xdr:pic>
      <xdr:nvPicPr>
        <xdr:cNvPr id="214" name="Picture 22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801100" y="8386191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138953</xdr:colOff>
      <xdr:row>171</xdr:row>
      <xdr:rowOff>182656</xdr:rowOff>
    </xdr:from>
    <xdr:to>
      <xdr:col>18</xdr:col>
      <xdr:colOff>539003</xdr:colOff>
      <xdr:row>171</xdr:row>
      <xdr:rowOff>449356</xdr:rowOff>
    </xdr:to>
    <xdr:pic>
      <xdr:nvPicPr>
        <xdr:cNvPr id="223" name="Picture 22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777605" y="9590468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208094</xdr:colOff>
      <xdr:row>85</xdr:row>
      <xdr:rowOff>179294</xdr:rowOff>
    </xdr:from>
    <xdr:to>
      <xdr:col>18</xdr:col>
      <xdr:colOff>352094</xdr:colOff>
      <xdr:row>85</xdr:row>
      <xdr:rowOff>431294</xdr:rowOff>
    </xdr:to>
    <xdr:pic>
      <xdr:nvPicPr>
        <xdr:cNvPr id="232" name="图片 231"/>
        <xdr:cNvPicPr preferRelativeResize="0"/>
      </xdr:nvPicPr>
      <xdr:blipFill>
        <a:blip r:embed="rId8" cstate="print"/>
        <a:stretch>
          <a:fillRect/>
        </a:stretch>
      </xdr:blipFill>
      <xdr:spPr>
        <a:xfrm>
          <a:off x="8846820" y="46816645"/>
          <a:ext cx="144145" cy="252095"/>
        </a:xfrm>
        <a:prstGeom prst="rect">
          <a:avLst/>
        </a:prstGeom>
      </xdr:spPr>
    </xdr:pic>
    <xdr:clientData/>
  </xdr:twoCellAnchor>
  <xdr:twoCellAnchor>
    <xdr:from>
      <xdr:col>18</xdr:col>
      <xdr:colOff>247988</xdr:colOff>
      <xdr:row>86</xdr:row>
      <xdr:rowOff>112014</xdr:rowOff>
    </xdr:from>
    <xdr:to>
      <xdr:col>18</xdr:col>
      <xdr:colOff>391988</xdr:colOff>
      <xdr:row>86</xdr:row>
      <xdr:rowOff>364014</xdr:rowOff>
    </xdr:to>
    <xdr:pic>
      <xdr:nvPicPr>
        <xdr:cNvPr id="233" name="图片 232"/>
        <xdr:cNvPicPr preferRelativeResize="0"/>
      </xdr:nvPicPr>
      <xdr:blipFill>
        <a:blip r:embed="rId9" cstate="print"/>
        <a:stretch>
          <a:fillRect/>
        </a:stretch>
      </xdr:blipFill>
      <xdr:spPr>
        <a:xfrm>
          <a:off x="8886825" y="47320835"/>
          <a:ext cx="144145" cy="252095"/>
        </a:xfrm>
        <a:prstGeom prst="rect">
          <a:avLst/>
        </a:prstGeom>
      </xdr:spPr>
    </xdr:pic>
    <xdr:clientData/>
  </xdr:twoCellAnchor>
  <xdr:twoCellAnchor>
    <xdr:from>
      <xdr:col>18</xdr:col>
      <xdr:colOff>264940</xdr:colOff>
      <xdr:row>84</xdr:row>
      <xdr:rowOff>122464</xdr:rowOff>
    </xdr:from>
    <xdr:to>
      <xdr:col>18</xdr:col>
      <xdr:colOff>557894</xdr:colOff>
      <xdr:row>84</xdr:row>
      <xdr:rowOff>446264</xdr:rowOff>
    </xdr:to>
    <xdr:pic>
      <xdr:nvPicPr>
        <xdr:cNvPr id="234" name="图片 233"/>
        <xdr:cNvPicPr preferRelativeResize="0"/>
      </xdr:nvPicPr>
      <xdr:blipFill>
        <a:blip r:embed="rId10" cstate="print"/>
        <a:stretch>
          <a:fillRect/>
        </a:stretch>
      </xdr:blipFill>
      <xdr:spPr>
        <a:xfrm>
          <a:off x="8903970" y="46187995"/>
          <a:ext cx="292735" cy="323850"/>
        </a:xfrm>
        <a:prstGeom prst="rect">
          <a:avLst/>
        </a:prstGeom>
      </xdr:spPr>
    </xdr:pic>
    <xdr:clientData/>
  </xdr:twoCellAnchor>
  <xdr:twoCellAnchor>
    <xdr:from>
      <xdr:col>18</xdr:col>
      <xdr:colOff>235323</xdr:colOff>
      <xdr:row>76</xdr:row>
      <xdr:rowOff>78442</xdr:rowOff>
    </xdr:from>
    <xdr:to>
      <xdr:col>18</xdr:col>
      <xdr:colOff>561206</xdr:colOff>
      <xdr:row>76</xdr:row>
      <xdr:rowOff>397676</xdr:rowOff>
    </xdr:to>
    <xdr:pic>
      <xdr:nvPicPr>
        <xdr:cNvPr id="236" name="Picture 34"/>
        <xdr:cNvPicPr preferRelativeResize="0">
          <a:picLocks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8874125" y="41572180"/>
          <a:ext cx="325755" cy="31940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123265</xdr:colOff>
      <xdr:row>118</xdr:row>
      <xdr:rowOff>56029</xdr:rowOff>
    </xdr:from>
    <xdr:to>
      <xdr:col>18</xdr:col>
      <xdr:colOff>618565</xdr:colOff>
      <xdr:row>118</xdr:row>
      <xdr:rowOff>341779</xdr:rowOff>
    </xdr:to>
    <xdr:pic>
      <xdr:nvPicPr>
        <xdr:cNvPr id="274" name="Picture 8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62365" y="65488820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189939</xdr:colOff>
      <xdr:row>119</xdr:row>
      <xdr:rowOff>136151</xdr:rowOff>
    </xdr:from>
    <xdr:to>
      <xdr:col>18</xdr:col>
      <xdr:colOff>428064</xdr:colOff>
      <xdr:row>119</xdr:row>
      <xdr:rowOff>383801</xdr:rowOff>
    </xdr:to>
    <xdr:pic>
      <xdr:nvPicPr>
        <xdr:cNvPr id="275" name="Picture 122" descr="rId420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829040" y="6614033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154641</xdr:colOff>
      <xdr:row>120</xdr:row>
      <xdr:rowOff>170328</xdr:rowOff>
    </xdr:from>
    <xdr:to>
      <xdr:col>18</xdr:col>
      <xdr:colOff>421341</xdr:colOff>
      <xdr:row>120</xdr:row>
      <xdr:rowOff>389403</xdr:rowOff>
    </xdr:to>
    <xdr:pic>
      <xdr:nvPicPr>
        <xdr:cNvPr id="276" name="Picture 27537" descr="rId421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793480" y="66746120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154940</xdr:colOff>
      <xdr:row>31</xdr:row>
      <xdr:rowOff>121285</xdr:rowOff>
    </xdr:from>
    <xdr:to>
      <xdr:col>18</xdr:col>
      <xdr:colOff>547147</xdr:colOff>
      <xdr:row>31</xdr:row>
      <xdr:rowOff>472636</xdr:rowOff>
    </xdr:to>
    <xdr:pic>
      <xdr:nvPicPr>
        <xdr:cNvPr id="288" name="图片 287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8794115" y="15897860"/>
          <a:ext cx="391795" cy="351155"/>
        </a:xfrm>
        <a:prstGeom prst="rect">
          <a:avLst/>
        </a:prstGeom>
      </xdr:spPr>
    </xdr:pic>
    <xdr:clientData/>
  </xdr:twoCellAnchor>
  <xdr:twoCellAnchor>
    <xdr:from>
      <xdr:col>18</xdr:col>
      <xdr:colOff>239726</xdr:colOff>
      <xdr:row>80</xdr:row>
      <xdr:rowOff>180095</xdr:rowOff>
    </xdr:from>
    <xdr:to>
      <xdr:col>18</xdr:col>
      <xdr:colOff>548290</xdr:colOff>
      <xdr:row>80</xdr:row>
      <xdr:rowOff>505066</xdr:rowOff>
    </xdr:to>
    <xdr:pic>
      <xdr:nvPicPr>
        <xdr:cNvPr id="307" name="图片 306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8570" y="43959780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244447</xdr:colOff>
      <xdr:row>83</xdr:row>
      <xdr:rowOff>79563</xdr:rowOff>
    </xdr:from>
    <xdr:to>
      <xdr:col>18</xdr:col>
      <xdr:colOff>492586</xdr:colOff>
      <xdr:row>83</xdr:row>
      <xdr:rowOff>414618</xdr:rowOff>
    </xdr:to>
    <xdr:pic>
      <xdr:nvPicPr>
        <xdr:cNvPr id="309" name="图片 308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015" y="45573950"/>
          <a:ext cx="248285" cy="334645"/>
        </a:xfrm>
        <a:prstGeom prst="rect">
          <a:avLst/>
        </a:prstGeom>
      </xdr:spPr>
    </xdr:pic>
    <xdr:clientData/>
  </xdr:twoCellAnchor>
  <xdr:twoCellAnchor>
    <xdr:from>
      <xdr:col>18</xdr:col>
      <xdr:colOff>112059</xdr:colOff>
      <xdr:row>144</xdr:row>
      <xdr:rowOff>129270</xdr:rowOff>
    </xdr:from>
    <xdr:to>
      <xdr:col>18</xdr:col>
      <xdr:colOff>665130</xdr:colOff>
      <xdr:row>144</xdr:row>
      <xdr:rowOff>381000</xdr:rowOff>
    </xdr:to>
    <xdr:pic>
      <xdr:nvPicPr>
        <xdr:cNvPr id="310" name="图片 309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0935" y="80420845"/>
          <a:ext cx="553085" cy="252095"/>
        </a:xfrm>
        <a:prstGeom prst="rect">
          <a:avLst/>
        </a:prstGeom>
      </xdr:spPr>
    </xdr:pic>
    <xdr:clientData/>
  </xdr:twoCellAnchor>
  <xdr:twoCellAnchor>
    <xdr:from>
      <xdr:col>18</xdr:col>
      <xdr:colOff>143033</xdr:colOff>
      <xdr:row>81</xdr:row>
      <xdr:rowOff>117662</xdr:rowOff>
    </xdr:from>
    <xdr:to>
      <xdr:col>18</xdr:col>
      <xdr:colOff>661891</xdr:colOff>
      <xdr:row>81</xdr:row>
      <xdr:rowOff>414618</xdr:rowOff>
    </xdr:to>
    <xdr:pic>
      <xdr:nvPicPr>
        <xdr:cNvPr id="317" name="图片 316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44469050"/>
          <a:ext cx="518795" cy="296545"/>
        </a:xfrm>
        <a:prstGeom prst="rect">
          <a:avLst/>
        </a:prstGeom>
      </xdr:spPr>
    </xdr:pic>
    <xdr:clientData/>
  </xdr:twoCellAnchor>
  <xdr:twoCellAnchor>
    <xdr:from>
      <xdr:col>18</xdr:col>
      <xdr:colOff>270623</xdr:colOff>
      <xdr:row>142</xdr:row>
      <xdr:rowOff>102935</xdr:rowOff>
    </xdr:from>
    <xdr:to>
      <xdr:col>18</xdr:col>
      <xdr:colOff>493060</xdr:colOff>
      <xdr:row>142</xdr:row>
      <xdr:rowOff>413234</xdr:rowOff>
    </xdr:to>
    <xdr:pic>
      <xdr:nvPicPr>
        <xdr:cNvPr id="318" name="图片 317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685" y="79251810"/>
          <a:ext cx="222250" cy="309880"/>
        </a:xfrm>
        <a:prstGeom prst="rect">
          <a:avLst/>
        </a:prstGeom>
      </xdr:spPr>
    </xdr:pic>
    <xdr:clientData/>
  </xdr:twoCellAnchor>
  <xdr:twoCellAnchor>
    <xdr:from>
      <xdr:col>18</xdr:col>
      <xdr:colOff>177800</xdr:colOff>
      <xdr:row>141</xdr:row>
      <xdr:rowOff>72390</xdr:rowOff>
    </xdr:from>
    <xdr:to>
      <xdr:col>18</xdr:col>
      <xdr:colOff>570006</xdr:colOff>
      <xdr:row>141</xdr:row>
      <xdr:rowOff>442486</xdr:rowOff>
    </xdr:to>
    <xdr:pic>
      <xdr:nvPicPr>
        <xdr:cNvPr id="28" name="图片 27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8816975" y="78649830"/>
          <a:ext cx="391795" cy="369570"/>
        </a:xfrm>
        <a:prstGeom prst="rect">
          <a:avLst/>
        </a:prstGeom>
      </xdr:spPr>
    </xdr:pic>
    <xdr:clientData/>
  </xdr:twoCellAnchor>
  <xdr:twoCellAnchor>
    <xdr:from>
      <xdr:col>18</xdr:col>
      <xdr:colOff>268941</xdr:colOff>
      <xdr:row>79</xdr:row>
      <xdr:rowOff>67236</xdr:rowOff>
    </xdr:from>
    <xdr:to>
      <xdr:col>18</xdr:col>
      <xdr:colOff>432182</xdr:colOff>
      <xdr:row>79</xdr:row>
      <xdr:rowOff>392207</xdr:rowOff>
    </xdr:to>
    <xdr:pic>
      <xdr:nvPicPr>
        <xdr:cNvPr id="230" name="图片 229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8907780" y="43275250"/>
          <a:ext cx="163195" cy="325120"/>
        </a:xfrm>
        <a:prstGeom prst="rect">
          <a:avLst/>
        </a:prstGeom>
      </xdr:spPr>
    </xdr:pic>
    <xdr:clientData/>
  </xdr:twoCellAnchor>
  <xdr:twoCellAnchor>
    <xdr:from>
      <xdr:col>18</xdr:col>
      <xdr:colOff>291354</xdr:colOff>
      <xdr:row>78</xdr:row>
      <xdr:rowOff>42724</xdr:rowOff>
    </xdr:from>
    <xdr:to>
      <xdr:col>18</xdr:col>
      <xdr:colOff>493060</xdr:colOff>
      <xdr:row>78</xdr:row>
      <xdr:rowOff>438068</xdr:rowOff>
    </xdr:to>
    <xdr:pic>
      <xdr:nvPicPr>
        <xdr:cNvPr id="281" name="图片 280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8930005" y="42679620"/>
          <a:ext cx="201930" cy="394970"/>
        </a:xfrm>
        <a:prstGeom prst="rect">
          <a:avLst/>
        </a:prstGeom>
      </xdr:spPr>
    </xdr:pic>
    <xdr:clientData/>
  </xdr:twoCellAnchor>
  <xdr:twoCellAnchor>
    <xdr:from>
      <xdr:col>18</xdr:col>
      <xdr:colOff>179294</xdr:colOff>
      <xdr:row>80</xdr:row>
      <xdr:rowOff>0</xdr:rowOff>
    </xdr:from>
    <xdr:to>
      <xdr:col>18</xdr:col>
      <xdr:colOff>571500</xdr:colOff>
      <xdr:row>80</xdr:row>
      <xdr:rowOff>470</xdr:rowOff>
    </xdr:to>
    <xdr:pic>
      <xdr:nvPicPr>
        <xdr:cNvPr id="312" name="图片 31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818245" y="43780075"/>
          <a:ext cx="392430" cy="0"/>
        </a:xfrm>
        <a:prstGeom prst="rect">
          <a:avLst/>
        </a:prstGeom>
      </xdr:spPr>
    </xdr:pic>
    <xdr:clientData/>
  </xdr:twoCellAnchor>
  <xdr:twoCellAnchor>
    <xdr:from>
      <xdr:col>18</xdr:col>
      <xdr:colOff>93970</xdr:colOff>
      <xdr:row>39</xdr:row>
      <xdr:rowOff>30737</xdr:rowOff>
    </xdr:from>
    <xdr:to>
      <xdr:col>18</xdr:col>
      <xdr:colOff>519794</xdr:colOff>
      <xdr:row>39</xdr:row>
      <xdr:rowOff>430876</xdr:rowOff>
    </xdr:to>
    <xdr:pic>
      <xdr:nvPicPr>
        <xdr:cNvPr id="316" name="图片 315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8732520" y="20379055"/>
          <a:ext cx="426085" cy="400050"/>
        </a:xfrm>
        <a:prstGeom prst="rect">
          <a:avLst/>
        </a:prstGeom>
      </xdr:spPr>
    </xdr:pic>
    <xdr:clientData/>
  </xdr:twoCellAnchor>
  <xdr:twoCellAnchor>
    <xdr:from>
      <xdr:col>18</xdr:col>
      <xdr:colOff>78441</xdr:colOff>
      <xdr:row>158</xdr:row>
      <xdr:rowOff>100853</xdr:rowOff>
    </xdr:from>
    <xdr:to>
      <xdr:col>18</xdr:col>
      <xdr:colOff>668991</xdr:colOff>
      <xdr:row>158</xdr:row>
      <xdr:rowOff>443753</xdr:rowOff>
    </xdr:to>
    <xdr:pic>
      <xdr:nvPicPr>
        <xdr:cNvPr id="335" name="图片 25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7280" y="88393270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100852</xdr:colOff>
      <xdr:row>159</xdr:row>
      <xdr:rowOff>89648</xdr:rowOff>
    </xdr:from>
    <xdr:to>
      <xdr:col>18</xdr:col>
      <xdr:colOff>681877</xdr:colOff>
      <xdr:row>159</xdr:row>
      <xdr:rowOff>432548</xdr:rowOff>
    </xdr:to>
    <xdr:pic>
      <xdr:nvPicPr>
        <xdr:cNvPr id="336" name="图片 24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9505" y="8895397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121920</xdr:colOff>
      <xdr:row>156</xdr:row>
      <xdr:rowOff>243840</xdr:rowOff>
    </xdr:from>
    <xdr:to>
      <xdr:col>18</xdr:col>
      <xdr:colOff>683895</xdr:colOff>
      <xdr:row>156</xdr:row>
      <xdr:rowOff>472440</xdr:rowOff>
    </xdr:to>
    <xdr:pic>
      <xdr:nvPicPr>
        <xdr:cNvPr id="337" name="图片 19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1095" y="87393780"/>
          <a:ext cx="561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100853</xdr:colOff>
      <xdr:row>155</xdr:row>
      <xdr:rowOff>89647</xdr:rowOff>
    </xdr:from>
    <xdr:to>
      <xdr:col>18</xdr:col>
      <xdr:colOff>678947</xdr:colOff>
      <xdr:row>155</xdr:row>
      <xdr:rowOff>384922</xdr:rowOff>
    </xdr:to>
    <xdr:pic>
      <xdr:nvPicPr>
        <xdr:cNvPr id="338" name="图片 2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9505" y="86667975"/>
          <a:ext cx="57848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134470</xdr:colOff>
      <xdr:row>154</xdr:row>
      <xdr:rowOff>78441</xdr:rowOff>
    </xdr:from>
    <xdr:to>
      <xdr:col>18</xdr:col>
      <xdr:colOff>696445</xdr:colOff>
      <xdr:row>154</xdr:row>
      <xdr:rowOff>430866</xdr:rowOff>
    </xdr:to>
    <xdr:pic>
      <xdr:nvPicPr>
        <xdr:cNvPr id="339" name="图片 21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3160" y="86085045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160020</xdr:colOff>
      <xdr:row>153</xdr:row>
      <xdr:rowOff>75565</xdr:rowOff>
    </xdr:from>
    <xdr:to>
      <xdr:col>18</xdr:col>
      <xdr:colOff>649605</xdr:colOff>
      <xdr:row>153</xdr:row>
      <xdr:rowOff>393065</xdr:rowOff>
    </xdr:to>
    <xdr:pic>
      <xdr:nvPicPr>
        <xdr:cNvPr id="340" name="图片 339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8799195" y="85511005"/>
          <a:ext cx="489585" cy="317500"/>
        </a:xfrm>
        <a:prstGeom prst="rect">
          <a:avLst/>
        </a:prstGeom>
      </xdr:spPr>
    </xdr:pic>
    <xdr:clientData/>
  </xdr:twoCellAnchor>
  <xdr:twoCellAnchor>
    <xdr:from>
      <xdr:col>18</xdr:col>
      <xdr:colOff>276225</xdr:colOff>
      <xdr:row>161</xdr:row>
      <xdr:rowOff>85725</xdr:rowOff>
    </xdr:from>
    <xdr:to>
      <xdr:col>18</xdr:col>
      <xdr:colOff>608914</xdr:colOff>
      <xdr:row>161</xdr:row>
      <xdr:rowOff>400050</xdr:rowOff>
    </xdr:to>
    <xdr:pic>
      <xdr:nvPicPr>
        <xdr:cNvPr id="342" name="图片 341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>
          <a:off x="8915400" y="90093165"/>
          <a:ext cx="332105" cy="314325"/>
        </a:xfrm>
        <a:prstGeom prst="rect">
          <a:avLst/>
        </a:prstGeom>
      </xdr:spPr>
    </xdr:pic>
    <xdr:clientData/>
  </xdr:twoCellAnchor>
  <xdr:twoCellAnchor>
    <xdr:from>
      <xdr:col>18</xdr:col>
      <xdr:colOff>291352</xdr:colOff>
      <xdr:row>162</xdr:row>
      <xdr:rowOff>44824</xdr:rowOff>
    </xdr:from>
    <xdr:to>
      <xdr:col>18</xdr:col>
      <xdr:colOff>627529</xdr:colOff>
      <xdr:row>162</xdr:row>
      <xdr:rowOff>477638</xdr:rowOff>
    </xdr:to>
    <xdr:pic>
      <xdr:nvPicPr>
        <xdr:cNvPr id="343" name="图片 342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8930005" y="90623390"/>
          <a:ext cx="336550" cy="433070"/>
        </a:xfrm>
        <a:prstGeom prst="rect">
          <a:avLst/>
        </a:prstGeom>
      </xdr:spPr>
    </xdr:pic>
    <xdr:clientData/>
  </xdr:twoCellAnchor>
  <xdr:twoCellAnchor>
    <xdr:from>
      <xdr:col>18</xdr:col>
      <xdr:colOff>156210</xdr:colOff>
      <xdr:row>164</xdr:row>
      <xdr:rowOff>103505</xdr:rowOff>
    </xdr:from>
    <xdr:to>
      <xdr:col>18</xdr:col>
      <xdr:colOff>617630</xdr:colOff>
      <xdr:row>164</xdr:row>
      <xdr:rowOff>495712</xdr:rowOff>
    </xdr:to>
    <xdr:pic>
      <xdr:nvPicPr>
        <xdr:cNvPr id="345" name="图片 344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>
          <a:off x="8795385" y="91825445"/>
          <a:ext cx="461010" cy="391795"/>
        </a:xfrm>
        <a:prstGeom prst="rect">
          <a:avLst/>
        </a:prstGeom>
      </xdr:spPr>
    </xdr:pic>
    <xdr:clientData/>
  </xdr:twoCellAnchor>
  <xdr:twoCellAnchor>
    <xdr:from>
      <xdr:col>18</xdr:col>
      <xdr:colOff>134471</xdr:colOff>
      <xdr:row>41</xdr:row>
      <xdr:rowOff>44825</xdr:rowOff>
    </xdr:from>
    <xdr:to>
      <xdr:col>18</xdr:col>
      <xdr:colOff>540124</xdr:colOff>
      <xdr:row>41</xdr:row>
      <xdr:rowOff>425825</xdr:rowOff>
    </xdr:to>
    <xdr:pic>
      <xdr:nvPicPr>
        <xdr:cNvPr id="2" name="图片 1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>
          <a:off x="8773160" y="21536025"/>
          <a:ext cx="405765" cy="381000"/>
        </a:xfrm>
        <a:prstGeom prst="rect">
          <a:avLst/>
        </a:prstGeom>
      </xdr:spPr>
    </xdr:pic>
    <xdr:clientData/>
  </xdr:twoCellAnchor>
  <xdr:twoCellAnchor>
    <xdr:from>
      <xdr:col>18</xdr:col>
      <xdr:colOff>156883</xdr:colOff>
      <xdr:row>40</xdr:row>
      <xdr:rowOff>89647</xdr:rowOff>
    </xdr:from>
    <xdr:to>
      <xdr:col>18</xdr:col>
      <xdr:colOff>571502</xdr:colOff>
      <xdr:row>40</xdr:row>
      <xdr:rowOff>430498</xdr:rowOff>
    </xdr:to>
    <xdr:pic>
      <xdr:nvPicPr>
        <xdr:cNvPr id="3" name="图片 2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8796020" y="21009610"/>
          <a:ext cx="414655" cy="340360"/>
        </a:xfrm>
        <a:prstGeom prst="rect">
          <a:avLst/>
        </a:prstGeom>
      </xdr:spPr>
    </xdr:pic>
    <xdr:clientData/>
  </xdr:twoCellAnchor>
  <xdr:twoCellAnchor>
    <xdr:from>
      <xdr:col>18</xdr:col>
      <xdr:colOff>224117</xdr:colOff>
      <xdr:row>151</xdr:row>
      <xdr:rowOff>134470</xdr:rowOff>
    </xdr:from>
    <xdr:to>
      <xdr:col>18</xdr:col>
      <xdr:colOff>624167</xdr:colOff>
      <xdr:row>151</xdr:row>
      <xdr:rowOff>334495</xdr:rowOff>
    </xdr:to>
    <xdr:pic>
      <xdr:nvPicPr>
        <xdr:cNvPr id="113" name="Picture 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96" b="-2896"/>
        <a:stretch>
          <a:fillRect/>
        </a:stretch>
      </xdr:blipFill>
      <xdr:spPr>
        <a:xfrm>
          <a:off x="8862695" y="84426425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152960</xdr:colOff>
      <xdr:row>149</xdr:row>
      <xdr:rowOff>183056</xdr:rowOff>
    </xdr:from>
    <xdr:to>
      <xdr:col>18</xdr:col>
      <xdr:colOff>539040</xdr:colOff>
      <xdr:row>149</xdr:row>
      <xdr:rowOff>383081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1575" y="83332320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231322</xdr:colOff>
      <xdr:row>9</xdr:row>
      <xdr:rowOff>68035</xdr:rowOff>
    </xdr:from>
    <xdr:to>
      <xdr:col>18</xdr:col>
      <xdr:colOff>585109</xdr:colOff>
      <xdr:row>9</xdr:row>
      <xdr:rowOff>539750</xdr:rowOff>
    </xdr:to>
    <xdr:pic>
      <xdr:nvPicPr>
        <xdr:cNvPr id="114" name="图片 113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8870315" y="3130550"/>
          <a:ext cx="353695" cy="471805"/>
        </a:xfrm>
        <a:prstGeom prst="rect">
          <a:avLst/>
        </a:prstGeom>
      </xdr:spPr>
    </xdr:pic>
    <xdr:clientData/>
  </xdr:twoCellAnchor>
  <xdr:twoCellAnchor>
    <xdr:from>
      <xdr:col>18</xdr:col>
      <xdr:colOff>231322</xdr:colOff>
      <xdr:row>11</xdr:row>
      <xdr:rowOff>68035</xdr:rowOff>
    </xdr:from>
    <xdr:to>
      <xdr:col>18</xdr:col>
      <xdr:colOff>585109</xdr:colOff>
      <xdr:row>11</xdr:row>
      <xdr:rowOff>539750</xdr:rowOff>
    </xdr:to>
    <xdr:pic>
      <xdr:nvPicPr>
        <xdr:cNvPr id="115" name="图片 114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8870315" y="4273550"/>
          <a:ext cx="353695" cy="471805"/>
        </a:xfrm>
        <a:prstGeom prst="rect">
          <a:avLst/>
        </a:prstGeom>
      </xdr:spPr>
    </xdr:pic>
    <xdr:clientData/>
  </xdr:twoCellAnchor>
  <xdr:twoCellAnchor>
    <xdr:from>
      <xdr:col>18</xdr:col>
      <xdr:colOff>217714</xdr:colOff>
      <xdr:row>12</xdr:row>
      <xdr:rowOff>68036</xdr:rowOff>
    </xdr:from>
    <xdr:to>
      <xdr:col>18</xdr:col>
      <xdr:colOff>583518</xdr:colOff>
      <xdr:row>12</xdr:row>
      <xdr:rowOff>515710</xdr:rowOff>
    </xdr:to>
    <xdr:pic>
      <xdr:nvPicPr>
        <xdr:cNvPr id="116" name="图片 115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6345" y="4845050"/>
          <a:ext cx="36576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258536</xdr:colOff>
      <xdr:row>14</xdr:row>
      <xdr:rowOff>81642</xdr:rowOff>
    </xdr:from>
    <xdr:to>
      <xdr:col>18</xdr:col>
      <xdr:colOff>624340</xdr:colOff>
      <xdr:row>14</xdr:row>
      <xdr:rowOff>529316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97620" y="6001385"/>
          <a:ext cx="36576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183255</xdr:colOff>
      <xdr:row>18</xdr:row>
      <xdr:rowOff>95250</xdr:rowOff>
    </xdr:from>
    <xdr:to>
      <xdr:col>18</xdr:col>
      <xdr:colOff>680672</xdr:colOff>
      <xdr:row>18</xdr:row>
      <xdr:rowOff>437244</xdr:rowOff>
    </xdr:to>
    <xdr:pic>
      <xdr:nvPicPr>
        <xdr:cNvPr id="118" name="Picture 4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8822055" y="8301355"/>
          <a:ext cx="497205" cy="34163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111760</xdr:colOff>
      <xdr:row>17</xdr:row>
      <xdr:rowOff>109220</xdr:rowOff>
    </xdr:from>
    <xdr:to>
      <xdr:col>18</xdr:col>
      <xdr:colOff>642620</xdr:colOff>
      <xdr:row>17</xdr:row>
      <xdr:rowOff>480695</xdr:rowOff>
    </xdr:to>
    <xdr:pic>
      <xdr:nvPicPr>
        <xdr:cNvPr id="119" name="Picture 3"/>
        <xdr:cNvPicPr>
          <a:picLocks noChangeAspect="1"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8750935" y="7743825"/>
          <a:ext cx="530860" cy="37147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134470</xdr:colOff>
      <xdr:row>127</xdr:row>
      <xdr:rowOff>56030</xdr:rowOff>
    </xdr:from>
    <xdr:to>
      <xdr:col>18</xdr:col>
      <xdr:colOff>650269</xdr:colOff>
      <xdr:row>128</xdr:row>
      <xdr:rowOff>241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3160" y="70632320"/>
          <a:ext cx="516255" cy="515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98452</xdr:colOff>
      <xdr:row>128</xdr:row>
      <xdr:rowOff>74440</xdr:rowOff>
    </xdr:from>
    <xdr:to>
      <xdr:col>18</xdr:col>
      <xdr:colOff>625929</xdr:colOff>
      <xdr:row>128</xdr:row>
      <xdr:rowOff>532251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7600" y="71222235"/>
          <a:ext cx="527050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201706</xdr:colOff>
      <xdr:row>129</xdr:row>
      <xdr:rowOff>78442</xdr:rowOff>
    </xdr:from>
    <xdr:to>
      <xdr:col>18</xdr:col>
      <xdr:colOff>576126</xdr:colOff>
      <xdr:row>129</xdr:row>
      <xdr:rowOff>403411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0470" y="71797545"/>
          <a:ext cx="37465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156883</xdr:colOff>
      <xdr:row>130</xdr:row>
      <xdr:rowOff>44823</xdr:rowOff>
    </xdr:from>
    <xdr:to>
      <xdr:col>18</xdr:col>
      <xdr:colOff>593912</xdr:colOff>
      <xdr:row>130</xdr:row>
      <xdr:rowOff>424132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6020" y="72335390"/>
          <a:ext cx="43688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127748</xdr:colOff>
      <xdr:row>176</xdr:row>
      <xdr:rowOff>104775</xdr:rowOff>
    </xdr:from>
    <xdr:to>
      <xdr:col>18</xdr:col>
      <xdr:colOff>594473</xdr:colOff>
      <xdr:row>176</xdr:row>
      <xdr:rowOff>400050</xdr:rowOff>
    </xdr:to>
    <xdr:pic>
      <xdr:nvPicPr>
        <xdr:cNvPr id="71" name="图片 206" descr="IMG_0824.JPG"/>
        <xdr:cNvPicPr>
          <a:picLocks noChangeAspect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8766810" y="98684715"/>
          <a:ext cx="466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235324</xdr:colOff>
      <xdr:row>15</xdr:row>
      <xdr:rowOff>89647</xdr:rowOff>
    </xdr:from>
    <xdr:to>
      <xdr:col>18</xdr:col>
      <xdr:colOff>601128</xdr:colOff>
      <xdr:row>15</xdr:row>
      <xdr:rowOff>537321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4125" y="6581140"/>
          <a:ext cx="36576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224118</xdr:colOff>
      <xdr:row>16</xdr:row>
      <xdr:rowOff>67235</xdr:rowOff>
    </xdr:from>
    <xdr:to>
      <xdr:col>18</xdr:col>
      <xdr:colOff>589922</xdr:colOff>
      <xdr:row>16</xdr:row>
      <xdr:rowOff>514909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62695" y="7129780"/>
          <a:ext cx="36639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241117</xdr:colOff>
      <xdr:row>147</xdr:row>
      <xdr:rowOff>89647</xdr:rowOff>
    </xdr:from>
    <xdr:to>
      <xdr:col>18</xdr:col>
      <xdr:colOff>638736</xdr:colOff>
      <xdr:row>147</xdr:row>
      <xdr:rowOff>418211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9840" y="82095975"/>
          <a:ext cx="397510" cy="328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146050</xdr:colOff>
      <xdr:row>157</xdr:row>
      <xdr:rowOff>81915</xdr:rowOff>
    </xdr:from>
    <xdr:to>
      <xdr:col>18</xdr:col>
      <xdr:colOff>645402</xdr:colOff>
      <xdr:row>157</xdr:row>
      <xdr:rowOff>408487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5225" y="87803355"/>
          <a:ext cx="49911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123265</xdr:colOff>
      <xdr:row>160</xdr:row>
      <xdr:rowOff>84694</xdr:rowOff>
    </xdr:from>
    <xdr:to>
      <xdr:col>18</xdr:col>
      <xdr:colOff>672353</xdr:colOff>
      <xdr:row>160</xdr:row>
      <xdr:rowOff>433932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2365" y="89520395"/>
          <a:ext cx="54864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119380</xdr:colOff>
      <xdr:row>26</xdr:row>
      <xdr:rowOff>138430</xdr:rowOff>
    </xdr:from>
    <xdr:to>
      <xdr:col>18</xdr:col>
      <xdr:colOff>738503</xdr:colOff>
      <xdr:row>26</xdr:row>
      <xdr:rowOff>455865</xdr:rowOff>
    </xdr:to>
    <xdr:pic>
      <xdr:nvPicPr>
        <xdr:cNvPr id="80" name="图片 79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8555" y="13057505"/>
          <a:ext cx="618490" cy="316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55880</xdr:colOff>
      <xdr:row>28</xdr:row>
      <xdr:rowOff>45085</xdr:rowOff>
    </xdr:from>
    <xdr:to>
      <xdr:col>18</xdr:col>
      <xdr:colOff>697230</xdr:colOff>
      <xdr:row>28</xdr:row>
      <xdr:rowOff>449580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95055" y="14107160"/>
          <a:ext cx="641350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145676</xdr:colOff>
      <xdr:row>29</xdr:row>
      <xdr:rowOff>67235</xdr:rowOff>
    </xdr:from>
    <xdr:to>
      <xdr:col>18</xdr:col>
      <xdr:colOff>498101</xdr:colOff>
      <xdr:row>29</xdr:row>
      <xdr:rowOff>470647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4590" y="14700250"/>
          <a:ext cx="352425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30</xdr:row>
      <xdr:rowOff>56030</xdr:rowOff>
    </xdr:from>
    <xdr:to>
      <xdr:col>18</xdr:col>
      <xdr:colOff>541244</xdr:colOff>
      <xdr:row>30</xdr:row>
      <xdr:rowOff>493059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9675" y="15260955"/>
          <a:ext cx="350520" cy="436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108857</xdr:colOff>
      <xdr:row>22</xdr:row>
      <xdr:rowOff>136073</xdr:rowOff>
    </xdr:from>
    <xdr:to>
      <xdr:col>18</xdr:col>
      <xdr:colOff>764721</xdr:colOff>
      <xdr:row>22</xdr:row>
      <xdr:rowOff>505695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47760" y="10768965"/>
          <a:ext cx="65595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162486</xdr:colOff>
      <xdr:row>24</xdr:row>
      <xdr:rowOff>80042</xdr:rowOff>
    </xdr:from>
    <xdr:to>
      <xdr:col>18</xdr:col>
      <xdr:colOff>782013</xdr:colOff>
      <xdr:row>24</xdr:row>
      <xdr:rowOff>474649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1100" y="11856085"/>
          <a:ext cx="61976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108857</xdr:colOff>
      <xdr:row>34</xdr:row>
      <xdr:rowOff>68036</xdr:rowOff>
    </xdr:from>
    <xdr:to>
      <xdr:col>19</xdr:col>
      <xdr:colOff>0</xdr:colOff>
      <xdr:row>34</xdr:row>
      <xdr:rowOff>489858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47760" y="17559020"/>
          <a:ext cx="69151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189230</xdr:colOff>
      <xdr:row>43</xdr:row>
      <xdr:rowOff>78105</xdr:rowOff>
    </xdr:from>
    <xdr:to>
      <xdr:col>18</xdr:col>
      <xdr:colOff>572135</xdr:colOff>
      <xdr:row>43</xdr:row>
      <xdr:rowOff>461010</xdr:rowOff>
    </xdr:to>
    <xdr:pic>
      <xdr:nvPicPr>
        <xdr:cNvPr id="92" name="图片 91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8405" y="22712680"/>
          <a:ext cx="3829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136071</xdr:colOff>
      <xdr:row>132</xdr:row>
      <xdr:rowOff>122465</xdr:rowOff>
    </xdr:from>
    <xdr:to>
      <xdr:col>18</xdr:col>
      <xdr:colOff>686640</xdr:colOff>
      <xdr:row>132</xdr:row>
      <xdr:rowOff>326572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5065" y="73555860"/>
          <a:ext cx="550545" cy="20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231322</xdr:colOff>
      <xdr:row>133</xdr:row>
      <xdr:rowOff>136071</xdr:rowOff>
    </xdr:from>
    <xdr:to>
      <xdr:col>18</xdr:col>
      <xdr:colOff>598714</xdr:colOff>
      <xdr:row>133</xdr:row>
      <xdr:rowOff>476250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870315" y="74141330"/>
          <a:ext cx="367030" cy="34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149678</xdr:colOff>
      <xdr:row>163</xdr:row>
      <xdr:rowOff>68035</xdr:rowOff>
    </xdr:from>
    <xdr:to>
      <xdr:col>18</xdr:col>
      <xdr:colOff>666751</xdr:colOff>
      <xdr:row>163</xdr:row>
      <xdr:rowOff>449035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8400" y="91218385"/>
          <a:ext cx="5175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122464</xdr:colOff>
      <xdr:row>145</xdr:row>
      <xdr:rowOff>149679</xdr:rowOff>
    </xdr:from>
    <xdr:to>
      <xdr:col>18</xdr:col>
      <xdr:colOff>436070</xdr:colOff>
      <xdr:row>145</xdr:row>
      <xdr:rowOff>451562</xdr:rowOff>
    </xdr:to>
    <xdr:pic>
      <xdr:nvPicPr>
        <xdr:cNvPr id="84" name="图片 4" descr="1610786911(1)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1095" y="81012665"/>
          <a:ext cx="31369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186055</xdr:colOff>
      <xdr:row>27</xdr:row>
      <xdr:rowOff>120650</xdr:rowOff>
    </xdr:from>
    <xdr:to>
      <xdr:col>18</xdr:col>
      <xdr:colOff>728980</xdr:colOff>
      <xdr:row>27</xdr:row>
      <xdr:rowOff>425450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5230" y="13611225"/>
          <a:ext cx="5429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163286</xdr:colOff>
      <xdr:row>134</xdr:row>
      <xdr:rowOff>81643</xdr:rowOff>
    </xdr:from>
    <xdr:to>
      <xdr:col>18</xdr:col>
      <xdr:colOff>625929</xdr:colOff>
      <xdr:row>134</xdr:row>
      <xdr:rowOff>489858</xdr:rowOff>
    </xdr:to>
    <xdr:pic>
      <xdr:nvPicPr>
        <xdr:cNvPr id="104" name="图片 103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2370" y="74658220"/>
          <a:ext cx="462280" cy="40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44</xdr:row>
      <xdr:rowOff>136072</xdr:rowOff>
    </xdr:from>
    <xdr:to>
      <xdr:col>18</xdr:col>
      <xdr:colOff>561637</xdr:colOff>
      <xdr:row>44</xdr:row>
      <xdr:rowOff>377924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9675" y="23341965"/>
          <a:ext cx="370840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45</xdr:row>
      <xdr:rowOff>68036</xdr:rowOff>
    </xdr:from>
    <xdr:to>
      <xdr:col>18</xdr:col>
      <xdr:colOff>552450</xdr:colOff>
      <xdr:row>45</xdr:row>
      <xdr:rowOff>306161</xdr:rowOff>
    </xdr:to>
    <xdr:pic>
      <xdr:nvPicPr>
        <xdr:cNvPr id="108" name="Picture 7"/>
        <xdr:cNvPicPr>
          <a:picLocks noChangeAspect="1" noChangeArrowheads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999" b="-15999"/>
        <a:stretch>
          <a:fillRect/>
        </a:stretch>
      </xdr:blipFill>
      <xdr:spPr>
        <a:xfrm>
          <a:off x="8734425" y="2384552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149679</xdr:colOff>
      <xdr:row>46</xdr:row>
      <xdr:rowOff>122465</xdr:rowOff>
    </xdr:from>
    <xdr:to>
      <xdr:col>18</xdr:col>
      <xdr:colOff>616404</xdr:colOff>
      <xdr:row>46</xdr:row>
      <xdr:rowOff>398690</xdr:rowOff>
    </xdr:to>
    <xdr:pic>
      <xdr:nvPicPr>
        <xdr:cNvPr id="109" name="Picture 7"/>
        <xdr:cNvPicPr>
          <a:picLocks noChangeAspect="1" noChangeArrowheads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65" b="-11765"/>
        <a:stretch>
          <a:fillRect/>
        </a:stretch>
      </xdr:blipFill>
      <xdr:spPr>
        <a:xfrm>
          <a:off x="8788400" y="24470995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47</xdr:row>
      <xdr:rowOff>54429</xdr:rowOff>
    </xdr:from>
    <xdr:to>
      <xdr:col>18</xdr:col>
      <xdr:colOff>762000</xdr:colOff>
      <xdr:row>47</xdr:row>
      <xdr:rowOff>424845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4425" y="24974550"/>
          <a:ext cx="66675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48</xdr:row>
      <xdr:rowOff>163286</xdr:rowOff>
    </xdr:from>
    <xdr:to>
      <xdr:col>18</xdr:col>
      <xdr:colOff>628439</xdr:colOff>
      <xdr:row>48</xdr:row>
      <xdr:rowOff>463224</xdr:rowOff>
    </xdr:to>
    <xdr:pic>
      <xdr:nvPicPr>
        <xdr:cNvPr id="111" name="图片 110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>
          <a:off x="8734425" y="25655270"/>
          <a:ext cx="532765" cy="299720"/>
        </a:xfrm>
        <a:prstGeom prst="rect">
          <a:avLst/>
        </a:prstGeom>
      </xdr:spPr>
    </xdr:pic>
    <xdr:clientData/>
  </xdr:twoCellAnchor>
  <xdr:twoCellAnchor>
    <xdr:from>
      <xdr:col>18</xdr:col>
      <xdr:colOff>176893</xdr:colOff>
      <xdr:row>49</xdr:row>
      <xdr:rowOff>81643</xdr:rowOff>
    </xdr:from>
    <xdr:to>
      <xdr:col>18</xdr:col>
      <xdr:colOff>595203</xdr:colOff>
      <xdr:row>49</xdr:row>
      <xdr:rowOff>452060</xdr:rowOff>
    </xdr:to>
    <xdr:pic>
      <xdr:nvPicPr>
        <xdr:cNvPr id="121" name="图片 120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 flipH="1">
          <a:off x="8815705" y="26144855"/>
          <a:ext cx="418465" cy="370205"/>
        </a:xfrm>
        <a:prstGeom prst="rect">
          <a:avLst/>
        </a:prstGeom>
      </xdr:spPr>
    </xdr:pic>
    <xdr:clientData/>
  </xdr:twoCellAnchor>
  <xdr:twoCellAnchor>
    <xdr:from>
      <xdr:col>18</xdr:col>
      <xdr:colOff>136072</xdr:colOff>
      <xdr:row>51</xdr:row>
      <xdr:rowOff>81643</xdr:rowOff>
    </xdr:from>
    <xdr:to>
      <xdr:col>18</xdr:col>
      <xdr:colOff>689718</xdr:colOff>
      <xdr:row>51</xdr:row>
      <xdr:rowOff>482848</xdr:rowOff>
    </xdr:to>
    <xdr:pic>
      <xdr:nvPicPr>
        <xdr:cNvPr id="123" name="图片 122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 flipH="1">
          <a:off x="8775065" y="27287855"/>
          <a:ext cx="553720" cy="401320"/>
        </a:xfrm>
        <a:prstGeom prst="rect">
          <a:avLst/>
        </a:prstGeom>
      </xdr:spPr>
    </xdr:pic>
    <xdr:clientData/>
  </xdr:twoCellAnchor>
  <xdr:twoCellAnchor>
    <xdr:from>
      <xdr:col>18</xdr:col>
      <xdr:colOff>68035</xdr:colOff>
      <xdr:row>52</xdr:row>
      <xdr:rowOff>54428</xdr:rowOff>
    </xdr:from>
    <xdr:to>
      <xdr:col>18</xdr:col>
      <xdr:colOff>757083</xdr:colOff>
      <xdr:row>52</xdr:row>
      <xdr:rowOff>477760</xdr:rowOff>
    </xdr:to>
    <xdr:pic>
      <xdr:nvPicPr>
        <xdr:cNvPr id="124" name="图片 123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8707120" y="27832050"/>
          <a:ext cx="688975" cy="423545"/>
        </a:xfrm>
        <a:prstGeom prst="rect">
          <a:avLst/>
        </a:prstGeom>
      </xdr:spPr>
    </xdr:pic>
    <xdr:clientData/>
  </xdr:twoCellAnchor>
  <xdr:twoCellAnchor>
    <xdr:from>
      <xdr:col>18</xdr:col>
      <xdr:colOff>163286</xdr:colOff>
      <xdr:row>54</xdr:row>
      <xdr:rowOff>27214</xdr:rowOff>
    </xdr:from>
    <xdr:to>
      <xdr:col>18</xdr:col>
      <xdr:colOff>666795</xdr:colOff>
      <xdr:row>54</xdr:row>
      <xdr:rowOff>420280</xdr:rowOff>
    </xdr:to>
    <xdr:pic>
      <xdr:nvPicPr>
        <xdr:cNvPr id="125" name="图片 124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8802370" y="28947745"/>
          <a:ext cx="503555" cy="393065"/>
        </a:xfrm>
        <a:prstGeom prst="rect">
          <a:avLst/>
        </a:prstGeom>
      </xdr:spPr>
    </xdr:pic>
    <xdr:clientData/>
  </xdr:twoCellAnchor>
  <xdr:twoCellAnchor>
    <xdr:from>
      <xdr:col>18</xdr:col>
      <xdr:colOff>176893</xdr:colOff>
      <xdr:row>55</xdr:row>
      <xdr:rowOff>27215</xdr:rowOff>
    </xdr:from>
    <xdr:to>
      <xdr:col>18</xdr:col>
      <xdr:colOff>632751</xdr:colOff>
      <xdr:row>55</xdr:row>
      <xdr:rowOff>433523</xdr:rowOff>
    </xdr:to>
    <xdr:pic>
      <xdr:nvPicPr>
        <xdr:cNvPr id="126" name="图片 125"/>
        <xdr:cNvPicPr>
          <a:picLocks noChangeAspect="1"/>
        </xdr:cNvPicPr>
      </xdr:nvPicPr>
      <xdr:blipFill>
        <a:blip r:embed="rId71" cstate="print"/>
        <a:stretch>
          <a:fillRect/>
        </a:stretch>
      </xdr:blipFill>
      <xdr:spPr>
        <a:xfrm>
          <a:off x="8815705" y="29519245"/>
          <a:ext cx="455930" cy="406400"/>
        </a:xfrm>
        <a:prstGeom prst="rect">
          <a:avLst/>
        </a:prstGeom>
      </xdr:spPr>
    </xdr:pic>
    <xdr:clientData/>
  </xdr:twoCellAnchor>
  <xdr:twoCellAnchor>
    <xdr:from>
      <xdr:col>18</xdr:col>
      <xdr:colOff>81643</xdr:colOff>
      <xdr:row>56</xdr:row>
      <xdr:rowOff>40822</xdr:rowOff>
    </xdr:from>
    <xdr:to>
      <xdr:col>18</xdr:col>
      <xdr:colOff>708628</xdr:colOff>
      <xdr:row>56</xdr:row>
      <xdr:rowOff>487529</xdr:rowOff>
    </xdr:to>
    <xdr:pic>
      <xdr:nvPicPr>
        <xdr:cNvPr id="127" name="图片 126"/>
        <xdr:cNvPicPr>
          <a:picLocks noChangeAspect="1"/>
        </xdr:cNvPicPr>
      </xdr:nvPicPr>
      <xdr:blipFill>
        <a:blip r:embed="rId72" cstate="print"/>
        <a:stretch>
          <a:fillRect/>
        </a:stretch>
      </xdr:blipFill>
      <xdr:spPr>
        <a:xfrm flipH="1">
          <a:off x="8720455" y="30104715"/>
          <a:ext cx="626745" cy="446405"/>
        </a:xfrm>
        <a:prstGeom prst="rect">
          <a:avLst/>
        </a:prstGeom>
      </xdr:spPr>
    </xdr:pic>
    <xdr:clientData/>
  </xdr:twoCellAnchor>
  <xdr:twoCellAnchor>
    <xdr:from>
      <xdr:col>18</xdr:col>
      <xdr:colOff>69886</xdr:colOff>
      <xdr:row>57</xdr:row>
      <xdr:rowOff>54428</xdr:rowOff>
    </xdr:from>
    <xdr:to>
      <xdr:col>18</xdr:col>
      <xdr:colOff>769020</xdr:colOff>
      <xdr:row>57</xdr:row>
      <xdr:rowOff>435428</xdr:rowOff>
    </xdr:to>
    <xdr:pic>
      <xdr:nvPicPr>
        <xdr:cNvPr id="128" name="图片 127"/>
        <xdr:cNvPicPr>
          <a:picLocks noChangeAspect="1"/>
        </xdr:cNvPicPr>
      </xdr:nvPicPr>
      <xdr:blipFill>
        <a:blip r:embed="rId73" cstate="print"/>
        <a:stretch>
          <a:fillRect/>
        </a:stretch>
      </xdr:blipFill>
      <xdr:spPr>
        <a:xfrm>
          <a:off x="8709025" y="30689550"/>
          <a:ext cx="699135" cy="381000"/>
        </a:xfrm>
        <a:prstGeom prst="rect">
          <a:avLst/>
        </a:prstGeom>
      </xdr:spPr>
    </xdr:pic>
    <xdr:clientData/>
  </xdr:twoCellAnchor>
  <xdr:twoCellAnchor>
    <xdr:from>
      <xdr:col>18</xdr:col>
      <xdr:colOff>434781</xdr:colOff>
      <xdr:row>58</xdr:row>
      <xdr:rowOff>84666</xdr:rowOff>
    </xdr:from>
    <xdr:to>
      <xdr:col>18</xdr:col>
      <xdr:colOff>608251</xdr:colOff>
      <xdr:row>58</xdr:row>
      <xdr:rowOff>486834</xdr:rowOff>
    </xdr:to>
    <xdr:pic>
      <xdr:nvPicPr>
        <xdr:cNvPr id="129" name="图片 128"/>
        <xdr:cNvPicPr>
          <a:picLocks noChangeAspect="1"/>
        </xdr:cNvPicPr>
      </xdr:nvPicPr>
      <xdr:blipFill>
        <a:blip r:embed="rId74" cstate="print"/>
        <a:stretch>
          <a:fillRect/>
        </a:stretch>
      </xdr:blipFill>
      <xdr:spPr>
        <a:xfrm>
          <a:off x="9073515" y="31291530"/>
          <a:ext cx="173355" cy="401955"/>
        </a:xfrm>
        <a:prstGeom prst="rect">
          <a:avLst/>
        </a:prstGeom>
      </xdr:spPr>
    </xdr:pic>
    <xdr:clientData/>
  </xdr:twoCellAnchor>
  <xdr:twoCellAnchor>
    <xdr:from>
      <xdr:col>18</xdr:col>
      <xdr:colOff>54428</xdr:colOff>
      <xdr:row>60</xdr:row>
      <xdr:rowOff>95250</xdr:rowOff>
    </xdr:from>
    <xdr:to>
      <xdr:col>18</xdr:col>
      <xdr:colOff>721971</xdr:colOff>
      <xdr:row>60</xdr:row>
      <xdr:rowOff>402166</xdr:rowOff>
    </xdr:to>
    <xdr:pic>
      <xdr:nvPicPr>
        <xdr:cNvPr id="130" name="图片 129"/>
        <xdr:cNvPicPr>
          <a:picLocks noChangeAspect="1"/>
        </xdr:cNvPicPr>
      </xdr:nvPicPr>
      <xdr:blipFill>
        <a:blip r:embed="rId75" cstate="print"/>
        <a:stretch>
          <a:fillRect/>
        </a:stretch>
      </xdr:blipFill>
      <xdr:spPr>
        <a:xfrm>
          <a:off x="8693150" y="32445325"/>
          <a:ext cx="667385" cy="306705"/>
        </a:xfrm>
        <a:prstGeom prst="rect">
          <a:avLst/>
        </a:prstGeom>
      </xdr:spPr>
    </xdr:pic>
    <xdr:clientData/>
  </xdr:twoCellAnchor>
  <xdr:twoCellAnchor>
    <xdr:from>
      <xdr:col>18</xdr:col>
      <xdr:colOff>136071</xdr:colOff>
      <xdr:row>61</xdr:row>
      <xdr:rowOff>13607</xdr:rowOff>
    </xdr:from>
    <xdr:to>
      <xdr:col>18</xdr:col>
      <xdr:colOff>621936</xdr:colOff>
      <xdr:row>61</xdr:row>
      <xdr:rowOff>423701</xdr:rowOff>
    </xdr:to>
    <xdr:pic>
      <xdr:nvPicPr>
        <xdr:cNvPr id="131" name="图片 130"/>
        <xdr:cNvPicPr>
          <a:picLocks noChangeAspect="1"/>
        </xdr:cNvPicPr>
      </xdr:nvPicPr>
      <xdr:blipFill>
        <a:blip r:embed="rId76" cstate="print"/>
        <a:stretch>
          <a:fillRect/>
        </a:stretch>
      </xdr:blipFill>
      <xdr:spPr>
        <a:xfrm>
          <a:off x="8775065" y="32934910"/>
          <a:ext cx="485775" cy="410210"/>
        </a:xfrm>
        <a:prstGeom prst="rect">
          <a:avLst/>
        </a:prstGeom>
      </xdr:spPr>
    </xdr:pic>
    <xdr:clientData/>
  </xdr:twoCellAnchor>
  <xdr:twoCellAnchor>
    <xdr:from>
      <xdr:col>18</xdr:col>
      <xdr:colOff>136071</xdr:colOff>
      <xdr:row>62</xdr:row>
      <xdr:rowOff>68036</xdr:rowOff>
    </xdr:from>
    <xdr:to>
      <xdr:col>18</xdr:col>
      <xdr:colOff>537868</xdr:colOff>
      <xdr:row>62</xdr:row>
      <xdr:rowOff>418582</xdr:rowOff>
    </xdr:to>
    <xdr:pic>
      <xdr:nvPicPr>
        <xdr:cNvPr id="132" name="图片 131"/>
        <xdr:cNvPicPr>
          <a:picLocks noChangeAspect="1"/>
        </xdr:cNvPicPr>
      </xdr:nvPicPr>
      <xdr:blipFill>
        <a:blip r:embed="rId77" cstate="print"/>
        <a:stretch>
          <a:fillRect/>
        </a:stretch>
      </xdr:blipFill>
      <xdr:spPr>
        <a:xfrm>
          <a:off x="8775065" y="33561020"/>
          <a:ext cx="401955" cy="350520"/>
        </a:xfrm>
        <a:prstGeom prst="rect">
          <a:avLst/>
        </a:prstGeom>
      </xdr:spPr>
    </xdr:pic>
    <xdr:clientData/>
  </xdr:twoCellAnchor>
  <xdr:twoCellAnchor>
    <xdr:from>
      <xdr:col>18</xdr:col>
      <xdr:colOff>81915</xdr:colOff>
      <xdr:row>63</xdr:row>
      <xdr:rowOff>79375</xdr:rowOff>
    </xdr:from>
    <xdr:to>
      <xdr:col>18</xdr:col>
      <xdr:colOff>618490</xdr:colOff>
      <xdr:row>63</xdr:row>
      <xdr:rowOff>494030</xdr:rowOff>
    </xdr:to>
    <xdr:pic>
      <xdr:nvPicPr>
        <xdr:cNvPr id="133" name="图片 132"/>
        <xdr:cNvPicPr>
          <a:picLocks noChangeAspect="1"/>
        </xdr:cNvPicPr>
      </xdr:nvPicPr>
      <xdr:blipFill>
        <a:blip r:embed="rId78" cstate="print"/>
        <a:stretch>
          <a:fillRect/>
        </a:stretch>
      </xdr:blipFill>
      <xdr:spPr>
        <a:xfrm>
          <a:off x="8721090" y="34143950"/>
          <a:ext cx="536575" cy="414655"/>
        </a:xfrm>
        <a:prstGeom prst="rect">
          <a:avLst/>
        </a:prstGeom>
      </xdr:spPr>
    </xdr:pic>
    <xdr:clientData/>
  </xdr:twoCellAnchor>
  <xdr:twoCellAnchor>
    <xdr:from>
      <xdr:col>18</xdr:col>
      <xdr:colOff>95250</xdr:colOff>
      <xdr:row>67</xdr:row>
      <xdr:rowOff>122464</xdr:rowOff>
    </xdr:from>
    <xdr:to>
      <xdr:col>18</xdr:col>
      <xdr:colOff>709085</xdr:colOff>
      <xdr:row>67</xdr:row>
      <xdr:rowOff>467201</xdr:rowOff>
    </xdr:to>
    <xdr:pic>
      <xdr:nvPicPr>
        <xdr:cNvPr id="134" name="图片 133"/>
        <xdr:cNvPicPr>
          <a:picLocks noChangeAspect="1"/>
        </xdr:cNvPicPr>
      </xdr:nvPicPr>
      <xdr:blipFill>
        <a:blip r:embed="rId79" cstate="print"/>
        <a:stretch>
          <a:fillRect/>
        </a:stretch>
      </xdr:blipFill>
      <xdr:spPr>
        <a:xfrm>
          <a:off x="8734425" y="36472495"/>
          <a:ext cx="613410" cy="344805"/>
        </a:xfrm>
        <a:prstGeom prst="rect">
          <a:avLst/>
        </a:prstGeom>
      </xdr:spPr>
    </xdr:pic>
    <xdr:clientData/>
  </xdr:twoCellAnchor>
  <xdr:twoCellAnchor>
    <xdr:from>
      <xdr:col>18</xdr:col>
      <xdr:colOff>40821</xdr:colOff>
      <xdr:row>69</xdr:row>
      <xdr:rowOff>13608</xdr:rowOff>
    </xdr:from>
    <xdr:to>
      <xdr:col>18</xdr:col>
      <xdr:colOff>772357</xdr:colOff>
      <xdr:row>69</xdr:row>
      <xdr:rowOff>381344</xdr:rowOff>
    </xdr:to>
    <xdr:pic>
      <xdr:nvPicPr>
        <xdr:cNvPr id="135" name="图片 134"/>
        <xdr:cNvPicPr>
          <a:picLocks noChangeAspect="1"/>
        </xdr:cNvPicPr>
      </xdr:nvPicPr>
      <xdr:blipFill>
        <a:blip r:embed="rId80" cstate="print"/>
        <a:stretch>
          <a:fillRect/>
        </a:stretch>
      </xdr:blipFill>
      <xdr:spPr>
        <a:xfrm flipV="1">
          <a:off x="8679815" y="37506910"/>
          <a:ext cx="731520" cy="367665"/>
        </a:xfrm>
        <a:prstGeom prst="rect">
          <a:avLst/>
        </a:prstGeom>
      </xdr:spPr>
    </xdr:pic>
    <xdr:clientData/>
  </xdr:twoCellAnchor>
  <xdr:twoCellAnchor>
    <xdr:from>
      <xdr:col>18</xdr:col>
      <xdr:colOff>108857</xdr:colOff>
      <xdr:row>71</xdr:row>
      <xdr:rowOff>40822</xdr:rowOff>
    </xdr:from>
    <xdr:to>
      <xdr:col>18</xdr:col>
      <xdr:colOff>690940</xdr:colOff>
      <xdr:row>71</xdr:row>
      <xdr:rowOff>411849</xdr:rowOff>
    </xdr:to>
    <xdr:pic>
      <xdr:nvPicPr>
        <xdr:cNvPr id="136" name="图片 135"/>
        <xdr:cNvPicPr>
          <a:picLocks noChangeAspect="1"/>
        </xdr:cNvPicPr>
      </xdr:nvPicPr>
      <xdr:blipFill>
        <a:blip r:embed="rId81" cstate="print"/>
        <a:stretch>
          <a:fillRect/>
        </a:stretch>
      </xdr:blipFill>
      <xdr:spPr>
        <a:xfrm flipH="1">
          <a:off x="8747760" y="38677215"/>
          <a:ext cx="582295" cy="370840"/>
        </a:xfrm>
        <a:prstGeom prst="rect">
          <a:avLst/>
        </a:prstGeom>
      </xdr:spPr>
    </xdr:pic>
    <xdr:clientData/>
  </xdr:twoCellAnchor>
  <xdr:twoCellAnchor>
    <xdr:from>
      <xdr:col>18</xdr:col>
      <xdr:colOff>54429</xdr:colOff>
      <xdr:row>74</xdr:row>
      <xdr:rowOff>176893</xdr:rowOff>
    </xdr:from>
    <xdr:to>
      <xdr:col>18</xdr:col>
      <xdr:colOff>695616</xdr:colOff>
      <xdr:row>74</xdr:row>
      <xdr:rowOff>435427</xdr:rowOff>
    </xdr:to>
    <xdr:pic>
      <xdr:nvPicPr>
        <xdr:cNvPr id="138" name="图片 137"/>
        <xdr:cNvPicPr>
          <a:picLocks noChangeAspect="1"/>
        </xdr:cNvPicPr>
      </xdr:nvPicPr>
      <xdr:blipFill>
        <a:blip r:embed="rId82" cstate="print"/>
        <a:stretch>
          <a:fillRect/>
        </a:stretch>
      </xdr:blipFill>
      <xdr:spPr>
        <a:xfrm flipV="1">
          <a:off x="8693150" y="40527605"/>
          <a:ext cx="641350" cy="258445"/>
        </a:xfrm>
        <a:prstGeom prst="rect">
          <a:avLst/>
        </a:prstGeom>
      </xdr:spPr>
    </xdr:pic>
    <xdr:clientData/>
  </xdr:twoCellAnchor>
  <xdr:twoCellAnchor>
    <xdr:from>
      <xdr:col>18</xdr:col>
      <xdr:colOff>68036</xdr:colOff>
      <xdr:row>75</xdr:row>
      <xdr:rowOff>122464</xdr:rowOff>
    </xdr:from>
    <xdr:to>
      <xdr:col>18</xdr:col>
      <xdr:colOff>755318</xdr:colOff>
      <xdr:row>75</xdr:row>
      <xdr:rowOff>387048</xdr:rowOff>
    </xdr:to>
    <xdr:pic>
      <xdr:nvPicPr>
        <xdr:cNvPr id="139" name="图片 138"/>
        <xdr:cNvPicPr>
          <a:picLocks noChangeAspect="1"/>
        </xdr:cNvPicPr>
      </xdr:nvPicPr>
      <xdr:blipFill>
        <a:blip r:embed="rId83" cstate="print"/>
        <a:stretch>
          <a:fillRect/>
        </a:stretch>
      </xdr:blipFill>
      <xdr:spPr>
        <a:xfrm flipH="1">
          <a:off x="8707120" y="41044495"/>
          <a:ext cx="687070" cy="264795"/>
        </a:xfrm>
        <a:prstGeom prst="rect">
          <a:avLst/>
        </a:prstGeom>
      </xdr:spPr>
    </xdr:pic>
    <xdr:clientData/>
  </xdr:twoCellAnchor>
  <xdr:twoCellAnchor>
    <xdr:from>
      <xdr:col>18</xdr:col>
      <xdr:colOff>176892</xdr:colOff>
      <xdr:row>53</xdr:row>
      <xdr:rowOff>108855</xdr:rowOff>
    </xdr:from>
    <xdr:to>
      <xdr:col>18</xdr:col>
      <xdr:colOff>662711</xdr:colOff>
      <xdr:row>53</xdr:row>
      <xdr:rowOff>394607</xdr:rowOff>
    </xdr:to>
    <xdr:pic>
      <xdr:nvPicPr>
        <xdr:cNvPr id="9" name="图片 8"/>
        <xdr:cNvPicPr>
          <a:picLocks noChangeAspect="1"/>
        </xdr:cNvPicPr>
      </xdr:nvPicPr>
      <xdr:blipFill>
        <a:blip r:embed="rId84" cstate="print"/>
        <a:stretch>
          <a:fillRect/>
        </a:stretch>
      </xdr:blipFill>
      <xdr:spPr>
        <a:xfrm>
          <a:off x="8815705" y="28458160"/>
          <a:ext cx="485775" cy="285750"/>
        </a:xfrm>
        <a:prstGeom prst="rect">
          <a:avLst/>
        </a:prstGeom>
      </xdr:spPr>
    </xdr:pic>
    <xdr:clientData/>
  </xdr:twoCellAnchor>
  <xdr:twoCellAnchor>
    <xdr:from>
      <xdr:col>18</xdr:col>
      <xdr:colOff>204107</xdr:colOff>
      <xdr:row>89</xdr:row>
      <xdr:rowOff>108858</xdr:rowOff>
    </xdr:from>
    <xdr:to>
      <xdr:col>18</xdr:col>
      <xdr:colOff>547007</xdr:colOff>
      <xdr:row>89</xdr:row>
      <xdr:rowOff>404133</xdr:rowOff>
    </xdr:to>
    <xdr:pic>
      <xdr:nvPicPr>
        <xdr:cNvPr id="150" name="Picture 13595"/>
        <xdr:cNvPicPr>
          <a:picLocks noChangeAspect="1" noChangeArrowheads="1"/>
        </xdr:cNvPicPr>
      </xdr:nvPicPr>
      <xdr:blipFill>
        <a:blip r:embed="rId85" cstate="print"/>
        <a:srcRect/>
        <a:stretch>
          <a:fillRect/>
        </a:stretch>
      </xdr:blipFill>
      <xdr:spPr>
        <a:xfrm>
          <a:off x="8843010" y="49032160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108857</xdr:colOff>
      <xdr:row>92</xdr:row>
      <xdr:rowOff>108857</xdr:rowOff>
    </xdr:from>
    <xdr:to>
      <xdr:col>18</xdr:col>
      <xdr:colOff>540657</xdr:colOff>
      <xdr:row>92</xdr:row>
      <xdr:rowOff>413657</xdr:rowOff>
    </xdr:to>
    <xdr:pic>
      <xdr:nvPicPr>
        <xdr:cNvPr id="152" name="Picture 13591"/>
        <xdr:cNvPicPr>
          <a:picLocks noChangeAspect="1" noChangeArrowheads="1"/>
        </xdr:cNvPicPr>
      </xdr:nvPicPr>
      <xdr:blipFill>
        <a:blip r:embed="rId86" cstate="print"/>
        <a:srcRect/>
        <a:stretch>
          <a:fillRect/>
        </a:stretch>
      </xdr:blipFill>
      <xdr:spPr>
        <a:xfrm>
          <a:off x="8747760" y="50746660"/>
          <a:ext cx="431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204107</xdr:colOff>
      <xdr:row>93</xdr:row>
      <xdr:rowOff>163286</xdr:rowOff>
    </xdr:from>
    <xdr:to>
      <xdr:col>18</xdr:col>
      <xdr:colOff>442232</xdr:colOff>
      <xdr:row>93</xdr:row>
      <xdr:rowOff>429986</xdr:rowOff>
    </xdr:to>
    <xdr:pic>
      <xdr:nvPicPr>
        <xdr:cNvPr id="153" name="Picture 18700" descr="J)5YS357X@ZA`GLO%GGAFF2"/>
        <xdr:cNvPicPr>
          <a:picLocks noChangeAspect="1" noChangeArrowheads="1"/>
        </xdr:cNvPicPr>
      </xdr:nvPicPr>
      <xdr:blipFill>
        <a:blip r:embed="rId87" cstate="print"/>
        <a:srcRect/>
        <a:stretch>
          <a:fillRect/>
        </a:stretch>
      </xdr:blipFill>
      <xdr:spPr>
        <a:xfrm>
          <a:off x="8843010" y="51372770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122464</xdr:colOff>
      <xdr:row>94</xdr:row>
      <xdr:rowOff>122464</xdr:rowOff>
    </xdr:from>
    <xdr:to>
      <xdr:col>18</xdr:col>
      <xdr:colOff>503464</xdr:colOff>
      <xdr:row>94</xdr:row>
      <xdr:rowOff>465364</xdr:rowOff>
    </xdr:to>
    <xdr:pic>
      <xdr:nvPicPr>
        <xdr:cNvPr id="154" name="Picture 18742"/>
        <xdr:cNvPicPr>
          <a:picLocks noChangeAspect="1" noChangeArrowheads="1"/>
        </xdr:cNvPicPr>
      </xdr:nvPicPr>
      <xdr:blipFill>
        <a:blip r:embed="rId88" cstate="print"/>
        <a:srcRect/>
        <a:stretch>
          <a:fillRect/>
        </a:stretch>
      </xdr:blipFill>
      <xdr:spPr>
        <a:xfrm>
          <a:off x="8761095" y="51902995"/>
          <a:ext cx="381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204107</xdr:colOff>
      <xdr:row>97</xdr:row>
      <xdr:rowOff>108858</xdr:rowOff>
    </xdr:from>
    <xdr:to>
      <xdr:col>18</xdr:col>
      <xdr:colOff>623207</xdr:colOff>
      <xdr:row>97</xdr:row>
      <xdr:rowOff>471443</xdr:rowOff>
    </xdr:to>
    <xdr:pic>
      <xdr:nvPicPr>
        <xdr:cNvPr id="156" name="Picture 13593"/>
        <xdr:cNvPicPr>
          <a:picLocks noChangeAspect="1" noChangeArrowheads="1"/>
        </xdr:cNvPicPr>
      </xdr:nvPicPr>
      <xdr:blipFill>
        <a:blip r:embed="rId89" cstate="print"/>
        <a:srcRect/>
        <a:stretch>
          <a:fillRect/>
        </a:stretch>
      </xdr:blipFill>
      <xdr:spPr>
        <a:xfrm rot="5400000">
          <a:off x="8870950" y="53575585"/>
          <a:ext cx="36258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176893</xdr:colOff>
      <xdr:row>98</xdr:row>
      <xdr:rowOff>136071</xdr:rowOff>
    </xdr:from>
    <xdr:to>
      <xdr:col>18</xdr:col>
      <xdr:colOff>618218</xdr:colOff>
      <xdr:row>98</xdr:row>
      <xdr:rowOff>469446</xdr:rowOff>
    </xdr:to>
    <xdr:pic>
      <xdr:nvPicPr>
        <xdr:cNvPr id="157" name="Picture 13597"/>
        <xdr:cNvPicPr>
          <a:picLocks noChangeAspect="1" noChangeArrowheads="1"/>
        </xdr:cNvPicPr>
      </xdr:nvPicPr>
      <xdr:blipFill>
        <a:blip r:embed="rId90" cstate="print"/>
        <a:srcRect/>
        <a:stretch>
          <a:fillRect/>
        </a:stretch>
      </xdr:blipFill>
      <xdr:spPr>
        <a:xfrm>
          <a:off x="8815705" y="54202965"/>
          <a:ext cx="4413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204107</xdr:colOff>
      <xdr:row>99</xdr:row>
      <xdr:rowOff>108857</xdr:rowOff>
    </xdr:from>
    <xdr:to>
      <xdr:col>18</xdr:col>
      <xdr:colOff>623207</xdr:colOff>
      <xdr:row>99</xdr:row>
      <xdr:rowOff>483507</xdr:rowOff>
    </xdr:to>
    <xdr:pic>
      <xdr:nvPicPr>
        <xdr:cNvPr id="158" name="Picture 10883"/>
        <xdr:cNvPicPr>
          <a:picLocks noChangeAspect="1" noChangeArrowheads="1"/>
        </xdr:cNvPicPr>
      </xdr:nvPicPr>
      <xdr:blipFill>
        <a:blip r:embed="rId91" cstate="print"/>
        <a:srcRect/>
        <a:stretch>
          <a:fillRect/>
        </a:stretch>
      </xdr:blipFill>
      <xdr:spPr>
        <a:xfrm>
          <a:off x="8843010" y="54747160"/>
          <a:ext cx="41910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243159</xdr:colOff>
      <xdr:row>101</xdr:row>
      <xdr:rowOff>122465</xdr:rowOff>
    </xdr:from>
    <xdr:to>
      <xdr:col>18</xdr:col>
      <xdr:colOff>598715</xdr:colOff>
      <xdr:row>101</xdr:row>
      <xdr:rowOff>517073</xdr:rowOff>
    </xdr:to>
    <xdr:pic>
      <xdr:nvPicPr>
        <xdr:cNvPr id="11" name="图片 10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8881745" y="55903495"/>
          <a:ext cx="355600" cy="394970"/>
        </a:xfrm>
        <a:prstGeom prst="rect">
          <a:avLst/>
        </a:prstGeom>
      </xdr:spPr>
    </xdr:pic>
    <xdr:clientData/>
  </xdr:twoCellAnchor>
  <xdr:twoCellAnchor>
    <xdr:from>
      <xdr:col>18</xdr:col>
      <xdr:colOff>136072</xdr:colOff>
      <xdr:row>102</xdr:row>
      <xdr:rowOff>244928</xdr:rowOff>
    </xdr:from>
    <xdr:to>
      <xdr:col>18</xdr:col>
      <xdr:colOff>686617</xdr:colOff>
      <xdr:row>102</xdr:row>
      <xdr:rowOff>302078</xdr:rowOff>
    </xdr:to>
    <xdr:pic>
      <xdr:nvPicPr>
        <xdr:cNvPr id="159" name="Picture 13600"/>
        <xdr:cNvPicPr>
          <a:picLocks noChangeAspect="1" noChangeArrowheads="1"/>
        </xdr:cNvPicPr>
      </xdr:nvPicPr>
      <xdr:blipFill>
        <a:blip r:embed="rId93" cstate="print"/>
        <a:srcRect/>
        <a:stretch>
          <a:fillRect/>
        </a:stretch>
      </xdr:blipFill>
      <xdr:spPr>
        <a:xfrm>
          <a:off x="8775065" y="56597550"/>
          <a:ext cx="55054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176893</xdr:colOff>
      <xdr:row>103</xdr:row>
      <xdr:rowOff>108857</xdr:rowOff>
    </xdr:from>
    <xdr:to>
      <xdr:col>18</xdr:col>
      <xdr:colOff>618218</xdr:colOff>
      <xdr:row>103</xdr:row>
      <xdr:rowOff>404132</xdr:rowOff>
    </xdr:to>
    <xdr:pic>
      <xdr:nvPicPr>
        <xdr:cNvPr id="160" name="Picture 13598"/>
        <xdr:cNvPicPr>
          <a:picLocks noChangeAspect="1" noChangeArrowheads="1"/>
        </xdr:cNvPicPr>
      </xdr:nvPicPr>
      <xdr:blipFill>
        <a:blip r:embed="rId94" cstate="print"/>
        <a:srcRect/>
        <a:stretch>
          <a:fillRect/>
        </a:stretch>
      </xdr:blipFill>
      <xdr:spPr>
        <a:xfrm>
          <a:off x="8815705" y="57033160"/>
          <a:ext cx="441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163286</xdr:colOff>
      <xdr:row>104</xdr:row>
      <xdr:rowOff>122465</xdr:rowOff>
    </xdr:from>
    <xdr:to>
      <xdr:col>18</xdr:col>
      <xdr:colOff>661761</xdr:colOff>
      <xdr:row>104</xdr:row>
      <xdr:rowOff>485050</xdr:rowOff>
    </xdr:to>
    <xdr:pic>
      <xdr:nvPicPr>
        <xdr:cNvPr id="161" name="Picture 6202"/>
        <xdr:cNvPicPr>
          <a:picLocks noChangeAspect="1" noChangeArrowheads="1"/>
        </xdr:cNvPicPr>
      </xdr:nvPicPr>
      <xdr:blipFill>
        <a:blip r:embed="rId95" cstate="print"/>
        <a:srcRect/>
        <a:stretch>
          <a:fillRect/>
        </a:stretch>
      </xdr:blipFill>
      <xdr:spPr>
        <a:xfrm>
          <a:off x="8802370" y="57617995"/>
          <a:ext cx="498475" cy="362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163286</xdr:colOff>
      <xdr:row>105</xdr:row>
      <xdr:rowOff>149678</xdr:rowOff>
    </xdr:from>
    <xdr:to>
      <xdr:col>18</xdr:col>
      <xdr:colOff>496661</xdr:colOff>
      <xdr:row>105</xdr:row>
      <xdr:rowOff>464003</xdr:rowOff>
    </xdr:to>
    <xdr:pic>
      <xdr:nvPicPr>
        <xdr:cNvPr id="162" name="Picture 13595"/>
        <xdr:cNvPicPr>
          <a:picLocks noChangeAspect="1" noChangeArrowheads="1"/>
        </xdr:cNvPicPr>
      </xdr:nvPicPr>
      <xdr:blipFill>
        <a:blip r:embed="rId85" cstate="print"/>
        <a:srcRect/>
        <a:stretch>
          <a:fillRect/>
        </a:stretch>
      </xdr:blipFill>
      <xdr:spPr>
        <a:xfrm>
          <a:off x="8802370" y="58216800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285750</xdr:colOff>
      <xdr:row>108</xdr:row>
      <xdr:rowOff>163286</xdr:rowOff>
    </xdr:from>
    <xdr:to>
      <xdr:col>18</xdr:col>
      <xdr:colOff>638175</xdr:colOff>
      <xdr:row>108</xdr:row>
      <xdr:rowOff>468086</xdr:rowOff>
    </xdr:to>
    <xdr:pic>
      <xdr:nvPicPr>
        <xdr:cNvPr id="164" name="Picture 13592"/>
        <xdr:cNvPicPr>
          <a:picLocks noChangeAspect="1" noChangeArrowheads="1"/>
        </xdr:cNvPicPr>
      </xdr:nvPicPr>
      <xdr:blipFill>
        <a:blip r:embed="rId96" cstate="print"/>
        <a:srcRect/>
        <a:stretch>
          <a:fillRect/>
        </a:stretch>
      </xdr:blipFill>
      <xdr:spPr>
        <a:xfrm>
          <a:off x="8924925" y="5994527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95250</xdr:colOff>
      <xdr:row>109</xdr:row>
      <xdr:rowOff>122464</xdr:rowOff>
    </xdr:from>
    <xdr:to>
      <xdr:col>18</xdr:col>
      <xdr:colOff>584200</xdr:colOff>
      <xdr:row>109</xdr:row>
      <xdr:rowOff>443774</xdr:rowOff>
    </xdr:to>
    <xdr:pic>
      <xdr:nvPicPr>
        <xdr:cNvPr id="165" name="Picture 18699" descr="J)5YS357X@ZA`GLO%GGAFF2"/>
        <xdr:cNvPicPr>
          <a:picLocks noChangeAspect="1" noChangeArrowheads="1"/>
        </xdr:cNvPicPr>
      </xdr:nvPicPr>
      <xdr:blipFill>
        <a:blip r:embed="rId97" cstate="print"/>
        <a:srcRect/>
        <a:stretch>
          <a:fillRect/>
        </a:stretch>
      </xdr:blipFill>
      <xdr:spPr>
        <a:xfrm>
          <a:off x="8734425" y="60475495"/>
          <a:ext cx="488950" cy="321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163286</xdr:colOff>
      <xdr:row>110</xdr:row>
      <xdr:rowOff>40821</xdr:rowOff>
    </xdr:from>
    <xdr:to>
      <xdr:col>18</xdr:col>
      <xdr:colOff>595721</xdr:colOff>
      <xdr:row>110</xdr:row>
      <xdr:rowOff>450396</xdr:rowOff>
    </xdr:to>
    <xdr:pic>
      <xdr:nvPicPr>
        <xdr:cNvPr id="166" name="Picture 7"/>
        <xdr:cNvPicPr>
          <a:picLocks noChangeAspect="1" noChangeArrowheads="1"/>
        </xdr:cNvPicPr>
      </xdr:nvPicPr>
      <xdr:blipFill>
        <a:blip r:embed="rId98"/>
        <a:srcRect/>
        <a:stretch>
          <a:fillRect/>
        </a:stretch>
      </xdr:blipFill>
      <xdr:spPr>
        <a:xfrm>
          <a:off x="8802370" y="60965715"/>
          <a:ext cx="432435" cy="40957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231322</xdr:colOff>
      <xdr:row>113</xdr:row>
      <xdr:rowOff>108857</xdr:rowOff>
    </xdr:from>
    <xdr:to>
      <xdr:col>18</xdr:col>
      <xdr:colOff>640897</xdr:colOff>
      <xdr:row>113</xdr:row>
      <xdr:rowOff>461282</xdr:rowOff>
    </xdr:to>
    <xdr:pic>
      <xdr:nvPicPr>
        <xdr:cNvPr id="168" name="Picture 13594"/>
        <xdr:cNvPicPr>
          <a:picLocks noChangeAspect="1" noChangeArrowheads="1"/>
        </xdr:cNvPicPr>
      </xdr:nvPicPr>
      <xdr:blipFill>
        <a:blip r:embed="rId99" cstate="print"/>
        <a:srcRect/>
        <a:stretch>
          <a:fillRect/>
        </a:stretch>
      </xdr:blipFill>
      <xdr:spPr>
        <a:xfrm rot="461003">
          <a:off x="8870315" y="62748160"/>
          <a:ext cx="409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178858</xdr:colOff>
      <xdr:row>114</xdr:row>
      <xdr:rowOff>208493</xdr:rowOff>
    </xdr:from>
    <xdr:to>
      <xdr:col>18</xdr:col>
      <xdr:colOff>578908</xdr:colOff>
      <xdr:row>114</xdr:row>
      <xdr:rowOff>456143</xdr:rowOff>
    </xdr:to>
    <xdr:pic>
      <xdr:nvPicPr>
        <xdr:cNvPr id="169" name="Picture 13597"/>
        <xdr:cNvPicPr>
          <a:picLocks noChangeAspect="1" noChangeArrowheads="1"/>
        </xdr:cNvPicPr>
      </xdr:nvPicPr>
      <xdr:blipFill>
        <a:blip r:embed="rId90" cstate="print"/>
        <a:srcRect/>
        <a:stretch>
          <a:fillRect/>
        </a:stretch>
      </xdr:blipFill>
      <xdr:spPr>
        <a:xfrm rot="461003">
          <a:off x="8817610" y="63419355"/>
          <a:ext cx="4000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176893</xdr:colOff>
      <xdr:row>115</xdr:row>
      <xdr:rowOff>108857</xdr:rowOff>
    </xdr:from>
    <xdr:to>
      <xdr:col>18</xdr:col>
      <xdr:colOff>595993</xdr:colOff>
      <xdr:row>115</xdr:row>
      <xdr:rowOff>480332</xdr:rowOff>
    </xdr:to>
    <xdr:pic>
      <xdr:nvPicPr>
        <xdr:cNvPr id="170" name="Picture 10883"/>
        <xdr:cNvPicPr>
          <a:picLocks noChangeAspect="1" noChangeArrowheads="1"/>
        </xdr:cNvPicPr>
      </xdr:nvPicPr>
      <xdr:blipFill>
        <a:blip r:embed="rId91" cstate="print"/>
        <a:srcRect/>
        <a:stretch>
          <a:fillRect/>
        </a:stretch>
      </xdr:blipFill>
      <xdr:spPr>
        <a:xfrm rot="461003">
          <a:off x="8815705" y="63891160"/>
          <a:ext cx="419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285750</xdr:colOff>
      <xdr:row>117</xdr:row>
      <xdr:rowOff>176894</xdr:rowOff>
    </xdr:from>
    <xdr:to>
      <xdr:col>18</xdr:col>
      <xdr:colOff>685800</xdr:colOff>
      <xdr:row>117</xdr:row>
      <xdr:rowOff>443594</xdr:rowOff>
    </xdr:to>
    <xdr:pic>
      <xdr:nvPicPr>
        <xdr:cNvPr id="171" name="Picture 13598"/>
        <xdr:cNvPicPr>
          <a:picLocks noChangeAspect="1" noChangeArrowheads="1"/>
        </xdr:cNvPicPr>
      </xdr:nvPicPr>
      <xdr:blipFill>
        <a:blip r:embed="rId94" cstate="print"/>
        <a:srcRect/>
        <a:stretch>
          <a:fillRect/>
        </a:stretch>
      </xdr:blipFill>
      <xdr:spPr>
        <a:xfrm rot="461003">
          <a:off x="8924925" y="65037970"/>
          <a:ext cx="4000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123265</xdr:colOff>
      <xdr:row>118</xdr:row>
      <xdr:rowOff>96850</xdr:rowOff>
    </xdr:from>
    <xdr:to>
      <xdr:col>18</xdr:col>
      <xdr:colOff>618565</xdr:colOff>
      <xdr:row>118</xdr:row>
      <xdr:rowOff>382600</xdr:rowOff>
    </xdr:to>
    <xdr:pic>
      <xdr:nvPicPr>
        <xdr:cNvPr id="140" name="Picture 8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62365" y="65529460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189939</xdr:colOff>
      <xdr:row>119</xdr:row>
      <xdr:rowOff>176972</xdr:rowOff>
    </xdr:from>
    <xdr:to>
      <xdr:col>18</xdr:col>
      <xdr:colOff>428064</xdr:colOff>
      <xdr:row>119</xdr:row>
      <xdr:rowOff>424622</xdr:rowOff>
    </xdr:to>
    <xdr:pic>
      <xdr:nvPicPr>
        <xdr:cNvPr id="141" name="Picture 122" descr="rId420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829040" y="6618097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154641</xdr:colOff>
      <xdr:row>120</xdr:row>
      <xdr:rowOff>211149</xdr:rowOff>
    </xdr:from>
    <xdr:to>
      <xdr:col>18</xdr:col>
      <xdr:colOff>421341</xdr:colOff>
      <xdr:row>120</xdr:row>
      <xdr:rowOff>430224</xdr:rowOff>
    </xdr:to>
    <xdr:pic>
      <xdr:nvPicPr>
        <xdr:cNvPr id="142" name="Picture 27537" descr="rId421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793480" y="66786760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153035</xdr:colOff>
      <xdr:row>121</xdr:row>
      <xdr:rowOff>74295</xdr:rowOff>
    </xdr:from>
    <xdr:to>
      <xdr:col>18</xdr:col>
      <xdr:colOff>538480</xdr:colOff>
      <xdr:row>121</xdr:row>
      <xdr:rowOff>457200</xdr:rowOff>
    </xdr:to>
    <xdr:pic>
      <xdr:nvPicPr>
        <xdr:cNvPr id="144" name="图片 143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2210" y="67221735"/>
          <a:ext cx="38544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128905</xdr:colOff>
      <xdr:row>124</xdr:row>
      <xdr:rowOff>30480</xdr:rowOff>
    </xdr:from>
    <xdr:to>
      <xdr:col>18</xdr:col>
      <xdr:colOff>613410</xdr:colOff>
      <xdr:row>124</xdr:row>
      <xdr:rowOff>544195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8080" y="68892420"/>
          <a:ext cx="484505" cy="513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121285</xdr:colOff>
      <xdr:row>123</xdr:row>
      <xdr:rowOff>54610</xdr:rowOff>
    </xdr:from>
    <xdr:to>
      <xdr:col>18</xdr:col>
      <xdr:colOff>676937</xdr:colOff>
      <xdr:row>123</xdr:row>
      <xdr:rowOff>476431</xdr:rowOff>
    </xdr:to>
    <xdr:pic>
      <xdr:nvPicPr>
        <xdr:cNvPr id="146" name="图片 145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0460" y="68345050"/>
          <a:ext cx="55562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176893</xdr:colOff>
      <xdr:row>126</xdr:row>
      <xdr:rowOff>136071</xdr:rowOff>
    </xdr:from>
    <xdr:to>
      <xdr:col>18</xdr:col>
      <xdr:colOff>732545</xdr:colOff>
      <xdr:row>126</xdr:row>
      <xdr:rowOff>489857</xdr:rowOff>
    </xdr:to>
    <xdr:pic>
      <xdr:nvPicPr>
        <xdr:cNvPr id="174" name="图片 173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15705" y="70140830"/>
          <a:ext cx="555625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40821</xdr:colOff>
      <xdr:row>65</xdr:row>
      <xdr:rowOff>95250</xdr:rowOff>
    </xdr:from>
    <xdr:to>
      <xdr:col>18</xdr:col>
      <xdr:colOff>708364</xdr:colOff>
      <xdr:row>65</xdr:row>
      <xdr:rowOff>402166</xdr:rowOff>
    </xdr:to>
    <xdr:pic>
      <xdr:nvPicPr>
        <xdr:cNvPr id="175" name="图片 174"/>
        <xdr:cNvPicPr>
          <a:picLocks noChangeAspect="1"/>
        </xdr:cNvPicPr>
      </xdr:nvPicPr>
      <xdr:blipFill>
        <a:blip r:embed="rId75" cstate="print"/>
        <a:stretch>
          <a:fillRect/>
        </a:stretch>
      </xdr:blipFill>
      <xdr:spPr>
        <a:xfrm>
          <a:off x="8679815" y="35302825"/>
          <a:ext cx="667385" cy="306705"/>
        </a:xfrm>
        <a:prstGeom prst="rect">
          <a:avLst/>
        </a:prstGeom>
      </xdr:spPr>
    </xdr:pic>
    <xdr:clientData/>
  </xdr:twoCellAnchor>
  <xdr:twoCellAnchor>
    <xdr:from>
      <xdr:col>18</xdr:col>
      <xdr:colOff>149679</xdr:colOff>
      <xdr:row>66</xdr:row>
      <xdr:rowOff>54428</xdr:rowOff>
    </xdr:from>
    <xdr:to>
      <xdr:col>18</xdr:col>
      <xdr:colOff>635544</xdr:colOff>
      <xdr:row>66</xdr:row>
      <xdr:rowOff>464522</xdr:rowOff>
    </xdr:to>
    <xdr:pic>
      <xdr:nvPicPr>
        <xdr:cNvPr id="176" name="图片 175"/>
        <xdr:cNvPicPr>
          <a:picLocks noChangeAspect="1"/>
        </xdr:cNvPicPr>
      </xdr:nvPicPr>
      <xdr:blipFill>
        <a:blip r:embed="rId76" cstate="print"/>
        <a:stretch>
          <a:fillRect/>
        </a:stretch>
      </xdr:blipFill>
      <xdr:spPr>
        <a:xfrm>
          <a:off x="8788400" y="35833050"/>
          <a:ext cx="485775" cy="410210"/>
        </a:xfrm>
        <a:prstGeom prst="rect">
          <a:avLst/>
        </a:prstGeom>
      </xdr:spPr>
    </xdr:pic>
    <xdr:clientData/>
  </xdr:twoCellAnchor>
  <xdr:twoCellAnchor>
    <xdr:from>
      <xdr:col>18</xdr:col>
      <xdr:colOff>353786</xdr:colOff>
      <xdr:row>59</xdr:row>
      <xdr:rowOff>95250</xdr:rowOff>
    </xdr:from>
    <xdr:to>
      <xdr:col>18</xdr:col>
      <xdr:colOff>516832</xdr:colOff>
      <xdr:row>59</xdr:row>
      <xdr:rowOff>476251</xdr:rowOff>
    </xdr:to>
    <xdr:pic>
      <xdr:nvPicPr>
        <xdr:cNvPr id="10" name="图片 9"/>
        <xdr:cNvPicPr>
          <a:picLocks noChangeAspect="1"/>
        </xdr:cNvPicPr>
      </xdr:nvPicPr>
      <xdr:blipFill>
        <a:blip r:embed="rId101" cstate="print"/>
        <a:stretch>
          <a:fillRect/>
        </a:stretch>
      </xdr:blipFill>
      <xdr:spPr>
        <a:xfrm>
          <a:off x="8992870" y="31873825"/>
          <a:ext cx="162560" cy="381000"/>
        </a:xfrm>
        <a:prstGeom prst="rect">
          <a:avLst/>
        </a:prstGeom>
      </xdr:spPr>
    </xdr:pic>
    <xdr:clientData/>
  </xdr:twoCellAnchor>
  <xdr:twoCellAnchor>
    <xdr:from>
      <xdr:col>18</xdr:col>
      <xdr:colOff>68036</xdr:colOff>
      <xdr:row>64</xdr:row>
      <xdr:rowOff>27215</xdr:rowOff>
    </xdr:from>
    <xdr:to>
      <xdr:col>18</xdr:col>
      <xdr:colOff>745368</xdr:colOff>
      <xdr:row>64</xdr:row>
      <xdr:rowOff>481742</xdr:rowOff>
    </xdr:to>
    <xdr:pic>
      <xdr:nvPicPr>
        <xdr:cNvPr id="177" name="图片 176"/>
        <xdr:cNvPicPr>
          <a:picLocks noChangeAspect="1"/>
        </xdr:cNvPicPr>
      </xdr:nvPicPr>
      <xdr:blipFill>
        <a:blip r:embed="rId102" cstate="print"/>
        <a:stretch>
          <a:fillRect/>
        </a:stretch>
      </xdr:blipFill>
      <xdr:spPr>
        <a:xfrm>
          <a:off x="8707120" y="34662745"/>
          <a:ext cx="676910" cy="454660"/>
        </a:xfrm>
        <a:prstGeom prst="rect">
          <a:avLst/>
        </a:prstGeom>
      </xdr:spPr>
    </xdr:pic>
    <xdr:clientData/>
  </xdr:twoCellAnchor>
  <xdr:twoCellAnchor>
    <xdr:from>
      <xdr:col>18</xdr:col>
      <xdr:colOff>136071</xdr:colOff>
      <xdr:row>137</xdr:row>
      <xdr:rowOff>14523</xdr:rowOff>
    </xdr:from>
    <xdr:to>
      <xdr:col>18</xdr:col>
      <xdr:colOff>517071</xdr:colOff>
      <xdr:row>137</xdr:row>
      <xdr:rowOff>488686</xdr:rowOff>
    </xdr:to>
    <xdr:pic>
      <xdr:nvPicPr>
        <xdr:cNvPr id="12" name="图片 11"/>
        <xdr:cNvPicPr>
          <a:picLocks noChangeAspect="1"/>
        </xdr:cNvPicPr>
      </xdr:nvPicPr>
      <xdr:blipFill>
        <a:blip r:embed="rId103" cstate="print"/>
        <a:stretch>
          <a:fillRect/>
        </a:stretch>
      </xdr:blipFill>
      <xdr:spPr>
        <a:xfrm>
          <a:off x="8775065" y="76305410"/>
          <a:ext cx="381000" cy="474345"/>
        </a:xfrm>
        <a:prstGeom prst="rect">
          <a:avLst/>
        </a:prstGeom>
      </xdr:spPr>
    </xdr:pic>
    <xdr:clientData/>
  </xdr:twoCellAnchor>
  <xdr:twoCellAnchor>
    <xdr:from>
      <xdr:col>18</xdr:col>
      <xdr:colOff>190500</xdr:colOff>
      <xdr:row>138</xdr:row>
      <xdr:rowOff>95959</xdr:rowOff>
    </xdr:from>
    <xdr:to>
      <xdr:col>18</xdr:col>
      <xdr:colOff>607440</xdr:colOff>
      <xdr:row>138</xdr:row>
      <xdr:rowOff>432121</xdr:rowOff>
    </xdr:to>
    <xdr:pic>
      <xdr:nvPicPr>
        <xdr:cNvPr id="14" name="图片 13"/>
        <xdr:cNvPicPr>
          <a:picLocks noChangeAspect="1"/>
        </xdr:cNvPicPr>
      </xdr:nvPicPr>
      <xdr:blipFill>
        <a:blip r:embed="rId104" cstate="print"/>
        <a:stretch>
          <a:fillRect/>
        </a:stretch>
      </xdr:blipFill>
      <xdr:spPr>
        <a:xfrm>
          <a:off x="8829675" y="76958825"/>
          <a:ext cx="416560" cy="335915"/>
        </a:xfrm>
        <a:prstGeom prst="rect">
          <a:avLst/>
        </a:prstGeom>
      </xdr:spPr>
    </xdr:pic>
    <xdr:clientData/>
  </xdr:twoCellAnchor>
  <xdr:twoCellAnchor>
    <xdr:from>
      <xdr:col>18</xdr:col>
      <xdr:colOff>272142</xdr:colOff>
      <xdr:row>139</xdr:row>
      <xdr:rowOff>62704</xdr:rowOff>
    </xdr:from>
    <xdr:to>
      <xdr:col>18</xdr:col>
      <xdr:colOff>611738</xdr:colOff>
      <xdr:row>139</xdr:row>
      <xdr:rowOff>461903</xdr:rowOff>
    </xdr:to>
    <xdr:pic>
      <xdr:nvPicPr>
        <xdr:cNvPr id="16" name="图片 15"/>
        <xdr:cNvPicPr>
          <a:picLocks noChangeAspect="1"/>
        </xdr:cNvPicPr>
      </xdr:nvPicPr>
      <xdr:blipFill>
        <a:blip r:embed="rId105" cstate="print"/>
        <a:stretch>
          <a:fillRect/>
        </a:stretch>
      </xdr:blipFill>
      <xdr:spPr>
        <a:xfrm>
          <a:off x="8910955" y="77496670"/>
          <a:ext cx="339725" cy="399415"/>
        </a:xfrm>
        <a:prstGeom prst="rect">
          <a:avLst/>
        </a:prstGeom>
      </xdr:spPr>
    </xdr:pic>
    <xdr:clientData/>
  </xdr:twoCellAnchor>
  <xdr:twoCellAnchor>
    <xdr:from>
      <xdr:col>18</xdr:col>
      <xdr:colOff>86167</xdr:colOff>
      <xdr:row>140</xdr:row>
      <xdr:rowOff>143122</xdr:rowOff>
    </xdr:from>
    <xdr:to>
      <xdr:col>18</xdr:col>
      <xdr:colOff>670657</xdr:colOff>
      <xdr:row>140</xdr:row>
      <xdr:rowOff>476251</xdr:rowOff>
    </xdr:to>
    <xdr:pic>
      <xdr:nvPicPr>
        <xdr:cNvPr id="18" name="图片 17"/>
        <xdr:cNvPicPr>
          <a:picLocks noChangeAspect="1"/>
        </xdr:cNvPicPr>
      </xdr:nvPicPr>
      <xdr:blipFill>
        <a:blip r:embed="rId106" cstate="print"/>
        <a:stretch>
          <a:fillRect/>
        </a:stretch>
      </xdr:blipFill>
      <xdr:spPr>
        <a:xfrm flipH="1">
          <a:off x="8724900" y="78148815"/>
          <a:ext cx="584835" cy="333375"/>
        </a:xfrm>
        <a:prstGeom prst="rect">
          <a:avLst/>
        </a:prstGeom>
      </xdr:spPr>
    </xdr:pic>
    <xdr:clientData/>
  </xdr:twoCellAnchor>
  <xdr:twoCellAnchor>
    <xdr:from>
      <xdr:col>18</xdr:col>
      <xdr:colOff>149679</xdr:colOff>
      <xdr:row>23</xdr:row>
      <xdr:rowOff>81643</xdr:rowOff>
    </xdr:from>
    <xdr:to>
      <xdr:col>18</xdr:col>
      <xdr:colOff>602797</xdr:colOff>
      <xdr:row>23</xdr:row>
      <xdr:rowOff>594952</xdr:rowOff>
    </xdr:to>
    <xdr:pic>
      <xdr:nvPicPr>
        <xdr:cNvPr id="200" name="图片 199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8400" y="11285855"/>
          <a:ext cx="453390" cy="490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25</xdr:row>
      <xdr:rowOff>54428</xdr:rowOff>
    </xdr:from>
    <xdr:to>
      <xdr:col>18</xdr:col>
      <xdr:colOff>643618</xdr:colOff>
      <xdr:row>25</xdr:row>
      <xdr:rowOff>548687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9675" y="12401550"/>
          <a:ext cx="452755" cy="494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108857</xdr:colOff>
      <xdr:row>36</xdr:row>
      <xdr:rowOff>95250</xdr:rowOff>
    </xdr:from>
    <xdr:to>
      <xdr:col>19</xdr:col>
      <xdr:colOff>0</xdr:colOff>
      <xdr:row>36</xdr:row>
      <xdr:rowOff>517072</xdr:rowOff>
    </xdr:to>
    <xdr:pic>
      <xdr:nvPicPr>
        <xdr:cNvPr id="163" name="图片 16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47760" y="18729325"/>
          <a:ext cx="69151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231321</xdr:colOff>
      <xdr:row>42</xdr:row>
      <xdr:rowOff>176893</xdr:rowOff>
    </xdr:from>
    <xdr:to>
      <xdr:col>18</xdr:col>
      <xdr:colOff>702128</xdr:colOff>
      <xdr:row>42</xdr:row>
      <xdr:rowOff>500298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0315" y="22239605"/>
          <a:ext cx="470535" cy="32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152400</xdr:colOff>
      <xdr:row>116</xdr:row>
      <xdr:rowOff>57150</xdr:rowOff>
    </xdr:from>
    <xdr:to>
      <xdr:col>18</xdr:col>
      <xdr:colOff>419100</xdr:colOff>
      <xdr:row>116</xdr:row>
      <xdr:rowOff>257175</xdr:rowOff>
    </xdr:to>
    <xdr:pic>
      <xdr:nvPicPr>
        <xdr:cNvPr id="172" name="Picture 1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1575" y="64411225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</xdr:colOff>
      <xdr:row>87</xdr:row>
      <xdr:rowOff>91440</xdr:rowOff>
    </xdr:from>
    <xdr:to>
      <xdr:col>18</xdr:col>
      <xdr:colOff>679450</xdr:colOff>
      <xdr:row>87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 flipH="1">
          <a:off x="8650605" y="47872015"/>
          <a:ext cx="66802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104775</xdr:colOff>
      <xdr:row>88</xdr:row>
      <xdr:rowOff>147955</xdr:rowOff>
    </xdr:from>
    <xdr:to>
      <xdr:col>18</xdr:col>
      <xdr:colOff>739775</xdr:colOff>
      <xdr:row>88</xdr:row>
      <xdr:rowOff>457835</xdr:rowOff>
    </xdr:to>
    <xdr:pic>
      <xdr:nvPicPr>
        <xdr:cNvPr id="13" name="图片 12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 flipH="1">
          <a:off x="8743950" y="48500030"/>
          <a:ext cx="635000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132715</xdr:colOff>
      <xdr:row>148</xdr:row>
      <xdr:rowOff>63500</xdr:rowOff>
    </xdr:from>
    <xdr:to>
      <xdr:col>18</xdr:col>
      <xdr:colOff>738505</xdr:colOff>
      <xdr:row>148</xdr:row>
      <xdr:rowOff>570230</xdr:rowOff>
    </xdr:to>
    <xdr:pic>
      <xdr:nvPicPr>
        <xdr:cNvPr id="15" name="图片 14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8771890" y="82641440"/>
          <a:ext cx="605790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108857</xdr:colOff>
      <xdr:row>73</xdr:row>
      <xdr:rowOff>95250</xdr:rowOff>
    </xdr:from>
    <xdr:to>
      <xdr:col>18</xdr:col>
      <xdr:colOff>633949</xdr:colOff>
      <xdr:row>73</xdr:row>
      <xdr:rowOff>433915</xdr:rowOff>
    </xdr:to>
    <xdr:pic>
      <xdr:nvPicPr>
        <xdr:cNvPr id="17" name="图片 16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747760" y="39874825"/>
          <a:ext cx="525145" cy="338455"/>
        </a:xfrm>
        <a:prstGeom prst="rect">
          <a:avLst/>
        </a:prstGeom>
      </xdr:spPr>
    </xdr:pic>
    <xdr:clientData/>
  </xdr:twoCellAnchor>
  <xdr:twoCellAnchor editAs="oneCell">
    <xdr:from>
      <xdr:col>18</xdr:col>
      <xdr:colOff>147955</xdr:colOff>
      <xdr:row>152</xdr:row>
      <xdr:rowOff>75565</xdr:rowOff>
    </xdr:from>
    <xdr:to>
      <xdr:col>18</xdr:col>
      <xdr:colOff>634365</xdr:colOff>
      <xdr:row>152</xdr:row>
      <xdr:rowOff>508000</xdr:rowOff>
    </xdr:to>
    <xdr:pic>
      <xdr:nvPicPr>
        <xdr:cNvPr id="21" name="图片 20" descr="09eed6752ac2a15ac42d4ebf7d9756d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8787130" y="84939505"/>
          <a:ext cx="486410" cy="432435"/>
        </a:xfrm>
        <a:prstGeom prst="rect">
          <a:avLst/>
        </a:prstGeom>
      </xdr:spPr>
    </xdr:pic>
    <xdr:clientData/>
  </xdr:twoCellAnchor>
  <xdr:twoCellAnchor>
    <xdr:from>
      <xdr:col>18</xdr:col>
      <xdr:colOff>271145</xdr:colOff>
      <xdr:row>10</xdr:row>
      <xdr:rowOff>47625</xdr:rowOff>
    </xdr:from>
    <xdr:to>
      <xdr:col>18</xdr:col>
      <xdr:colOff>624840</xdr:colOff>
      <xdr:row>10</xdr:row>
      <xdr:rowOff>519430</xdr:rowOff>
    </xdr:to>
    <xdr:pic>
      <xdr:nvPicPr>
        <xdr:cNvPr id="19" name="图片 18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8910320" y="3681730"/>
          <a:ext cx="353695" cy="471805"/>
        </a:xfrm>
        <a:prstGeom prst="rect">
          <a:avLst/>
        </a:prstGeom>
      </xdr:spPr>
    </xdr:pic>
    <xdr:clientData/>
  </xdr:twoCellAnchor>
  <xdr:twoCellAnchor>
    <xdr:from>
      <xdr:col>18</xdr:col>
      <xdr:colOff>140335</xdr:colOff>
      <xdr:row>13</xdr:row>
      <xdr:rowOff>83185</xdr:rowOff>
    </xdr:from>
    <xdr:to>
      <xdr:col>18</xdr:col>
      <xdr:colOff>506095</xdr:colOff>
      <xdr:row>13</xdr:row>
      <xdr:rowOff>530860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9510" y="5431790"/>
          <a:ext cx="36576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68580</xdr:colOff>
      <xdr:row>35</xdr:row>
      <xdr:rowOff>107315</xdr:rowOff>
    </xdr:from>
    <xdr:to>
      <xdr:col>18</xdr:col>
      <xdr:colOff>760095</xdr:colOff>
      <xdr:row>35</xdr:row>
      <xdr:rowOff>528955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7755" y="18169890"/>
          <a:ext cx="69151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200660</xdr:colOff>
      <xdr:row>122</xdr:row>
      <xdr:rowOff>45720</xdr:rowOff>
    </xdr:from>
    <xdr:to>
      <xdr:col>18</xdr:col>
      <xdr:colOff>600710</xdr:colOff>
      <xdr:row>122</xdr:row>
      <xdr:rowOff>496570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835" y="67764660"/>
          <a:ext cx="40005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128905</xdr:colOff>
      <xdr:row>125</xdr:row>
      <xdr:rowOff>30480</xdr:rowOff>
    </xdr:from>
    <xdr:to>
      <xdr:col>18</xdr:col>
      <xdr:colOff>613410</xdr:colOff>
      <xdr:row>125</xdr:row>
      <xdr:rowOff>544195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8080" y="69463920"/>
          <a:ext cx="484505" cy="513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81915</xdr:colOff>
      <xdr:row>178</xdr:row>
      <xdr:rowOff>215900</xdr:rowOff>
    </xdr:from>
    <xdr:to>
      <xdr:col>18</xdr:col>
      <xdr:colOff>642620</xdr:colOff>
      <xdr:row>178</xdr:row>
      <xdr:rowOff>367030</xdr:rowOff>
    </xdr:to>
    <xdr:pic>
      <xdr:nvPicPr>
        <xdr:cNvPr id="26" name="图片 25"/>
        <xdr:cNvPicPr>
          <a:picLocks noChangeAspect="1"/>
        </xdr:cNvPicPr>
      </xdr:nvPicPr>
      <xdr:blipFill>
        <a:blip r:embed="rId115" r:link="rId116"/>
        <a:stretch>
          <a:fillRect/>
        </a:stretch>
      </xdr:blipFill>
      <xdr:spPr>
        <a:xfrm>
          <a:off x="8721090" y="99938840"/>
          <a:ext cx="560705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92710</xdr:colOff>
      <xdr:row>170</xdr:row>
      <xdr:rowOff>142875</xdr:rowOff>
    </xdr:from>
    <xdr:to>
      <xdr:col>18</xdr:col>
      <xdr:colOff>537845</xdr:colOff>
      <xdr:row>170</xdr:row>
      <xdr:rowOff>525780</xdr:rowOff>
    </xdr:to>
    <xdr:pic>
      <xdr:nvPicPr>
        <xdr:cNvPr id="27" name="图片 26" descr="5b0473271abed7dc0427e693d986736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8731885" y="95293815"/>
          <a:ext cx="445135" cy="382905"/>
        </a:xfrm>
        <a:prstGeom prst="rect">
          <a:avLst/>
        </a:prstGeom>
      </xdr:spPr>
    </xdr:pic>
    <xdr:clientData/>
  </xdr:twoCellAnchor>
  <xdr:twoCellAnchor editAs="oneCell">
    <xdr:from>
      <xdr:col>18</xdr:col>
      <xdr:colOff>56515</xdr:colOff>
      <xdr:row>169</xdr:row>
      <xdr:rowOff>106680</xdr:rowOff>
    </xdr:from>
    <xdr:to>
      <xdr:col>18</xdr:col>
      <xdr:colOff>499745</xdr:colOff>
      <xdr:row>169</xdr:row>
      <xdr:rowOff>447040</xdr:rowOff>
    </xdr:to>
    <xdr:pic>
      <xdr:nvPicPr>
        <xdr:cNvPr id="29" name="图片 28" descr="d3cdce7d3a86c3a3c7e85c7f56b9eec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8695690" y="94686120"/>
          <a:ext cx="443230" cy="340360"/>
        </a:xfrm>
        <a:prstGeom prst="rect">
          <a:avLst/>
        </a:prstGeom>
      </xdr:spPr>
    </xdr:pic>
    <xdr:clientData/>
  </xdr:twoCellAnchor>
  <xdr:twoCellAnchor>
    <xdr:from>
      <xdr:col>18</xdr:col>
      <xdr:colOff>68580</xdr:colOff>
      <xdr:row>166</xdr:row>
      <xdr:rowOff>95250</xdr:rowOff>
    </xdr:from>
    <xdr:to>
      <xdr:col>18</xdr:col>
      <xdr:colOff>683895</xdr:colOff>
      <xdr:row>166</xdr:row>
      <xdr:rowOff>527050</xdr:rowOff>
    </xdr:to>
    <xdr:pic>
      <xdr:nvPicPr>
        <xdr:cNvPr id="30" name="图片 29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707755" y="92960190"/>
          <a:ext cx="615315" cy="431800"/>
        </a:xfrm>
        <a:prstGeom prst="rect">
          <a:avLst/>
        </a:prstGeom>
      </xdr:spPr>
    </xdr:pic>
    <xdr:clientData/>
  </xdr:twoCellAnchor>
  <xdr:twoCellAnchor>
    <xdr:from>
      <xdr:col>18</xdr:col>
      <xdr:colOff>56515</xdr:colOff>
      <xdr:row>167</xdr:row>
      <xdr:rowOff>59055</xdr:rowOff>
    </xdr:from>
    <xdr:to>
      <xdr:col>18</xdr:col>
      <xdr:colOff>671195</xdr:colOff>
      <xdr:row>167</xdr:row>
      <xdr:rowOff>480060</xdr:rowOff>
    </xdr:to>
    <xdr:pic>
      <xdr:nvPicPr>
        <xdr:cNvPr id="31" name="图片 30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695690" y="93495495"/>
          <a:ext cx="614680" cy="421005"/>
        </a:xfrm>
        <a:prstGeom prst="rect">
          <a:avLst/>
        </a:prstGeom>
      </xdr:spPr>
    </xdr:pic>
    <xdr:clientData/>
  </xdr:twoCellAnchor>
  <xdr:twoCellAnchor>
    <xdr:from>
      <xdr:col>18</xdr:col>
      <xdr:colOff>235585</xdr:colOff>
      <xdr:row>165</xdr:row>
      <xdr:rowOff>167005</xdr:rowOff>
    </xdr:from>
    <xdr:to>
      <xdr:col>18</xdr:col>
      <xdr:colOff>379730</xdr:colOff>
      <xdr:row>165</xdr:row>
      <xdr:rowOff>419100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4760" y="9246044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200025</xdr:colOff>
      <xdr:row>82</xdr:row>
      <xdr:rowOff>119380</xdr:rowOff>
    </xdr:from>
    <xdr:to>
      <xdr:col>18</xdr:col>
      <xdr:colOff>464820</xdr:colOff>
      <xdr:row>82</xdr:row>
      <xdr:rowOff>354965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4504245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200025</xdr:colOff>
      <xdr:row>143</xdr:row>
      <xdr:rowOff>119380</xdr:rowOff>
    </xdr:from>
    <xdr:to>
      <xdr:col>18</xdr:col>
      <xdr:colOff>464820</xdr:colOff>
      <xdr:row>143</xdr:row>
      <xdr:rowOff>354965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79839820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137795</xdr:colOff>
      <xdr:row>50</xdr:row>
      <xdr:rowOff>91440</xdr:rowOff>
    </xdr:from>
    <xdr:to>
      <xdr:col>18</xdr:col>
      <xdr:colOff>593725</xdr:colOff>
      <xdr:row>50</xdr:row>
      <xdr:rowOff>481330</xdr:rowOff>
    </xdr:to>
    <xdr:pic>
      <xdr:nvPicPr>
        <xdr:cNvPr id="33" name="图片 32" descr="94f2d778571531905cb57ce7aeb3126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8776970" y="26726515"/>
          <a:ext cx="455930" cy="389890"/>
        </a:xfrm>
        <a:prstGeom prst="rect">
          <a:avLst/>
        </a:prstGeom>
      </xdr:spPr>
    </xdr:pic>
    <xdr:clientData/>
  </xdr:twoCellAnchor>
  <xdr:twoCellAnchor>
    <xdr:from>
      <xdr:col>18</xdr:col>
      <xdr:colOff>133350</xdr:colOff>
      <xdr:row>38</xdr:row>
      <xdr:rowOff>125095</xdr:rowOff>
    </xdr:from>
    <xdr:to>
      <xdr:col>18</xdr:col>
      <xdr:colOff>559435</xdr:colOff>
      <xdr:row>38</xdr:row>
      <xdr:rowOff>525145</xdr:rowOff>
    </xdr:to>
    <xdr:pic>
      <xdr:nvPicPr>
        <xdr:cNvPr id="37" name="图片 36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8772525" y="19902170"/>
          <a:ext cx="426085" cy="400050"/>
        </a:xfrm>
        <a:prstGeom prst="rect">
          <a:avLst/>
        </a:prstGeom>
      </xdr:spPr>
    </xdr:pic>
    <xdr:clientData/>
  </xdr:twoCellAnchor>
  <xdr:twoCellAnchor>
    <xdr:from>
      <xdr:col>18</xdr:col>
      <xdr:colOff>108857</xdr:colOff>
      <xdr:row>72</xdr:row>
      <xdr:rowOff>95250</xdr:rowOff>
    </xdr:from>
    <xdr:to>
      <xdr:col>18</xdr:col>
      <xdr:colOff>633949</xdr:colOff>
      <xdr:row>72</xdr:row>
      <xdr:rowOff>433915</xdr:rowOff>
    </xdr:to>
    <xdr:pic>
      <xdr:nvPicPr>
        <xdr:cNvPr id="38" name="图片 37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747760" y="39303325"/>
          <a:ext cx="525145" cy="338455"/>
        </a:xfrm>
        <a:prstGeom prst="rect">
          <a:avLst/>
        </a:prstGeom>
      </xdr:spPr>
    </xdr:pic>
    <xdr:clientData/>
  </xdr:twoCellAnchor>
  <xdr:twoCellAnchor>
    <xdr:from>
      <xdr:col>18</xdr:col>
      <xdr:colOff>40821</xdr:colOff>
      <xdr:row>68</xdr:row>
      <xdr:rowOff>13608</xdr:rowOff>
    </xdr:from>
    <xdr:to>
      <xdr:col>18</xdr:col>
      <xdr:colOff>772357</xdr:colOff>
      <xdr:row>68</xdr:row>
      <xdr:rowOff>381344</xdr:rowOff>
    </xdr:to>
    <xdr:pic>
      <xdr:nvPicPr>
        <xdr:cNvPr id="39" name="图片 38"/>
        <xdr:cNvPicPr>
          <a:picLocks noChangeAspect="1"/>
        </xdr:cNvPicPr>
      </xdr:nvPicPr>
      <xdr:blipFill>
        <a:blip r:embed="rId80" cstate="print"/>
        <a:stretch>
          <a:fillRect/>
        </a:stretch>
      </xdr:blipFill>
      <xdr:spPr>
        <a:xfrm flipV="1">
          <a:off x="8679815" y="36935410"/>
          <a:ext cx="731520" cy="367665"/>
        </a:xfrm>
        <a:prstGeom prst="rect">
          <a:avLst/>
        </a:prstGeom>
      </xdr:spPr>
    </xdr:pic>
    <xdr:clientData/>
  </xdr:twoCellAnchor>
  <xdr:twoCellAnchor>
    <xdr:from>
      <xdr:col>18</xdr:col>
      <xdr:colOff>108857</xdr:colOff>
      <xdr:row>70</xdr:row>
      <xdr:rowOff>40822</xdr:rowOff>
    </xdr:from>
    <xdr:to>
      <xdr:col>18</xdr:col>
      <xdr:colOff>690940</xdr:colOff>
      <xdr:row>70</xdr:row>
      <xdr:rowOff>411849</xdr:rowOff>
    </xdr:to>
    <xdr:pic>
      <xdr:nvPicPr>
        <xdr:cNvPr id="40" name="图片 39"/>
        <xdr:cNvPicPr>
          <a:picLocks noChangeAspect="1"/>
        </xdr:cNvPicPr>
      </xdr:nvPicPr>
      <xdr:blipFill>
        <a:blip r:embed="rId81" cstate="print"/>
        <a:stretch>
          <a:fillRect/>
        </a:stretch>
      </xdr:blipFill>
      <xdr:spPr>
        <a:xfrm flipH="1">
          <a:off x="8747760" y="38105715"/>
          <a:ext cx="582295" cy="370840"/>
        </a:xfrm>
        <a:prstGeom prst="rect">
          <a:avLst/>
        </a:prstGeom>
      </xdr:spPr>
    </xdr:pic>
    <xdr:clientData/>
  </xdr:twoCellAnchor>
  <xdr:twoCellAnchor>
    <xdr:from>
      <xdr:col>18</xdr:col>
      <xdr:colOff>243159</xdr:colOff>
      <xdr:row>100</xdr:row>
      <xdr:rowOff>122465</xdr:rowOff>
    </xdr:from>
    <xdr:to>
      <xdr:col>18</xdr:col>
      <xdr:colOff>598715</xdr:colOff>
      <xdr:row>100</xdr:row>
      <xdr:rowOff>517073</xdr:rowOff>
    </xdr:to>
    <xdr:pic>
      <xdr:nvPicPr>
        <xdr:cNvPr id="167" name="图片 166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8881745" y="55331995"/>
          <a:ext cx="355600" cy="394970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190500</xdr:colOff>
      <xdr:row>37</xdr:row>
      <xdr:rowOff>80088</xdr:rowOff>
    </xdr:from>
    <xdr:to>
      <xdr:col>18</xdr:col>
      <xdr:colOff>571500</xdr:colOff>
      <xdr:row>37</xdr:row>
      <xdr:rowOff>511253</xdr:rowOff>
    </xdr:to>
    <xdr:pic>
      <xdr:nvPicPr>
        <xdr:cNvPr id="41" name="图片 40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8829675" y="19285585"/>
          <a:ext cx="381000" cy="4311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133350</xdr:colOff>
      <xdr:row>35</xdr:row>
      <xdr:rowOff>57150</xdr:rowOff>
    </xdr:from>
    <xdr:to>
      <xdr:col>18</xdr:col>
      <xdr:colOff>428625</xdr:colOff>
      <xdr:row>35</xdr:row>
      <xdr:rowOff>502627</xdr:rowOff>
    </xdr:to>
    <xdr:pic>
      <xdr:nvPicPr>
        <xdr:cNvPr id="2" name="Picture 17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344150" y="15368270"/>
          <a:ext cx="295275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36858</xdr:colOff>
      <xdr:row>36</xdr:row>
      <xdr:rowOff>96079</xdr:rowOff>
    </xdr:from>
    <xdr:to>
      <xdr:col>18</xdr:col>
      <xdr:colOff>571500</xdr:colOff>
      <xdr:row>36</xdr:row>
      <xdr:rowOff>500429</xdr:rowOff>
    </xdr:to>
    <xdr:pic>
      <xdr:nvPicPr>
        <xdr:cNvPr id="3" name="Picture 17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247630" y="15914370"/>
          <a:ext cx="534670" cy="404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</xdr:colOff>
      <xdr:row>40</xdr:row>
      <xdr:rowOff>123825</xdr:rowOff>
    </xdr:from>
    <xdr:to>
      <xdr:col>18</xdr:col>
      <xdr:colOff>571500</xdr:colOff>
      <xdr:row>40</xdr:row>
      <xdr:rowOff>470215</xdr:rowOff>
    </xdr:to>
    <xdr:pic>
      <xdr:nvPicPr>
        <xdr:cNvPr id="5" name="Picture 178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0239375" y="17971770"/>
          <a:ext cx="542925" cy="34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47625</xdr:colOff>
      <xdr:row>19</xdr:row>
      <xdr:rowOff>38100</xdr:rowOff>
    </xdr:from>
    <xdr:to>
      <xdr:col>18</xdr:col>
      <xdr:colOff>561975</xdr:colOff>
      <xdr:row>19</xdr:row>
      <xdr:rowOff>307731</xdr:rowOff>
    </xdr:to>
    <xdr:pic>
      <xdr:nvPicPr>
        <xdr:cNvPr id="11" name="Picture 836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258425" y="7231380"/>
          <a:ext cx="514350" cy="269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152400</xdr:colOff>
      <xdr:row>146</xdr:row>
      <xdr:rowOff>180976</xdr:rowOff>
    </xdr:from>
    <xdr:to>
      <xdr:col>18</xdr:col>
      <xdr:colOff>535641</xdr:colOff>
      <xdr:row>146</xdr:row>
      <xdr:rowOff>447578</xdr:rowOff>
    </xdr:to>
    <xdr:pic>
      <xdr:nvPicPr>
        <xdr:cNvPr id="13" name="Picture 443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0363200" y="72258555"/>
          <a:ext cx="382905" cy="266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135591</xdr:colOff>
      <xdr:row>145</xdr:row>
      <xdr:rowOff>70037</xdr:rowOff>
    </xdr:from>
    <xdr:to>
      <xdr:col>18</xdr:col>
      <xdr:colOff>582706</xdr:colOff>
      <xdr:row>145</xdr:row>
      <xdr:rowOff>474971</xdr:rowOff>
    </xdr:to>
    <xdr:pic>
      <xdr:nvPicPr>
        <xdr:cNvPr id="15" name="Picture 446" descr="hhhd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0346055" y="71640065"/>
          <a:ext cx="447040" cy="404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57150</xdr:colOff>
      <xdr:row>14</xdr:row>
      <xdr:rowOff>8060</xdr:rowOff>
    </xdr:from>
    <xdr:to>
      <xdr:col>18</xdr:col>
      <xdr:colOff>561975</xdr:colOff>
      <xdr:row>14</xdr:row>
      <xdr:rowOff>249116</xdr:rowOff>
    </xdr:to>
    <xdr:pic>
      <xdr:nvPicPr>
        <xdr:cNvPr id="17" name="Picture 232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10267950" y="4664075"/>
          <a:ext cx="504825" cy="24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93345</xdr:colOff>
      <xdr:row>68</xdr:row>
      <xdr:rowOff>28575</xdr:rowOff>
    </xdr:from>
    <xdr:to>
      <xdr:col>18</xdr:col>
      <xdr:colOff>518160</xdr:colOff>
      <xdr:row>68</xdr:row>
      <xdr:rowOff>455295</xdr:rowOff>
    </xdr:to>
    <xdr:pic>
      <xdr:nvPicPr>
        <xdr:cNvPr id="19" name="Picture 258"/>
        <xdr:cNvPicPr>
          <a:picLocks noChangeAspect="1" noChangeArrowheads="1"/>
        </xdr:cNvPicPr>
      </xdr:nvPicPr>
      <xdr:blipFill>
        <a:blip r:embed="rId8" cstate="print"/>
        <a:srcRect t="9066"/>
        <a:stretch>
          <a:fillRect/>
        </a:stretch>
      </xdr:blipFill>
      <xdr:spPr>
        <a:xfrm>
          <a:off x="10304145" y="32082740"/>
          <a:ext cx="424815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142875</xdr:colOff>
      <xdr:row>70</xdr:row>
      <xdr:rowOff>19050</xdr:rowOff>
    </xdr:from>
    <xdr:to>
      <xdr:col>18</xdr:col>
      <xdr:colOff>561975</xdr:colOff>
      <xdr:row>70</xdr:row>
      <xdr:rowOff>457200</xdr:rowOff>
    </xdr:to>
    <xdr:pic>
      <xdr:nvPicPr>
        <xdr:cNvPr id="21" name="Picture 7660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10353675" y="33087945"/>
          <a:ext cx="419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161290</xdr:colOff>
      <xdr:row>71</xdr:row>
      <xdr:rowOff>47625</xdr:rowOff>
    </xdr:from>
    <xdr:to>
      <xdr:col>18</xdr:col>
      <xdr:colOff>551815</xdr:colOff>
      <xdr:row>71</xdr:row>
      <xdr:rowOff>464820</xdr:rowOff>
    </xdr:to>
    <xdr:pic>
      <xdr:nvPicPr>
        <xdr:cNvPr id="22" name="Picture 7661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10372090" y="33623885"/>
          <a:ext cx="390525" cy="417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136525</xdr:colOff>
      <xdr:row>75</xdr:row>
      <xdr:rowOff>146050</xdr:rowOff>
    </xdr:from>
    <xdr:to>
      <xdr:col>18</xdr:col>
      <xdr:colOff>498475</xdr:colOff>
      <xdr:row>75</xdr:row>
      <xdr:rowOff>393700</xdr:rowOff>
    </xdr:to>
    <xdr:pic>
      <xdr:nvPicPr>
        <xdr:cNvPr id="23" name="Picture 7764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10347325" y="35751770"/>
          <a:ext cx="3619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104776</xdr:colOff>
      <xdr:row>76</xdr:row>
      <xdr:rowOff>38101</xdr:rowOff>
    </xdr:from>
    <xdr:to>
      <xdr:col>18</xdr:col>
      <xdr:colOff>542926</xdr:colOff>
      <xdr:row>76</xdr:row>
      <xdr:rowOff>428921</xdr:rowOff>
    </xdr:to>
    <xdr:pic>
      <xdr:nvPicPr>
        <xdr:cNvPr id="24" name="图片 2256" descr="1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10315575" y="36151185"/>
          <a:ext cx="438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85725</xdr:colOff>
      <xdr:row>77</xdr:row>
      <xdr:rowOff>57151</xdr:rowOff>
    </xdr:from>
    <xdr:to>
      <xdr:col>18</xdr:col>
      <xdr:colOff>514350</xdr:colOff>
      <xdr:row>77</xdr:row>
      <xdr:rowOff>439017</xdr:rowOff>
    </xdr:to>
    <xdr:pic>
      <xdr:nvPicPr>
        <xdr:cNvPr id="25" name="图片 2257" descr="1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10296525" y="36677600"/>
          <a:ext cx="428625" cy="381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38100</xdr:colOff>
      <xdr:row>78</xdr:row>
      <xdr:rowOff>66675</xdr:rowOff>
    </xdr:from>
    <xdr:to>
      <xdr:col>18</xdr:col>
      <xdr:colOff>561975</xdr:colOff>
      <xdr:row>79</xdr:row>
      <xdr:rowOff>560</xdr:rowOff>
    </xdr:to>
    <xdr:pic>
      <xdr:nvPicPr>
        <xdr:cNvPr id="26" name="Picture 220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10248900" y="37194490"/>
          <a:ext cx="523875" cy="44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45720</xdr:colOff>
      <xdr:row>80</xdr:row>
      <xdr:rowOff>17780</xdr:rowOff>
    </xdr:from>
    <xdr:to>
      <xdr:col>18</xdr:col>
      <xdr:colOff>607695</xdr:colOff>
      <xdr:row>80</xdr:row>
      <xdr:rowOff>497130</xdr:rowOff>
    </xdr:to>
    <xdr:pic>
      <xdr:nvPicPr>
        <xdr:cNvPr id="27" name="Picture 266" descr="jjh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10256520" y="38160325"/>
          <a:ext cx="561975" cy="478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85725</xdr:colOff>
      <xdr:row>79</xdr:row>
      <xdr:rowOff>95252</xdr:rowOff>
    </xdr:from>
    <xdr:to>
      <xdr:col>18</xdr:col>
      <xdr:colOff>590550</xdr:colOff>
      <xdr:row>79</xdr:row>
      <xdr:rowOff>476606</xdr:rowOff>
    </xdr:to>
    <xdr:pic>
      <xdr:nvPicPr>
        <xdr:cNvPr id="28" name="Picture 301" descr="llhjh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10296525" y="37730430"/>
          <a:ext cx="5048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114300</xdr:colOff>
      <xdr:row>82</xdr:row>
      <xdr:rowOff>9525</xdr:rowOff>
    </xdr:from>
    <xdr:to>
      <xdr:col>18</xdr:col>
      <xdr:colOff>523875</xdr:colOff>
      <xdr:row>82</xdr:row>
      <xdr:rowOff>390525</xdr:rowOff>
    </xdr:to>
    <xdr:pic>
      <xdr:nvPicPr>
        <xdr:cNvPr id="29" name="Picture 329" descr="110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10325100" y="39166800"/>
          <a:ext cx="409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137795</xdr:colOff>
      <xdr:row>83</xdr:row>
      <xdr:rowOff>25400</xdr:rowOff>
    </xdr:from>
    <xdr:to>
      <xdr:col>18</xdr:col>
      <xdr:colOff>528320</xdr:colOff>
      <xdr:row>83</xdr:row>
      <xdr:rowOff>476175</xdr:rowOff>
    </xdr:to>
    <xdr:pic>
      <xdr:nvPicPr>
        <xdr:cNvPr id="30" name="Picture 330" descr="01000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10348595" y="39690040"/>
          <a:ext cx="390525" cy="450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80645</xdr:colOff>
      <xdr:row>81</xdr:row>
      <xdr:rowOff>94615</xdr:rowOff>
    </xdr:from>
    <xdr:to>
      <xdr:col>18</xdr:col>
      <xdr:colOff>614045</xdr:colOff>
      <xdr:row>81</xdr:row>
      <xdr:rowOff>412041</xdr:rowOff>
    </xdr:to>
    <xdr:pic>
      <xdr:nvPicPr>
        <xdr:cNvPr id="31" name="Picture 316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10291445" y="38744525"/>
          <a:ext cx="533400" cy="31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209551</xdr:colOff>
      <xdr:row>84</xdr:row>
      <xdr:rowOff>38100</xdr:rowOff>
    </xdr:from>
    <xdr:to>
      <xdr:col>18</xdr:col>
      <xdr:colOff>460015</xdr:colOff>
      <xdr:row>84</xdr:row>
      <xdr:rowOff>369795</xdr:rowOff>
    </xdr:to>
    <xdr:pic>
      <xdr:nvPicPr>
        <xdr:cNvPr id="32" name="Picture 315" descr="000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10420350" y="40210105"/>
          <a:ext cx="250190" cy="331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180975</xdr:colOff>
      <xdr:row>112</xdr:row>
      <xdr:rowOff>177642</xdr:rowOff>
    </xdr:from>
    <xdr:to>
      <xdr:col>18</xdr:col>
      <xdr:colOff>523875</xdr:colOff>
      <xdr:row>112</xdr:row>
      <xdr:rowOff>390525</xdr:rowOff>
    </xdr:to>
    <xdr:pic>
      <xdr:nvPicPr>
        <xdr:cNvPr id="33" name="Picture 13595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10391775" y="54683660"/>
          <a:ext cx="34290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95250</xdr:colOff>
      <xdr:row>99</xdr:row>
      <xdr:rowOff>0</xdr:rowOff>
    </xdr:from>
    <xdr:to>
      <xdr:col>18</xdr:col>
      <xdr:colOff>638175</xdr:colOff>
      <xdr:row>99</xdr:row>
      <xdr:rowOff>560</xdr:rowOff>
    </xdr:to>
    <xdr:pic>
      <xdr:nvPicPr>
        <xdr:cNvPr id="34" name="Picture 13600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10306050" y="4778248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143046</xdr:colOff>
      <xdr:row>121</xdr:row>
      <xdr:rowOff>79659</xdr:rowOff>
    </xdr:from>
    <xdr:to>
      <xdr:col>18</xdr:col>
      <xdr:colOff>481854</xdr:colOff>
      <xdr:row>121</xdr:row>
      <xdr:rowOff>477271</xdr:rowOff>
    </xdr:to>
    <xdr:pic>
      <xdr:nvPicPr>
        <xdr:cNvPr id="35" name="Picture 13593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 rot="5400000">
          <a:off x="10323830" y="59309635"/>
          <a:ext cx="398145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82412</xdr:colOff>
      <xdr:row>116</xdr:row>
      <xdr:rowOff>34787</xdr:rowOff>
    </xdr:from>
    <xdr:to>
      <xdr:col>18</xdr:col>
      <xdr:colOff>418559</xdr:colOff>
      <xdr:row>116</xdr:row>
      <xdr:rowOff>403412</xdr:rowOff>
    </xdr:to>
    <xdr:pic>
      <xdr:nvPicPr>
        <xdr:cNvPr id="36" name="Picture 13591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10292715" y="56634380"/>
          <a:ext cx="336550" cy="368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120633</xdr:colOff>
      <xdr:row>110</xdr:row>
      <xdr:rowOff>105701</xdr:rowOff>
    </xdr:from>
    <xdr:to>
      <xdr:col>18</xdr:col>
      <xdr:colOff>560294</xdr:colOff>
      <xdr:row>110</xdr:row>
      <xdr:rowOff>369580</xdr:rowOff>
    </xdr:to>
    <xdr:pic>
      <xdr:nvPicPr>
        <xdr:cNvPr id="37" name="Picture 13598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10330815" y="53597175"/>
          <a:ext cx="440055" cy="264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71645</xdr:colOff>
      <xdr:row>108</xdr:row>
      <xdr:rowOff>6212</xdr:rowOff>
    </xdr:from>
    <xdr:to>
      <xdr:col>18</xdr:col>
      <xdr:colOff>392206</xdr:colOff>
      <xdr:row>108</xdr:row>
      <xdr:rowOff>371009</xdr:rowOff>
    </xdr:to>
    <xdr:pic>
      <xdr:nvPicPr>
        <xdr:cNvPr id="38" name="Picture 13597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10281920" y="52482750"/>
          <a:ext cx="320675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76614</xdr:colOff>
      <xdr:row>111</xdr:row>
      <xdr:rowOff>41827</xdr:rowOff>
    </xdr:from>
    <xdr:to>
      <xdr:col>18</xdr:col>
      <xdr:colOff>496956</xdr:colOff>
      <xdr:row>111</xdr:row>
      <xdr:rowOff>495300</xdr:rowOff>
    </xdr:to>
    <xdr:pic>
      <xdr:nvPicPr>
        <xdr:cNvPr id="39" name="Picture 5638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10287000" y="54040405"/>
          <a:ext cx="42037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128270</xdr:colOff>
      <xdr:row>117</xdr:row>
      <xdr:rowOff>74930</xdr:rowOff>
    </xdr:from>
    <xdr:to>
      <xdr:col>18</xdr:col>
      <xdr:colOff>366395</xdr:colOff>
      <xdr:row>117</xdr:row>
      <xdr:rowOff>381000</xdr:rowOff>
    </xdr:to>
    <xdr:pic>
      <xdr:nvPicPr>
        <xdr:cNvPr id="40" name="Picture 18700" descr="J)5YS357X@ZA`GLO%GGAFF2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10339070" y="57182385"/>
          <a:ext cx="238125" cy="306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76201</xdr:colOff>
      <xdr:row>104</xdr:row>
      <xdr:rowOff>15718</xdr:rowOff>
    </xdr:from>
    <xdr:to>
      <xdr:col>18</xdr:col>
      <xdr:colOff>510316</xdr:colOff>
      <xdr:row>104</xdr:row>
      <xdr:rowOff>457200</xdr:rowOff>
    </xdr:to>
    <xdr:pic>
      <xdr:nvPicPr>
        <xdr:cNvPr id="41" name="Picture 18742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10287000" y="50398680"/>
          <a:ext cx="433705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171450</xdr:colOff>
      <xdr:row>102</xdr:row>
      <xdr:rowOff>34290</xdr:rowOff>
    </xdr:from>
    <xdr:to>
      <xdr:col>18</xdr:col>
      <xdr:colOff>523875</xdr:colOff>
      <xdr:row>102</xdr:row>
      <xdr:rowOff>447675</xdr:rowOff>
    </xdr:to>
    <xdr:pic>
      <xdr:nvPicPr>
        <xdr:cNvPr id="42" name="Picture 13592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10382250" y="49403000"/>
          <a:ext cx="352425" cy="413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152400</xdr:colOff>
      <xdr:row>107</xdr:row>
      <xdr:rowOff>110967</xdr:rowOff>
    </xdr:from>
    <xdr:to>
      <xdr:col>18</xdr:col>
      <xdr:colOff>561975</xdr:colOff>
      <xdr:row>107</xdr:row>
      <xdr:rowOff>371475</xdr:rowOff>
    </xdr:to>
    <xdr:pic>
      <xdr:nvPicPr>
        <xdr:cNvPr id="43" name="Picture 13594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10363200" y="52080160"/>
          <a:ext cx="409575" cy="260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142875</xdr:colOff>
      <xdr:row>122</xdr:row>
      <xdr:rowOff>91440</xdr:rowOff>
    </xdr:from>
    <xdr:to>
      <xdr:col>18</xdr:col>
      <xdr:colOff>542925</xdr:colOff>
      <xdr:row>122</xdr:row>
      <xdr:rowOff>410845</xdr:rowOff>
    </xdr:to>
    <xdr:pic>
      <xdr:nvPicPr>
        <xdr:cNvPr id="44" name="Picture 13597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10353675" y="59799855"/>
          <a:ext cx="400050" cy="319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150495</xdr:colOff>
      <xdr:row>124</xdr:row>
      <xdr:rowOff>68580</xdr:rowOff>
    </xdr:from>
    <xdr:to>
      <xdr:col>18</xdr:col>
      <xdr:colOff>550545</xdr:colOff>
      <xdr:row>124</xdr:row>
      <xdr:rowOff>395763</xdr:rowOff>
    </xdr:to>
    <xdr:pic>
      <xdr:nvPicPr>
        <xdr:cNvPr id="45" name="Picture 13598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10361295" y="60791725"/>
          <a:ext cx="400050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133350</xdr:colOff>
      <xdr:row>103</xdr:row>
      <xdr:rowOff>100965</xdr:rowOff>
    </xdr:from>
    <xdr:to>
      <xdr:col>18</xdr:col>
      <xdr:colOff>495300</xdr:colOff>
      <xdr:row>103</xdr:row>
      <xdr:rowOff>438785</xdr:rowOff>
    </xdr:to>
    <xdr:pic>
      <xdr:nvPicPr>
        <xdr:cNvPr id="46" name="Picture 18699" descr="J)5YS357X@ZA`GLO%GGAFF2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10344150" y="49977040"/>
          <a:ext cx="36195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62865</xdr:colOff>
      <xdr:row>118</xdr:row>
      <xdr:rowOff>28575</xdr:rowOff>
    </xdr:from>
    <xdr:to>
      <xdr:col>18</xdr:col>
      <xdr:colOff>567690</xdr:colOff>
      <xdr:row>118</xdr:row>
      <xdr:rowOff>409575</xdr:rowOff>
    </xdr:to>
    <xdr:pic>
      <xdr:nvPicPr>
        <xdr:cNvPr id="47" name="Picture 18743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10273665" y="57643395"/>
          <a:ext cx="5048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202509</xdr:colOff>
      <xdr:row>98</xdr:row>
      <xdr:rowOff>48461</xdr:rowOff>
    </xdr:from>
    <xdr:to>
      <xdr:col>18</xdr:col>
      <xdr:colOff>490331</xdr:colOff>
      <xdr:row>98</xdr:row>
      <xdr:rowOff>266700</xdr:rowOff>
    </xdr:to>
    <xdr:pic>
      <xdr:nvPicPr>
        <xdr:cNvPr id="48" name="Picture 7828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10412730" y="47323375"/>
          <a:ext cx="288290" cy="218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70402</xdr:colOff>
      <xdr:row>99</xdr:row>
      <xdr:rowOff>50110</xdr:rowOff>
    </xdr:from>
    <xdr:to>
      <xdr:col>18</xdr:col>
      <xdr:colOff>538369</xdr:colOff>
      <xdr:row>99</xdr:row>
      <xdr:rowOff>257175</xdr:rowOff>
    </xdr:to>
    <xdr:pic>
      <xdr:nvPicPr>
        <xdr:cNvPr id="49" name="Picture 7997"/>
        <xdr:cNvPicPr>
          <a:picLocks noChangeAspect="1" noChangeArrowheads="1"/>
        </xdr:cNvPicPr>
      </xdr:nvPicPr>
      <xdr:blipFill>
        <a:blip r:embed="rId34" cstate="print"/>
        <a:srcRect/>
        <a:stretch>
          <a:fillRect/>
        </a:stretch>
      </xdr:blipFill>
      <xdr:spPr>
        <a:xfrm>
          <a:off x="10280650" y="47832010"/>
          <a:ext cx="467995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123825</xdr:colOff>
      <xdr:row>113</xdr:row>
      <xdr:rowOff>76200</xdr:rowOff>
    </xdr:from>
    <xdr:to>
      <xdr:col>18</xdr:col>
      <xdr:colOff>628650</xdr:colOff>
      <xdr:row>113</xdr:row>
      <xdr:rowOff>391160</xdr:rowOff>
    </xdr:to>
    <xdr:pic>
      <xdr:nvPicPr>
        <xdr:cNvPr id="50" name="Picture 7998"/>
        <xdr:cNvPicPr>
          <a:picLocks noChangeAspect="1" noChangeArrowheads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10334625" y="55090060"/>
          <a:ext cx="504825" cy="31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125067</xdr:colOff>
      <xdr:row>87</xdr:row>
      <xdr:rowOff>60879</xdr:rowOff>
    </xdr:from>
    <xdr:to>
      <xdr:col>18</xdr:col>
      <xdr:colOff>493059</xdr:colOff>
      <xdr:row>87</xdr:row>
      <xdr:rowOff>425807</xdr:rowOff>
    </xdr:to>
    <xdr:pic>
      <xdr:nvPicPr>
        <xdr:cNvPr id="52" name="Picture 8253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10335260" y="41754425"/>
          <a:ext cx="368300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85725</xdr:colOff>
      <xdr:row>88</xdr:row>
      <xdr:rowOff>45140</xdr:rowOff>
    </xdr:from>
    <xdr:to>
      <xdr:col>18</xdr:col>
      <xdr:colOff>459441</xdr:colOff>
      <xdr:row>88</xdr:row>
      <xdr:rowOff>405857</xdr:rowOff>
    </xdr:to>
    <xdr:pic>
      <xdr:nvPicPr>
        <xdr:cNvPr id="53" name="Picture 8254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10296525" y="42246550"/>
          <a:ext cx="373380" cy="36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200025</xdr:colOff>
      <xdr:row>89</xdr:row>
      <xdr:rowOff>133350</xdr:rowOff>
    </xdr:from>
    <xdr:to>
      <xdr:col>18</xdr:col>
      <xdr:colOff>533400</xdr:colOff>
      <xdr:row>89</xdr:row>
      <xdr:rowOff>419100</xdr:rowOff>
    </xdr:to>
    <xdr:pic>
      <xdr:nvPicPr>
        <xdr:cNvPr id="54" name="Picture 13522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10410825" y="42842180"/>
          <a:ext cx="3333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72473</xdr:colOff>
      <xdr:row>97</xdr:row>
      <xdr:rowOff>31060</xdr:rowOff>
    </xdr:from>
    <xdr:to>
      <xdr:col>18</xdr:col>
      <xdr:colOff>586822</xdr:colOff>
      <xdr:row>98</xdr:row>
      <xdr:rowOff>560</xdr:rowOff>
    </xdr:to>
    <xdr:pic>
      <xdr:nvPicPr>
        <xdr:cNvPr id="55" name="Picture 8431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10283190" y="46798230"/>
          <a:ext cx="514350" cy="47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76200</xdr:colOff>
      <xdr:row>96</xdr:row>
      <xdr:rowOff>38100</xdr:rowOff>
    </xdr:from>
    <xdr:to>
      <xdr:col>18</xdr:col>
      <xdr:colOff>590550</xdr:colOff>
      <xdr:row>96</xdr:row>
      <xdr:rowOff>285750</xdr:rowOff>
    </xdr:to>
    <xdr:pic>
      <xdr:nvPicPr>
        <xdr:cNvPr id="56" name="Picture 455" descr="ffdd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10287000" y="46298485"/>
          <a:ext cx="5143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115128</xdr:colOff>
      <xdr:row>95</xdr:row>
      <xdr:rowOff>31060</xdr:rowOff>
    </xdr:from>
    <xdr:to>
      <xdr:col>18</xdr:col>
      <xdr:colOff>534228</xdr:colOff>
      <xdr:row>95</xdr:row>
      <xdr:rowOff>276225</xdr:rowOff>
    </xdr:to>
    <xdr:pic>
      <xdr:nvPicPr>
        <xdr:cNvPr id="57" name="图片 2243" descr="1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10325735" y="45783500"/>
          <a:ext cx="419100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130810</xdr:colOff>
      <xdr:row>67</xdr:row>
      <xdr:rowOff>140970</xdr:rowOff>
    </xdr:from>
    <xdr:to>
      <xdr:col>18</xdr:col>
      <xdr:colOff>551152</xdr:colOff>
      <xdr:row>67</xdr:row>
      <xdr:rowOff>340995</xdr:rowOff>
    </xdr:to>
    <xdr:pic>
      <xdr:nvPicPr>
        <xdr:cNvPr id="58" name="Picture 8525"/>
        <xdr:cNvPicPr>
          <a:picLocks noChangeAspect="1"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10341610" y="31687770"/>
          <a:ext cx="41973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123825</xdr:colOff>
      <xdr:row>74</xdr:row>
      <xdr:rowOff>152400</xdr:rowOff>
    </xdr:from>
    <xdr:to>
      <xdr:col>18</xdr:col>
      <xdr:colOff>544195</xdr:colOff>
      <xdr:row>74</xdr:row>
      <xdr:rowOff>382905</xdr:rowOff>
    </xdr:to>
    <xdr:pic>
      <xdr:nvPicPr>
        <xdr:cNvPr id="59" name="Picture 105" descr="55"/>
        <xdr:cNvPicPr>
          <a:picLocks noChangeAspect="1" noChangeArrowheads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10334625" y="35250755"/>
          <a:ext cx="420370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129540</xdr:colOff>
      <xdr:row>129</xdr:row>
      <xdr:rowOff>95250</xdr:rowOff>
    </xdr:from>
    <xdr:to>
      <xdr:col>18</xdr:col>
      <xdr:colOff>540357</xdr:colOff>
      <xdr:row>129</xdr:row>
      <xdr:rowOff>354495</xdr:rowOff>
    </xdr:to>
    <xdr:pic>
      <xdr:nvPicPr>
        <xdr:cNvPr id="62" name="Picture 8905"/>
        <xdr:cNvPicPr>
          <a:picLocks noChangeAspect="1" noChangeArrowheads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10340340" y="63355220"/>
          <a:ext cx="41021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108585</xdr:colOff>
      <xdr:row>128</xdr:row>
      <xdr:rowOff>102870</xdr:rowOff>
    </xdr:from>
    <xdr:to>
      <xdr:col>18</xdr:col>
      <xdr:colOff>548005</xdr:colOff>
      <xdr:row>128</xdr:row>
      <xdr:rowOff>424815</xdr:rowOff>
    </xdr:to>
    <xdr:pic>
      <xdr:nvPicPr>
        <xdr:cNvPr id="63" name="Picture 8906"/>
        <xdr:cNvPicPr>
          <a:picLocks noChangeAspect="1" noChangeArrowheads="1"/>
        </xdr:cNvPicPr>
      </xdr:nvPicPr>
      <xdr:blipFill>
        <a:blip r:embed="rId45" cstate="print"/>
        <a:srcRect/>
        <a:stretch>
          <a:fillRect/>
        </a:stretch>
      </xdr:blipFill>
      <xdr:spPr>
        <a:xfrm>
          <a:off x="10319385" y="62855475"/>
          <a:ext cx="43942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153035</xdr:colOff>
      <xdr:row>64</xdr:row>
      <xdr:rowOff>145415</xdr:rowOff>
    </xdr:from>
    <xdr:to>
      <xdr:col>18</xdr:col>
      <xdr:colOff>572135</xdr:colOff>
      <xdr:row>64</xdr:row>
      <xdr:rowOff>393065</xdr:rowOff>
    </xdr:to>
    <xdr:pic>
      <xdr:nvPicPr>
        <xdr:cNvPr id="64" name="Picture 194"/>
        <xdr:cNvPicPr>
          <a:picLocks noChangeAspect="1" noChangeArrowheads="1"/>
        </xdr:cNvPicPr>
      </xdr:nvPicPr>
      <xdr:blipFill>
        <a:blip r:embed="rId46" cstate="print"/>
        <a:srcRect/>
        <a:stretch>
          <a:fillRect/>
        </a:stretch>
      </xdr:blipFill>
      <xdr:spPr>
        <a:xfrm>
          <a:off x="10363835" y="30170120"/>
          <a:ext cx="4191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152400</xdr:colOff>
      <xdr:row>65</xdr:row>
      <xdr:rowOff>120650</xdr:rowOff>
    </xdr:from>
    <xdr:to>
      <xdr:col>18</xdr:col>
      <xdr:colOff>561975</xdr:colOff>
      <xdr:row>65</xdr:row>
      <xdr:rowOff>412750</xdr:rowOff>
    </xdr:to>
    <xdr:pic>
      <xdr:nvPicPr>
        <xdr:cNvPr id="65" name="Picture 250"/>
        <xdr:cNvPicPr>
          <a:picLocks noChangeAspect="1" noChangeArrowheads="1"/>
        </xdr:cNvPicPr>
      </xdr:nvPicPr>
      <xdr:blipFill>
        <a:blip r:embed="rId47" cstate="print"/>
        <a:srcRect/>
        <a:stretch>
          <a:fillRect/>
        </a:stretch>
      </xdr:blipFill>
      <xdr:spPr>
        <a:xfrm>
          <a:off x="10363200" y="30652720"/>
          <a:ext cx="409575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107260</xdr:colOff>
      <xdr:row>135</xdr:row>
      <xdr:rowOff>90636</xdr:rowOff>
    </xdr:from>
    <xdr:to>
      <xdr:col>18</xdr:col>
      <xdr:colOff>542925</xdr:colOff>
      <xdr:row>135</xdr:row>
      <xdr:rowOff>390525</xdr:rowOff>
    </xdr:to>
    <xdr:pic>
      <xdr:nvPicPr>
        <xdr:cNvPr id="66" name="Picture 18432" descr="C:\Users\chejiming.GHRC\AppData\Roaming\feiq\RichOle\2310086732.bmp"/>
        <xdr:cNvPicPr>
          <a:picLocks noChangeAspect="1" noChangeArrowheads="1"/>
        </xdr:cNvPicPr>
      </xdr:nvPicPr>
      <xdr:blipFill>
        <a:blip r:embed="rId48" cstate="print"/>
        <a:srcRect/>
        <a:stretch>
          <a:fillRect/>
        </a:stretch>
      </xdr:blipFill>
      <xdr:spPr>
        <a:xfrm>
          <a:off x="10317480" y="66394330"/>
          <a:ext cx="436245" cy="30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43815</xdr:colOff>
      <xdr:row>91</xdr:row>
      <xdr:rowOff>120015</xdr:rowOff>
    </xdr:from>
    <xdr:to>
      <xdr:col>18</xdr:col>
      <xdr:colOff>530225</xdr:colOff>
      <xdr:row>91</xdr:row>
      <xdr:rowOff>344805</xdr:rowOff>
    </xdr:to>
    <xdr:pic>
      <xdr:nvPicPr>
        <xdr:cNvPr id="67" name="图片 104" descr="IMG_0937.JPG"/>
        <xdr:cNvPicPr>
          <a:picLocks noChangeAspect="1"/>
        </xdr:cNvPicPr>
      </xdr:nvPicPr>
      <xdr:blipFill>
        <a:blip r:embed="rId49" cstate="print"/>
        <a:srcRect/>
        <a:stretch>
          <a:fillRect/>
        </a:stretch>
      </xdr:blipFill>
      <xdr:spPr>
        <a:xfrm>
          <a:off x="10254615" y="43843575"/>
          <a:ext cx="486410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143436</xdr:colOff>
      <xdr:row>92</xdr:row>
      <xdr:rowOff>119441</xdr:rowOff>
    </xdr:from>
    <xdr:to>
      <xdr:col>18</xdr:col>
      <xdr:colOff>437030</xdr:colOff>
      <xdr:row>92</xdr:row>
      <xdr:rowOff>399769</xdr:rowOff>
    </xdr:to>
    <xdr:pic>
      <xdr:nvPicPr>
        <xdr:cNvPr id="68" name="图片 105" descr="IMG_0938.JPG"/>
        <xdr:cNvPicPr>
          <a:picLocks noChangeAspect="1"/>
        </xdr:cNvPicPr>
      </xdr:nvPicPr>
      <xdr:blipFill>
        <a:blip r:embed="rId50" cstate="print"/>
        <a:srcRect/>
        <a:stretch>
          <a:fillRect/>
        </a:stretch>
      </xdr:blipFill>
      <xdr:spPr>
        <a:xfrm>
          <a:off x="10353675" y="44350305"/>
          <a:ext cx="29400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96419</xdr:colOff>
      <xdr:row>94</xdr:row>
      <xdr:rowOff>168893</xdr:rowOff>
    </xdr:from>
    <xdr:to>
      <xdr:col>18</xdr:col>
      <xdr:colOff>488186</xdr:colOff>
      <xdr:row>94</xdr:row>
      <xdr:rowOff>328333</xdr:rowOff>
    </xdr:to>
    <xdr:pic>
      <xdr:nvPicPr>
        <xdr:cNvPr id="69" name="图片 106" descr="IMG_0939.JPG"/>
        <xdr:cNvPicPr>
          <a:picLocks noChangeAspect="1"/>
        </xdr:cNvPicPr>
      </xdr:nvPicPr>
      <xdr:blipFill>
        <a:blip r:embed="rId51" cstate="print"/>
        <a:srcRect/>
        <a:stretch>
          <a:fillRect/>
        </a:stretch>
      </xdr:blipFill>
      <xdr:spPr>
        <a:xfrm>
          <a:off x="10306685" y="45413930"/>
          <a:ext cx="391795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123825</xdr:colOff>
      <xdr:row>123</xdr:row>
      <xdr:rowOff>24765</xdr:rowOff>
    </xdr:from>
    <xdr:to>
      <xdr:col>18</xdr:col>
      <xdr:colOff>514350</xdr:colOff>
      <xdr:row>123</xdr:row>
      <xdr:rowOff>428625</xdr:rowOff>
    </xdr:to>
    <xdr:pic>
      <xdr:nvPicPr>
        <xdr:cNvPr id="70" name="Picture 10883"/>
        <xdr:cNvPicPr>
          <a:picLocks noChangeAspect="1" noChangeArrowheads="1"/>
        </xdr:cNvPicPr>
      </xdr:nvPicPr>
      <xdr:blipFill>
        <a:blip r:embed="rId52" cstate="print"/>
        <a:srcRect/>
        <a:stretch>
          <a:fillRect/>
        </a:stretch>
      </xdr:blipFill>
      <xdr:spPr>
        <a:xfrm>
          <a:off x="10334625" y="60240545"/>
          <a:ext cx="390525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154305</xdr:colOff>
      <xdr:row>109</xdr:row>
      <xdr:rowOff>127000</xdr:rowOff>
    </xdr:from>
    <xdr:to>
      <xdr:col>18</xdr:col>
      <xdr:colOff>546100</xdr:colOff>
      <xdr:row>109</xdr:row>
      <xdr:rowOff>429260</xdr:rowOff>
    </xdr:to>
    <xdr:pic>
      <xdr:nvPicPr>
        <xdr:cNvPr id="71" name="Picture 10883"/>
        <xdr:cNvPicPr>
          <a:picLocks noChangeAspect="1" noChangeArrowheads="1"/>
        </xdr:cNvPicPr>
      </xdr:nvPicPr>
      <xdr:blipFill>
        <a:blip r:embed="rId52" cstate="print"/>
        <a:srcRect/>
        <a:stretch>
          <a:fillRect/>
        </a:stretch>
      </xdr:blipFill>
      <xdr:spPr>
        <a:xfrm>
          <a:off x="10365105" y="53111400"/>
          <a:ext cx="391795" cy="302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116995</xdr:colOff>
      <xdr:row>26</xdr:row>
      <xdr:rowOff>70401</xdr:rowOff>
    </xdr:from>
    <xdr:to>
      <xdr:col>18</xdr:col>
      <xdr:colOff>501355</xdr:colOff>
      <xdr:row>26</xdr:row>
      <xdr:rowOff>366346</xdr:rowOff>
    </xdr:to>
    <xdr:pic>
      <xdr:nvPicPr>
        <xdr:cNvPr id="75" name="Picture 4"/>
        <xdr:cNvPicPr>
          <a:picLocks noChangeAspect="1" noChangeArrowheads="1"/>
        </xdr:cNvPicPr>
      </xdr:nvPicPr>
      <xdr:blipFill>
        <a:blip r:embed="rId53" cstate="print"/>
        <a:srcRect/>
        <a:stretch>
          <a:fillRect/>
        </a:stretch>
      </xdr:blipFill>
      <xdr:spPr>
        <a:xfrm>
          <a:off x="10327640" y="10814685"/>
          <a:ext cx="384175" cy="29591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102153</xdr:colOff>
      <xdr:row>25</xdr:row>
      <xdr:rowOff>3563</xdr:rowOff>
    </xdr:from>
    <xdr:to>
      <xdr:col>18</xdr:col>
      <xdr:colOff>541513</xdr:colOff>
      <xdr:row>25</xdr:row>
      <xdr:rowOff>278423</xdr:rowOff>
    </xdr:to>
    <xdr:pic>
      <xdr:nvPicPr>
        <xdr:cNvPr id="76" name="Picture 3"/>
        <xdr:cNvPicPr>
          <a:picLocks noChangeAspect="1" noChangeArrowheads="1"/>
        </xdr:cNvPicPr>
      </xdr:nvPicPr>
      <xdr:blipFill>
        <a:blip r:embed="rId54" cstate="print"/>
        <a:srcRect/>
        <a:stretch>
          <a:fillRect/>
        </a:stretch>
      </xdr:blipFill>
      <xdr:spPr>
        <a:xfrm>
          <a:off x="10312400" y="10240645"/>
          <a:ext cx="439420" cy="27495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175372</xdr:colOff>
      <xdr:row>30</xdr:row>
      <xdr:rowOff>47626</xdr:rowOff>
    </xdr:from>
    <xdr:to>
      <xdr:col>18</xdr:col>
      <xdr:colOff>493059</xdr:colOff>
      <xdr:row>30</xdr:row>
      <xdr:rowOff>401968</xdr:rowOff>
    </xdr:to>
    <xdr:pic>
      <xdr:nvPicPr>
        <xdr:cNvPr id="77" name="Picture 7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10386060" y="12821920"/>
          <a:ext cx="317500" cy="354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159684</xdr:colOff>
      <xdr:row>31</xdr:row>
      <xdr:rowOff>103655</xdr:rowOff>
    </xdr:from>
    <xdr:to>
      <xdr:col>18</xdr:col>
      <xdr:colOff>593912</xdr:colOff>
      <xdr:row>31</xdr:row>
      <xdr:rowOff>489017</xdr:rowOff>
    </xdr:to>
    <xdr:pic>
      <xdr:nvPicPr>
        <xdr:cNvPr id="78" name="Picture 7"/>
        <xdr:cNvPicPr>
          <a:picLocks noChangeAspect="1" noChangeArrowheads="1"/>
        </xdr:cNvPicPr>
      </xdr:nvPicPr>
      <xdr:blipFill>
        <a:blip r:embed="rId56" cstate="print"/>
        <a:srcRect/>
        <a:stretch>
          <a:fillRect/>
        </a:stretch>
      </xdr:blipFill>
      <xdr:spPr>
        <a:xfrm>
          <a:off x="10370185" y="13385165"/>
          <a:ext cx="434340" cy="3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133350</xdr:colOff>
      <xdr:row>29</xdr:row>
      <xdr:rowOff>152400</xdr:rowOff>
    </xdr:from>
    <xdr:to>
      <xdr:col>18</xdr:col>
      <xdr:colOff>581025</xdr:colOff>
      <xdr:row>30</xdr:row>
      <xdr:rowOff>560</xdr:rowOff>
    </xdr:to>
    <xdr:pic>
      <xdr:nvPicPr>
        <xdr:cNvPr id="79" name="Picture 2503"/>
        <xdr:cNvPicPr>
          <a:picLocks noChangeAspect="1" noChangeArrowheads="1"/>
        </xdr:cNvPicPr>
      </xdr:nvPicPr>
      <xdr:blipFill>
        <a:blip r:embed="rId57" cstate="print"/>
        <a:srcRect/>
        <a:stretch>
          <a:fillRect/>
        </a:stretch>
      </xdr:blipFill>
      <xdr:spPr>
        <a:xfrm>
          <a:off x="10344150" y="12419330"/>
          <a:ext cx="447675" cy="354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59440</xdr:colOff>
      <xdr:row>38</xdr:row>
      <xdr:rowOff>78442</xdr:rowOff>
    </xdr:from>
    <xdr:to>
      <xdr:col>18</xdr:col>
      <xdr:colOff>538370</xdr:colOff>
      <xdr:row>38</xdr:row>
      <xdr:rowOff>410307</xdr:rowOff>
    </xdr:to>
    <xdr:pic>
      <xdr:nvPicPr>
        <xdr:cNvPr id="80" name="图片 79"/>
        <xdr:cNvPicPr>
          <a:picLocks noChangeAspect="1"/>
        </xdr:cNvPicPr>
      </xdr:nvPicPr>
      <xdr:blipFill>
        <a:blip r:embed="rId58" cstate="print"/>
        <a:stretch>
          <a:fillRect/>
        </a:stretch>
      </xdr:blipFill>
      <xdr:spPr>
        <a:xfrm>
          <a:off x="10269855" y="16911320"/>
          <a:ext cx="478790" cy="332105"/>
        </a:xfrm>
        <a:prstGeom prst="rect">
          <a:avLst/>
        </a:prstGeom>
      </xdr:spPr>
    </xdr:pic>
    <xdr:clientData/>
  </xdr:twoCellAnchor>
  <xdr:twoCellAnchor>
    <xdr:from>
      <xdr:col>18</xdr:col>
      <xdr:colOff>98418</xdr:colOff>
      <xdr:row>52</xdr:row>
      <xdr:rowOff>175371</xdr:rowOff>
    </xdr:from>
    <xdr:to>
      <xdr:col>18</xdr:col>
      <xdr:colOff>505238</xdr:colOff>
      <xdr:row>52</xdr:row>
      <xdr:rowOff>409575</xdr:rowOff>
    </xdr:to>
    <xdr:pic>
      <xdr:nvPicPr>
        <xdr:cNvPr id="82" name="图片 81"/>
        <xdr:cNvPicPr>
          <a:picLocks noChangeAspect="1"/>
        </xdr:cNvPicPr>
      </xdr:nvPicPr>
      <xdr:blipFill>
        <a:blip r:embed="rId59" cstate="print"/>
        <a:stretch>
          <a:fillRect/>
        </a:stretch>
      </xdr:blipFill>
      <xdr:spPr>
        <a:xfrm>
          <a:off x="10308590" y="24111585"/>
          <a:ext cx="407035" cy="234315"/>
        </a:xfrm>
        <a:prstGeom prst="rect">
          <a:avLst/>
        </a:prstGeom>
      </xdr:spPr>
    </xdr:pic>
    <xdr:clientData/>
  </xdr:twoCellAnchor>
  <xdr:twoCellAnchor>
    <xdr:from>
      <xdr:col>18</xdr:col>
      <xdr:colOff>104775</xdr:colOff>
      <xdr:row>34</xdr:row>
      <xdr:rowOff>0</xdr:rowOff>
    </xdr:from>
    <xdr:to>
      <xdr:col>19</xdr:col>
      <xdr:colOff>0</xdr:colOff>
      <xdr:row>34</xdr:row>
      <xdr:rowOff>0</xdr:rowOff>
    </xdr:to>
    <xdr:pic>
      <xdr:nvPicPr>
        <xdr:cNvPr id="83" name="Picture 7367"/>
        <xdr:cNvPicPr>
          <a:picLocks noChangeAspect="1" noChangeArrowheads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15575" y="1480375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32</xdr:row>
      <xdr:rowOff>114300</xdr:rowOff>
    </xdr:from>
    <xdr:to>
      <xdr:col>18</xdr:col>
      <xdr:colOff>85725</xdr:colOff>
      <xdr:row>32</xdr:row>
      <xdr:rowOff>171450</xdr:rowOff>
    </xdr:to>
    <xdr:pic>
      <xdr:nvPicPr>
        <xdr:cNvPr id="84" name="Picture 2441"/>
        <xdr:cNvPicPr>
          <a:picLocks noChangeAspect="1" noChangeArrowheads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10267950" y="13931265"/>
          <a:ext cx="57150" cy="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33</xdr:row>
      <xdr:rowOff>38100</xdr:rowOff>
    </xdr:from>
    <xdr:to>
      <xdr:col>18</xdr:col>
      <xdr:colOff>66675</xdr:colOff>
      <xdr:row>33</xdr:row>
      <xdr:rowOff>171450</xdr:rowOff>
    </xdr:to>
    <xdr:pic>
      <xdr:nvPicPr>
        <xdr:cNvPr id="85" name="Picture 2442"/>
        <xdr:cNvPicPr>
          <a:picLocks noChangeAspect="1" noChangeArrowheads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10210800" y="14400530"/>
          <a:ext cx="133350" cy="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34</xdr:row>
      <xdr:rowOff>257175</xdr:rowOff>
    </xdr:from>
    <xdr:to>
      <xdr:col>18</xdr:col>
      <xdr:colOff>95250</xdr:colOff>
      <xdr:row>34</xdr:row>
      <xdr:rowOff>257175</xdr:rowOff>
    </xdr:to>
    <xdr:pic>
      <xdr:nvPicPr>
        <xdr:cNvPr id="86" name="Picture 2502"/>
        <xdr:cNvPicPr>
          <a:picLocks noChangeAspect="1" noChangeArrowheads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10306050" y="1506093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254504</xdr:colOff>
      <xdr:row>32</xdr:row>
      <xdr:rowOff>95251</xdr:rowOff>
    </xdr:from>
    <xdr:to>
      <xdr:col>18</xdr:col>
      <xdr:colOff>542926</xdr:colOff>
      <xdr:row>32</xdr:row>
      <xdr:rowOff>361951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0464800" y="13884275"/>
          <a:ext cx="28892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203776</xdr:colOff>
      <xdr:row>33</xdr:row>
      <xdr:rowOff>95251</xdr:rowOff>
    </xdr:from>
    <xdr:to>
      <xdr:col>18</xdr:col>
      <xdr:colOff>533401</xdr:colOff>
      <xdr:row>33</xdr:row>
      <xdr:rowOff>400051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0414000" y="14391640"/>
          <a:ext cx="3302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219075</xdr:colOff>
      <xdr:row>34</xdr:row>
      <xdr:rowOff>114300</xdr:rowOff>
    </xdr:from>
    <xdr:to>
      <xdr:col>18</xdr:col>
      <xdr:colOff>517798</xdr:colOff>
      <xdr:row>34</xdr:row>
      <xdr:rowOff>390525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29875" y="14918055"/>
          <a:ext cx="2984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170525</xdr:colOff>
      <xdr:row>42</xdr:row>
      <xdr:rowOff>143900</xdr:rowOff>
    </xdr:from>
    <xdr:to>
      <xdr:col>18</xdr:col>
      <xdr:colOff>566005</xdr:colOff>
      <xdr:row>42</xdr:row>
      <xdr:rowOff>442633</xdr:rowOff>
    </xdr:to>
    <xdr:pic>
      <xdr:nvPicPr>
        <xdr:cNvPr id="91" name="Picture 99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>
        <a:xfrm>
          <a:off x="10380980" y="19006185"/>
          <a:ext cx="395605" cy="29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193301</xdr:colOff>
      <xdr:row>45</xdr:row>
      <xdr:rowOff>105335</xdr:rowOff>
    </xdr:from>
    <xdr:to>
      <xdr:col>18</xdr:col>
      <xdr:colOff>540683</xdr:colOff>
      <xdr:row>45</xdr:row>
      <xdr:rowOff>398416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03840" y="20489545"/>
          <a:ext cx="34734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180416</xdr:colOff>
      <xdr:row>46</xdr:row>
      <xdr:rowOff>90768</xdr:rowOff>
    </xdr:from>
    <xdr:to>
      <xdr:col>18</xdr:col>
      <xdr:colOff>552314</xdr:colOff>
      <xdr:row>46</xdr:row>
      <xdr:rowOff>404533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91140" y="20982305"/>
          <a:ext cx="3714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209550</xdr:colOff>
      <xdr:row>47</xdr:row>
      <xdr:rowOff>113665</xdr:rowOff>
    </xdr:from>
    <xdr:to>
      <xdr:col>18</xdr:col>
      <xdr:colOff>534670</xdr:colOff>
      <xdr:row>47</xdr:row>
      <xdr:rowOff>419100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20350" y="21513165"/>
          <a:ext cx="32512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191593</xdr:colOff>
      <xdr:row>48</xdr:row>
      <xdr:rowOff>105335</xdr:rowOff>
    </xdr:from>
    <xdr:to>
      <xdr:col>18</xdr:col>
      <xdr:colOff>550209</xdr:colOff>
      <xdr:row>48</xdr:row>
      <xdr:rowOff>407894</xdr:rowOff>
    </xdr:to>
    <xdr:pic>
      <xdr:nvPicPr>
        <xdr:cNvPr id="96" name="图片 95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0401935" y="22011640"/>
          <a:ext cx="35877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192880</xdr:colOff>
      <xdr:row>49</xdr:row>
      <xdr:rowOff>111498</xdr:rowOff>
    </xdr:from>
    <xdr:to>
      <xdr:col>18</xdr:col>
      <xdr:colOff>564778</xdr:colOff>
      <xdr:row>49</xdr:row>
      <xdr:rowOff>425263</xdr:rowOff>
    </xdr:to>
    <xdr:pic>
      <xdr:nvPicPr>
        <xdr:cNvPr id="97" name="图片 96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0403205" y="22525355"/>
          <a:ext cx="37211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200025</xdr:colOff>
      <xdr:row>50</xdr:row>
      <xdr:rowOff>123825</xdr:rowOff>
    </xdr:from>
    <xdr:to>
      <xdr:col>18</xdr:col>
      <xdr:colOff>525049</xdr:colOff>
      <xdr:row>50</xdr:row>
      <xdr:rowOff>428625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0825" y="23045420"/>
          <a:ext cx="32448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80755</xdr:colOff>
      <xdr:row>44</xdr:row>
      <xdr:rowOff>27333</xdr:rowOff>
    </xdr:from>
    <xdr:to>
      <xdr:col>18</xdr:col>
      <xdr:colOff>600074</xdr:colOff>
      <xdr:row>44</xdr:row>
      <xdr:rowOff>419101</xdr:rowOff>
    </xdr:to>
    <xdr:pic>
      <xdr:nvPicPr>
        <xdr:cNvPr id="100" name="图片 99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10291445" y="19904710"/>
          <a:ext cx="518795" cy="391795"/>
        </a:xfrm>
        <a:prstGeom prst="rect">
          <a:avLst/>
        </a:prstGeom>
      </xdr:spPr>
    </xdr:pic>
    <xdr:clientData/>
  </xdr:twoCellAnchor>
  <xdr:twoCellAnchor>
    <xdr:from>
      <xdr:col>18</xdr:col>
      <xdr:colOff>57150</xdr:colOff>
      <xdr:row>14</xdr:row>
      <xdr:rowOff>36635</xdr:rowOff>
    </xdr:from>
    <xdr:to>
      <xdr:col>18</xdr:col>
      <xdr:colOff>561975</xdr:colOff>
      <xdr:row>14</xdr:row>
      <xdr:rowOff>277691</xdr:rowOff>
    </xdr:to>
    <xdr:pic>
      <xdr:nvPicPr>
        <xdr:cNvPr id="104" name="Picture 232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10267950" y="4692650"/>
          <a:ext cx="504825" cy="24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116995</xdr:colOff>
      <xdr:row>26</xdr:row>
      <xdr:rowOff>98976</xdr:rowOff>
    </xdr:from>
    <xdr:to>
      <xdr:col>18</xdr:col>
      <xdr:colOff>501355</xdr:colOff>
      <xdr:row>26</xdr:row>
      <xdr:rowOff>394921</xdr:rowOff>
    </xdr:to>
    <xdr:pic>
      <xdr:nvPicPr>
        <xdr:cNvPr id="108" name="Picture 4"/>
        <xdr:cNvPicPr>
          <a:picLocks noChangeAspect="1" noChangeArrowheads="1"/>
        </xdr:cNvPicPr>
      </xdr:nvPicPr>
      <xdr:blipFill>
        <a:blip r:embed="rId53" cstate="print"/>
        <a:srcRect/>
        <a:stretch>
          <a:fillRect/>
        </a:stretch>
      </xdr:blipFill>
      <xdr:spPr>
        <a:xfrm>
          <a:off x="10327640" y="10843260"/>
          <a:ext cx="384175" cy="29591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102153</xdr:colOff>
      <xdr:row>25</xdr:row>
      <xdr:rowOff>32138</xdr:rowOff>
    </xdr:from>
    <xdr:to>
      <xdr:col>18</xdr:col>
      <xdr:colOff>541513</xdr:colOff>
      <xdr:row>26</xdr:row>
      <xdr:rowOff>2198</xdr:rowOff>
    </xdr:to>
    <xdr:pic>
      <xdr:nvPicPr>
        <xdr:cNvPr id="109" name="Picture 3"/>
        <xdr:cNvPicPr>
          <a:picLocks noChangeAspect="1" noChangeArrowheads="1"/>
        </xdr:cNvPicPr>
      </xdr:nvPicPr>
      <xdr:blipFill>
        <a:blip r:embed="rId54" cstate="print"/>
        <a:srcRect/>
        <a:stretch>
          <a:fillRect/>
        </a:stretch>
      </xdr:blipFill>
      <xdr:spPr>
        <a:xfrm>
          <a:off x="10312400" y="10269220"/>
          <a:ext cx="439420" cy="47752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175508</xdr:colOff>
      <xdr:row>17</xdr:row>
      <xdr:rowOff>28576</xdr:rowOff>
    </xdr:from>
    <xdr:to>
      <xdr:col>18</xdr:col>
      <xdr:colOff>428625</xdr:colOff>
      <xdr:row>17</xdr:row>
      <xdr:rowOff>419100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6060" y="6207125"/>
          <a:ext cx="25336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247650</xdr:colOff>
      <xdr:row>18</xdr:row>
      <xdr:rowOff>28575</xdr:rowOff>
    </xdr:from>
    <xdr:to>
      <xdr:col>18</xdr:col>
      <xdr:colOff>453142</xdr:colOff>
      <xdr:row>18</xdr:row>
      <xdr:rowOff>345620</xdr:rowOff>
    </xdr:to>
    <xdr:pic>
      <xdr:nvPicPr>
        <xdr:cNvPr id="116" name="图片 115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58450" y="6714490"/>
          <a:ext cx="205105" cy="316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152400</xdr:colOff>
      <xdr:row>11</xdr:row>
      <xdr:rowOff>76202</xdr:rowOff>
    </xdr:from>
    <xdr:to>
      <xdr:col>18</xdr:col>
      <xdr:colOff>448235</xdr:colOff>
      <xdr:row>11</xdr:row>
      <xdr:rowOff>451398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63200" y="3210560"/>
          <a:ext cx="295275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200025</xdr:colOff>
      <xdr:row>15</xdr:row>
      <xdr:rowOff>95251</xdr:rowOff>
    </xdr:from>
    <xdr:to>
      <xdr:col>18</xdr:col>
      <xdr:colOff>476250</xdr:colOff>
      <xdr:row>15</xdr:row>
      <xdr:rowOff>285750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0825" y="5259070"/>
          <a:ext cx="2762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123825</xdr:colOff>
      <xdr:row>20</xdr:row>
      <xdr:rowOff>180976</xdr:rowOff>
    </xdr:from>
    <xdr:to>
      <xdr:col>18</xdr:col>
      <xdr:colOff>657225</xdr:colOff>
      <xdr:row>21</xdr:row>
      <xdr:rowOff>561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34625" y="7881620"/>
          <a:ext cx="5334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47625</xdr:colOff>
      <xdr:row>21</xdr:row>
      <xdr:rowOff>142875</xdr:rowOff>
    </xdr:from>
    <xdr:to>
      <xdr:col>18</xdr:col>
      <xdr:colOff>635713</xdr:colOff>
      <xdr:row>21</xdr:row>
      <xdr:rowOff>476250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0258425" y="8350885"/>
          <a:ext cx="5880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55413</xdr:colOff>
      <xdr:row>22</xdr:row>
      <xdr:rowOff>209551</xdr:rowOff>
    </xdr:from>
    <xdr:to>
      <xdr:col>18</xdr:col>
      <xdr:colOff>641570</xdr:colOff>
      <xdr:row>22</xdr:row>
      <xdr:rowOff>409575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0266045" y="8924925"/>
          <a:ext cx="58610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34925</xdr:colOff>
      <xdr:row>53</xdr:row>
      <xdr:rowOff>50800</xdr:rowOff>
    </xdr:from>
    <xdr:to>
      <xdr:col>18</xdr:col>
      <xdr:colOff>617220</xdr:colOff>
      <xdr:row>53</xdr:row>
      <xdr:rowOff>463550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45725" y="24494490"/>
          <a:ext cx="582295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73025</xdr:colOff>
      <xdr:row>56</xdr:row>
      <xdr:rowOff>109220</xdr:rowOff>
    </xdr:from>
    <xdr:to>
      <xdr:col>18</xdr:col>
      <xdr:colOff>591820</xdr:colOff>
      <xdr:row>56</xdr:row>
      <xdr:rowOff>453390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3825" y="26075005"/>
          <a:ext cx="51879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76200</xdr:colOff>
      <xdr:row>58</xdr:row>
      <xdr:rowOff>76202</xdr:rowOff>
    </xdr:from>
    <xdr:to>
      <xdr:col>18</xdr:col>
      <xdr:colOff>676275</xdr:colOff>
      <xdr:row>58</xdr:row>
      <xdr:rowOff>500634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0" y="27056715"/>
          <a:ext cx="600075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</xdr:colOff>
      <xdr:row>59</xdr:row>
      <xdr:rowOff>76200</xdr:rowOff>
    </xdr:from>
    <xdr:to>
      <xdr:col>18</xdr:col>
      <xdr:colOff>619125</xdr:colOff>
      <xdr:row>59</xdr:row>
      <xdr:rowOff>500632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29850" y="27564080"/>
          <a:ext cx="600075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238124</xdr:colOff>
      <xdr:row>60</xdr:row>
      <xdr:rowOff>123826</xdr:rowOff>
    </xdr:from>
    <xdr:to>
      <xdr:col>18</xdr:col>
      <xdr:colOff>611884</xdr:colOff>
      <xdr:row>60</xdr:row>
      <xdr:rowOff>457200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0448290" y="28119070"/>
          <a:ext cx="37401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85724</xdr:colOff>
      <xdr:row>61</xdr:row>
      <xdr:rowOff>142875</xdr:rowOff>
    </xdr:from>
    <xdr:to>
      <xdr:col>18</xdr:col>
      <xdr:colOff>600074</xdr:colOff>
      <xdr:row>61</xdr:row>
      <xdr:rowOff>342900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95890" y="28645485"/>
          <a:ext cx="514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123825</xdr:colOff>
      <xdr:row>62</xdr:row>
      <xdr:rowOff>180975</xdr:rowOff>
    </xdr:from>
    <xdr:to>
      <xdr:col>18</xdr:col>
      <xdr:colOff>590550</xdr:colOff>
      <xdr:row>62</xdr:row>
      <xdr:rowOff>502969</xdr:rowOff>
    </xdr:to>
    <xdr:pic>
      <xdr:nvPicPr>
        <xdr:cNvPr id="144" name="图片 143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34625" y="29190950"/>
          <a:ext cx="466725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123825</xdr:colOff>
      <xdr:row>63</xdr:row>
      <xdr:rowOff>171450</xdr:rowOff>
    </xdr:from>
    <xdr:to>
      <xdr:col>18</xdr:col>
      <xdr:colOff>533400</xdr:colOff>
      <xdr:row>64</xdr:row>
      <xdr:rowOff>560</xdr:rowOff>
    </xdr:to>
    <xdr:pic>
      <xdr:nvPicPr>
        <xdr:cNvPr id="146" name="图片 145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34625" y="29688790"/>
          <a:ext cx="409575" cy="33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179294</xdr:colOff>
      <xdr:row>9</xdr:row>
      <xdr:rowOff>33617</xdr:rowOff>
    </xdr:from>
    <xdr:to>
      <xdr:col>18</xdr:col>
      <xdr:colOff>470647</xdr:colOff>
      <xdr:row>9</xdr:row>
      <xdr:rowOff>436837</xdr:rowOff>
    </xdr:to>
    <xdr:pic>
      <xdr:nvPicPr>
        <xdr:cNvPr id="121" name="图片 120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9870" y="2152650"/>
          <a:ext cx="291465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281609</xdr:colOff>
      <xdr:row>69</xdr:row>
      <xdr:rowOff>173936</xdr:rowOff>
    </xdr:from>
    <xdr:to>
      <xdr:col>18</xdr:col>
      <xdr:colOff>604630</xdr:colOff>
      <xdr:row>69</xdr:row>
      <xdr:rowOff>299999</xdr:rowOff>
    </xdr:to>
    <xdr:pic>
      <xdr:nvPicPr>
        <xdr:cNvPr id="122" name="图片 121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92105" y="32734885"/>
          <a:ext cx="323215" cy="126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152400</xdr:colOff>
      <xdr:row>126</xdr:row>
      <xdr:rowOff>57150</xdr:rowOff>
    </xdr:from>
    <xdr:to>
      <xdr:col>18</xdr:col>
      <xdr:colOff>419100</xdr:colOff>
      <xdr:row>126</xdr:row>
      <xdr:rowOff>257175</xdr:rowOff>
    </xdr:to>
    <xdr:pic>
      <xdr:nvPicPr>
        <xdr:cNvPr id="119" name="Picture 1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63200" y="61795025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127</xdr:row>
      <xdr:rowOff>19050</xdr:rowOff>
    </xdr:from>
    <xdr:to>
      <xdr:col>18</xdr:col>
      <xdr:colOff>628650</xdr:colOff>
      <xdr:row>127</xdr:row>
      <xdr:rowOff>466725</xdr:rowOff>
    </xdr:to>
    <xdr:pic>
      <xdr:nvPicPr>
        <xdr:cNvPr id="117" name="Picture 13600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10296525" y="62264290"/>
          <a:ext cx="5429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189939</xdr:colOff>
      <xdr:row>137</xdr:row>
      <xdr:rowOff>136151</xdr:rowOff>
    </xdr:from>
    <xdr:to>
      <xdr:col>18</xdr:col>
      <xdr:colOff>428064</xdr:colOff>
      <xdr:row>137</xdr:row>
      <xdr:rowOff>383801</xdr:rowOff>
    </xdr:to>
    <xdr:pic>
      <xdr:nvPicPr>
        <xdr:cNvPr id="123" name="Picture 122" descr="rId420"/>
        <xdr:cNvPicPr>
          <a:picLocks noChangeAspect="1" noChangeArrowheads="1"/>
        </xdr:cNvPicPr>
      </xdr:nvPicPr>
      <xdr:blipFill>
        <a:blip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10400665" y="674547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154641</xdr:colOff>
      <xdr:row>138</xdr:row>
      <xdr:rowOff>170328</xdr:rowOff>
    </xdr:from>
    <xdr:to>
      <xdr:col>18</xdr:col>
      <xdr:colOff>421341</xdr:colOff>
      <xdr:row>138</xdr:row>
      <xdr:rowOff>389403</xdr:rowOff>
    </xdr:to>
    <xdr:pic>
      <xdr:nvPicPr>
        <xdr:cNvPr id="129" name="Picture 27537" descr="rId421"/>
        <xdr:cNvPicPr>
          <a:picLocks noChangeAspect="1" noChangeArrowheads="1"/>
        </xdr:cNvPicPr>
      </xdr:nvPicPr>
      <xdr:blipFill>
        <a:blip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10365105" y="6799643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154641</xdr:colOff>
      <xdr:row>138</xdr:row>
      <xdr:rowOff>211149</xdr:rowOff>
    </xdr:from>
    <xdr:to>
      <xdr:col>18</xdr:col>
      <xdr:colOff>421341</xdr:colOff>
      <xdr:row>138</xdr:row>
      <xdr:rowOff>430224</xdr:rowOff>
    </xdr:to>
    <xdr:pic>
      <xdr:nvPicPr>
        <xdr:cNvPr id="131" name="Picture 27537" descr="rId421"/>
        <xdr:cNvPicPr>
          <a:picLocks noChangeAspect="1" noChangeArrowheads="1"/>
        </xdr:cNvPicPr>
      </xdr:nvPicPr>
      <xdr:blipFill>
        <a:blip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10365105" y="6803707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208280</xdr:colOff>
      <xdr:row>66</xdr:row>
      <xdr:rowOff>109220</xdr:rowOff>
    </xdr:from>
    <xdr:to>
      <xdr:col>18</xdr:col>
      <xdr:colOff>523240</xdr:colOff>
      <xdr:row>66</xdr:row>
      <xdr:rowOff>412115</xdr:rowOff>
    </xdr:to>
    <xdr:pic>
      <xdr:nvPicPr>
        <xdr:cNvPr id="6" name="图片 5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0419080" y="31148655"/>
          <a:ext cx="314960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194310</xdr:colOff>
      <xdr:row>132</xdr:row>
      <xdr:rowOff>88265</xdr:rowOff>
    </xdr:from>
    <xdr:to>
      <xdr:col>18</xdr:col>
      <xdr:colOff>561975</xdr:colOff>
      <xdr:row>132</xdr:row>
      <xdr:rowOff>462280</xdr:rowOff>
    </xdr:to>
    <xdr:pic>
      <xdr:nvPicPr>
        <xdr:cNvPr id="8" name="图片 7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0405110" y="64870330"/>
          <a:ext cx="367665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95250</xdr:colOff>
      <xdr:row>90</xdr:row>
      <xdr:rowOff>257175</xdr:rowOff>
    </xdr:from>
    <xdr:to>
      <xdr:col>18</xdr:col>
      <xdr:colOff>95250</xdr:colOff>
      <xdr:row>90</xdr:row>
      <xdr:rowOff>257175</xdr:rowOff>
    </xdr:to>
    <xdr:pic>
      <xdr:nvPicPr>
        <xdr:cNvPr id="9" name="Picture 2502"/>
        <xdr:cNvPicPr>
          <a:picLocks noChangeAspect="1" noChangeArrowheads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10306050" y="4347337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219075</xdr:colOff>
      <xdr:row>90</xdr:row>
      <xdr:rowOff>114300</xdr:rowOff>
    </xdr:from>
    <xdr:to>
      <xdr:col>18</xdr:col>
      <xdr:colOff>517798</xdr:colOff>
      <xdr:row>90</xdr:row>
      <xdr:rowOff>390525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29875" y="43330495"/>
          <a:ext cx="2984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66040</xdr:colOff>
      <xdr:row>27</xdr:row>
      <xdr:rowOff>107315</xdr:rowOff>
    </xdr:from>
    <xdr:to>
      <xdr:col>18</xdr:col>
      <xdr:colOff>438150</xdr:colOff>
      <xdr:row>27</xdr:row>
      <xdr:rowOff>422910</xdr:rowOff>
    </xdr:to>
    <xdr:pic>
      <xdr:nvPicPr>
        <xdr:cNvPr id="12" name="图片 11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0276840" y="11359515"/>
          <a:ext cx="37211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123825</xdr:colOff>
      <xdr:row>28</xdr:row>
      <xdr:rowOff>59690</xdr:rowOff>
    </xdr:from>
    <xdr:to>
      <xdr:col>18</xdr:col>
      <xdr:colOff>504825</xdr:colOff>
      <xdr:row>29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0334625" y="11819255"/>
          <a:ext cx="381000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266700</xdr:colOff>
      <xdr:row>39</xdr:row>
      <xdr:rowOff>69215</xdr:rowOff>
    </xdr:from>
    <xdr:to>
      <xdr:col>18</xdr:col>
      <xdr:colOff>552450</xdr:colOff>
      <xdr:row>39</xdr:row>
      <xdr:rowOff>381635</xdr:rowOff>
    </xdr:to>
    <xdr:pic>
      <xdr:nvPicPr>
        <xdr:cNvPr id="16" name="图片 15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0477500" y="17409795"/>
          <a:ext cx="28575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142240</xdr:colOff>
      <xdr:row>41</xdr:row>
      <xdr:rowOff>126365</xdr:rowOff>
    </xdr:from>
    <xdr:to>
      <xdr:col>18</xdr:col>
      <xdr:colOff>647700</xdr:colOff>
      <xdr:row>41</xdr:row>
      <xdr:rowOff>299720</xdr:rowOff>
    </xdr:to>
    <xdr:pic>
      <xdr:nvPicPr>
        <xdr:cNvPr id="18" name="图片 17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0353040" y="18481675"/>
          <a:ext cx="5054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128795</xdr:colOff>
      <xdr:row>125</xdr:row>
      <xdr:rowOff>77442</xdr:rowOff>
    </xdr:from>
    <xdr:to>
      <xdr:col>18</xdr:col>
      <xdr:colOff>500270</xdr:colOff>
      <xdr:row>125</xdr:row>
      <xdr:rowOff>266700</xdr:rowOff>
    </xdr:to>
    <xdr:pic>
      <xdr:nvPicPr>
        <xdr:cNvPr id="60" name="Picture 13596"/>
        <xdr:cNvPicPr>
          <a:picLocks noChangeAspect="1" noChangeArrowheads="1"/>
        </xdr:cNvPicPr>
      </xdr:nvPicPr>
      <xdr:blipFill>
        <a:blip r:embed="rId93" cstate="print"/>
        <a:srcRect/>
        <a:stretch>
          <a:fillRect/>
        </a:stretch>
      </xdr:blipFill>
      <xdr:spPr>
        <a:xfrm>
          <a:off x="10339070" y="61307345"/>
          <a:ext cx="371475" cy="189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187325</xdr:colOff>
      <xdr:row>85</xdr:row>
      <xdr:rowOff>61595</xdr:rowOff>
    </xdr:from>
    <xdr:to>
      <xdr:col>18</xdr:col>
      <xdr:colOff>561975</xdr:colOff>
      <xdr:row>85</xdr:row>
      <xdr:rowOff>440690</xdr:rowOff>
    </xdr:to>
    <xdr:pic>
      <xdr:nvPicPr>
        <xdr:cNvPr id="4" name="图片 3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0398125" y="40740965"/>
          <a:ext cx="37465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186055</xdr:colOff>
      <xdr:row>86</xdr:row>
      <xdr:rowOff>57150</xdr:rowOff>
    </xdr:from>
    <xdr:to>
      <xdr:col>18</xdr:col>
      <xdr:colOff>572770</xdr:colOff>
      <xdr:row>86</xdr:row>
      <xdr:rowOff>422910</xdr:rowOff>
    </xdr:to>
    <xdr:pic>
      <xdr:nvPicPr>
        <xdr:cNvPr id="51" name="图片 50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0396855" y="41243885"/>
          <a:ext cx="386715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156210</xdr:colOff>
      <xdr:row>93</xdr:row>
      <xdr:rowOff>147320</xdr:rowOff>
    </xdr:from>
    <xdr:to>
      <xdr:col>18</xdr:col>
      <xdr:colOff>394335</xdr:colOff>
      <xdr:row>93</xdr:row>
      <xdr:rowOff>394970</xdr:rowOff>
    </xdr:to>
    <xdr:pic>
      <xdr:nvPicPr>
        <xdr:cNvPr id="72" name="Picture 122" descr="rId420"/>
        <xdr:cNvPicPr>
          <a:picLocks noChangeAspect="1" noChangeArrowheads="1"/>
        </xdr:cNvPicPr>
      </xdr:nvPicPr>
      <xdr:blipFill>
        <a:blip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10367010" y="4488561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124460</xdr:colOff>
      <xdr:row>10</xdr:row>
      <xdr:rowOff>83820</xdr:rowOff>
    </xdr:from>
    <xdr:to>
      <xdr:col>18</xdr:col>
      <xdr:colOff>415925</xdr:colOff>
      <xdr:row>10</xdr:row>
      <xdr:rowOff>487045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35260" y="2710815"/>
          <a:ext cx="291465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167005</xdr:colOff>
      <xdr:row>12</xdr:row>
      <xdr:rowOff>83820</xdr:rowOff>
    </xdr:from>
    <xdr:to>
      <xdr:col>18</xdr:col>
      <xdr:colOff>462280</xdr:colOff>
      <xdr:row>12</xdr:row>
      <xdr:rowOff>458470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77805" y="3725545"/>
          <a:ext cx="295275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81915</xdr:colOff>
      <xdr:row>16</xdr:row>
      <xdr:rowOff>136525</xdr:rowOff>
    </xdr:from>
    <xdr:to>
      <xdr:col>18</xdr:col>
      <xdr:colOff>358140</xdr:colOff>
      <xdr:row>16</xdr:row>
      <xdr:rowOff>326390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92715" y="5807710"/>
          <a:ext cx="276225" cy="1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100330</xdr:colOff>
      <xdr:row>53</xdr:row>
      <xdr:rowOff>504190</xdr:rowOff>
    </xdr:from>
    <xdr:to>
      <xdr:col>18</xdr:col>
      <xdr:colOff>525145</xdr:colOff>
      <xdr:row>54</xdr:row>
      <xdr:rowOff>498475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11130" y="24947880"/>
          <a:ext cx="424815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124460</xdr:colOff>
      <xdr:row>57</xdr:row>
      <xdr:rowOff>93980</xdr:rowOff>
    </xdr:from>
    <xdr:to>
      <xdr:col>18</xdr:col>
      <xdr:colOff>610235</xdr:colOff>
      <xdr:row>57</xdr:row>
      <xdr:rowOff>417830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35260" y="26567130"/>
          <a:ext cx="4857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219075</xdr:colOff>
      <xdr:row>72</xdr:row>
      <xdr:rowOff>75565</xdr:rowOff>
    </xdr:from>
    <xdr:to>
      <xdr:col>18</xdr:col>
      <xdr:colOff>442595</xdr:colOff>
      <xdr:row>72</xdr:row>
      <xdr:rowOff>438785</xdr:rowOff>
    </xdr:to>
    <xdr:pic>
      <xdr:nvPicPr>
        <xdr:cNvPr id="92" name="图片 91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 flipH="1">
          <a:off x="10429875" y="34159190"/>
          <a:ext cx="22352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229235</xdr:colOff>
      <xdr:row>73</xdr:row>
      <xdr:rowOff>146050</xdr:rowOff>
    </xdr:from>
    <xdr:to>
      <xdr:col>18</xdr:col>
      <xdr:colOff>584835</xdr:colOff>
      <xdr:row>73</xdr:row>
      <xdr:rowOff>433705</xdr:rowOff>
    </xdr:to>
    <xdr:pic>
      <xdr:nvPicPr>
        <xdr:cNvPr id="99" name="图片 98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0440035" y="34737040"/>
          <a:ext cx="35560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80755</xdr:colOff>
      <xdr:row>43</xdr:row>
      <xdr:rowOff>27333</xdr:rowOff>
    </xdr:from>
    <xdr:to>
      <xdr:col>18</xdr:col>
      <xdr:colOff>600074</xdr:colOff>
      <xdr:row>43</xdr:row>
      <xdr:rowOff>419101</xdr:rowOff>
    </xdr:to>
    <xdr:pic>
      <xdr:nvPicPr>
        <xdr:cNvPr id="101" name="图片 100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10291445" y="19397345"/>
          <a:ext cx="518795" cy="391795"/>
        </a:xfrm>
        <a:prstGeom prst="rect">
          <a:avLst/>
        </a:prstGeom>
      </xdr:spPr>
    </xdr:pic>
    <xdr:clientData/>
  </xdr:twoCellAnchor>
  <xdr:twoCellAnchor>
    <xdr:from>
      <xdr:col>18</xdr:col>
      <xdr:colOff>59440</xdr:colOff>
      <xdr:row>37</xdr:row>
      <xdr:rowOff>78442</xdr:rowOff>
    </xdr:from>
    <xdr:to>
      <xdr:col>18</xdr:col>
      <xdr:colOff>538370</xdr:colOff>
      <xdr:row>37</xdr:row>
      <xdr:rowOff>410307</xdr:rowOff>
    </xdr:to>
    <xdr:pic>
      <xdr:nvPicPr>
        <xdr:cNvPr id="102" name="图片 101"/>
        <xdr:cNvPicPr>
          <a:picLocks noChangeAspect="1"/>
        </xdr:cNvPicPr>
      </xdr:nvPicPr>
      <xdr:blipFill>
        <a:blip r:embed="rId58" cstate="print"/>
        <a:stretch>
          <a:fillRect/>
        </a:stretch>
      </xdr:blipFill>
      <xdr:spPr>
        <a:xfrm>
          <a:off x="10269855" y="16403955"/>
          <a:ext cx="478790" cy="332105"/>
        </a:xfrm>
        <a:prstGeom prst="rect">
          <a:avLst/>
        </a:prstGeom>
      </xdr:spPr>
    </xdr:pic>
    <xdr:clientData/>
  </xdr:twoCellAnchor>
  <xdr:twoCellAnchor>
    <xdr:from>
      <xdr:col>18</xdr:col>
      <xdr:colOff>98418</xdr:colOff>
      <xdr:row>51</xdr:row>
      <xdr:rowOff>175371</xdr:rowOff>
    </xdr:from>
    <xdr:to>
      <xdr:col>18</xdr:col>
      <xdr:colOff>505238</xdr:colOff>
      <xdr:row>51</xdr:row>
      <xdr:rowOff>409575</xdr:rowOff>
    </xdr:to>
    <xdr:pic>
      <xdr:nvPicPr>
        <xdr:cNvPr id="103" name="图片 102"/>
        <xdr:cNvPicPr>
          <a:picLocks noChangeAspect="1"/>
        </xdr:cNvPicPr>
      </xdr:nvPicPr>
      <xdr:blipFill>
        <a:blip r:embed="rId59" cstate="print"/>
        <a:stretch>
          <a:fillRect/>
        </a:stretch>
      </xdr:blipFill>
      <xdr:spPr>
        <a:xfrm>
          <a:off x="10308590" y="23604220"/>
          <a:ext cx="407035" cy="234315"/>
        </a:xfrm>
        <a:prstGeom prst="rect">
          <a:avLst/>
        </a:prstGeom>
      </xdr:spPr>
    </xdr:pic>
    <xdr:clientData/>
  </xdr:twoCellAnchor>
  <xdr:twoCellAnchor>
    <xdr:from>
      <xdr:col>18</xdr:col>
      <xdr:colOff>113926</xdr:colOff>
      <xdr:row>23</xdr:row>
      <xdr:rowOff>46068</xdr:rowOff>
    </xdr:from>
    <xdr:to>
      <xdr:col>18</xdr:col>
      <xdr:colOff>466351</xdr:colOff>
      <xdr:row>23</xdr:row>
      <xdr:rowOff>449480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4465" y="9268460"/>
          <a:ext cx="352425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137582</xdr:colOff>
      <xdr:row>24</xdr:row>
      <xdr:rowOff>34864</xdr:rowOff>
    </xdr:from>
    <xdr:to>
      <xdr:col>18</xdr:col>
      <xdr:colOff>488326</xdr:colOff>
      <xdr:row>24</xdr:row>
      <xdr:rowOff>471893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47960" y="9764395"/>
          <a:ext cx="351155" cy="437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76614</xdr:colOff>
      <xdr:row>111</xdr:row>
      <xdr:rowOff>41827</xdr:rowOff>
    </xdr:from>
    <xdr:to>
      <xdr:col>18</xdr:col>
      <xdr:colOff>496956</xdr:colOff>
      <xdr:row>111</xdr:row>
      <xdr:rowOff>495300</xdr:rowOff>
    </xdr:to>
    <xdr:pic>
      <xdr:nvPicPr>
        <xdr:cNvPr id="7" name="Picture 5638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10287000" y="54040405"/>
          <a:ext cx="42037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L115" sqref="AL115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85"/>
  <sheetViews>
    <sheetView view="pageBreakPreview" zoomScale="70" zoomScaleNormal="100" topLeftCell="A154" workbookViewId="0">
      <selection activeCell="AN159" sqref="AN159"/>
    </sheetView>
  </sheetViews>
  <sheetFormatPr defaultColWidth="9" defaultRowHeight="14.25"/>
  <cols>
    <col min="1" max="1" width="5.875" style="365" customWidth="1"/>
    <col min="2" max="3" width="2.625" style="365" customWidth="1"/>
    <col min="4" max="4" width="4" style="365" customWidth="1"/>
    <col min="5" max="11" width="2.625" style="365" customWidth="1"/>
    <col min="12" max="12" width="8" style="365" customWidth="1"/>
    <col min="13" max="13" width="20.875" style="365" customWidth="1"/>
    <col min="14" max="14" width="22.125" style="365" customWidth="1"/>
    <col min="15" max="15" width="28.875" style="365" customWidth="1"/>
    <col min="16" max="16" width="20.375" style="366" hidden="1" customWidth="1" outlineLevel="1"/>
    <col min="17" max="18" width="8.875" style="365" hidden="1" customWidth="1" outlineLevel="1"/>
    <col min="19" max="19" width="10.5" style="365" customWidth="1" collapsed="1"/>
    <col min="20" max="20" width="6.125" style="367" hidden="1" customWidth="1" outlineLevel="1"/>
    <col min="21" max="21" width="20.5" style="365" hidden="1" customWidth="1" outlineLevel="1"/>
    <col min="22" max="22" width="8.125" style="368" hidden="1" customWidth="1" outlineLevel="1"/>
    <col min="23" max="23" width="9.25" style="367" hidden="1" customWidth="1" outlineLevel="1"/>
    <col min="24" max="24" width="14.625" style="367" hidden="1" customWidth="1" outlineLevel="1"/>
    <col min="25" max="25" width="17.875" style="367" hidden="1" customWidth="1" outlineLevel="1"/>
    <col min="26" max="26" width="24.25" style="367" hidden="1" customWidth="1" outlineLevel="1"/>
    <col min="27" max="27" width="16.375" style="367" hidden="1" customWidth="1" outlineLevel="1"/>
    <col min="28" max="28" width="17.875" style="365" hidden="1" customWidth="1" outlineLevel="1"/>
    <col min="29" max="29" width="14.625" style="369" hidden="1" customWidth="1" outlineLevel="1"/>
    <col min="30" max="30" width="12.5" style="365" hidden="1" customWidth="1" outlineLevel="1"/>
    <col min="31" max="31" width="11.625" style="365" hidden="1" customWidth="1" outlineLevel="2"/>
    <col min="32" max="33" width="11.875" style="365" hidden="1" customWidth="1" outlineLevel="2"/>
    <col min="34" max="34" width="10" style="365" hidden="1" customWidth="1" outlineLevel="2"/>
    <col min="35" max="35" width="10.375" style="365" hidden="1" customWidth="1" outlineLevel="2"/>
    <col min="36" max="36" width="12.75" style="365" hidden="1" customWidth="1" outlineLevel="2"/>
    <col min="37" max="37" width="8.375" style="365" hidden="1" customWidth="1" outlineLevel="2"/>
    <col min="38" max="38" width="8.75" style="365" hidden="1" customWidth="1" outlineLevel="2"/>
    <col min="39" max="39" width="10.5" style="365" customWidth="1" collapsed="1"/>
    <col min="40" max="40" width="35" style="365" customWidth="1"/>
    <col min="41" max="41" width="7.25" style="365" customWidth="1"/>
    <col min="42" max="42" width="11.125" style="365" customWidth="1"/>
    <col min="43" max="43" width="14.625" style="365" customWidth="1"/>
    <col min="44" max="44" width="14.625" style="370" customWidth="1"/>
    <col min="45" max="45" width="14.625" style="365" customWidth="1"/>
    <col min="46" max="47" width="14.625" style="365" hidden="1" customWidth="1"/>
    <col min="48" max="16384" width="9" style="365"/>
  </cols>
  <sheetData>
    <row r="1" ht="20.25" customHeight="1" spans="1:44">
      <c r="A1" s="371"/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512"/>
    </row>
    <row r="2" ht="27.75" customHeight="1" spans="1:47">
      <c r="A2" s="372" t="s">
        <v>0</v>
      </c>
      <c r="B2" s="373"/>
      <c r="C2" s="373"/>
      <c r="D2" s="373"/>
      <c r="E2" s="374"/>
      <c r="F2" s="375" t="s">
        <v>1</v>
      </c>
      <c r="G2" s="376"/>
      <c r="H2" s="376"/>
      <c r="I2" s="376"/>
      <c r="J2" s="376"/>
      <c r="K2" s="397"/>
      <c r="L2" s="398" t="s">
        <v>2</v>
      </c>
      <c r="M2" s="399"/>
      <c r="N2" s="399"/>
      <c r="O2" s="400"/>
      <c r="P2" s="401" t="s">
        <v>3</v>
      </c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  <c r="AG2" s="401"/>
      <c r="AH2" s="401"/>
      <c r="AI2" s="401"/>
      <c r="AJ2" s="401"/>
      <c r="AK2" s="401"/>
      <c r="AL2" s="401"/>
      <c r="AM2" s="401"/>
      <c r="AN2" s="401"/>
      <c r="AO2" s="401"/>
      <c r="AP2" s="513" t="s">
        <v>4</v>
      </c>
      <c r="AQ2" s="514" t="s">
        <v>5</v>
      </c>
      <c r="AR2" s="515" t="s">
        <v>6</v>
      </c>
      <c r="AS2" s="236" t="s">
        <v>7</v>
      </c>
      <c r="AT2" s="514" t="s">
        <v>8</v>
      </c>
      <c r="AU2" s="514" t="s">
        <v>8</v>
      </c>
    </row>
    <row r="3" ht="27.75" customHeight="1" spans="1:47">
      <c r="A3" s="377"/>
      <c r="B3" s="20"/>
      <c r="C3" s="20"/>
      <c r="D3" s="20"/>
      <c r="E3" s="21"/>
      <c r="F3" s="22"/>
      <c r="G3" s="23"/>
      <c r="H3" s="23"/>
      <c r="I3" s="23"/>
      <c r="J3" s="23"/>
      <c r="K3" s="53"/>
      <c r="L3" s="54"/>
      <c r="M3" s="55"/>
      <c r="N3" s="55"/>
      <c r="O3" s="56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  <c r="AH3" s="401"/>
      <c r="AI3" s="401"/>
      <c r="AJ3" s="401"/>
      <c r="AK3" s="401"/>
      <c r="AL3" s="401"/>
      <c r="AM3" s="401"/>
      <c r="AN3" s="401"/>
      <c r="AO3" s="401"/>
      <c r="AP3" s="513" t="s">
        <v>9</v>
      </c>
      <c r="AQ3" s="236" t="s">
        <v>10</v>
      </c>
      <c r="AR3" s="303" t="s">
        <v>11</v>
      </c>
      <c r="AS3" s="236" t="s">
        <v>12</v>
      </c>
      <c r="AT3" s="236" t="s">
        <v>13</v>
      </c>
      <c r="AU3" s="236" t="s">
        <v>14</v>
      </c>
    </row>
    <row r="4" ht="27" customHeight="1" spans="1:47">
      <c r="A4" s="378" t="s">
        <v>15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  <c r="AD4" s="401"/>
      <c r="AE4" s="401"/>
      <c r="AF4" s="401"/>
      <c r="AG4" s="401"/>
      <c r="AH4" s="401"/>
      <c r="AI4" s="401"/>
      <c r="AJ4" s="401"/>
      <c r="AK4" s="401"/>
      <c r="AL4" s="401"/>
      <c r="AM4" s="401"/>
      <c r="AN4" s="401"/>
      <c r="AO4" s="401"/>
      <c r="AP4" s="513" t="s">
        <v>16</v>
      </c>
      <c r="AQ4" s="513" t="s">
        <v>17</v>
      </c>
      <c r="AR4" s="516" t="s">
        <v>17</v>
      </c>
      <c r="AS4" s="513" t="s">
        <v>17</v>
      </c>
      <c r="AT4" s="513" t="s">
        <v>17</v>
      </c>
      <c r="AU4" s="513" t="s">
        <v>17</v>
      </c>
    </row>
    <row r="5" ht="31.5" customHeight="1" spans="1:47">
      <c r="A5" s="379" t="s">
        <v>18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 t="s">
        <v>19</v>
      </c>
      <c r="O5" s="402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401"/>
      <c r="AC5" s="401"/>
      <c r="AD5" s="401"/>
      <c r="AE5" s="401"/>
      <c r="AF5" s="401"/>
      <c r="AG5" s="401"/>
      <c r="AH5" s="401"/>
      <c r="AI5" s="401"/>
      <c r="AJ5" s="401"/>
      <c r="AK5" s="401"/>
      <c r="AL5" s="401"/>
      <c r="AM5" s="401"/>
      <c r="AN5" s="401"/>
      <c r="AO5" s="401"/>
      <c r="AP5" s="513" t="s">
        <v>20</v>
      </c>
      <c r="AQ5" s="513" t="s">
        <v>21</v>
      </c>
      <c r="AR5" s="516" t="s">
        <v>22</v>
      </c>
      <c r="AS5" s="513" t="s">
        <v>22</v>
      </c>
      <c r="AT5" s="513" t="s">
        <v>23</v>
      </c>
      <c r="AU5" s="513" t="s">
        <v>24</v>
      </c>
    </row>
    <row r="6" ht="28.5" customHeight="1" spans="1:47">
      <c r="A6" s="380" t="s">
        <v>25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1"/>
      <c r="AM6" s="401"/>
      <c r="AN6" s="401"/>
      <c r="AO6" s="401"/>
      <c r="AP6" s="513" t="s">
        <v>26</v>
      </c>
      <c r="AQ6" s="513" t="s">
        <v>27</v>
      </c>
      <c r="AR6" s="516" t="s">
        <v>27</v>
      </c>
      <c r="AS6" s="513" t="s">
        <v>28</v>
      </c>
      <c r="AT6" s="517"/>
      <c r="AU6" s="517"/>
    </row>
    <row r="7" ht="28.5" customHeight="1" spans="1:47">
      <c r="A7" s="381" t="s">
        <v>29</v>
      </c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  <c r="AE7" s="401"/>
      <c r="AF7" s="401"/>
      <c r="AG7" s="401"/>
      <c r="AH7" s="401"/>
      <c r="AI7" s="401"/>
      <c r="AJ7" s="401"/>
      <c r="AK7" s="401"/>
      <c r="AL7" s="401"/>
      <c r="AM7" s="401"/>
      <c r="AN7" s="401"/>
      <c r="AO7" s="401"/>
      <c r="AP7" s="518" t="s">
        <v>30</v>
      </c>
      <c r="AQ7" s="513"/>
      <c r="AR7" s="516"/>
      <c r="AS7" s="311"/>
      <c r="AT7" s="517"/>
      <c r="AU7" s="517"/>
    </row>
    <row r="8" s="11" customFormat="1" ht="24.95" customHeight="1" spans="1:47">
      <c r="A8" s="382" t="s">
        <v>31</v>
      </c>
      <c r="B8" s="383" t="s">
        <v>32</v>
      </c>
      <c r="C8" s="383"/>
      <c r="D8" s="383"/>
      <c r="E8" s="383"/>
      <c r="F8" s="383"/>
      <c r="G8" s="383"/>
      <c r="H8" s="383"/>
      <c r="I8" s="383"/>
      <c r="J8" s="383"/>
      <c r="K8" s="383"/>
      <c r="L8" s="383" t="s">
        <v>33</v>
      </c>
      <c r="M8" s="403" t="s">
        <v>34</v>
      </c>
      <c r="N8" s="404" t="s">
        <v>4</v>
      </c>
      <c r="O8" s="383" t="s">
        <v>16</v>
      </c>
      <c r="P8" s="405" t="s">
        <v>35</v>
      </c>
      <c r="Q8" s="383" t="s">
        <v>36</v>
      </c>
      <c r="R8" s="405" t="s">
        <v>37</v>
      </c>
      <c r="S8" s="405" t="s">
        <v>38</v>
      </c>
      <c r="T8" s="426" t="s">
        <v>39</v>
      </c>
      <c r="U8" s="427" t="s">
        <v>40</v>
      </c>
      <c r="V8" s="428" t="s">
        <v>41</v>
      </c>
      <c r="W8" s="426" t="s">
        <v>42</v>
      </c>
      <c r="X8" s="429" t="s">
        <v>43</v>
      </c>
      <c r="Y8" s="429" t="s">
        <v>44</v>
      </c>
      <c r="Z8" s="445" t="s">
        <v>45</v>
      </c>
      <c r="AA8" s="445" t="s">
        <v>46</v>
      </c>
      <c r="AB8" s="446" t="s">
        <v>47</v>
      </c>
      <c r="AC8" s="447" t="s">
        <v>48</v>
      </c>
      <c r="AD8" s="446" t="s">
        <v>49</v>
      </c>
      <c r="AE8" s="448" t="s">
        <v>50</v>
      </c>
      <c r="AF8" s="449" t="s">
        <v>51</v>
      </c>
      <c r="AG8" s="478"/>
      <c r="AH8" s="479"/>
      <c r="AI8" s="480" t="s">
        <v>52</v>
      </c>
      <c r="AJ8" s="481" t="s">
        <v>53</v>
      </c>
      <c r="AK8" s="480" t="s">
        <v>54</v>
      </c>
      <c r="AL8" s="480" t="s">
        <v>55</v>
      </c>
      <c r="AM8" s="482" t="s">
        <v>56</v>
      </c>
      <c r="AN8" s="482" t="s">
        <v>57</v>
      </c>
      <c r="AO8" s="519" t="s">
        <v>58</v>
      </c>
      <c r="AP8" s="520" t="s">
        <v>59</v>
      </c>
      <c r="AQ8" s="521" t="s">
        <v>60</v>
      </c>
      <c r="AR8" s="522" t="s">
        <v>60</v>
      </c>
      <c r="AS8" s="521" t="s">
        <v>60</v>
      </c>
      <c r="AT8" s="521" t="s">
        <v>60</v>
      </c>
      <c r="AU8" s="521" t="s">
        <v>60</v>
      </c>
    </row>
    <row r="9" s="355" customFormat="1" ht="24.95" customHeight="1" spans="1:47">
      <c r="A9" s="384"/>
      <c r="B9" s="385">
        <v>0</v>
      </c>
      <c r="C9" s="385">
        <v>1</v>
      </c>
      <c r="D9" s="385">
        <v>2</v>
      </c>
      <c r="E9" s="385">
        <v>3</v>
      </c>
      <c r="F9" s="385">
        <v>4</v>
      </c>
      <c r="G9" s="385">
        <v>5</v>
      </c>
      <c r="H9" s="385">
        <v>6</v>
      </c>
      <c r="I9" s="385">
        <v>7</v>
      </c>
      <c r="J9" s="385">
        <v>8</v>
      </c>
      <c r="K9" s="406">
        <v>9</v>
      </c>
      <c r="L9" s="403"/>
      <c r="M9" s="407"/>
      <c r="N9" s="408"/>
      <c r="O9" s="409"/>
      <c r="P9" s="409"/>
      <c r="Q9" s="403"/>
      <c r="R9" s="409"/>
      <c r="S9" s="409"/>
      <c r="T9" s="430"/>
      <c r="U9" s="431"/>
      <c r="V9" s="432"/>
      <c r="W9" s="430"/>
      <c r="X9" s="433"/>
      <c r="Y9" s="433"/>
      <c r="Z9" s="450"/>
      <c r="AA9" s="450"/>
      <c r="AB9" s="451"/>
      <c r="AC9" s="452"/>
      <c r="AD9" s="451"/>
      <c r="AE9" s="453"/>
      <c r="AF9" s="448" t="s">
        <v>61</v>
      </c>
      <c r="AG9" s="448" t="s">
        <v>62</v>
      </c>
      <c r="AH9" s="483" t="s">
        <v>63</v>
      </c>
      <c r="AI9" s="481"/>
      <c r="AJ9" s="484"/>
      <c r="AK9" s="481"/>
      <c r="AL9" s="481"/>
      <c r="AM9" s="485"/>
      <c r="AN9" s="486"/>
      <c r="AO9" s="523"/>
      <c r="AP9" s="524"/>
      <c r="AQ9" s="451"/>
      <c r="AR9" s="522"/>
      <c r="AS9" s="451"/>
      <c r="AT9" s="451"/>
      <c r="AU9" s="451"/>
    </row>
    <row r="10" s="356" customFormat="1" ht="45" customHeight="1" spans="1:47">
      <c r="A10" s="386">
        <f>ROW()-9</f>
        <v>1</v>
      </c>
      <c r="B10" s="387">
        <v>0</v>
      </c>
      <c r="C10" s="387"/>
      <c r="D10" s="387"/>
      <c r="E10" s="387"/>
      <c r="F10" s="387"/>
      <c r="G10" s="387"/>
      <c r="H10" s="387"/>
      <c r="I10" s="387"/>
      <c r="J10" s="387"/>
      <c r="K10" s="387"/>
      <c r="L10" s="387" t="s">
        <v>64</v>
      </c>
      <c r="M10" s="251" t="s">
        <v>10</v>
      </c>
      <c r="N10" s="251" t="s">
        <v>10</v>
      </c>
      <c r="O10" s="410" t="s">
        <v>17</v>
      </c>
      <c r="P10" s="387" t="s">
        <v>65</v>
      </c>
      <c r="Q10" s="425" t="s">
        <v>66</v>
      </c>
      <c r="R10" s="386" t="s">
        <v>67</v>
      </c>
      <c r="S10" s="434"/>
      <c r="T10" s="435" t="s">
        <v>66</v>
      </c>
      <c r="U10" s="387" t="s">
        <v>64</v>
      </c>
      <c r="V10" s="435" t="s">
        <v>66</v>
      </c>
      <c r="W10" s="389" t="s">
        <v>68</v>
      </c>
      <c r="X10" s="436" t="s">
        <v>69</v>
      </c>
      <c r="Y10" s="425" t="s">
        <v>70</v>
      </c>
      <c r="Z10" s="425" t="s">
        <v>71</v>
      </c>
      <c r="AA10" s="425" t="s">
        <v>64</v>
      </c>
      <c r="AB10" s="425" t="s">
        <v>72</v>
      </c>
      <c r="AC10" s="416" t="s">
        <v>64</v>
      </c>
      <c r="AD10" s="454" t="s">
        <v>64</v>
      </c>
      <c r="AE10" s="123" t="s">
        <v>73</v>
      </c>
      <c r="AF10" s="123"/>
      <c r="AG10" s="123"/>
      <c r="AH10" s="123"/>
      <c r="AI10" s="162"/>
      <c r="AJ10" s="162"/>
      <c r="AK10" s="162"/>
      <c r="AL10" s="163"/>
      <c r="AM10" s="487" t="s">
        <v>74</v>
      </c>
      <c r="AN10" s="487" t="s">
        <v>75</v>
      </c>
      <c r="AO10" s="525"/>
      <c r="AP10" s="389"/>
      <c r="AQ10" s="395">
        <v>1</v>
      </c>
      <c r="AR10" s="420">
        <v>0</v>
      </c>
      <c r="AS10" s="395">
        <v>0</v>
      </c>
      <c r="AT10" s="395">
        <v>0</v>
      </c>
      <c r="AU10" s="395">
        <v>0</v>
      </c>
    </row>
    <row r="11" s="356" customFormat="1" ht="45" customHeight="1" spans="1:47">
      <c r="A11" s="386">
        <f t="shared" ref="A11:A20" si="0">ROW()-9</f>
        <v>2</v>
      </c>
      <c r="B11" s="387">
        <v>0</v>
      </c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251" t="s">
        <v>11</v>
      </c>
      <c r="N11" s="251" t="s">
        <v>11</v>
      </c>
      <c r="O11" s="410" t="s">
        <v>17</v>
      </c>
      <c r="P11" s="387" t="s">
        <v>65</v>
      </c>
      <c r="Q11" s="425" t="s">
        <v>66</v>
      </c>
      <c r="R11" s="386" t="s">
        <v>67</v>
      </c>
      <c r="S11" s="434"/>
      <c r="T11" s="435" t="s">
        <v>66</v>
      </c>
      <c r="U11" s="387" t="s">
        <v>64</v>
      </c>
      <c r="V11" s="435" t="s">
        <v>66</v>
      </c>
      <c r="W11" s="389" t="s">
        <v>68</v>
      </c>
      <c r="X11" s="436" t="s">
        <v>69</v>
      </c>
      <c r="Y11" s="425" t="s">
        <v>70</v>
      </c>
      <c r="Z11" s="425" t="s">
        <v>71</v>
      </c>
      <c r="AA11" s="425" t="s">
        <v>64</v>
      </c>
      <c r="AB11" s="425" t="s">
        <v>76</v>
      </c>
      <c r="AC11" s="416" t="s">
        <v>64</v>
      </c>
      <c r="AD11" s="454" t="s">
        <v>64</v>
      </c>
      <c r="AE11" s="123"/>
      <c r="AF11" s="123"/>
      <c r="AG11" s="123"/>
      <c r="AH11" s="123"/>
      <c r="AI11" s="162"/>
      <c r="AJ11" s="162"/>
      <c r="AK11" s="162"/>
      <c r="AL11" s="163"/>
      <c r="AM11" s="487" t="s">
        <v>74</v>
      </c>
      <c r="AN11" s="487" t="s">
        <v>75</v>
      </c>
      <c r="AO11" s="525"/>
      <c r="AP11" s="389"/>
      <c r="AQ11" s="395">
        <v>0</v>
      </c>
      <c r="AR11" s="420">
        <v>1</v>
      </c>
      <c r="AS11" s="395">
        <v>0</v>
      </c>
      <c r="AT11" s="395">
        <v>0</v>
      </c>
      <c r="AU11" s="395">
        <v>0</v>
      </c>
    </row>
    <row r="12" s="356" customFormat="1" ht="45" customHeight="1" spans="1:47">
      <c r="A12" s="386">
        <f t="shared" si="0"/>
        <v>3</v>
      </c>
      <c r="B12" s="387">
        <v>0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 t="s">
        <v>64</v>
      </c>
      <c r="M12" s="251" t="s">
        <v>12</v>
      </c>
      <c r="N12" s="251" t="s">
        <v>12</v>
      </c>
      <c r="O12" s="410" t="s">
        <v>17</v>
      </c>
      <c r="P12" s="387" t="s">
        <v>65</v>
      </c>
      <c r="Q12" s="425" t="s">
        <v>66</v>
      </c>
      <c r="R12" s="387" t="s">
        <v>67</v>
      </c>
      <c r="S12" s="434"/>
      <c r="T12" s="435" t="s">
        <v>66</v>
      </c>
      <c r="U12" s="387" t="s">
        <v>64</v>
      </c>
      <c r="V12" s="435" t="s">
        <v>66</v>
      </c>
      <c r="W12" s="389" t="s">
        <v>68</v>
      </c>
      <c r="X12" s="436" t="s">
        <v>69</v>
      </c>
      <c r="Y12" s="425" t="s">
        <v>70</v>
      </c>
      <c r="Z12" s="425" t="s">
        <v>71</v>
      </c>
      <c r="AA12" s="425" t="s">
        <v>64</v>
      </c>
      <c r="AB12" s="425" t="s">
        <v>72</v>
      </c>
      <c r="AC12" s="416" t="s">
        <v>64</v>
      </c>
      <c r="AD12" s="454" t="s">
        <v>64</v>
      </c>
      <c r="AE12" s="123" t="s">
        <v>73</v>
      </c>
      <c r="AF12" s="123"/>
      <c r="AG12" s="123"/>
      <c r="AH12" s="123"/>
      <c r="AI12" s="162"/>
      <c r="AJ12" s="162"/>
      <c r="AK12" s="162"/>
      <c r="AL12" s="163"/>
      <c r="AM12" s="487" t="s">
        <v>74</v>
      </c>
      <c r="AN12" s="487" t="s">
        <v>75</v>
      </c>
      <c r="AO12" s="525"/>
      <c r="AP12" s="389"/>
      <c r="AQ12" s="395">
        <v>0</v>
      </c>
      <c r="AR12" s="420">
        <v>0</v>
      </c>
      <c r="AS12" s="395">
        <v>1</v>
      </c>
      <c r="AT12" s="526">
        <v>0</v>
      </c>
      <c r="AU12" s="526">
        <v>0</v>
      </c>
    </row>
    <row r="13" s="356" customFormat="1" ht="45" customHeight="1" spans="1:47">
      <c r="A13" s="386">
        <f t="shared" si="0"/>
        <v>4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 t="s">
        <v>64</v>
      </c>
      <c r="M13" s="251"/>
      <c r="N13" s="251" t="s">
        <v>77</v>
      </c>
      <c r="O13" s="251" t="s">
        <v>78</v>
      </c>
      <c r="P13" s="387" t="s">
        <v>79</v>
      </c>
      <c r="Q13" s="425" t="s">
        <v>66</v>
      </c>
      <c r="R13" s="387" t="s">
        <v>67</v>
      </c>
      <c r="S13" s="434"/>
      <c r="T13" s="435" t="s">
        <v>66</v>
      </c>
      <c r="U13" s="387" t="s">
        <v>64</v>
      </c>
      <c r="V13" s="435" t="s">
        <v>66</v>
      </c>
      <c r="W13" s="389" t="s">
        <v>68</v>
      </c>
      <c r="X13" s="436" t="s">
        <v>69</v>
      </c>
      <c r="Y13" s="425" t="s">
        <v>80</v>
      </c>
      <c r="Z13" s="425" t="s">
        <v>71</v>
      </c>
      <c r="AA13" s="425" t="s">
        <v>64</v>
      </c>
      <c r="AB13" s="386" t="s">
        <v>81</v>
      </c>
      <c r="AC13" s="416"/>
      <c r="AD13" s="454" t="s">
        <v>64</v>
      </c>
      <c r="AE13" s="123"/>
      <c r="AF13" s="123"/>
      <c r="AG13" s="123"/>
      <c r="AH13" s="123"/>
      <c r="AI13" s="162"/>
      <c r="AJ13" s="162"/>
      <c r="AK13" s="162"/>
      <c r="AL13" s="163"/>
      <c r="AM13" s="487" t="s">
        <v>80</v>
      </c>
      <c r="AN13" s="487"/>
      <c r="AO13" s="525"/>
      <c r="AP13" s="389"/>
      <c r="AQ13" s="395">
        <v>1</v>
      </c>
      <c r="AR13" s="420">
        <v>0</v>
      </c>
      <c r="AS13" s="395">
        <v>0</v>
      </c>
      <c r="AT13" s="526">
        <v>0</v>
      </c>
      <c r="AU13" s="526">
        <v>0</v>
      </c>
    </row>
    <row r="14" s="356" customFormat="1" ht="45" customHeight="1" spans="1:47">
      <c r="A14" s="386">
        <f t="shared" si="0"/>
        <v>5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251"/>
      <c r="N14" s="251" t="s">
        <v>82</v>
      </c>
      <c r="O14" s="251" t="s">
        <v>78</v>
      </c>
      <c r="P14" s="251" t="s">
        <v>79</v>
      </c>
      <c r="Q14" s="425" t="s">
        <v>66</v>
      </c>
      <c r="R14" s="387" t="s">
        <v>67</v>
      </c>
      <c r="S14" s="434"/>
      <c r="T14" s="435" t="s">
        <v>66</v>
      </c>
      <c r="U14" s="387" t="s">
        <v>64</v>
      </c>
      <c r="V14" s="435" t="s">
        <v>66</v>
      </c>
      <c r="W14" s="389" t="s">
        <v>68</v>
      </c>
      <c r="X14" s="436" t="s">
        <v>69</v>
      </c>
      <c r="Y14" s="425" t="s">
        <v>80</v>
      </c>
      <c r="Z14" s="425" t="s">
        <v>71</v>
      </c>
      <c r="AA14" s="425" t="s">
        <v>64</v>
      </c>
      <c r="AB14" s="386" t="s">
        <v>83</v>
      </c>
      <c r="AC14" s="416"/>
      <c r="AD14" s="454"/>
      <c r="AE14" s="123"/>
      <c r="AF14" s="123"/>
      <c r="AG14" s="123"/>
      <c r="AH14" s="123"/>
      <c r="AI14" s="162"/>
      <c r="AJ14" s="162"/>
      <c r="AK14" s="162"/>
      <c r="AL14" s="163"/>
      <c r="AM14" s="487" t="s">
        <v>80</v>
      </c>
      <c r="AN14" s="487"/>
      <c r="AO14" s="525"/>
      <c r="AP14" s="389"/>
      <c r="AQ14" s="395">
        <v>0</v>
      </c>
      <c r="AR14" s="420">
        <v>1</v>
      </c>
      <c r="AS14" s="395">
        <v>0</v>
      </c>
      <c r="AT14" s="526">
        <v>0</v>
      </c>
      <c r="AU14" s="526">
        <v>0</v>
      </c>
    </row>
    <row r="15" s="356" customFormat="1" ht="45" customHeight="1" spans="1:47">
      <c r="A15" s="386">
        <f t="shared" si="0"/>
        <v>6</v>
      </c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 t="s">
        <v>64</v>
      </c>
      <c r="M15" s="251"/>
      <c r="N15" s="251" t="s">
        <v>84</v>
      </c>
      <c r="O15" s="251" t="s">
        <v>78</v>
      </c>
      <c r="P15" s="387" t="s">
        <v>79</v>
      </c>
      <c r="Q15" s="425" t="s">
        <v>66</v>
      </c>
      <c r="R15" s="387" t="s">
        <v>67</v>
      </c>
      <c r="S15" s="434"/>
      <c r="T15" s="435" t="s">
        <v>66</v>
      </c>
      <c r="U15" s="387" t="s">
        <v>64</v>
      </c>
      <c r="V15" s="435" t="s">
        <v>66</v>
      </c>
      <c r="W15" s="389" t="s">
        <v>68</v>
      </c>
      <c r="X15" s="436" t="s">
        <v>69</v>
      </c>
      <c r="Y15" s="425" t="s">
        <v>80</v>
      </c>
      <c r="Z15" s="425" t="s">
        <v>71</v>
      </c>
      <c r="AA15" s="425" t="s">
        <v>64</v>
      </c>
      <c r="AB15" s="386" t="s">
        <v>81</v>
      </c>
      <c r="AC15" s="416"/>
      <c r="AD15" s="454" t="s">
        <v>64</v>
      </c>
      <c r="AE15" s="123"/>
      <c r="AF15" s="123"/>
      <c r="AG15" s="123"/>
      <c r="AH15" s="123"/>
      <c r="AI15" s="162"/>
      <c r="AJ15" s="162"/>
      <c r="AK15" s="162"/>
      <c r="AL15" s="163"/>
      <c r="AM15" s="487" t="s">
        <v>80</v>
      </c>
      <c r="AN15" s="487"/>
      <c r="AO15" s="525"/>
      <c r="AP15" s="389"/>
      <c r="AQ15" s="395">
        <v>0</v>
      </c>
      <c r="AR15" s="420">
        <v>0</v>
      </c>
      <c r="AS15" s="395">
        <v>1</v>
      </c>
      <c r="AT15" s="526">
        <v>0</v>
      </c>
      <c r="AU15" s="526">
        <v>0</v>
      </c>
    </row>
    <row r="16" s="356" customFormat="1" ht="45" customHeight="1" spans="1:47">
      <c r="A16" s="386">
        <f t="shared" si="0"/>
        <v>7</v>
      </c>
      <c r="B16" s="387"/>
      <c r="C16" s="387"/>
      <c r="D16" s="387"/>
      <c r="E16" s="387"/>
      <c r="F16" s="387"/>
      <c r="G16" s="387"/>
      <c r="H16" s="387"/>
      <c r="I16" s="387"/>
      <c r="J16" s="387"/>
      <c r="K16" s="387"/>
      <c r="L16" s="387" t="s">
        <v>64</v>
      </c>
      <c r="M16" s="251"/>
      <c r="N16" s="251" t="s">
        <v>85</v>
      </c>
      <c r="O16" s="251" t="s">
        <v>78</v>
      </c>
      <c r="P16" s="387" t="s">
        <v>79</v>
      </c>
      <c r="Q16" s="425" t="s">
        <v>66</v>
      </c>
      <c r="R16" s="387" t="s">
        <v>67</v>
      </c>
      <c r="S16" s="434"/>
      <c r="T16" s="435" t="s">
        <v>66</v>
      </c>
      <c r="U16" s="387" t="s">
        <v>64</v>
      </c>
      <c r="V16" s="435" t="s">
        <v>66</v>
      </c>
      <c r="W16" s="389" t="s">
        <v>68</v>
      </c>
      <c r="X16" s="436" t="s">
        <v>69</v>
      </c>
      <c r="Y16" s="425" t="s">
        <v>80</v>
      </c>
      <c r="Z16" s="425" t="s">
        <v>71</v>
      </c>
      <c r="AA16" s="425" t="s">
        <v>64</v>
      </c>
      <c r="AB16" s="386" t="s">
        <v>81</v>
      </c>
      <c r="AC16" s="416"/>
      <c r="AD16" s="454" t="s">
        <v>64</v>
      </c>
      <c r="AE16" s="123"/>
      <c r="AF16" s="123"/>
      <c r="AG16" s="123"/>
      <c r="AH16" s="123"/>
      <c r="AI16" s="162"/>
      <c r="AJ16" s="162"/>
      <c r="AK16" s="162"/>
      <c r="AL16" s="163"/>
      <c r="AM16" s="487" t="s">
        <v>80</v>
      </c>
      <c r="AN16" s="487"/>
      <c r="AO16" s="525"/>
      <c r="AP16" s="389"/>
      <c r="AQ16" s="395">
        <v>0</v>
      </c>
      <c r="AR16" s="420">
        <v>0</v>
      </c>
      <c r="AS16" s="395">
        <v>0</v>
      </c>
      <c r="AT16" s="526">
        <v>1</v>
      </c>
      <c r="AU16" s="526">
        <v>0</v>
      </c>
    </row>
    <row r="17" s="356" customFormat="1" ht="45" customHeight="1" spans="1:47">
      <c r="A17" s="386">
        <f t="shared" si="0"/>
        <v>8</v>
      </c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 t="s">
        <v>64</v>
      </c>
      <c r="M17" s="251"/>
      <c r="N17" s="251" t="s">
        <v>86</v>
      </c>
      <c r="O17" s="251" t="s">
        <v>78</v>
      </c>
      <c r="P17" s="387" t="s">
        <v>79</v>
      </c>
      <c r="Q17" s="425" t="s">
        <v>66</v>
      </c>
      <c r="R17" s="387" t="s">
        <v>67</v>
      </c>
      <c r="S17" s="434"/>
      <c r="T17" s="435" t="s">
        <v>66</v>
      </c>
      <c r="U17" s="387" t="s">
        <v>64</v>
      </c>
      <c r="V17" s="435" t="s">
        <v>66</v>
      </c>
      <c r="W17" s="389" t="s">
        <v>68</v>
      </c>
      <c r="X17" s="436" t="s">
        <v>69</v>
      </c>
      <c r="Y17" s="425" t="s">
        <v>80</v>
      </c>
      <c r="Z17" s="425" t="s">
        <v>71</v>
      </c>
      <c r="AA17" s="425" t="s">
        <v>64</v>
      </c>
      <c r="AB17" s="386" t="s">
        <v>81</v>
      </c>
      <c r="AC17" s="416"/>
      <c r="AD17" s="454" t="s">
        <v>64</v>
      </c>
      <c r="AE17" s="123"/>
      <c r="AF17" s="123"/>
      <c r="AG17" s="123"/>
      <c r="AH17" s="123"/>
      <c r="AI17" s="162"/>
      <c r="AJ17" s="162"/>
      <c r="AK17" s="162"/>
      <c r="AL17" s="163"/>
      <c r="AM17" s="487" t="s">
        <v>80</v>
      </c>
      <c r="AN17" s="487"/>
      <c r="AO17" s="525"/>
      <c r="AP17" s="389"/>
      <c r="AQ17" s="395">
        <v>0</v>
      </c>
      <c r="AR17" s="420">
        <v>0</v>
      </c>
      <c r="AS17" s="395">
        <v>0</v>
      </c>
      <c r="AT17" s="526">
        <v>0</v>
      </c>
      <c r="AU17" s="526">
        <v>1</v>
      </c>
    </row>
    <row r="18" s="356" customFormat="1" ht="45" customHeight="1" spans="1:47">
      <c r="A18" s="386">
        <f t="shared" si="0"/>
        <v>9</v>
      </c>
      <c r="B18" s="386"/>
      <c r="C18" s="387">
        <v>1</v>
      </c>
      <c r="D18" s="388"/>
      <c r="E18" s="388"/>
      <c r="F18" s="388"/>
      <c r="G18" s="388"/>
      <c r="H18" s="388"/>
      <c r="I18" s="388"/>
      <c r="J18" s="388"/>
      <c r="K18" s="411"/>
      <c r="L18" s="412" t="s">
        <v>87</v>
      </c>
      <c r="M18" s="251" t="s">
        <v>88</v>
      </c>
      <c r="N18" s="251" t="s">
        <v>89</v>
      </c>
      <c r="O18" s="251" t="s">
        <v>90</v>
      </c>
      <c r="P18" s="387" t="s">
        <v>91</v>
      </c>
      <c r="Q18" s="387" t="s">
        <v>92</v>
      </c>
      <c r="R18" s="387" t="s">
        <v>67</v>
      </c>
      <c r="S18" s="387"/>
      <c r="T18" s="387" t="s">
        <v>66</v>
      </c>
      <c r="U18" s="387" t="str">
        <f>N18</f>
        <v>H4681010091A0</v>
      </c>
      <c r="V18" s="387" t="s">
        <v>66</v>
      </c>
      <c r="W18" s="387" t="s">
        <v>93</v>
      </c>
      <c r="X18" s="387" t="s">
        <v>68</v>
      </c>
      <c r="Y18" s="387" t="s">
        <v>94</v>
      </c>
      <c r="Z18" s="387" t="s">
        <v>95</v>
      </c>
      <c r="AA18" s="387" t="s">
        <v>64</v>
      </c>
      <c r="AB18" s="387" t="s">
        <v>96</v>
      </c>
      <c r="AC18" s="387">
        <v>0.0172</v>
      </c>
      <c r="AD18" s="387" t="s">
        <v>97</v>
      </c>
      <c r="AE18" s="455" t="s">
        <v>98</v>
      </c>
      <c r="AF18" s="456" t="s">
        <v>99</v>
      </c>
      <c r="AG18" s="461"/>
      <c r="AH18" s="461"/>
      <c r="AI18" s="488">
        <f>AC18*1.04</f>
        <v>0.017888</v>
      </c>
      <c r="AJ18" s="489">
        <f>AC18/AI18</f>
        <v>0.961538461538461</v>
      </c>
      <c r="AK18" s="490"/>
      <c r="AL18" s="491"/>
      <c r="AM18" s="487" t="s">
        <v>100</v>
      </c>
      <c r="AN18" s="487" t="s">
        <v>101</v>
      </c>
      <c r="AO18" s="525"/>
      <c r="AP18" s="389"/>
      <c r="AQ18" s="387">
        <v>1</v>
      </c>
      <c r="AR18" s="527">
        <v>1</v>
      </c>
      <c r="AS18" s="387">
        <v>1</v>
      </c>
      <c r="AT18" s="526">
        <v>1</v>
      </c>
      <c r="AU18" s="526">
        <v>1</v>
      </c>
    </row>
    <row r="19" s="356" customFormat="1" ht="45" customHeight="1" spans="1:47">
      <c r="A19" s="386">
        <f t="shared" si="0"/>
        <v>10</v>
      </c>
      <c r="B19" s="386"/>
      <c r="C19" s="387">
        <v>1</v>
      </c>
      <c r="D19" s="388"/>
      <c r="E19" s="388"/>
      <c r="F19" s="388"/>
      <c r="G19" s="388"/>
      <c r="H19" s="388"/>
      <c r="I19" s="388"/>
      <c r="J19" s="388"/>
      <c r="K19" s="411"/>
      <c r="L19" s="412" t="s">
        <v>87</v>
      </c>
      <c r="M19" s="251" t="s">
        <v>102</v>
      </c>
      <c r="N19" s="251" t="s">
        <v>103</v>
      </c>
      <c r="O19" s="251" t="s">
        <v>104</v>
      </c>
      <c r="P19" s="387" t="s">
        <v>64</v>
      </c>
      <c r="Q19" s="387" t="s">
        <v>92</v>
      </c>
      <c r="R19" s="387" t="s">
        <v>67</v>
      </c>
      <c r="S19" s="387"/>
      <c r="T19" s="387" t="s">
        <v>66</v>
      </c>
      <c r="U19" s="387" t="str">
        <f>N19</f>
        <v>H4681010096A0</v>
      </c>
      <c r="V19" s="387" t="s">
        <v>66</v>
      </c>
      <c r="W19" s="387" t="s">
        <v>93</v>
      </c>
      <c r="X19" s="387" t="s">
        <v>68</v>
      </c>
      <c r="Y19" s="387" t="s">
        <v>105</v>
      </c>
      <c r="Z19" s="387" t="s">
        <v>106</v>
      </c>
      <c r="AA19" s="387" t="s">
        <v>107</v>
      </c>
      <c r="AB19" s="387" t="s">
        <v>108</v>
      </c>
      <c r="AC19" s="387">
        <v>0.0076</v>
      </c>
      <c r="AD19" s="387" t="s">
        <v>109</v>
      </c>
      <c r="AE19" s="457" t="s">
        <v>110</v>
      </c>
      <c r="AF19" s="457">
        <f>88+5</f>
        <v>93</v>
      </c>
      <c r="AG19" s="457">
        <f>50+2</f>
        <v>52</v>
      </c>
      <c r="AH19" s="490" t="s">
        <v>111</v>
      </c>
      <c r="AI19" s="492">
        <f>AF19*AG19*AH19*7860/1000000000</f>
        <v>0.03801096</v>
      </c>
      <c r="AJ19" s="489">
        <f>AC19/AI19</f>
        <v>0.199942332422017</v>
      </c>
      <c r="AK19" s="490"/>
      <c r="AL19" s="163"/>
      <c r="AM19" s="487" t="s">
        <v>100</v>
      </c>
      <c r="AN19" s="487" t="s">
        <v>112</v>
      </c>
      <c r="AO19" s="525"/>
      <c r="AP19" s="389"/>
      <c r="AQ19" s="387">
        <v>1</v>
      </c>
      <c r="AR19" s="527">
        <v>1</v>
      </c>
      <c r="AS19" s="387">
        <v>1</v>
      </c>
      <c r="AT19" s="526">
        <v>1</v>
      </c>
      <c r="AU19" s="526">
        <v>1</v>
      </c>
    </row>
    <row r="20" s="357" customFormat="1" ht="56.1" customHeight="1" spans="1:47">
      <c r="A20" s="386">
        <f t="shared" si="0"/>
        <v>11</v>
      </c>
      <c r="B20" s="389"/>
      <c r="C20" s="387">
        <v>1</v>
      </c>
      <c r="D20" s="390"/>
      <c r="E20" s="390"/>
      <c r="F20" s="388"/>
      <c r="G20" s="388"/>
      <c r="H20" s="388"/>
      <c r="I20" s="388"/>
      <c r="J20" s="388"/>
      <c r="K20" s="388"/>
      <c r="L20" s="387" t="s">
        <v>87</v>
      </c>
      <c r="M20" s="251" t="s">
        <v>113</v>
      </c>
      <c r="N20" s="413" t="s">
        <v>114</v>
      </c>
      <c r="O20" s="413" t="s">
        <v>115</v>
      </c>
      <c r="P20" s="395" t="s">
        <v>116</v>
      </c>
      <c r="Q20" s="387" t="s">
        <v>66</v>
      </c>
      <c r="R20" s="387" t="s">
        <v>67</v>
      </c>
      <c r="S20" s="437" t="s">
        <v>64</v>
      </c>
      <c r="T20" s="435" t="s">
        <v>66</v>
      </c>
      <c r="U20" s="416" t="str">
        <f>N20</f>
        <v>H4681010095A0</v>
      </c>
      <c r="V20" s="389" t="s">
        <v>66</v>
      </c>
      <c r="W20" s="389" t="s">
        <v>69</v>
      </c>
      <c r="X20" s="436" t="s">
        <v>68</v>
      </c>
      <c r="Y20" s="437" t="s">
        <v>117</v>
      </c>
      <c r="Z20" s="437" t="s">
        <v>118</v>
      </c>
      <c r="AA20" s="437" t="s">
        <v>64</v>
      </c>
      <c r="AB20" s="437" t="s">
        <v>119</v>
      </c>
      <c r="AC20" s="458">
        <v>0.001</v>
      </c>
      <c r="AD20" s="416" t="s">
        <v>64</v>
      </c>
      <c r="AE20" s="457"/>
      <c r="AF20" s="457"/>
      <c r="AG20" s="457"/>
      <c r="AH20" s="490"/>
      <c r="AI20" s="490"/>
      <c r="AJ20" s="490"/>
      <c r="AK20" s="490"/>
      <c r="AL20" s="493"/>
      <c r="AM20" s="487" t="s">
        <v>100</v>
      </c>
      <c r="AN20" s="494" t="s">
        <v>120</v>
      </c>
      <c r="AO20" s="389"/>
      <c r="AP20" s="390"/>
      <c r="AQ20" s="395">
        <v>6</v>
      </c>
      <c r="AR20" s="420">
        <v>6</v>
      </c>
      <c r="AS20" s="395">
        <v>6</v>
      </c>
      <c r="AT20" s="390">
        <v>4</v>
      </c>
      <c r="AU20" s="390">
        <v>4</v>
      </c>
    </row>
    <row r="21" s="356" customFormat="1" ht="45" customHeight="1" spans="1:47">
      <c r="A21" s="386">
        <f t="shared" ref="A21:A30" si="1">ROW()-9</f>
        <v>12</v>
      </c>
      <c r="B21" s="386"/>
      <c r="C21" s="387">
        <v>1</v>
      </c>
      <c r="D21" s="388"/>
      <c r="E21" s="388"/>
      <c r="F21" s="388"/>
      <c r="G21" s="388"/>
      <c r="H21" s="388"/>
      <c r="I21" s="388"/>
      <c r="J21" s="388"/>
      <c r="K21" s="414"/>
      <c r="L21" s="387" t="s">
        <v>87</v>
      </c>
      <c r="M21" s="251" t="s">
        <v>121</v>
      </c>
      <c r="N21" s="413" t="s">
        <v>122</v>
      </c>
      <c r="O21" s="413" t="s">
        <v>123</v>
      </c>
      <c r="P21" s="395" t="s">
        <v>124</v>
      </c>
      <c r="Q21" s="387" t="s">
        <v>66</v>
      </c>
      <c r="R21" s="387" t="s">
        <v>67</v>
      </c>
      <c r="S21" s="411"/>
      <c r="T21" s="435" t="s">
        <v>66</v>
      </c>
      <c r="U21" s="416" t="str">
        <f>N21</f>
        <v>H4681010800A0 </v>
      </c>
      <c r="V21" s="389" t="s">
        <v>66</v>
      </c>
      <c r="W21" s="389" t="s">
        <v>69</v>
      </c>
      <c r="X21" s="436" t="s">
        <v>68</v>
      </c>
      <c r="Y21" s="386" t="s">
        <v>125</v>
      </c>
      <c r="Z21" s="386" t="s">
        <v>71</v>
      </c>
      <c r="AA21" s="386" t="s">
        <v>126</v>
      </c>
      <c r="AB21" s="416" t="s">
        <v>64</v>
      </c>
      <c r="AC21" s="459">
        <v>1.4</v>
      </c>
      <c r="AD21" s="416" t="s">
        <v>64</v>
      </c>
      <c r="AE21" s="457"/>
      <c r="AF21" s="457"/>
      <c r="AG21" s="457"/>
      <c r="AH21" s="490"/>
      <c r="AI21" s="490"/>
      <c r="AJ21" s="490"/>
      <c r="AK21" s="490"/>
      <c r="AL21" s="163"/>
      <c r="AM21" s="487" t="s">
        <v>100</v>
      </c>
      <c r="AN21" s="487" t="s">
        <v>127</v>
      </c>
      <c r="AO21" s="525"/>
      <c r="AP21" s="389"/>
      <c r="AQ21" s="387">
        <v>1</v>
      </c>
      <c r="AR21" s="527">
        <v>1</v>
      </c>
      <c r="AS21" s="387">
        <v>1</v>
      </c>
      <c r="AT21" s="526">
        <v>1</v>
      </c>
      <c r="AU21" s="526">
        <v>1</v>
      </c>
    </row>
    <row r="22" s="356" customFormat="1" ht="45" customHeight="1" spans="1:47">
      <c r="A22" s="386">
        <f t="shared" si="1"/>
        <v>13</v>
      </c>
      <c r="B22" s="386"/>
      <c r="C22" s="387">
        <v>1</v>
      </c>
      <c r="D22" s="388"/>
      <c r="E22" s="388"/>
      <c r="F22" s="388"/>
      <c r="G22" s="388"/>
      <c r="H22" s="388"/>
      <c r="I22" s="388"/>
      <c r="J22" s="388"/>
      <c r="K22" s="414"/>
      <c r="L22" s="387"/>
      <c r="M22" s="415" t="s">
        <v>128</v>
      </c>
      <c r="N22" s="415" t="s">
        <v>128</v>
      </c>
      <c r="O22" s="415" t="s">
        <v>129</v>
      </c>
      <c r="P22" s="395"/>
      <c r="Q22" s="387"/>
      <c r="R22" s="387" t="s">
        <v>67</v>
      </c>
      <c r="S22" s="411"/>
      <c r="T22" s="435"/>
      <c r="U22" s="416"/>
      <c r="V22" s="389"/>
      <c r="W22" s="389" t="s">
        <v>69</v>
      </c>
      <c r="X22" s="436" t="s">
        <v>68</v>
      </c>
      <c r="Y22" s="386"/>
      <c r="Z22" s="386"/>
      <c r="AA22" s="386"/>
      <c r="AB22" s="416"/>
      <c r="AC22" s="459"/>
      <c r="AD22" s="416"/>
      <c r="AE22" s="457"/>
      <c r="AF22" s="457"/>
      <c r="AG22" s="457"/>
      <c r="AH22" s="490"/>
      <c r="AI22" s="490"/>
      <c r="AJ22" s="490"/>
      <c r="AK22" s="490"/>
      <c r="AL22" s="163"/>
      <c r="AM22" s="487" t="s">
        <v>100</v>
      </c>
      <c r="AN22" s="487" t="s">
        <v>130</v>
      </c>
      <c r="AO22" s="525"/>
      <c r="AP22" s="389"/>
      <c r="AQ22" s="387">
        <v>1</v>
      </c>
      <c r="AR22" s="527">
        <v>1</v>
      </c>
      <c r="AS22" s="387">
        <v>1</v>
      </c>
      <c r="AT22" s="526"/>
      <c r="AU22" s="526"/>
    </row>
    <row r="23" s="357" customFormat="1" ht="45" customHeight="1" spans="1:47">
      <c r="A23" s="386">
        <f t="shared" si="1"/>
        <v>14</v>
      </c>
      <c r="B23" s="389"/>
      <c r="C23" s="387">
        <v>1</v>
      </c>
      <c r="D23" s="388"/>
      <c r="E23" s="388"/>
      <c r="F23" s="390"/>
      <c r="G23" s="388"/>
      <c r="H23" s="388"/>
      <c r="I23" s="388"/>
      <c r="J23" s="388"/>
      <c r="K23" s="388"/>
      <c r="L23" s="416" t="s">
        <v>131</v>
      </c>
      <c r="M23" s="417" t="s">
        <v>132</v>
      </c>
      <c r="N23" s="413" t="s">
        <v>132</v>
      </c>
      <c r="O23" s="413" t="s">
        <v>133</v>
      </c>
      <c r="P23" s="395" t="s">
        <v>65</v>
      </c>
      <c r="Q23" s="387"/>
      <c r="R23" s="387" t="s">
        <v>67</v>
      </c>
      <c r="S23" s="437"/>
      <c r="T23" s="435" t="s">
        <v>66</v>
      </c>
      <c r="U23" s="387" t="s">
        <v>64</v>
      </c>
      <c r="V23" s="389" t="s">
        <v>66</v>
      </c>
      <c r="W23" s="389" t="s">
        <v>68</v>
      </c>
      <c r="X23" s="436" t="s">
        <v>69</v>
      </c>
      <c r="Y23" s="437" t="s">
        <v>64</v>
      </c>
      <c r="Z23" s="437" t="s">
        <v>64</v>
      </c>
      <c r="AA23" s="437" t="s">
        <v>64</v>
      </c>
      <c r="AB23" s="386" t="s">
        <v>134</v>
      </c>
      <c r="AC23" s="437">
        <v>1.314</v>
      </c>
      <c r="AD23" s="454" t="s">
        <v>64</v>
      </c>
      <c r="AE23" s="460" t="s">
        <v>135</v>
      </c>
      <c r="AF23" s="123"/>
      <c r="AG23" s="123"/>
      <c r="AH23" s="490"/>
      <c r="AI23" s="490"/>
      <c r="AJ23" s="490"/>
      <c r="AK23" s="490"/>
      <c r="AL23" s="493"/>
      <c r="AM23" s="487" t="s">
        <v>74</v>
      </c>
      <c r="AN23" s="487" t="s">
        <v>136</v>
      </c>
      <c r="AO23" s="389"/>
      <c r="AP23" s="390"/>
      <c r="AQ23" s="395">
        <v>1</v>
      </c>
      <c r="AR23" s="420">
        <v>0</v>
      </c>
      <c r="AS23" s="395">
        <v>0</v>
      </c>
      <c r="AT23" s="390">
        <v>0</v>
      </c>
      <c r="AU23" s="390">
        <v>1</v>
      </c>
    </row>
    <row r="24" s="357" customFormat="1" ht="45" customHeight="1" spans="1:47">
      <c r="A24" s="386">
        <f t="shared" si="1"/>
        <v>15</v>
      </c>
      <c r="B24" s="389"/>
      <c r="C24" s="387">
        <v>1</v>
      </c>
      <c r="D24" s="388"/>
      <c r="E24" s="388"/>
      <c r="F24" s="390"/>
      <c r="G24" s="388"/>
      <c r="H24" s="388"/>
      <c r="I24" s="388"/>
      <c r="J24" s="388"/>
      <c r="K24" s="388"/>
      <c r="L24" s="416" t="s">
        <v>131</v>
      </c>
      <c r="M24" s="417" t="s">
        <v>137</v>
      </c>
      <c r="N24" s="413" t="s">
        <v>137</v>
      </c>
      <c r="O24" s="413" t="s">
        <v>138</v>
      </c>
      <c r="P24" s="395" t="s">
        <v>64</v>
      </c>
      <c r="Q24" s="387"/>
      <c r="R24" s="387" t="s">
        <v>67</v>
      </c>
      <c r="S24" s="437"/>
      <c r="T24" s="435" t="s">
        <v>66</v>
      </c>
      <c r="U24" s="416" t="str">
        <f>N24</f>
        <v>SHT0013908</v>
      </c>
      <c r="V24" s="389" t="s">
        <v>66</v>
      </c>
      <c r="W24" s="389" t="s">
        <v>68</v>
      </c>
      <c r="X24" s="436" t="s">
        <v>69</v>
      </c>
      <c r="Y24" s="437" t="s">
        <v>64</v>
      </c>
      <c r="Z24" s="437" t="s">
        <v>64</v>
      </c>
      <c r="AA24" s="437" t="s">
        <v>64</v>
      </c>
      <c r="AB24" s="386" t="s">
        <v>134</v>
      </c>
      <c r="AC24" s="437">
        <v>1.314</v>
      </c>
      <c r="AD24" s="390" t="s">
        <v>64</v>
      </c>
      <c r="AE24" s="460" t="s">
        <v>135</v>
      </c>
      <c r="AF24" s="461"/>
      <c r="AG24" s="461"/>
      <c r="AH24" s="461"/>
      <c r="AI24" s="488"/>
      <c r="AJ24" s="495"/>
      <c r="AK24" s="490"/>
      <c r="AL24" s="493"/>
      <c r="AM24" s="487" t="s">
        <v>74</v>
      </c>
      <c r="AN24" s="487" t="s">
        <v>136</v>
      </c>
      <c r="AO24" s="389"/>
      <c r="AP24" s="390"/>
      <c r="AQ24" s="395">
        <v>0</v>
      </c>
      <c r="AR24" s="420">
        <v>1</v>
      </c>
      <c r="AS24" s="395">
        <v>1</v>
      </c>
      <c r="AT24" s="390">
        <v>1</v>
      </c>
      <c r="AU24" s="390">
        <v>0</v>
      </c>
    </row>
    <row r="25" s="357" customFormat="1" ht="45" customHeight="1" spans="1:47">
      <c r="A25" s="386">
        <f t="shared" si="1"/>
        <v>16</v>
      </c>
      <c r="B25" s="389"/>
      <c r="C25" s="387"/>
      <c r="D25" s="387">
        <v>2</v>
      </c>
      <c r="E25" s="387"/>
      <c r="F25" s="390"/>
      <c r="G25" s="388"/>
      <c r="H25" s="388"/>
      <c r="I25" s="388"/>
      <c r="J25" s="388"/>
      <c r="K25" s="388"/>
      <c r="L25" s="416" t="s">
        <v>131</v>
      </c>
      <c r="M25" s="417"/>
      <c r="N25" s="413" t="s">
        <v>139</v>
      </c>
      <c r="O25" s="413" t="s">
        <v>140</v>
      </c>
      <c r="P25" s="395" t="s">
        <v>141</v>
      </c>
      <c r="Q25" s="387"/>
      <c r="R25" s="387" t="s">
        <v>67</v>
      </c>
      <c r="S25" s="437"/>
      <c r="T25" s="435" t="s">
        <v>66</v>
      </c>
      <c r="U25" s="416" t="s">
        <v>139</v>
      </c>
      <c r="V25" s="389" t="s">
        <v>66</v>
      </c>
      <c r="W25" s="389" t="s">
        <v>68</v>
      </c>
      <c r="X25" s="436" t="s">
        <v>69</v>
      </c>
      <c r="Y25" s="462" t="s">
        <v>80</v>
      </c>
      <c r="Z25" s="463" t="s">
        <v>142</v>
      </c>
      <c r="AA25" s="437" t="s">
        <v>64</v>
      </c>
      <c r="AB25" s="386" t="s">
        <v>134</v>
      </c>
      <c r="AC25" s="389">
        <v>1.214</v>
      </c>
      <c r="AD25" s="390" t="s">
        <v>64</v>
      </c>
      <c r="AE25" s="460"/>
      <c r="AF25" s="456" t="s">
        <v>143</v>
      </c>
      <c r="AG25" s="456"/>
      <c r="AH25" s="456"/>
      <c r="AI25" s="496">
        <f>AC25*1.08</f>
        <v>1.31112</v>
      </c>
      <c r="AJ25" s="497">
        <f t="shared" ref="AJ25:AJ32" si="2">AC25/AI25</f>
        <v>0.925925925925926</v>
      </c>
      <c r="AK25" s="490"/>
      <c r="AL25" s="493"/>
      <c r="AM25" s="487" t="s">
        <v>80</v>
      </c>
      <c r="AN25" s="494"/>
      <c r="AO25" s="389"/>
      <c r="AP25" s="390"/>
      <c r="AQ25" s="395">
        <v>1</v>
      </c>
      <c r="AR25" s="420">
        <v>0</v>
      </c>
      <c r="AS25" s="395">
        <v>0</v>
      </c>
      <c r="AT25" s="390">
        <v>0</v>
      </c>
      <c r="AU25" s="390">
        <v>1</v>
      </c>
    </row>
    <row r="26" s="357" customFormat="1" ht="45" customHeight="1" spans="1:47">
      <c r="A26" s="386">
        <f t="shared" si="1"/>
        <v>17</v>
      </c>
      <c r="B26" s="389"/>
      <c r="C26" s="387"/>
      <c r="D26" s="387">
        <v>2</v>
      </c>
      <c r="E26" s="387"/>
      <c r="F26" s="390"/>
      <c r="G26" s="388"/>
      <c r="H26" s="388"/>
      <c r="I26" s="388"/>
      <c r="J26" s="388"/>
      <c r="K26" s="388"/>
      <c r="L26" s="416" t="s">
        <v>131</v>
      </c>
      <c r="M26" s="417"/>
      <c r="N26" s="413" t="s">
        <v>144</v>
      </c>
      <c r="O26" s="413" t="s">
        <v>145</v>
      </c>
      <c r="P26" s="395" t="s">
        <v>141</v>
      </c>
      <c r="Q26" s="387"/>
      <c r="R26" s="387" t="s">
        <v>67</v>
      </c>
      <c r="S26" s="437"/>
      <c r="T26" s="435" t="s">
        <v>66</v>
      </c>
      <c r="U26" s="416" t="str">
        <f>N26</f>
        <v>SHT0013909</v>
      </c>
      <c r="V26" s="389" t="s">
        <v>66</v>
      </c>
      <c r="W26" s="389" t="s">
        <v>68</v>
      </c>
      <c r="X26" s="436" t="s">
        <v>69</v>
      </c>
      <c r="Y26" s="462" t="s">
        <v>80</v>
      </c>
      <c r="Z26" s="463" t="s">
        <v>142</v>
      </c>
      <c r="AA26" s="389" t="s">
        <v>64</v>
      </c>
      <c r="AB26" s="386" t="s">
        <v>134</v>
      </c>
      <c r="AC26" s="389">
        <v>1.3827</v>
      </c>
      <c r="AD26" s="390" t="s">
        <v>64</v>
      </c>
      <c r="AE26" s="464"/>
      <c r="AF26" s="456" t="s">
        <v>143</v>
      </c>
      <c r="AG26" s="456"/>
      <c r="AH26" s="456"/>
      <c r="AI26" s="496">
        <f>AC26*1.08</f>
        <v>1.493316</v>
      </c>
      <c r="AJ26" s="497">
        <f t="shared" si="2"/>
        <v>0.925925925925926</v>
      </c>
      <c r="AK26" s="490"/>
      <c r="AL26" s="493"/>
      <c r="AM26" s="487" t="s">
        <v>80</v>
      </c>
      <c r="AN26" s="494"/>
      <c r="AO26" s="389"/>
      <c r="AP26" s="390"/>
      <c r="AQ26" s="395">
        <v>0</v>
      </c>
      <c r="AR26" s="420">
        <v>1</v>
      </c>
      <c r="AS26" s="395">
        <v>1</v>
      </c>
      <c r="AT26" s="390">
        <v>1</v>
      </c>
      <c r="AU26" s="390">
        <v>0</v>
      </c>
    </row>
    <row r="27" s="357" customFormat="1" ht="45" customHeight="1" spans="1:47">
      <c r="A27" s="386">
        <f t="shared" si="1"/>
        <v>18</v>
      </c>
      <c r="B27" s="389"/>
      <c r="C27" s="387"/>
      <c r="D27" s="387">
        <v>2</v>
      </c>
      <c r="E27" s="387"/>
      <c r="F27" s="390"/>
      <c r="G27" s="388"/>
      <c r="H27" s="388"/>
      <c r="I27" s="388"/>
      <c r="J27" s="388"/>
      <c r="K27" s="388"/>
      <c r="L27" s="416" t="s">
        <v>131</v>
      </c>
      <c r="M27" s="417" t="s">
        <v>146</v>
      </c>
      <c r="N27" s="417" t="s">
        <v>146</v>
      </c>
      <c r="O27" s="417" t="s">
        <v>147</v>
      </c>
      <c r="P27" s="416" t="s">
        <v>148</v>
      </c>
      <c r="Q27" s="416" t="s">
        <v>66</v>
      </c>
      <c r="R27" s="387" t="s">
        <v>67</v>
      </c>
      <c r="S27" s="416"/>
      <c r="T27" s="435" t="s">
        <v>66</v>
      </c>
      <c r="U27" s="416" t="s">
        <v>64</v>
      </c>
      <c r="V27" s="416" t="s">
        <v>66</v>
      </c>
      <c r="W27" s="389" t="s">
        <v>68</v>
      </c>
      <c r="X27" s="436" t="s">
        <v>69</v>
      </c>
      <c r="Y27" s="416" t="s">
        <v>149</v>
      </c>
      <c r="Z27" s="416" t="s">
        <v>150</v>
      </c>
      <c r="AA27" s="416" t="s">
        <v>151</v>
      </c>
      <c r="AB27" s="416" t="s">
        <v>152</v>
      </c>
      <c r="AC27" s="416">
        <v>0.0119</v>
      </c>
      <c r="AD27" s="465" t="s">
        <v>64</v>
      </c>
      <c r="AE27" s="466" t="s">
        <v>153</v>
      </c>
      <c r="AF27" s="467">
        <f>AC27/0.025*1000</f>
        <v>476</v>
      </c>
      <c r="AG27" s="467">
        <v>2</v>
      </c>
      <c r="AH27" s="467"/>
      <c r="AI27" s="498">
        <f>AF27*0.025/1000</f>
        <v>0.0119</v>
      </c>
      <c r="AJ27" s="499">
        <f t="shared" si="2"/>
        <v>1</v>
      </c>
      <c r="AK27" s="490"/>
      <c r="AL27" s="493"/>
      <c r="AM27" s="487" t="s">
        <v>100</v>
      </c>
      <c r="AN27" s="494"/>
      <c r="AO27" s="389"/>
      <c r="AP27" s="390"/>
      <c r="AQ27" s="395">
        <v>1</v>
      </c>
      <c r="AR27" s="420">
        <v>1</v>
      </c>
      <c r="AS27" s="395">
        <v>1</v>
      </c>
      <c r="AT27" s="390">
        <v>1</v>
      </c>
      <c r="AU27" s="390">
        <v>1</v>
      </c>
    </row>
    <row r="28" s="357" customFormat="1" ht="45" customHeight="1" spans="1:47">
      <c r="A28" s="386">
        <f t="shared" si="1"/>
        <v>19</v>
      </c>
      <c r="B28" s="389"/>
      <c r="C28" s="387"/>
      <c r="D28" s="387">
        <v>2</v>
      </c>
      <c r="E28" s="387"/>
      <c r="F28" s="390"/>
      <c r="G28" s="388"/>
      <c r="H28" s="388"/>
      <c r="I28" s="388"/>
      <c r="J28" s="388"/>
      <c r="K28" s="388"/>
      <c r="L28" s="416" t="s">
        <v>131</v>
      </c>
      <c r="M28" s="417" t="s">
        <v>154</v>
      </c>
      <c r="N28" s="417" t="s">
        <v>154</v>
      </c>
      <c r="O28" s="417" t="s">
        <v>155</v>
      </c>
      <c r="P28" s="416" t="s">
        <v>148</v>
      </c>
      <c r="Q28" s="416"/>
      <c r="R28" s="387" t="s">
        <v>67</v>
      </c>
      <c r="S28" s="416"/>
      <c r="T28" s="435" t="s">
        <v>66</v>
      </c>
      <c r="U28" s="416" t="s">
        <v>64</v>
      </c>
      <c r="V28" s="416" t="s">
        <v>66</v>
      </c>
      <c r="W28" s="389" t="s">
        <v>68</v>
      </c>
      <c r="X28" s="436" t="s">
        <v>69</v>
      </c>
      <c r="Y28" s="416" t="s">
        <v>149</v>
      </c>
      <c r="Z28" s="416" t="s">
        <v>150</v>
      </c>
      <c r="AA28" s="416" t="s">
        <v>151</v>
      </c>
      <c r="AB28" s="416" t="s">
        <v>156</v>
      </c>
      <c r="AC28" s="416">
        <v>0.011</v>
      </c>
      <c r="AD28" s="465" t="s">
        <v>64</v>
      </c>
      <c r="AE28" s="466" t="s">
        <v>153</v>
      </c>
      <c r="AF28" s="467">
        <f>AC28/0.025*1000</f>
        <v>440</v>
      </c>
      <c r="AG28" s="467">
        <v>2</v>
      </c>
      <c r="AH28" s="467"/>
      <c r="AI28" s="498">
        <f>AF28*0.025/1000</f>
        <v>0.011</v>
      </c>
      <c r="AJ28" s="499">
        <f t="shared" si="2"/>
        <v>1</v>
      </c>
      <c r="AK28" s="490"/>
      <c r="AL28" s="493"/>
      <c r="AM28" s="487" t="s">
        <v>100</v>
      </c>
      <c r="AN28" s="494"/>
      <c r="AO28" s="389"/>
      <c r="AP28" s="390"/>
      <c r="AQ28" s="395">
        <v>1</v>
      </c>
      <c r="AR28" s="420">
        <v>1</v>
      </c>
      <c r="AS28" s="395">
        <v>1</v>
      </c>
      <c r="AT28" s="390">
        <v>1</v>
      </c>
      <c r="AU28" s="390">
        <v>1</v>
      </c>
    </row>
    <row r="29" s="357" customFormat="1" ht="45" customHeight="1" spans="1:47">
      <c r="A29" s="386">
        <f t="shared" si="1"/>
        <v>20</v>
      </c>
      <c r="B29" s="389"/>
      <c r="C29" s="387"/>
      <c r="D29" s="387">
        <v>2</v>
      </c>
      <c r="E29" s="387"/>
      <c r="F29" s="390"/>
      <c r="G29" s="388"/>
      <c r="H29" s="388"/>
      <c r="I29" s="388"/>
      <c r="J29" s="388"/>
      <c r="K29" s="388"/>
      <c r="L29" s="416" t="s">
        <v>131</v>
      </c>
      <c r="M29" s="418" t="s">
        <v>157</v>
      </c>
      <c r="N29" s="418" t="s">
        <v>157</v>
      </c>
      <c r="O29" s="418" t="s">
        <v>158</v>
      </c>
      <c r="P29" s="416" t="s">
        <v>148</v>
      </c>
      <c r="Q29" s="416"/>
      <c r="R29" s="387" t="s">
        <v>67</v>
      </c>
      <c r="S29" s="416"/>
      <c r="T29" s="435" t="s">
        <v>66</v>
      </c>
      <c r="U29" s="416" t="s">
        <v>64</v>
      </c>
      <c r="V29" s="416" t="s">
        <v>66</v>
      </c>
      <c r="W29" s="389" t="s">
        <v>68</v>
      </c>
      <c r="X29" s="436" t="s">
        <v>69</v>
      </c>
      <c r="Y29" s="416" t="s">
        <v>149</v>
      </c>
      <c r="Z29" s="416" t="s">
        <v>150</v>
      </c>
      <c r="AA29" s="416" t="s">
        <v>151</v>
      </c>
      <c r="AB29" s="416" t="s">
        <v>159</v>
      </c>
      <c r="AC29" s="416">
        <v>0.0074</v>
      </c>
      <c r="AD29" s="465" t="s">
        <v>64</v>
      </c>
      <c r="AE29" s="466" t="s">
        <v>153</v>
      </c>
      <c r="AF29" s="467">
        <f>AC29/0.025*1000</f>
        <v>296</v>
      </c>
      <c r="AG29" s="467">
        <v>2</v>
      </c>
      <c r="AH29" s="467"/>
      <c r="AI29" s="498">
        <f>AF29*0.025/1000</f>
        <v>0.0074</v>
      </c>
      <c r="AJ29" s="499">
        <f t="shared" si="2"/>
        <v>1</v>
      </c>
      <c r="AK29" s="490"/>
      <c r="AL29" s="493"/>
      <c r="AM29" s="487" t="s">
        <v>100</v>
      </c>
      <c r="AN29" s="494"/>
      <c r="AO29" s="389"/>
      <c r="AP29" s="390"/>
      <c r="AQ29" s="528">
        <v>0</v>
      </c>
      <c r="AR29" s="420">
        <v>1</v>
      </c>
      <c r="AS29" s="395">
        <v>1</v>
      </c>
      <c r="AT29" s="395">
        <v>1</v>
      </c>
      <c r="AU29" s="395">
        <v>1</v>
      </c>
    </row>
    <row r="30" s="357" customFormat="1" ht="45" customHeight="1" spans="1:47">
      <c r="A30" s="386">
        <f t="shared" si="1"/>
        <v>21</v>
      </c>
      <c r="B30" s="389"/>
      <c r="C30" s="387"/>
      <c r="D30" s="387">
        <v>2</v>
      </c>
      <c r="E30" s="387"/>
      <c r="F30" s="390"/>
      <c r="G30" s="388"/>
      <c r="H30" s="388"/>
      <c r="I30" s="388"/>
      <c r="J30" s="388"/>
      <c r="K30" s="388"/>
      <c r="L30" s="416" t="s">
        <v>131</v>
      </c>
      <c r="M30" s="417" t="s">
        <v>160</v>
      </c>
      <c r="N30" s="417" t="s">
        <v>160</v>
      </c>
      <c r="O30" s="417" t="s">
        <v>161</v>
      </c>
      <c r="P30" s="416" t="s">
        <v>148</v>
      </c>
      <c r="Q30" s="416"/>
      <c r="R30" s="387" t="s">
        <v>67</v>
      </c>
      <c r="S30" s="416"/>
      <c r="T30" s="435" t="s">
        <v>66</v>
      </c>
      <c r="U30" s="416" t="s">
        <v>64</v>
      </c>
      <c r="V30" s="416" t="s">
        <v>66</v>
      </c>
      <c r="W30" s="389" t="s">
        <v>68</v>
      </c>
      <c r="X30" s="436" t="s">
        <v>69</v>
      </c>
      <c r="Y30" s="416" t="s">
        <v>149</v>
      </c>
      <c r="Z30" s="416" t="s">
        <v>150</v>
      </c>
      <c r="AA30" s="416" t="s">
        <v>151</v>
      </c>
      <c r="AB30" s="416" t="s">
        <v>162</v>
      </c>
      <c r="AC30" s="416">
        <v>0.0116</v>
      </c>
      <c r="AD30" s="465" t="s">
        <v>64</v>
      </c>
      <c r="AE30" s="466" t="s">
        <v>153</v>
      </c>
      <c r="AF30" s="467">
        <f>AC30/0.025*1000</f>
        <v>464</v>
      </c>
      <c r="AG30" s="467">
        <v>2</v>
      </c>
      <c r="AH30" s="467"/>
      <c r="AI30" s="498">
        <f>AF30*0.025/1000</f>
        <v>0.0116</v>
      </c>
      <c r="AJ30" s="499">
        <f t="shared" si="2"/>
        <v>1</v>
      </c>
      <c r="AK30" s="490"/>
      <c r="AL30" s="493"/>
      <c r="AM30" s="487" t="s">
        <v>100</v>
      </c>
      <c r="AN30" s="494"/>
      <c r="AO30" s="389"/>
      <c r="AP30" s="390"/>
      <c r="AQ30" s="395">
        <v>1</v>
      </c>
      <c r="AR30" s="420">
        <v>1</v>
      </c>
      <c r="AS30" s="395">
        <v>1</v>
      </c>
      <c r="AT30" s="395">
        <v>1</v>
      </c>
      <c r="AU30" s="395">
        <v>1</v>
      </c>
    </row>
    <row r="31" s="357" customFormat="1" ht="45" customHeight="1" spans="1:47">
      <c r="A31" s="386">
        <f t="shared" ref="A31:A40" si="3">ROW()-9</f>
        <v>22</v>
      </c>
      <c r="B31" s="389"/>
      <c r="C31" s="387"/>
      <c r="D31" s="387">
        <v>2</v>
      </c>
      <c r="E31" s="387"/>
      <c r="F31" s="390"/>
      <c r="G31" s="388"/>
      <c r="H31" s="388"/>
      <c r="I31" s="388"/>
      <c r="J31" s="388"/>
      <c r="K31" s="388"/>
      <c r="L31" s="416" t="s">
        <v>131</v>
      </c>
      <c r="M31" s="417" t="s">
        <v>163</v>
      </c>
      <c r="N31" s="417" t="s">
        <v>163</v>
      </c>
      <c r="O31" s="417" t="s">
        <v>164</v>
      </c>
      <c r="P31" s="416" t="s">
        <v>148</v>
      </c>
      <c r="Q31" s="416"/>
      <c r="R31" s="387" t="s">
        <v>67</v>
      </c>
      <c r="S31" s="416"/>
      <c r="T31" s="435" t="s">
        <v>66</v>
      </c>
      <c r="U31" s="416" t="s">
        <v>64</v>
      </c>
      <c r="V31" s="416" t="s">
        <v>66</v>
      </c>
      <c r="W31" s="389" t="s">
        <v>68</v>
      </c>
      <c r="X31" s="436" t="s">
        <v>69</v>
      </c>
      <c r="Y31" s="416" t="s">
        <v>149</v>
      </c>
      <c r="Z31" s="416" t="s">
        <v>150</v>
      </c>
      <c r="AA31" s="416" t="s">
        <v>151</v>
      </c>
      <c r="AB31" s="416" t="s">
        <v>165</v>
      </c>
      <c r="AC31" s="416">
        <v>0.0116</v>
      </c>
      <c r="AD31" s="465" t="s">
        <v>64</v>
      </c>
      <c r="AE31" s="466" t="s">
        <v>153</v>
      </c>
      <c r="AF31" s="467">
        <f>AC31/0.025*1000</f>
        <v>464</v>
      </c>
      <c r="AG31" s="467">
        <v>2</v>
      </c>
      <c r="AH31" s="467"/>
      <c r="AI31" s="498">
        <f>AF31*0.025/1000</f>
        <v>0.0116</v>
      </c>
      <c r="AJ31" s="499">
        <f t="shared" si="2"/>
        <v>1</v>
      </c>
      <c r="AK31" s="490"/>
      <c r="AL31" s="493"/>
      <c r="AM31" s="487" t="s">
        <v>100</v>
      </c>
      <c r="AN31" s="494"/>
      <c r="AO31" s="389"/>
      <c r="AP31" s="390"/>
      <c r="AQ31" s="395">
        <v>1</v>
      </c>
      <c r="AR31" s="420">
        <v>1</v>
      </c>
      <c r="AS31" s="395">
        <v>1</v>
      </c>
      <c r="AT31" s="395">
        <v>1</v>
      </c>
      <c r="AU31" s="395">
        <v>1</v>
      </c>
    </row>
    <row r="32" s="357" customFormat="1" ht="45" customHeight="1" spans="1:47">
      <c r="A32" s="386">
        <f t="shared" si="3"/>
        <v>23</v>
      </c>
      <c r="B32" s="389"/>
      <c r="C32" s="387"/>
      <c r="D32" s="387">
        <v>2</v>
      </c>
      <c r="E32" s="387"/>
      <c r="F32" s="390"/>
      <c r="G32" s="388"/>
      <c r="H32" s="388"/>
      <c r="I32" s="388"/>
      <c r="J32" s="388"/>
      <c r="K32" s="388"/>
      <c r="L32" s="387" t="s">
        <v>87</v>
      </c>
      <c r="M32" s="251" t="s">
        <v>166</v>
      </c>
      <c r="N32" s="413" t="s">
        <v>167</v>
      </c>
      <c r="O32" s="413" t="s">
        <v>168</v>
      </c>
      <c r="P32" s="395" t="s">
        <v>169</v>
      </c>
      <c r="Q32" s="387"/>
      <c r="R32" s="387" t="s">
        <v>67</v>
      </c>
      <c r="S32" s="437"/>
      <c r="T32" s="438" t="s">
        <v>66</v>
      </c>
      <c r="U32" s="416" t="str">
        <f>N32</f>
        <v>H4681010024A0</v>
      </c>
      <c r="V32" s="389" t="s">
        <v>66</v>
      </c>
      <c r="W32" s="389" t="s">
        <v>69</v>
      </c>
      <c r="X32" s="436" t="s">
        <v>68</v>
      </c>
      <c r="Y32" s="386" t="s">
        <v>105</v>
      </c>
      <c r="Z32" s="395" t="s">
        <v>170</v>
      </c>
      <c r="AA32" s="386" t="s">
        <v>107</v>
      </c>
      <c r="AB32" s="386" t="s">
        <v>171</v>
      </c>
      <c r="AC32" s="458">
        <v>0.033</v>
      </c>
      <c r="AD32" s="390" t="s">
        <v>64</v>
      </c>
      <c r="AE32" s="457" t="s">
        <v>110</v>
      </c>
      <c r="AF32" s="457">
        <f>149+5</f>
        <v>154</v>
      </c>
      <c r="AG32" s="457">
        <f>53+2</f>
        <v>55</v>
      </c>
      <c r="AH32" s="490" t="s">
        <v>111</v>
      </c>
      <c r="AI32" s="492">
        <f>AF32*AG32*AH32*7860/1000000000</f>
        <v>0.0665742</v>
      </c>
      <c r="AJ32" s="489">
        <f t="shared" si="2"/>
        <v>0.495687518588282</v>
      </c>
      <c r="AK32" s="490"/>
      <c r="AL32" s="493"/>
      <c r="AM32" s="487" t="s">
        <v>100</v>
      </c>
      <c r="AN32" s="494" t="s">
        <v>112</v>
      </c>
      <c r="AO32" s="389"/>
      <c r="AP32" s="390"/>
      <c r="AQ32" s="395">
        <v>1</v>
      </c>
      <c r="AR32" s="420">
        <v>1</v>
      </c>
      <c r="AS32" s="395">
        <v>1</v>
      </c>
      <c r="AT32" s="395">
        <v>1</v>
      </c>
      <c r="AU32" s="395">
        <v>1</v>
      </c>
    </row>
    <row r="33" s="357" customFormat="1" ht="45" customHeight="1" spans="1:47">
      <c r="A33" s="386">
        <f t="shared" si="3"/>
        <v>24</v>
      </c>
      <c r="B33" s="389"/>
      <c r="C33" s="387"/>
      <c r="D33" s="387">
        <v>2</v>
      </c>
      <c r="E33" s="387"/>
      <c r="F33" s="390"/>
      <c r="G33" s="388"/>
      <c r="H33" s="388"/>
      <c r="I33" s="388"/>
      <c r="J33" s="388"/>
      <c r="K33" s="388"/>
      <c r="L33" s="387"/>
      <c r="M33" s="251" t="s">
        <v>172</v>
      </c>
      <c r="N33" s="413" t="s">
        <v>172</v>
      </c>
      <c r="O33" s="413" t="s">
        <v>173</v>
      </c>
      <c r="P33" s="395"/>
      <c r="Q33" s="387"/>
      <c r="R33" s="387" t="s">
        <v>67</v>
      </c>
      <c r="S33" s="437"/>
      <c r="T33" s="438" t="s">
        <v>66</v>
      </c>
      <c r="U33" s="416"/>
      <c r="V33" s="438" t="s">
        <v>66</v>
      </c>
      <c r="W33" s="389" t="s">
        <v>68</v>
      </c>
      <c r="X33" s="436" t="s">
        <v>69</v>
      </c>
      <c r="Y33" s="386"/>
      <c r="Z33" s="395"/>
      <c r="AA33" s="386"/>
      <c r="AB33" s="386"/>
      <c r="AC33" s="458"/>
      <c r="AD33" s="390"/>
      <c r="AE33" s="457"/>
      <c r="AF33" s="457"/>
      <c r="AG33" s="457"/>
      <c r="AH33" s="490"/>
      <c r="AI33" s="492"/>
      <c r="AJ33" s="489"/>
      <c r="AK33" s="490"/>
      <c r="AL33" s="493"/>
      <c r="AM33" s="487" t="s">
        <v>100</v>
      </c>
      <c r="AN33" s="494" t="s">
        <v>174</v>
      </c>
      <c r="AO33" s="389"/>
      <c r="AP33" s="390"/>
      <c r="AQ33" s="395">
        <v>3</v>
      </c>
      <c r="AR33" s="420">
        <v>0</v>
      </c>
      <c r="AS33" s="395">
        <v>0</v>
      </c>
      <c r="AT33" s="395"/>
      <c r="AU33" s="395"/>
    </row>
    <row r="34" s="357" customFormat="1" ht="45" customHeight="1" spans="1:47">
      <c r="A34" s="386">
        <f t="shared" si="3"/>
        <v>25</v>
      </c>
      <c r="B34" s="389"/>
      <c r="C34" s="387">
        <v>1</v>
      </c>
      <c r="D34" s="387"/>
      <c r="E34" s="387"/>
      <c r="F34" s="390"/>
      <c r="G34" s="388"/>
      <c r="H34" s="388"/>
      <c r="I34" s="388"/>
      <c r="J34" s="388"/>
      <c r="K34" s="388"/>
      <c r="L34" s="387"/>
      <c r="M34" s="251" t="s">
        <v>175</v>
      </c>
      <c r="N34" s="413" t="s">
        <v>176</v>
      </c>
      <c r="O34" s="413" t="s">
        <v>177</v>
      </c>
      <c r="P34" s="395" t="s">
        <v>178</v>
      </c>
      <c r="Q34" s="387"/>
      <c r="R34" s="387" t="s">
        <v>67</v>
      </c>
      <c r="S34" s="437"/>
      <c r="T34" s="438" t="s">
        <v>66</v>
      </c>
      <c r="U34" s="416"/>
      <c r="V34" s="389" t="s">
        <v>66</v>
      </c>
      <c r="W34" s="389" t="s">
        <v>69</v>
      </c>
      <c r="X34" s="436" t="s">
        <v>68</v>
      </c>
      <c r="Y34" s="386" t="s">
        <v>117</v>
      </c>
      <c r="Z34" s="395"/>
      <c r="AA34" s="386"/>
      <c r="AB34" s="386"/>
      <c r="AC34" s="458">
        <v>0.001</v>
      </c>
      <c r="AD34" s="390"/>
      <c r="AE34" s="457"/>
      <c r="AF34" s="457"/>
      <c r="AG34" s="457"/>
      <c r="AH34" s="490"/>
      <c r="AI34" s="492"/>
      <c r="AJ34" s="489"/>
      <c r="AK34" s="490"/>
      <c r="AL34" s="493"/>
      <c r="AM34" s="487" t="s">
        <v>100</v>
      </c>
      <c r="AN34" s="494"/>
      <c r="AO34" s="389"/>
      <c r="AP34" s="390"/>
      <c r="AQ34" s="395">
        <v>26</v>
      </c>
      <c r="AR34" s="420">
        <v>26</v>
      </c>
      <c r="AS34" s="395">
        <v>26</v>
      </c>
      <c r="AT34" s="395">
        <v>26</v>
      </c>
      <c r="AU34" s="395">
        <v>26</v>
      </c>
    </row>
    <row r="35" s="357" customFormat="1" ht="45" customHeight="1" spans="1:47">
      <c r="A35" s="386">
        <f t="shared" si="3"/>
        <v>26</v>
      </c>
      <c r="B35" s="389"/>
      <c r="C35" s="387">
        <v>1</v>
      </c>
      <c r="D35" s="387"/>
      <c r="E35" s="387"/>
      <c r="F35" s="388"/>
      <c r="G35" s="390"/>
      <c r="H35" s="388"/>
      <c r="I35" s="388"/>
      <c r="J35" s="388"/>
      <c r="K35" s="388"/>
      <c r="L35" s="416" t="s">
        <v>131</v>
      </c>
      <c r="M35" s="417" t="s">
        <v>179</v>
      </c>
      <c r="N35" s="413" t="s">
        <v>179</v>
      </c>
      <c r="O35" s="413" t="s">
        <v>180</v>
      </c>
      <c r="P35" s="419" t="s">
        <v>64</v>
      </c>
      <c r="Q35" s="387"/>
      <c r="R35" s="386" t="s">
        <v>67</v>
      </c>
      <c r="S35" s="437"/>
      <c r="T35" s="435" t="s">
        <v>66</v>
      </c>
      <c r="U35" s="416" t="s">
        <v>64</v>
      </c>
      <c r="V35" s="438" t="s">
        <v>66</v>
      </c>
      <c r="W35" s="389" t="s">
        <v>68</v>
      </c>
      <c r="X35" s="436" t="s">
        <v>69</v>
      </c>
      <c r="Y35" s="437" t="s">
        <v>181</v>
      </c>
      <c r="Z35" s="437" t="s">
        <v>64</v>
      </c>
      <c r="AA35" s="437" t="s">
        <v>64</v>
      </c>
      <c r="AB35" s="437" t="s">
        <v>182</v>
      </c>
      <c r="AC35" s="458" t="s">
        <v>64</v>
      </c>
      <c r="AD35" s="416" t="s">
        <v>64</v>
      </c>
      <c r="AE35" s="457" t="s">
        <v>183</v>
      </c>
      <c r="AF35" s="457"/>
      <c r="AG35" s="457"/>
      <c r="AH35" s="490"/>
      <c r="AI35" s="490"/>
      <c r="AJ35" s="490"/>
      <c r="AK35" s="490"/>
      <c r="AL35" s="493"/>
      <c r="AM35" s="487" t="s">
        <v>74</v>
      </c>
      <c r="AN35" s="494" t="s">
        <v>184</v>
      </c>
      <c r="AO35" s="389"/>
      <c r="AP35" s="390"/>
      <c r="AQ35" s="395">
        <v>1</v>
      </c>
      <c r="AR35" s="420">
        <v>0</v>
      </c>
      <c r="AS35" s="395">
        <v>0</v>
      </c>
      <c r="AT35" s="390">
        <v>0</v>
      </c>
      <c r="AU35" s="390">
        <v>1</v>
      </c>
    </row>
    <row r="36" s="357" customFormat="1" ht="45" customHeight="1" spans="1:47">
      <c r="A36" s="386">
        <f t="shared" si="3"/>
        <v>27</v>
      </c>
      <c r="B36" s="389"/>
      <c r="C36" s="387">
        <v>1</v>
      </c>
      <c r="D36" s="387"/>
      <c r="E36" s="387"/>
      <c r="F36" s="388"/>
      <c r="G36" s="390"/>
      <c r="H36" s="388"/>
      <c r="I36" s="388"/>
      <c r="J36" s="388"/>
      <c r="K36" s="388"/>
      <c r="L36" s="416" t="s">
        <v>131</v>
      </c>
      <c r="M36" s="413" t="s">
        <v>185</v>
      </c>
      <c r="N36" s="413" t="s">
        <v>185</v>
      </c>
      <c r="O36" s="413" t="s">
        <v>180</v>
      </c>
      <c r="P36" s="419" t="s">
        <v>64</v>
      </c>
      <c r="Q36" s="387"/>
      <c r="R36" s="386" t="s">
        <v>67</v>
      </c>
      <c r="S36" s="437"/>
      <c r="T36" s="435" t="s">
        <v>66</v>
      </c>
      <c r="U36" s="416" t="s">
        <v>64</v>
      </c>
      <c r="V36" s="438" t="s">
        <v>66</v>
      </c>
      <c r="W36" s="389" t="s">
        <v>68</v>
      </c>
      <c r="X36" s="436" t="s">
        <v>69</v>
      </c>
      <c r="Y36" s="437" t="s">
        <v>181</v>
      </c>
      <c r="Z36" s="437" t="s">
        <v>64</v>
      </c>
      <c r="AA36" s="437" t="s">
        <v>64</v>
      </c>
      <c r="AB36" s="437" t="s">
        <v>186</v>
      </c>
      <c r="AC36" s="458" t="s">
        <v>64</v>
      </c>
      <c r="AD36" s="416" t="s">
        <v>64</v>
      </c>
      <c r="AE36" s="457" t="s">
        <v>183</v>
      </c>
      <c r="AF36" s="457"/>
      <c r="AG36" s="457"/>
      <c r="AH36" s="490"/>
      <c r="AI36" s="490"/>
      <c r="AJ36" s="490"/>
      <c r="AK36" s="490"/>
      <c r="AL36" s="493"/>
      <c r="AM36" s="487" t="s">
        <v>74</v>
      </c>
      <c r="AN36" s="494" t="s">
        <v>184</v>
      </c>
      <c r="AO36" s="389"/>
      <c r="AP36" s="390"/>
      <c r="AQ36" s="395">
        <v>0</v>
      </c>
      <c r="AR36" s="420">
        <v>1</v>
      </c>
      <c r="AS36" s="395">
        <v>0</v>
      </c>
      <c r="AT36" s="390">
        <v>0</v>
      </c>
      <c r="AU36" s="390">
        <v>0</v>
      </c>
    </row>
    <row r="37" s="357" customFormat="1" ht="45" customHeight="1" spans="1:47">
      <c r="A37" s="386">
        <f t="shared" si="3"/>
        <v>28</v>
      </c>
      <c r="B37" s="389"/>
      <c r="C37" s="387">
        <v>1</v>
      </c>
      <c r="D37" s="388"/>
      <c r="E37" s="388"/>
      <c r="F37" s="388"/>
      <c r="G37" s="390"/>
      <c r="H37" s="388"/>
      <c r="I37" s="388"/>
      <c r="J37" s="388"/>
      <c r="K37" s="388"/>
      <c r="L37" s="416" t="s">
        <v>131</v>
      </c>
      <c r="M37" s="417" t="s">
        <v>187</v>
      </c>
      <c r="N37" s="413" t="s">
        <v>187</v>
      </c>
      <c r="O37" s="413" t="s">
        <v>180</v>
      </c>
      <c r="P37" s="419" t="s">
        <v>64</v>
      </c>
      <c r="Q37" s="387"/>
      <c r="R37" s="387" t="s">
        <v>67</v>
      </c>
      <c r="S37" s="437"/>
      <c r="T37" s="435" t="s">
        <v>66</v>
      </c>
      <c r="U37" s="416" t="s">
        <v>64</v>
      </c>
      <c r="V37" s="438" t="s">
        <v>66</v>
      </c>
      <c r="W37" s="389" t="s">
        <v>68</v>
      </c>
      <c r="X37" s="436" t="s">
        <v>69</v>
      </c>
      <c r="Y37" s="437" t="s">
        <v>181</v>
      </c>
      <c r="Z37" s="437" t="s">
        <v>64</v>
      </c>
      <c r="AA37" s="437" t="s">
        <v>64</v>
      </c>
      <c r="AB37" s="437" t="s">
        <v>182</v>
      </c>
      <c r="AC37" s="458" t="s">
        <v>64</v>
      </c>
      <c r="AD37" s="416" t="s">
        <v>64</v>
      </c>
      <c r="AE37" s="457" t="s">
        <v>183</v>
      </c>
      <c r="AF37" s="457"/>
      <c r="AG37" s="457"/>
      <c r="AH37" s="490"/>
      <c r="AI37" s="490"/>
      <c r="AJ37" s="490"/>
      <c r="AK37" s="490"/>
      <c r="AL37" s="493"/>
      <c r="AM37" s="487" t="s">
        <v>74</v>
      </c>
      <c r="AN37" s="494" t="s">
        <v>184</v>
      </c>
      <c r="AO37" s="389"/>
      <c r="AP37" s="390"/>
      <c r="AQ37" s="395">
        <v>0</v>
      </c>
      <c r="AR37" s="420">
        <v>0</v>
      </c>
      <c r="AS37" s="395">
        <v>1</v>
      </c>
      <c r="AT37" s="390">
        <v>1</v>
      </c>
      <c r="AU37" s="390">
        <v>0</v>
      </c>
    </row>
    <row r="38" s="357" customFormat="1" ht="45" customHeight="1" spans="1:47">
      <c r="A38" s="386">
        <f t="shared" si="3"/>
        <v>29</v>
      </c>
      <c r="B38" s="389"/>
      <c r="C38" s="387">
        <v>1</v>
      </c>
      <c r="D38" s="388"/>
      <c r="E38" s="388"/>
      <c r="F38" s="388"/>
      <c r="G38" s="390"/>
      <c r="H38" s="388"/>
      <c r="I38" s="388"/>
      <c r="J38" s="388"/>
      <c r="K38" s="388"/>
      <c r="L38" s="416" t="s">
        <v>131</v>
      </c>
      <c r="M38" s="420" t="s">
        <v>188</v>
      </c>
      <c r="N38" s="420" t="s">
        <v>188</v>
      </c>
      <c r="O38" s="420" t="s">
        <v>189</v>
      </c>
      <c r="P38" s="419" t="s">
        <v>64</v>
      </c>
      <c r="Q38" s="387"/>
      <c r="R38" s="387" t="s">
        <v>67</v>
      </c>
      <c r="S38" s="437"/>
      <c r="T38" s="435" t="s">
        <v>66</v>
      </c>
      <c r="U38" s="416" t="s">
        <v>64</v>
      </c>
      <c r="V38" s="438" t="s">
        <v>66</v>
      </c>
      <c r="W38" s="389" t="s">
        <v>68</v>
      </c>
      <c r="X38" s="436" t="s">
        <v>69</v>
      </c>
      <c r="Y38" s="437" t="s">
        <v>70</v>
      </c>
      <c r="Z38" s="437" t="s">
        <v>71</v>
      </c>
      <c r="AA38" s="437" t="s">
        <v>64</v>
      </c>
      <c r="AB38" s="437"/>
      <c r="AC38" s="458"/>
      <c r="AD38" s="416"/>
      <c r="AE38" s="457"/>
      <c r="AF38" s="457"/>
      <c r="AG38" s="457"/>
      <c r="AH38" s="490"/>
      <c r="AI38" s="490"/>
      <c r="AJ38" s="490"/>
      <c r="AK38" s="490"/>
      <c r="AL38" s="493"/>
      <c r="AM38" s="487" t="s">
        <v>74</v>
      </c>
      <c r="AN38" s="494" t="s">
        <v>190</v>
      </c>
      <c r="AO38" s="389"/>
      <c r="AP38" s="390"/>
      <c r="AQ38" s="395">
        <v>1</v>
      </c>
      <c r="AR38" s="420">
        <v>1</v>
      </c>
      <c r="AS38" s="395">
        <v>1</v>
      </c>
      <c r="AT38" s="390"/>
      <c r="AU38" s="390"/>
    </row>
    <row r="39" s="358" customFormat="1" ht="45" customHeight="1" spans="1:47">
      <c r="A39" s="386">
        <f t="shared" si="3"/>
        <v>30</v>
      </c>
      <c r="B39" s="391"/>
      <c r="C39" s="391"/>
      <c r="D39" s="391">
        <v>2</v>
      </c>
      <c r="E39" s="391"/>
      <c r="F39" s="391"/>
      <c r="G39" s="391"/>
      <c r="H39" s="391"/>
      <c r="I39" s="391"/>
      <c r="J39" s="391"/>
      <c r="K39" s="391"/>
      <c r="L39" s="391"/>
      <c r="M39" s="421" t="s">
        <v>191</v>
      </c>
      <c r="N39" s="421"/>
      <c r="O39" s="421" t="s">
        <v>192</v>
      </c>
      <c r="P39" s="391"/>
      <c r="Q39" s="396" t="s">
        <v>66</v>
      </c>
      <c r="R39" s="391" t="s">
        <v>67</v>
      </c>
      <c r="S39" s="439"/>
      <c r="T39" s="440" t="s">
        <v>66</v>
      </c>
      <c r="U39" s="391" t="s">
        <v>193</v>
      </c>
      <c r="V39" s="441" t="s">
        <v>66</v>
      </c>
      <c r="W39" s="392" t="s">
        <v>69</v>
      </c>
      <c r="X39" s="442" t="s">
        <v>68</v>
      </c>
      <c r="Y39" s="442" t="s">
        <v>194</v>
      </c>
      <c r="Z39" s="396" t="s">
        <v>71</v>
      </c>
      <c r="AA39" s="396" t="s">
        <v>64</v>
      </c>
      <c r="AB39" s="392" t="s">
        <v>195</v>
      </c>
      <c r="AC39" s="468">
        <v>0.384</v>
      </c>
      <c r="AD39" s="469" t="s">
        <v>109</v>
      </c>
      <c r="AE39" s="470" t="s">
        <v>109</v>
      </c>
      <c r="AF39" s="470"/>
      <c r="AG39" s="470"/>
      <c r="AH39" s="470"/>
      <c r="AI39" s="500"/>
      <c r="AJ39" s="500"/>
      <c r="AK39" s="500"/>
      <c r="AL39" s="501">
        <v>0.022</v>
      </c>
      <c r="AM39" s="502" t="s">
        <v>74</v>
      </c>
      <c r="AN39" s="503" t="s">
        <v>196</v>
      </c>
      <c r="AO39" s="529"/>
      <c r="AP39" s="392"/>
      <c r="AQ39" s="530">
        <v>1</v>
      </c>
      <c r="AR39" s="531">
        <v>1</v>
      </c>
      <c r="AS39" s="530">
        <v>1</v>
      </c>
      <c r="AT39" s="393"/>
      <c r="AU39" s="393"/>
    </row>
    <row r="40" s="358" customFormat="1" ht="45" customHeight="1" spans="1:47">
      <c r="A40" s="386">
        <f t="shared" si="3"/>
        <v>31</v>
      </c>
      <c r="B40" s="392"/>
      <c r="C40" s="391"/>
      <c r="D40" s="393"/>
      <c r="E40" s="391">
        <v>3</v>
      </c>
      <c r="F40" s="391"/>
      <c r="G40" s="394"/>
      <c r="H40" s="394"/>
      <c r="I40" s="394"/>
      <c r="J40" s="394"/>
      <c r="K40" s="394"/>
      <c r="L40" s="391" t="s">
        <v>197</v>
      </c>
      <c r="M40" s="422" t="s">
        <v>193</v>
      </c>
      <c r="N40" s="422" t="s">
        <v>193</v>
      </c>
      <c r="O40" s="422" t="s">
        <v>198</v>
      </c>
      <c r="P40" s="423" t="s">
        <v>199</v>
      </c>
      <c r="Q40" s="441"/>
      <c r="R40" s="391" t="s">
        <v>67</v>
      </c>
      <c r="S40" s="423"/>
      <c r="T40" s="440" t="s">
        <v>66</v>
      </c>
      <c r="U40" s="423" t="s">
        <v>193</v>
      </c>
      <c r="V40" s="443" t="s">
        <v>66</v>
      </c>
      <c r="W40" s="392" t="s">
        <v>69</v>
      </c>
      <c r="X40" s="442" t="s">
        <v>68</v>
      </c>
      <c r="Y40" s="471" t="s">
        <v>194</v>
      </c>
      <c r="Z40" s="441" t="s">
        <v>71</v>
      </c>
      <c r="AA40" s="393" t="s">
        <v>64</v>
      </c>
      <c r="AB40" s="393" t="s">
        <v>195</v>
      </c>
      <c r="AC40" s="472">
        <v>0.384</v>
      </c>
      <c r="AD40" s="473" t="s">
        <v>109</v>
      </c>
      <c r="AE40" s="474" t="s">
        <v>200</v>
      </c>
      <c r="AF40" s="474"/>
      <c r="AG40" s="474"/>
      <c r="AH40" s="504"/>
      <c r="AI40" s="504"/>
      <c r="AJ40" s="504"/>
      <c r="AK40" s="504"/>
      <c r="AL40" s="505"/>
      <c r="AM40" s="502" t="s">
        <v>74</v>
      </c>
      <c r="AN40" s="503" t="s">
        <v>201</v>
      </c>
      <c r="AO40" s="392"/>
      <c r="AP40" s="393"/>
      <c r="AQ40" s="530">
        <v>1</v>
      </c>
      <c r="AR40" s="531">
        <v>1</v>
      </c>
      <c r="AS40" s="530">
        <v>1</v>
      </c>
      <c r="AT40" s="393">
        <v>1</v>
      </c>
      <c r="AU40" s="393">
        <v>1</v>
      </c>
    </row>
    <row r="41" s="358" customFormat="1" ht="45" customHeight="1" spans="1:47">
      <c r="A41" s="386">
        <f t="shared" ref="A41:A50" si="4">ROW()-9</f>
        <v>32</v>
      </c>
      <c r="B41" s="392"/>
      <c r="C41" s="393"/>
      <c r="D41" s="391"/>
      <c r="E41" s="391"/>
      <c r="F41" s="391">
        <v>4</v>
      </c>
      <c r="G41" s="394"/>
      <c r="H41" s="394"/>
      <c r="I41" s="394"/>
      <c r="J41" s="394"/>
      <c r="K41" s="394"/>
      <c r="L41" s="391" t="s">
        <v>202</v>
      </c>
      <c r="M41" s="422" t="s">
        <v>203</v>
      </c>
      <c r="N41" s="422" t="s">
        <v>203</v>
      </c>
      <c r="O41" s="422" t="s">
        <v>204</v>
      </c>
      <c r="P41" s="423" t="s">
        <v>199</v>
      </c>
      <c r="Q41" s="441"/>
      <c r="R41" s="391" t="s">
        <v>67</v>
      </c>
      <c r="S41" s="423"/>
      <c r="T41" s="440" t="s">
        <v>66</v>
      </c>
      <c r="U41" s="423" t="s">
        <v>205</v>
      </c>
      <c r="V41" s="443" t="s">
        <v>66</v>
      </c>
      <c r="W41" s="392" t="s">
        <v>69</v>
      </c>
      <c r="X41" s="442" t="s">
        <v>68</v>
      </c>
      <c r="Y41" s="471" t="s">
        <v>206</v>
      </c>
      <c r="Z41" s="393" t="s">
        <v>207</v>
      </c>
      <c r="AA41" s="393" t="s">
        <v>64</v>
      </c>
      <c r="AB41" s="393" t="s">
        <v>208</v>
      </c>
      <c r="AC41" s="472">
        <v>0.2407</v>
      </c>
      <c r="AD41" s="473" t="s">
        <v>64</v>
      </c>
      <c r="AE41" s="474" t="s">
        <v>209</v>
      </c>
      <c r="AF41" s="474">
        <v>64</v>
      </c>
      <c r="AG41" s="474">
        <v>30</v>
      </c>
      <c r="AH41" s="504"/>
      <c r="AI41" s="492">
        <f>AG41/2*AG41/2*3.14*AF41*7860/1000000000</f>
        <v>0.35539776</v>
      </c>
      <c r="AJ41" s="489">
        <f>AC41/AI41</f>
        <v>0.677269322125159</v>
      </c>
      <c r="AK41" s="504"/>
      <c r="AL41" s="505"/>
      <c r="AM41" s="502" t="s">
        <v>100</v>
      </c>
      <c r="AN41" s="503" t="s">
        <v>210</v>
      </c>
      <c r="AO41" s="392"/>
      <c r="AP41" s="393"/>
      <c r="AQ41" s="530">
        <v>1</v>
      </c>
      <c r="AR41" s="531">
        <v>1</v>
      </c>
      <c r="AS41" s="530">
        <v>1</v>
      </c>
      <c r="AT41" s="393">
        <v>1</v>
      </c>
      <c r="AU41" s="393">
        <v>1</v>
      </c>
    </row>
    <row r="42" s="358" customFormat="1" ht="45" customHeight="1" spans="1:47">
      <c r="A42" s="386">
        <f t="shared" si="4"/>
        <v>33</v>
      </c>
      <c r="B42" s="392"/>
      <c r="C42" s="393"/>
      <c r="D42" s="391"/>
      <c r="E42" s="391"/>
      <c r="F42" s="391">
        <v>4</v>
      </c>
      <c r="G42" s="394"/>
      <c r="H42" s="394"/>
      <c r="I42" s="394"/>
      <c r="J42" s="394"/>
      <c r="K42" s="394"/>
      <c r="L42" s="391" t="s">
        <v>202</v>
      </c>
      <c r="M42" s="422" t="s">
        <v>211</v>
      </c>
      <c r="N42" s="422" t="s">
        <v>211</v>
      </c>
      <c r="O42" s="422" t="s">
        <v>212</v>
      </c>
      <c r="P42" s="423" t="s">
        <v>199</v>
      </c>
      <c r="Q42" s="441"/>
      <c r="R42" s="391" t="s">
        <v>67</v>
      </c>
      <c r="S42" s="423"/>
      <c r="T42" s="440" t="s">
        <v>66</v>
      </c>
      <c r="U42" s="423" t="s">
        <v>203</v>
      </c>
      <c r="V42" s="443" t="s">
        <v>66</v>
      </c>
      <c r="W42" s="392" t="s">
        <v>69</v>
      </c>
      <c r="X42" s="442" t="s">
        <v>68</v>
      </c>
      <c r="Y42" s="471" t="s">
        <v>169</v>
      </c>
      <c r="Z42" s="441" t="s">
        <v>213</v>
      </c>
      <c r="AA42" s="393" t="s">
        <v>64</v>
      </c>
      <c r="AB42" s="393" t="s">
        <v>214</v>
      </c>
      <c r="AC42" s="472">
        <v>0.1433</v>
      </c>
      <c r="AD42" s="473" t="s">
        <v>64</v>
      </c>
      <c r="AE42" s="474" t="s">
        <v>110</v>
      </c>
      <c r="AF42" s="474">
        <f>93+7</f>
        <v>100</v>
      </c>
      <c r="AG42" s="474">
        <f>88+3</f>
        <v>91</v>
      </c>
      <c r="AH42" s="504" t="s">
        <v>215</v>
      </c>
      <c r="AI42" s="492">
        <f>AF42*AG42*AH42*7860/1000000000</f>
        <v>0.214578</v>
      </c>
      <c r="AJ42" s="489">
        <f>AC42/AI42</f>
        <v>0.667822423547614</v>
      </c>
      <c r="AK42" s="504"/>
      <c r="AL42" s="505"/>
      <c r="AM42" s="502" t="s">
        <v>100</v>
      </c>
      <c r="AN42" s="503" t="s">
        <v>216</v>
      </c>
      <c r="AO42" s="392"/>
      <c r="AP42" s="393"/>
      <c r="AQ42" s="530">
        <v>1</v>
      </c>
      <c r="AR42" s="531">
        <v>1</v>
      </c>
      <c r="AS42" s="530">
        <v>1</v>
      </c>
      <c r="AT42" s="393">
        <v>1</v>
      </c>
      <c r="AU42" s="393">
        <v>1</v>
      </c>
    </row>
    <row r="43" s="358" customFormat="1" ht="45" customHeight="1" spans="1:47">
      <c r="A43" s="386">
        <f t="shared" si="4"/>
        <v>34</v>
      </c>
      <c r="B43" s="392"/>
      <c r="C43" s="387"/>
      <c r="D43" s="395">
        <v>2</v>
      </c>
      <c r="E43" s="388"/>
      <c r="F43" s="387"/>
      <c r="G43" s="390"/>
      <c r="H43" s="396"/>
      <c r="I43" s="396"/>
      <c r="J43" s="396"/>
      <c r="K43" s="396"/>
      <c r="L43" s="391" t="s">
        <v>64</v>
      </c>
      <c r="M43" s="421" t="s">
        <v>217</v>
      </c>
      <c r="N43" s="421" t="s">
        <v>217</v>
      </c>
      <c r="O43" s="424" t="s">
        <v>218</v>
      </c>
      <c r="P43" s="391" t="s">
        <v>219</v>
      </c>
      <c r="Q43" s="391" t="s">
        <v>66</v>
      </c>
      <c r="R43" s="387" t="s">
        <v>67</v>
      </c>
      <c r="S43" s="439"/>
      <c r="T43" s="440" t="s">
        <v>66</v>
      </c>
      <c r="U43" s="391" t="s">
        <v>64</v>
      </c>
      <c r="V43" s="440" t="s">
        <v>66</v>
      </c>
      <c r="W43" s="392" t="s">
        <v>69</v>
      </c>
      <c r="X43" s="442" t="s">
        <v>68</v>
      </c>
      <c r="Y43" s="396" t="s">
        <v>117</v>
      </c>
      <c r="Z43" s="396" t="s">
        <v>64</v>
      </c>
      <c r="AA43" s="396" t="s">
        <v>64</v>
      </c>
      <c r="AB43" s="473" t="s">
        <v>220</v>
      </c>
      <c r="AC43" s="473">
        <v>0.001</v>
      </c>
      <c r="AD43" s="473" t="s">
        <v>64</v>
      </c>
      <c r="AE43" s="474"/>
      <c r="AF43" s="474"/>
      <c r="AG43" s="474"/>
      <c r="AH43" s="474"/>
      <c r="AI43" s="500"/>
      <c r="AJ43" s="500"/>
      <c r="AK43" s="500"/>
      <c r="AL43" s="505"/>
      <c r="AM43" s="502" t="s">
        <v>100</v>
      </c>
      <c r="AN43" s="503" t="s">
        <v>221</v>
      </c>
      <c r="AO43" s="392"/>
      <c r="AP43" s="393"/>
      <c r="AQ43" s="530">
        <v>2</v>
      </c>
      <c r="AR43" s="531">
        <v>2</v>
      </c>
      <c r="AS43" s="530">
        <v>2</v>
      </c>
      <c r="AT43" s="530">
        <v>2</v>
      </c>
      <c r="AU43" s="530">
        <v>2</v>
      </c>
    </row>
    <row r="44" s="357" customFormat="1" ht="45" customHeight="1" spans="1:47">
      <c r="A44" s="386">
        <f t="shared" si="4"/>
        <v>35</v>
      </c>
      <c r="B44" s="389"/>
      <c r="C44" s="387"/>
      <c r="D44" s="395">
        <v>2</v>
      </c>
      <c r="E44" s="388"/>
      <c r="F44" s="387"/>
      <c r="G44" s="390"/>
      <c r="H44" s="387"/>
      <c r="I44" s="425"/>
      <c r="J44" s="425"/>
      <c r="K44" s="425"/>
      <c r="L44" s="416" t="s">
        <v>131</v>
      </c>
      <c r="M44" s="417" t="s">
        <v>222</v>
      </c>
      <c r="N44" s="413" t="s">
        <v>222</v>
      </c>
      <c r="O44" s="413" t="s">
        <v>223</v>
      </c>
      <c r="P44" s="425" t="s">
        <v>224</v>
      </c>
      <c r="Q44" s="444" t="s">
        <v>225</v>
      </c>
      <c r="R44" s="387" t="s">
        <v>67</v>
      </c>
      <c r="S44" s="387"/>
      <c r="T44" s="435" t="s">
        <v>66</v>
      </c>
      <c r="U44" s="416" t="s">
        <v>64</v>
      </c>
      <c r="V44" s="435" t="s">
        <v>66</v>
      </c>
      <c r="W44" s="389" t="s">
        <v>68</v>
      </c>
      <c r="X44" s="436" t="s">
        <v>69</v>
      </c>
      <c r="Y44" s="425" t="s">
        <v>194</v>
      </c>
      <c r="Z44" s="389" t="s">
        <v>71</v>
      </c>
      <c r="AA44" s="386" t="s">
        <v>64</v>
      </c>
      <c r="AB44" s="386" t="s">
        <v>226</v>
      </c>
      <c r="AC44" s="458" t="s">
        <v>64</v>
      </c>
      <c r="AD44" s="416" t="s">
        <v>64</v>
      </c>
      <c r="AE44" s="457" t="s">
        <v>200</v>
      </c>
      <c r="AF44" s="457"/>
      <c r="AG44" s="457"/>
      <c r="AH44" s="506"/>
      <c r="AI44" s="507"/>
      <c r="AJ44" s="507"/>
      <c r="AK44" s="507"/>
      <c r="AL44" s="493"/>
      <c r="AM44" s="487" t="s">
        <v>74</v>
      </c>
      <c r="AN44" s="494" t="s">
        <v>201</v>
      </c>
      <c r="AO44" s="389"/>
      <c r="AP44" s="390"/>
      <c r="AQ44" s="395">
        <v>1</v>
      </c>
      <c r="AR44" s="420">
        <v>1</v>
      </c>
      <c r="AS44" s="395">
        <v>1</v>
      </c>
      <c r="AT44" s="390">
        <v>1</v>
      </c>
      <c r="AU44" s="390">
        <v>1</v>
      </c>
    </row>
    <row r="45" s="357" customFormat="1" ht="45" customHeight="1" spans="1:47">
      <c r="A45" s="386">
        <f t="shared" si="4"/>
        <v>36</v>
      </c>
      <c r="B45" s="395"/>
      <c r="C45" s="395"/>
      <c r="D45" s="395"/>
      <c r="E45" s="395">
        <v>3</v>
      </c>
      <c r="F45" s="395"/>
      <c r="G45" s="395"/>
      <c r="H45" s="395"/>
      <c r="I45" s="395"/>
      <c r="J45" s="395"/>
      <c r="K45" s="395"/>
      <c r="L45" s="395" t="s">
        <v>64</v>
      </c>
      <c r="M45" s="413" t="s">
        <v>227</v>
      </c>
      <c r="N45" s="413" t="s">
        <v>228</v>
      </c>
      <c r="O45" s="413" t="s">
        <v>229</v>
      </c>
      <c r="P45" s="395"/>
      <c r="Q45" s="395"/>
      <c r="R45" s="387" t="s">
        <v>67</v>
      </c>
      <c r="S45" s="395"/>
      <c r="T45" s="395" t="s">
        <v>225</v>
      </c>
      <c r="U45" s="395" t="s">
        <v>64</v>
      </c>
      <c r="V45" s="395" t="s">
        <v>66</v>
      </c>
      <c r="W45" s="395" t="s">
        <v>69</v>
      </c>
      <c r="X45" s="395" t="s">
        <v>68</v>
      </c>
      <c r="Y45" s="395" t="s">
        <v>230</v>
      </c>
      <c r="Z45" s="395" t="s">
        <v>231</v>
      </c>
      <c r="AA45" s="395" t="s">
        <v>64</v>
      </c>
      <c r="AB45" s="395" t="s">
        <v>232</v>
      </c>
      <c r="AC45" s="395">
        <v>0.328</v>
      </c>
      <c r="AD45" s="395" t="s">
        <v>64</v>
      </c>
      <c r="AE45" s="475" t="s">
        <v>233</v>
      </c>
      <c r="AF45" s="476">
        <f>AC45/0.888*1000+10</f>
        <v>379.369369369369</v>
      </c>
      <c r="AG45" s="476">
        <v>25</v>
      </c>
      <c r="AH45" s="476">
        <v>1.5</v>
      </c>
      <c r="AI45" s="508">
        <f>AF45*0.869/1000</f>
        <v>0.329671981981982</v>
      </c>
      <c r="AJ45" s="509">
        <f>AC45/AI45</f>
        <v>0.994928346740508</v>
      </c>
      <c r="AK45" s="477"/>
      <c r="AL45" s="477"/>
      <c r="AM45" s="510" t="s">
        <v>74</v>
      </c>
      <c r="AN45" s="510" t="s">
        <v>234</v>
      </c>
      <c r="AO45" s="395"/>
      <c r="AP45" s="395"/>
      <c r="AQ45" s="395">
        <v>1</v>
      </c>
      <c r="AR45" s="420">
        <v>1</v>
      </c>
      <c r="AS45" s="395">
        <v>1</v>
      </c>
      <c r="AT45" s="395">
        <v>1</v>
      </c>
      <c r="AU45" s="395">
        <v>1</v>
      </c>
    </row>
    <row r="46" s="357" customFormat="1" ht="45" customHeight="1" spans="1:47">
      <c r="A46" s="386">
        <f t="shared" si="4"/>
        <v>37</v>
      </c>
      <c r="B46" s="395"/>
      <c r="C46" s="395"/>
      <c r="D46" s="395"/>
      <c r="E46" s="395">
        <v>3</v>
      </c>
      <c r="F46" s="395"/>
      <c r="G46" s="395"/>
      <c r="H46" s="395"/>
      <c r="I46" s="395"/>
      <c r="J46" s="395"/>
      <c r="K46" s="395"/>
      <c r="L46" s="395" t="s">
        <v>64</v>
      </c>
      <c r="M46" s="413" t="s">
        <v>235</v>
      </c>
      <c r="N46" s="413" t="s">
        <v>236</v>
      </c>
      <c r="O46" s="413" t="s">
        <v>237</v>
      </c>
      <c r="P46" s="395"/>
      <c r="Q46" s="395"/>
      <c r="R46" s="387" t="s">
        <v>67</v>
      </c>
      <c r="S46" s="395"/>
      <c r="T46" s="395" t="s">
        <v>225</v>
      </c>
      <c r="U46" s="395" t="s">
        <v>64</v>
      </c>
      <c r="V46" s="395" t="s">
        <v>66</v>
      </c>
      <c r="W46" s="395" t="s">
        <v>69</v>
      </c>
      <c r="X46" s="395" t="s">
        <v>68</v>
      </c>
      <c r="Y46" s="395" t="s">
        <v>238</v>
      </c>
      <c r="Z46" s="395" t="s">
        <v>239</v>
      </c>
      <c r="AA46" s="395" t="s">
        <v>64</v>
      </c>
      <c r="AB46" s="395" t="s">
        <v>240</v>
      </c>
      <c r="AC46" s="395">
        <v>0.043</v>
      </c>
      <c r="AD46" s="395" t="s">
        <v>64</v>
      </c>
      <c r="AE46" s="457" t="s">
        <v>110</v>
      </c>
      <c r="AF46" s="457">
        <f>275+6</f>
        <v>281</v>
      </c>
      <c r="AG46" s="457">
        <v>12.5</v>
      </c>
      <c r="AH46" s="490" t="s">
        <v>241</v>
      </c>
      <c r="AI46" s="492">
        <f>AF46*AG46*AH46*7860/1000000000</f>
        <v>0.0552165</v>
      </c>
      <c r="AJ46" s="489">
        <f>AC46/AI46</f>
        <v>0.778752727898364</v>
      </c>
      <c r="AK46" s="477"/>
      <c r="AL46" s="477"/>
      <c r="AM46" s="510" t="s">
        <v>74</v>
      </c>
      <c r="AN46" s="510" t="s">
        <v>242</v>
      </c>
      <c r="AO46" s="395"/>
      <c r="AP46" s="395"/>
      <c r="AQ46" s="395">
        <v>1</v>
      </c>
      <c r="AR46" s="420">
        <v>1</v>
      </c>
      <c r="AS46" s="395">
        <v>1</v>
      </c>
      <c r="AT46" s="395">
        <v>1</v>
      </c>
      <c r="AU46" s="395">
        <v>1</v>
      </c>
    </row>
    <row r="47" s="357" customFormat="1" ht="45" customHeight="1" spans="1:47">
      <c r="A47" s="386">
        <f t="shared" si="4"/>
        <v>38</v>
      </c>
      <c r="B47" s="395"/>
      <c r="C47" s="395"/>
      <c r="D47" s="395"/>
      <c r="E47" s="395">
        <v>3</v>
      </c>
      <c r="F47" s="395"/>
      <c r="G47" s="395"/>
      <c r="H47" s="395"/>
      <c r="I47" s="395"/>
      <c r="J47" s="395"/>
      <c r="K47" s="395"/>
      <c r="L47" s="395" t="s">
        <v>64</v>
      </c>
      <c r="M47" s="413" t="s">
        <v>243</v>
      </c>
      <c r="N47" s="413" t="s">
        <v>244</v>
      </c>
      <c r="O47" s="413" t="s">
        <v>245</v>
      </c>
      <c r="P47" s="395"/>
      <c r="Q47" s="395"/>
      <c r="R47" s="387" t="s">
        <v>67</v>
      </c>
      <c r="S47" s="395"/>
      <c r="T47" s="395" t="s">
        <v>225</v>
      </c>
      <c r="U47" s="395" t="s">
        <v>64</v>
      </c>
      <c r="V47" s="395" t="s">
        <v>66</v>
      </c>
      <c r="W47" s="395" t="s">
        <v>69</v>
      </c>
      <c r="X47" s="395" t="s">
        <v>68</v>
      </c>
      <c r="Y47" s="395" t="s">
        <v>238</v>
      </c>
      <c r="Z47" s="395" t="s">
        <v>239</v>
      </c>
      <c r="AA47" s="395" t="s">
        <v>64</v>
      </c>
      <c r="AB47" s="395" t="s">
        <v>246</v>
      </c>
      <c r="AC47" s="395">
        <v>0.023</v>
      </c>
      <c r="AD47" s="395" t="s">
        <v>64</v>
      </c>
      <c r="AE47" s="457" t="s">
        <v>110</v>
      </c>
      <c r="AF47" s="457">
        <f>148+5</f>
        <v>153</v>
      </c>
      <c r="AG47" s="457">
        <v>12</v>
      </c>
      <c r="AH47" s="490" t="s">
        <v>241</v>
      </c>
      <c r="AI47" s="492">
        <f>AF47*AG47*AH47*7860/1000000000</f>
        <v>0.02886192</v>
      </c>
      <c r="AJ47" s="489">
        <f>AC47/AI47</f>
        <v>0.796897780882214</v>
      </c>
      <c r="AK47" s="477"/>
      <c r="AL47" s="477"/>
      <c r="AM47" s="510" t="s">
        <v>74</v>
      </c>
      <c r="AN47" s="510" t="s">
        <v>242</v>
      </c>
      <c r="AO47" s="395"/>
      <c r="AP47" s="395"/>
      <c r="AQ47" s="395">
        <v>2</v>
      </c>
      <c r="AR47" s="420">
        <v>2</v>
      </c>
      <c r="AS47" s="395">
        <v>2</v>
      </c>
      <c r="AT47" s="395">
        <v>2</v>
      </c>
      <c r="AU47" s="395">
        <v>2</v>
      </c>
    </row>
    <row r="48" s="357" customFormat="1" ht="45" customHeight="1" spans="1:47">
      <c r="A48" s="386">
        <f t="shared" si="4"/>
        <v>39</v>
      </c>
      <c r="B48" s="395"/>
      <c r="C48" s="395"/>
      <c r="D48" s="395"/>
      <c r="E48" s="395">
        <v>3</v>
      </c>
      <c r="F48" s="395"/>
      <c r="G48" s="395"/>
      <c r="H48" s="395"/>
      <c r="I48" s="395"/>
      <c r="J48" s="395"/>
      <c r="K48" s="395"/>
      <c r="L48" s="395" t="s">
        <v>87</v>
      </c>
      <c r="M48" s="413" t="s">
        <v>247</v>
      </c>
      <c r="N48" s="413" t="s">
        <v>248</v>
      </c>
      <c r="O48" s="413" t="s">
        <v>249</v>
      </c>
      <c r="P48" s="395" t="s">
        <v>64</v>
      </c>
      <c r="Q48" s="395"/>
      <c r="R48" s="387" t="s">
        <v>67</v>
      </c>
      <c r="S48" s="395"/>
      <c r="T48" s="395" t="s">
        <v>66</v>
      </c>
      <c r="U48" s="395" t="s">
        <v>64</v>
      </c>
      <c r="V48" s="395" t="s">
        <v>66</v>
      </c>
      <c r="W48" s="395" t="s">
        <v>69</v>
      </c>
      <c r="X48" s="395" t="s">
        <v>68</v>
      </c>
      <c r="Y48" s="395" t="s">
        <v>230</v>
      </c>
      <c r="Z48" s="395" t="s">
        <v>250</v>
      </c>
      <c r="AA48" s="395" t="s">
        <v>64</v>
      </c>
      <c r="AB48" s="395" t="s">
        <v>251</v>
      </c>
      <c r="AC48" s="395">
        <v>0.284</v>
      </c>
      <c r="AD48" s="395" t="s">
        <v>64</v>
      </c>
      <c r="AE48" s="475" t="s">
        <v>233</v>
      </c>
      <c r="AF48" s="476">
        <f>AC48/1.387*1000+10</f>
        <v>214.758471521269</v>
      </c>
      <c r="AG48" s="476">
        <v>25</v>
      </c>
      <c r="AH48" s="476">
        <v>2.5</v>
      </c>
      <c r="AI48" s="508">
        <f>AF48*1.387/1000</f>
        <v>0.29787</v>
      </c>
      <c r="AJ48" s="509">
        <f>AC48/AI48</f>
        <v>0.953436062711921</v>
      </c>
      <c r="AK48" s="477"/>
      <c r="AL48" s="477"/>
      <c r="AM48" s="510" t="s">
        <v>74</v>
      </c>
      <c r="AN48" s="510" t="s">
        <v>234</v>
      </c>
      <c r="AO48" s="395"/>
      <c r="AP48" s="395"/>
      <c r="AQ48" s="395">
        <v>1</v>
      </c>
      <c r="AR48" s="420">
        <v>1</v>
      </c>
      <c r="AS48" s="395">
        <v>1</v>
      </c>
      <c r="AT48" s="395">
        <v>1</v>
      </c>
      <c r="AU48" s="395">
        <v>1</v>
      </c>
    </row>
    <row r="49" s="357" customFormat="1" ht="45" customHeight="1" spans="1:47">
      <c r="A49" s="386">
        <f t="shared" si="4"/>
        <v>40</v>
      </c>
      <c r="B49" s="395"/>
      <c r="C49" s="395"/>
      <c r="D49" s="395"/>
      <c r="E49" s="395">
        <v>3</v>
      </c>
      <c r="F49" s="395"/>
      <c r="G49" s="395"/>
      <c r="H49" s="395"/>
      <c r="I49" s="395"/>
      <c r="J49" s="395"/>
      <c r="K49" s="395"/>
      <c r="L49" s="395" t="s">
        <v>87</v>
      </c>
      <c r="M49" s="413" t="s">
        <v>252</v>
      </c>
      <c r="N49" s="413" t="s">
        <v>253</v>
      </c>
      <c r="O49" s="413" t="s">
        <v>254</v>
      </c>
      <c r="P49" s="395" t="s">
        <v>64</v>
      </c>
      <c r="Q49" s="395"/>
      <c r="R49" s="387" t="s">
        <v>67</v>
      </c>
      <c r="S49" s="395"/>
      <c r="T49" s="395" t="s">
        <v>66</v>
      </c>
      <c r="U49" s="395" t="s">
        <v>64</v>
      </c>
      <c r="V49" s="395" t="s">
        <v>66</v>
      </c>
      <c r="W49" s="395" t="s">
        <v>69</v>
      </c>
      <c r="X49" s="395" t="s">
        <v>68</v>
      </c>
      <c r="Y49" s="395" t="s">
        <v>238</v>
      </c>
      <c r="Z49" s="395" t="s">
        <v>239</v>
      </c>
      <c r="AA49" s="395" t="s">
        <v>64</v>
      </c>
      <c r="AB49" s="395" t="s">
        <v>255</v>
      </c>
      <c r="AC49" s="395">
        <v>0.0483</v>
      </c>
      <c r="AD49" s="395" t="s">
        <v>64</v>
      </c>
      <c r="AE49" s="457" t="s">
        <v>110</v>
      </c>
      <c r="AF49" s="457">
        <f>309+5</f>
        <v>314</v>
      </c>
      <c r="AG49" s="457">
        <f>15+2.5</f>
        <v>17.5</v>
      </c>
      <c r="AH49" s="490" t="s">
        <v>241</v>
      </c>
      <c r="AI49" s="492">
        <f>AF49*AG49*AH49*7860/1000000000</f>
        <v>0.0863814</v>
      </c>
      <c r="AJ49" s="489">
        <f>AC49/AI49</f>
        <v>0.559148149948947</v>
      </c>
      <c r="AK49" s="477"/>
      <c r="AL49" s="477"/>
      <c r="AM49" s="510" t="s">
        <v>74</v>
      </c>
      <c r="AN49" s="510" t="s">
        <v>242</v>
      </c>
      <c r="AO49" s="395"/>
      <c r="AP49" s="395"/>
      <c r="AQ49" s="395">
        <v>2</v>
      </c>
      <c r="AR49" s="420">
        <v>2</v>
      </c>
      <c r="AS49" s="395">
        <v>2</v>
      </c>
      <c r="AT49" s="395">
        <v>2</v>
      </c>
      <c r="AU49" s="395">
        <v>2</v>
      </c>
    </row>
    <row r="50" s="357" customFormat="1" ht="45" customHeight="1" spans="1:47">
      <c r="A50" s="386">
        <f t="shared" si="4"/>
        <v>41</v>
      </c>
      <c r="B50" s="395"/>
      <c r="C50" s="395"/>
      <c r="D50" s="395"/>
      <c r="E50" s="395">
        <v>3</v>
      </c>
      <c r="F50" s="395"/>
      <c r="G50" s="395"/>
      <c r="H50" s="395"/>
      <c r="I50" s="395"/>
      <c r="J50" s="395"/>
      <c r="K50" s="395"/>
      <c r="L50" s="395" t="s">
        <v>87</v>
      </c>
      <c r="M50" s="413" t="s">
        <v>256</v>
      </c>
      <c r="N50" s="413" t="s">
        <v>256</v>
      </c>
      <c r="O50" s="413" t="s">
        <v>257</v>
      </c>
      <c r="P50" s="395" t="s">
        <v>258</v>
      </c>
      <c r="Q50" s="395"/>
      <c r="R50" s="387" t="s">
        <v>67</v>
      </c>
      <c r="S50" s="395"/>
      <c r="T50" s="395" t="s">
        <v>225</v>
      </c>
      <c r="U50" s="395" t="s">
        <v>64</v>
      </c>
      <c r="V50" s="395" t="s">
        <v>66</v>
      </c>
      <c r="W50" s="395" t="s">
        <v>69</v>
      </c>
      <c r="X50" s="395" t="s">
        <v>68</v>
      </c>
      <c r="Y50" s="395" t="s">
        <v>194</v>
      </c>
      <c r="Z50" s="395" t="s">
        <v>71</v>
      </c>
      <c r="AA50" s="395" t="s">
        <v>64</v>
      </c>
      <c r="AB50" s="395" t="s">
        <v>259</v>
      </c>
      <c r="AC50" s="395">
        <v>0.164</v>
      </c>
      <c r="AD50" s="395" t="s">
        <v>64</v>
      </c>
      <c r="AE50" s="477" t="s">
        <v>200</v>
      </c>
      <c r="AF50" s="477"/>
      <c r="AG50" s="477"/>
      <c r="AH50" s="477"/>
      <c r="AI50" s="477"/>
      <c r="AJ50" s="477"/>
      <c r="AK50" s="477"/>
      <c r="AL50" s="477"/>
      <c r="AM50" s="510" t="s">
        <v>100</v>
      </c>
      <c r="AN50" s="510" t="s">
        <v>260</v>
      </c>
      <c r="AO50" s="395"/>
      <c r="AP50" s="395"/>
      <c r="AQ50" s="395">
        <v>1</v>
      </c>
      <c r="AR50" s="420">
        <v>1</v>
      </c>
      <c r="AS50" s="395">
        <v>1</v>
      </c>
      <c r="AT50" s="395">
        <v>1</v>
      </c>
      <c r="AU50" s="395">
        <v>1</v>
      </c>
    </row>
    <row r="51" s="357" customFormat="1" ht="45" customHeight="1" spans="1:47">
      <c r="A51" s="386">
        <f t="shared" ref="A51:A60" si="5">ROW()-9</f>
        <v>42</v>
      </c>
      <c r="B51" s="395"/>
      <c r="C51" s="395"/>
      <c r="D51" s="395"/>
      <c r="E51" s="395"/>
      <c r="F51" s="395">
        <v>4</v>
      </c>
      <c r="G51" s="395"/>
      <c r="H51" s="395"/>
      <c r="I51" s="395"/>
      <c r="J51" s="395"/>
      <c r="K51" s="395"/>
      <c r="L51" s="395" t="s">
        <v>87</v>
      </c>
      <c r="M51" s="413"/>
      <c r="N51" s="413" t="s">
        <v>261</v>
      </c>
      <c r="O51" s="413" t="s">
        <v>262</v>
      </c>
      <c r="P51" s="395" t="s">
        <v>263</v>
      </c>
      <c r="Q51" s="395"/>
      <c r="R51" s="387" t="s">
        <v>67</v>
      </c>
      <c r="S51" s="395"/>
      <c r="T51" s="395" t="s">
        <v>225</v>
      </c>
      <c r="U51" s="395" t="s">
        <v>64</v>
      </c>
      <c r="V51" s="395" t="s">
        <v>66</v>
      </c>
      <c r="W51" s="395" t="s">
        <v>69</v>
      </c>
      <c r="X51" s="395" t="s">
        <v>68</v>
      </c>
      <c r="Y51" s="395" t="s">
        <v>264</v>
      </c>
      <c r="Z51" s="395"/>
      <c r="AA51" s="395"/>
      <c r="AB51" s="395" t="s">
        <v>259</v>
      </c>
      <c r="AC51" s="395">
        <v>0.1626</v>
      </c>
      <c r="AD51" s="395" t="s">
        <v>64</v>
      </c>
      <c r="AE51" s="477" t="s">
        <v>110</v>
      </c>
      <c r="AF51" s="457">
        <f>172+8</f>
        <v>180</v>
      </c>
      <c r="AG51" s="457">
        <v>43</v>
      </c>
      <c r="AH51" s="490" t="s">
        <v>215</v>
      </c>
      <c r="AI51" s="492">
        <f>AF51*AG51*AH51*7860/1000000000</f>
        <v>0.1825092</v>
      </c>
      <c r="AJ51" s="489">
        <f>AC51/AI51</f>
        <v>0.890913992280937</v>
      </c>
      <c r="AK51" s="477"/>
      <c r="AL51" s="477"/>
      <c r="AM51" s="511"/>
      <c r="AN51" s="511"/>
      <c r="AO51" s="395"/>
      <c r="AP51" s="395"/>
      <c r="AQ51" s="395">
        <v>1</v>
      </c>
      <c r="AR51" s="420">
        <v>1</v>
      </c>
      <c r="AS51" s="395">
        <v>1</v>
      </c>
      <c r="AT51" s="395">
        <v>1</v>
      </c>
      <c r="AU51" s="395">
        <v>1</v>
      </c>
    </row>
    <row r="52" s="357" customFormat="1" ht="45" customHeight="1" spans="1:47">
      <c r="A52" s="386">
        <f t="shared" si="5"/>
        <v>43</v>
      </c>
      <c r="B52" s="395"/>
      <c r="C52" s="395"/>
      <c r="D52" s="395"/>
      <c r="E52" s="395"/>
      <c r="F52" s="395">
        <v>4</v>
      </c>
      <c r="G52" s="395"/>
      <c r="H52" s="395"/>
      <c r="I52" s="395"/>
      <c r="J52" s="395"/>
      <c r="K52" s="395"/>
      <c r="L52" s="395" t="s">
        <v>87</v>
      </c>
      <c r="M52" s="413"/>
      <c r="N52" s="413" t="s">
        <v>265</v>
      </c>
      <c r="O52" s="413" t="s">
        <v>266</v>
      </c>
      <c r="P52" s="395" t="s">
        <v>117</v>
      </c>
      <c r="Q52" s="395"/>
      <c r="R52" s="387" t="s">
        <v>67</v>
      </c>
      <c r="S52" s="395"/>
      <c r="T52" s="395" t="s">
        <v>225</v>
      </c>
      <c r="U52" s="395" t="s">
        <v>64</v>
      </c>
      <c r="V52" s="395" t="s">
        <v>66</v>
      </c>
      <c r="W52" s="395" t="s">
        <v>69</v>
      </c>
      <c r="X52" s="395" t="s">
        <v>68</v>
      </c>
      <c r="Y52" s="395" t="s">
        <v>117</v>
      </c>
      <c r="Z52" s="395" t="s">
        <v>267</v>
      </c>
      <c r="AA52" s="395" t="s">
        <v>64</v>
      </c>
      <c r="AB52" s="395" t="s">
        <v>267</v>
      </c>
      <c r="AC52" s="395">
        <v>0.0055</v>
      </c>
      <c r="AD52" s="395" t="s">
        <v>64</v>
      </c>
      <c r="AE52" s="477"/>
      <c r="AF52" s="477"/>
      <c r="AG52" s="477"/>
      <c r="AH52" s="477"/>
      <c r="AI52" s="477"/>
      <c r="AJ52" s="477"/>
      <c r="AK52" s="477"/>
      <c r="AL52" s="477"/>
      <c r="AM52" s="511"/>
      <c r="AN52" s="511"/>
      <c r="AO52" s="395"/>
      <c r="AP52" s="395"/>
      <c r="AQ52" s="395">
        <v>2</v>
      </c>
      <c r="AR52" s="420">
        <v>2</v>
      </c>
      <c r="AS52" s="395">
        <v>2</v>
      </c>
      <c r="AT52" s="395">
        <v>2</v>
      </c>
      <c r="AU52" s="395">
        <v>2</v>
      </c>
    </row>
    <row r="53" s="357" customFormat="1" ht="45" customHeight="1" spans="1:47">
      <c r="A53" s="386">
        <f t="shared" si="5"/>
        <v>44</v>
      </c>
      <c r="B53" s="395"/>
      <c r="C53" s="395"/>
      <c r="D53" s="395"/>
      <c r="E53" s="395">
        <v>3</v>
      </c>
      <c r="F53" s="395"/>
      <c r="G53" s="395"/>
      <c r="H53" s="395"/>
      <c r="I53" s="395"/>
      <c r="J53" s="395"/>
      <c r="K53" s="395"/>
      <c r="L53" s="395" t="s">
        <v>87</v>
      </c>
      <c r="M53" s="413" t="s">
        <v>268</v>
      </c>
      <c r="N53" s="413" t="s">
        <v>269</v>
      </c>
      <c r="O53" s="413" t="s">
        <v>270</v>
      </c>
      <c r="P53" s="395" t="s">
        <v>271</v>
      </c>
      <c r="Q53" s="395"/>
      <c r="R53" s="387" t="s">
        <v>67</v>
      </c>
      <c r="S53" s="395"/>
      <c r="T53" s="395" t="s">
        <v>66</v>
      </c>
      <c r="U53" s="395" t="s">
        <v>64</v>
      </c>
      <c r="V53" s="395" t="s">
        <v>66</v>
      </c>
      <c r="W53" s="395" t="s">
        <v>69</v>
      </c>
      <c r="X53" s="395" t="s">
        <v>68</v>
      </c>
      <c r="Y53" s="395" t="s">
        <v>64</v>
      </c>
      <c r="Z53" s="395" t="s">
        <v>64</v>
      </c>
      <c r="AA53" s="395" t="s">
        <v>64</v>
      </c>
      <c r="AB53" s="395" t="s">
        <v>272</v>
      </c>
      <c r="AC53" s="395">
        <v>0.0575</v>
      </c>
      <c r="AD53" s="395" t="s">
        <v>64</v>
      </c>
      <c r="AE53" s="466" t="s">
        <v>153</v>
      </c>
      <c r="AF53" s="467">
        <f>AC53/0.2219*1000</f>
        <v>259.125732311852</v>
      </c>
      <c r="AG53" s="467">
        <v>6</v>
      </c>
      <c r="AH53" s="467"/>
      <c r="AI53" s="498">
        <f>AF53*0.2219/1000</f>
        <v>0.0575</v>
      </c>
      <c r="AJ53" s="499">
        <f>AC53/AI53</f>
        <v>1</v>
      </c>
      <c r="AK53" s="477"/>
      <c r="AL53" s="477"/>
      <c r="AM53" s="510" t="s">
        <v>100</v>
      </c>
      <c r="AN53" s="510" t="s">
        <v>273</v>
      </c>
      <c r="AO53" s="395"/>
      <c r="AP53" s="395"/>
      <c r="AQ53" s="395">
        <v>1</v>
      </c>
      <c r="AR53" s="420">
        <v>1</v>
      </c>
      <c r="AS53" s="395">
        <v>1</v>
      </c>
      <c r="AT53" s="395">
        <v>1</v>
      </c>
      <c r="AU53" s="395">
        <v>1</v>
      </c>
    </row>
    <row r="54" s="357" customFormat="1" ht="45" customHeight="1" spans="1:47">
      <c r="A54" s="386">
        <f t="shared" si="5"/>
        <v>45</v>
      </c>
      <c r="B54" s="395"/>
      <c r="C54" s="395"/>
      <c r="D54" s="395"/>
      <c r="E54" s="395">
        <v>3</v>
      </c>
      <c r="F54" s="395"/>
      <c r="G54" s="395"/>
      <c r="H54" s="395"/>
      <c r="I54" s="395"/>
      <c r="J54" s="395"/>
      <c r="K54" s="395"/>
      <c r="L54" s="395" t="s">
        <v>87</v>
      </c>
      <c r="M54" s="413" t="s">
        <v>274</v>
      </c>
      <c r="N54" s="413" t="s">
        <v>275</v>
      </c>
      <c r="O54" s="413" t="s">
        <v>276</v>
      </c>
      <c r="P54" s="395" t="s">
        <v>271</v>
      </c>
      <c r="Q54" s="395"/>
      <c r="R54" s="387" t="s">
        <v>67</v>
      </c>
      <c r="S54" s="395"/>
      <c r="T54" s="395" t="s">
        <v>66</v>
      </c>
      <c r="U54" s="395" t="s">
        <v>64</v>
      </c>
      <c r="V54" s="395" t="s">
        <v>66</v>
      </c>
      <c r="W54" s="395" t="s">
        <v>69</v>
      </c>
      <c r="X54" s="395" t="s">
        <v>68</v>
      </c>
      <c r="Y54" s="395" t="s">
        <v>64</v>
      </c>
      <c r="Z54" s="395" t="s">
        <v>64</v>
      </c>
      <c r="AA54" s="395" t="s">
        <v>64</v>
      </c>
      <c r="AB54" s="395" t="s">
        <v>277</v>
      </c>
      <c r="AC54" s="395">
        <v>0.1013</v>
      </c>
      <c r="AD54" s="395" t="s">
        <v>64</v>
      </c>
      <c r="AE54" s="466" t="s">
        <v>153</v>
      </c>
      <c r="AF54" s="467">
        <f>AC54/0.154*1000</f>
        <v>657.792207792208</v>
      </c>
      <c r="AG54" s="467">
        <v>5</v>
      </c>
      <c r="AH54" s="467"/>
      <c r="AI54" s="498">
        <f>AF54*0.154/1000</f>
        <v>0.1013</v>
      </c>
      <c r="AJ54" s="499">
        <f>AC54/AI54</f>
        <v>1</v>
      </c>
      <c r="AK54" s="477"/>
      <c r="AL54" s="477"/>
      <c r="AM54" s="510" t="s">
        <v>100</v>
      </c>
      <c r="AN54" s="510" t="s">
        <v>273</v>
      </c>
      <c r="AO54" s="395"/>
      <c r="AP54" s="395"/>
      <c r="AQ54" s="395">
        <v>2</v>
      </c>
      <c r="AR54" s="420">
        <v>2</v>
      </c>
      <c r="AS54" s="395">
        <v>2</v>
      </c>
      <c r="AT54" s="395">
        <v>2</v>
      </c>
      <c r="AU54" s="395">
        <v>2</v>
      </c>
    </row>
    <row r="55" s="357" customFormat="1" ht="45" customHeight="1" spans="1:47">
      <c r="A55" s="386">
        <f t="shared" si="5"/>
        <v>46</v>
      </c>
      <c r="B55" s="395"/>
      <c r="C55" s="395"/>
      <c r="D55" s="395"/>
      <c r="E55" s="395">
        <v>3</v>
      </c>
      <c r="F55" s="395"/>
      <c r="G55" s="395"/>
      <c r="H55" s="395"/>
      <c r="I55" s="395"/>
      <c r="J55" s="395"/>
      <c r="K55" s="395"/>
      <c r="L55" s="395" t="s">
        <v>87</v>
      </c>
      <c r="M55" s="413" t="s">
        <v>278</v>
      </c>
      <c r="N55" s="413" t="s">
        <v>278</v>
      </c>
      <c r="O55" s="413" t="s">
        <v>279</v>
      </c>
      <c r="P55" s="395" t="s">
        <v>280</v>
      </c>
      <c r="Q55" s="395"/>
      <c r="R55" s="387" t="s">
        <v>67</v>
      </c>
      <c r="S55" s="395"/>
      <c r="T55" s="395" t="s">
        <v>225</v>
      </c>
      <c r="U55" s="395" t="s">
        <v>64</v>
      </c>
      <c r="V55" s="395" t="s">
        <v>66</v>
      </c>
      <c r="W55" s="395" t="s">
        <v>69</v>
      </c>
      <c r="X55" s="395" t="s">
        <v>69</v>
      </c>
      <c r="Y55" s="395" t="s">
        <v>258</v>
      </c>
      <c r="Z55" s="395" t="s">
        <v>71</v>
      </c>
      <c r="AA55" s="395" t="s">
        <v>64</v>
      </c>
      <c r="AB55" s="395" t="s">
        <v>281</v>
      </c>
      <c r="AC55" s="395">
        <v>0.4392</v>
      </c>
      <c r="AD55" s="395" t="s">
        <v>64</v>
      </c>
      <c r="AE55" s="477" t="s">
        <v>200</v>
      </c>
      <c r="AF55" s="477"/>
      <c r="AG55" s="477"/>
      <c r="AH55" s="477"/>
      <c r="AI55" s="477"/>
      <c r="AJ55" s="477"/>
      <c r="AK55" s="477"/>
      <c r="AL55" s="477"/>
      <c r="AM55" s="510" t="s">
        <v>100</v>
      </c>
      <c r="AN55" s="510" t="s">
        <v>282</v>
      </c>
      <c r="AO55" s="395"/>
      <c r="AP55" s="395"/>
      <c r="AQ55" s="395">
        <v>1</v>
      </c>
      <c r="AR55" s="420">
        <v>1</v>
      </c>
      <c r="AS55" s="395">
        <v>1</v>
      </c>
      <c r="AT55" s="395">
        <v>1</v>
      </c>
      <c r="AU55" s="395">
        <v>1</v>
      </c>
    </row>
    <row r="56" s="357" customFormat="1" ht="45" customHeight="1" spans="1:47">
      <c r="A56" s="386">
        <f t="shared" si="5"/>
        <v>47</v>
      </c>
      <c r="B56" s="395"/>
      <c r="C56" s="395"/>
      <c r="D56" s="395"/>
      <c r="E56" s="395"/>
      <c r="F56" s="395">
        <v>4</v>
      </c>
      <c r="G56" s="395"/>
      <c r="H56" s="395"/>
      <c r="I56" s="395"/>
      <c r="J56" s="395"/>
      <c r="K56" s="395"/>
      <c r="L56" s="395" t="s">
        <v>87</v>
      </c>
      <c r="M56" s="413"/>
      <c r="N56" s="413" t="s">
        <v>283</v>
      </c>
      <c r="O56" s="413" t="s">
        <v>284</v>
      </c>
      <c r="P56" s="395" t="s">
        <v>117</v>
      </c>
      <c r="Q56" s="395"/>
      <c r="R56" s="387" t="s">
        <v>67</v>
      </c>
      <c r="S56" s="395"/>
      <c r="T56" s="395" t="s">
        <v>225</v>
      </c>
      <c r="U56" s="395" t="s">
        <v>64</v>
      </c>
      <c r="V56" s="395" t="s">
        <v>66</v>
      </c>
      <c r="W56" s="395" t="s">
        <v>69</v>
      </c>
      <c r="X56" s="395" t="s">
        <v>68</v>
      </c>
      <c r="Y56" s="395"/>
      <c r="Z56" s="395" t="s">
        <v>285</v>
      </c>
      <c r="AA56" s="395" t="s">
        <v>64</v>
      </c>
      <c r="AB56" s="395" t="s">
        <v>286</v>
      </c>
      <c r="AC56" s="395">
        <v>0.0104</v>
      </c>
      <c r="AD56" s="395" t="s">
        <v>64</v>
      </c>
      <c r="AE56" s="477"/>
      <c r="AF56" s="477"/>
      <c r="AG56" s="477"/>
      <c r="AH56" s="477"/>
      <c r="AI56" s="477"/>
      <c r="AJ56" s="477"/>
      <c r="AK56" s="477"/>
      <c r="AL56" s="477"/>
      <c r="AM56" s="511"/>
      <c r="AN56" s="511"/>
      <c r="AO56" s="395"/>
      <c r="AP56" s="395"/>
      <c r="AQ56" s="395">
        <v>1</v>
      </c>
      <c r="AR56" s="420">
        <v>1</v>
      </c>
      <c r="AS56" s="395">
        <v>1</v>
      </c>
      <c r="AT56" s="395">
        <v>1</v>
      </c>
      <c r="AU56" s="395">
        <v>1</v>
      </c>
    </row>
    <row r="57" s="357" customFormat="1" ht="45" customHeight="1" spans="1:47">
      <c r="A57" s="386">
        <f t="shared" si="5"/>
        <v>48</v>
      </c>
      <c r="B57" s="395"/>
      <c r="C57" s="395"/>
      <c r="D57" s="395"/>
      <c r="E57" s="395"/>
      <c r="F57" s="395">
        <v>4</v>
      </c>
      <c r="G57" s="395"/>
      <c r="H57" s="395"/>
      <c r="I57" s="395"/>
      <c r="J57" s="395"/>
      <c r="K57" s="395"/>
      <c r="L57" s="395" t="s">
        <v>87</v>
      </c>
      <c r="M57" s="413"/>
      <c r="N57" s="413" t="s">
        <v>287</v>
      </c>
      <c r="O57" s="413" t="s">
        <v>288</v>
      </c>
      <c r="P57" s="395" t="s">
        <v>264</v>
      </c>
      <c r="Q57" s="395"/>
      <c r="R57" s="387" t="s">
        <v>67</v>
      </c>
      <c r="S57" s="395"/>
      <c r="T57" s="395" t="s">
        <v>225</v>
      </c>
      <c r="U57" s="395" t="s">
        <v>64</v>
      </c>
      <c r="V57" s="395" t="s">
        <v>66</v>
      </c>
      <c r="W57" s="395" t="s">
        <v>69</v>
      </c>
      <c r="X57" s="395" t="s">
        <v>68</v>
      </c>
      <c r="Y57" s="395" t="s">
        <v>258</v>
      </c>
      <c r="Z57" s="395" t="s">
        <v>64</v>
      </c>
      <c r="AA57" s="395" t="s">
        <v>64</v>
      </c>
      <c r="AB57" s="395" t="s">
        <v>281</v>
      </c>
      <c r="AC57" s="395">
        <v>0.4235</v>
      </c>
      <c r="AD57" s="395" t="s">
        <v>64</v>
      </c>
      <c r="AE57" s="477" t="s">
        <v>110</v>
      </c>
      <c r="AF57" s="457">
        <f>199+8</f>
        <v>207</v>
      </c>
      <c r="AG57" s="457">
        <f>151+3</f>
        <v>154</v>
      </c>
      <c r="AH57" s="490" t="s">
        <v>215</v>
      </c>
      <c r="AI57" s="492">
        <f>AF57*AG57*AH57*7860/1000000000</f>
        <v>0.75168324</v>
      </c>
      <c r="AJ57" s="489">
        <f>AC57/AI57</f>
        <v>0.563402211814647</v>
      </c>
      <c r="AK57" s="477"/>
      <c r="AL57" s="477"/>
      <c r="AM57" s="511"/>
      <c r="AN57" s="511"/>
      <c r="AO57" s="395"/>
      <c r="AP57" s="395"/>
      <c r="AQ57" s="395">
        <v>1</v>
      </c>
      <c r="AR57" s="420">
        <v>1</v>
      </c>
      <c r="AS57" s="395">
        <v>1</v>
      </c>
      <c r="AT57" s="395">
        <v>1</v>
      </c>
      <c r="AU57" s="395">
        <v>1</v>
      </c>
    </row>
    <row r="58" s="357" customFormat="1" ht="45" customHeight="1" spans="1:47">
      <c r="A58" s="386">
        <f t="shared" si="5"/>
        <v>49</v>
      </c>
      <c r="B58" s="395"/>
      <c r="C58" s="395"/>
      <c r="D58" s="395"/>
      <c r="E58" s="395">
        <v>3</v>
      </c>
      <c r="F58" s="395"/>
      <c r="G58" s="395"/>
      <c r="H58" s="395"/>
      <c r="I58" s="395"/>
      <c r="J58" s="395"/>
      <c r="K58" s="395"/>
      <c r="L58" s="395" t="s">
        <v>87</v>
      </c>
      <c r="M58" s="413"/>
      <c r="N58" s="413" t="s">
        <v>289</v>
      </c>
      <c r="O58" s="413" t="s">
        <v>290</v>
      </c>
      <c r="P58" s="395" t="s">
        <v>280</v>
      </c>
      <c r="Q58" s="395"/>
      <c r="R58" s="387" t="s">
        <v>67</v>
      </c>
      <c r="S58" s="395"/>
      <c r="T58" s="395" t="s">
        <v>225</v>
      </c>
      <c r="U58" s="395" t="s">
        <v>64</v>
      </c>
      <c r="V58" s="395" t="s">
        <v>66</v>
      </c>
      <c r="W58" s="395" t="s">
        <v>69</v>
      </c>
      <c r="X58" s="395" t="s">
        <v>68</v>
      </c>
      <c r="Y58" s="395" t="s">
        <v>194</v>
      </c>
      <c r="Z58" s="395" t="s">
        <v>71</v>
      </c>
      <c r="AA58" s="395" t="s">
        <v>64</v>
      </c>
      <c r="AB58" s="395" t="s">
        <v>291</v>
      </c>
      <c r="AC58" s="395">
        <v>0.535</v>
      </c>
      <c r="AD58" s="395" t="s">
        <v>64</v>
      </c>
      <c r="AE58" s="477" t="s">
        <v>200</v>
      </c>
      <c r="AF58" s="477"/>
      <c r="AG58" s="477"/>
      <c r="AH58" s="477"/>
      <c r="AI58" s="477"/>
      <c r="AJ58" s="477"/>
      <c r="AK58" s="477"/>
      <c r="AL58" s="477"/>
      <c r="AM58" s="510" t="s">
        <v>80</v>
      </c>
      <c r="AN58" s="510"/>
      <c r="AO58" s="395"/>
      <c r="AP58" s="395"/>
      <c r="AQ58" s="395">
        <v>1</v>
      </c>
      <c r="AR58" s="420">
        <v>1</v>
      </c>
      <c r="AS58" s="395">
        <v>1</v>
      </c>
      <c r="AT58" s="395">
        <v>1</v>
      </c>
      <c r="AU58" s="395">
        <v>1</v>
      </c>
    </row>
    <row r="59" s="357" customFormat="1" ht="45" customHeight="1" spans="1:47">
      <c r="A59" s="386">
        <f t="shared" si="5"/>
        <v>50</v>
      </c>
      <c r="B59" s="395"/>
      <c r="C59" s="395"/>
      <c r="D59" s="395"/>
      <c r="E59" s="395"/>
      <c r="F59" s="395">
        <v>4</v>
      </c>
      <c r="G59" s="395"/>
      <c r="H59" s="395"/>
      <c r="I59" s="395"/>
      <c r="J59" s="395"/>
      <c r="K59" s="395"/>
      <c r="L59" s="395" t="s">
        <v>87</v>
      </c>
      <c r="M59" s="413" t="s">
        <v>292</v>
      </c>
      <c r="N59" s="413" t="s">
        <v>293</v>
      </c>
      <c r="O59" s="413" t="s">
        <v>294</v>
      </c>
      <c r="P59" s="395" t="s">
        <v>264</v>
      </c>
      <c r="Q59" s="395"/>
      <c r="R59" s="387" t="s">
        <v>67</v>
      </c>
      <c r="S59" s="395"/>
      <c r="T59" s="395" t="s">
        <v>225</v>
      </c>
      <c r="U59" s="395" t="s">
        <v>64</v>
      </c>
      <c r="V59" s="395" t="s">
        <v>66</v>
      </c>
      <c r="W59" s="395" t="s">
        <v>69</v>
      </c>
      <c r="X59" s="395" t="s">
        <v>68</v>
      </c>
      <c r="Y59" s="395" t="s">
        <v>169</v>
      </c>
      <c r="Z59" s="395" t="s">
        <v>295</v>
      </c>
      <c r="AA59" s="395" t="s">
        <v>64</v>
      </c>
      <c r="AB59" s="395" t="s">
        <v>296</v>
      </c>
      <c r="AC59" s="395">
        <v>0.5358</v>
      </c>
      <c r="AD59" s="395" t="s">
        <v>64</v>
      </c>
      <c r="AE59" s="477"/>
      <c r="AF59" s="477"/>
      <c r="AG59" s="477"/>
      <c r="AH59" s="477"/>
      <c r="AI59" s="477"/>
      <c r="AJ59" s="477"/>
      <c r="AK59" s="477"/>
      <c r="AL59" s="477"/>
      <c r="AM59" s="510" t="s">
        <v>100</v>
      </c>
      <c r="AN59" s="510" t="s">
        <v>297</v>
      </c>
      <c r="AO59" s="395"/>
      <c r="AP59" s="395"/>
      <c r="AQ59" s="395">
        <v>1</v>
      </c>
      <c r="AR59" s="420">
        <v>1</v>
      </c>
      <c r="AS59" s="395">
        <v>1</v>
      </c>
      <c r="AT59" s="395">
        <v>1</v>
      </c>
      <c r="AU59" s="395">
        <v>1</v>
      </c>
    </row>
    <row r="60" s="357" customFormat="1" ht="45" customHeight="1" spans="1:47">
      <c r="A60" s="386">
        <f t="shared" si="5"/>
        <v>51</v>
      </c>
      <c r="B60" s="395"/>
      <c r="C60" s="395"/>
      <c r="D60" s="395"/>
      <c r="E60" s="395"/>
      <c r="F60" s="395"/>
      <c r="G60" s="395">
        <v>5</v>
      </c>
      <c r="H60" s="395"/>
      <c r="I60" s="395"/>
      <c r="J60" s="395"/>
      <c r="K60" s="395"/>
      <c r="L60" s="395" t="s">
        <v>87</v>
      </c>
      <c r="M60" s="413"/>
      <c r="N60" s="413" t="s">
        <v>298</v>
      </c>
      <c r="O60" s="413" t="s">
        <v>299</v>
      </c>
      <c r="P60" s="395" t="s">
        <v>264</v>
      </c>
      <c r="Q60" s="395"/>
      <c r="R60" s="387" t="s">
        <v>67</v>
      </c>
      <c r="S60" s="395"/>
      <c r="T60" s="395" t="s">
        <v>225</v>
      </c>
      <c r="U60" s="395" t="s">
        <v>64</v>
      </c>
      <c r="V60" s="395" t="s">
        <v>66</v>
      </c>
      <c r="W60" s="395" t="s">
        <v>69</v>
      </c>
      <c r="X60" s="395" t="s">
        <v>68</v>
      </c>
      <c r="Y60" s="395" t="s">
        <v>169</v>
      </c>
      <c r="Z60" s="395" t="s">
        <v>295</v>
      </c>
      <c r="AA60" s="395" t="s">
        <v>64</v>
      </c>
      <c r="AB60" s="395" t="s">
        <v>296</v>
      </c>
      <c r="AC60" s="395">
        <v>0.513</v>
      </c>
      <c r="AD60" s="395" t="s">
        <v>64</v>
      </c>
      <c r="AE60" s="457" t="s">
        <v>110</v>
      </c>
      <c r="AF60" s="457">
        <f>394+6</f>
        <v>400</v>
      </c>
      <c r="AG60" s="457">
        <f>124+2.5</f>
        <v>126.5</v>
      </c>
      <c r="AH60" s="490" t="s">
        <v>241</v>
      </c>
      <c r="AI60" s="492">
        <f>AF60*AG60*AH60*7860/1000000000</f>
        <v>0.795432</v>
      </c>
      <c r="AJ60" s="489">
        <f>AC60/AI60</f>
        <v>0.644932564945841</v>
      </c>
      <c r="AK60" s="477"/>
      <c r="AL60" s="477"/>
      <c r="AM60" s="511"/>
      <c r="AN60" s="511"/>
      <c r="AO60" s="395"/>
      <c r="AP60" s="395"/>
      <c r="AQ60" s="395">
        <v>1</v>
      </c>
      <c r="AR60" s="420">
        <v>1</v>
      </c>
      <c r="AS60" s="395">
        <v>1</v>
      </c>
      <c r="AT60" s="395">
        <v>1</v>
      </c>
      <c r="AU60" s="395">
        <v>1</v>
      </c>
    </row>
    <row r="61" s="357" customFormat="1" ht="45" customHeight="1" spans="1:47">
      <c r="A61" s="386">
        <f t="shared" ref="A61:A70" si="6">ROW()-9</f>
        <v>52</v>
      </c>
      <c r="B61" s="395"/>
      <c r="C61" s="395"/>
      <c r="D61" s="395"/>
      <c r="E61" s="395"/>
      <c r="F61" s="395"/>
      <c r="G61" s="395">
        <v>5</v>
      </c>
      <c r="H61" s="395"/>
      <c r="I61" s="395"/>
      <c r="J61" s="395"/>
      <c r="K61" s="395"/>
      <c r="L61" s="395" t="s">
        <v>87</v>
      </c>
      <c r="M61" s="413"/>
      <c r="N61" s="413" t="s">
        <v>300</v>
      </c>
      <c r="O61" s="413" t="s">
        <v>301</v>
      </c>
      <c r="P61" s="395" t="s">
        <v>117</v>
      </c>
      <c r="Q61" s="395"/>
      <c r="R61" s="387" t="s">
        <v>67</v>
      </c>
      <c r="S61" s="395"/>
      <c r="T61" s="395" t="s">
        <v>225</v>
      </c>
      <c r="U61" s="395" t="s">
        <v>64</v>
      </c>
      <c r="V61" s="395" t="s">
        <v>66</v>
      </c>
      <c r="W61" s="395" t="s">
        <v>69</v>
      </c>
      <c r="X61" s="395" t="s">
        <v>68</v>
      </c>
      <c r="Y61" s="395" t="s">
        <v>117</v>
      </c>
      <c r="Z61" s="395" t="s">
        <v>267</v>
      </c>
      <c r="AA61" s="395" t="s">
        <v>64</v>
      </c>
      <c r="AB61" s="395" t="s">
        <v>302</v>
      </c>
      <c r="AC61" s="395">
        <v>0.0097</v>
      </c>
      <c r="AD61" s="395" t="s">
        <v>64</v>
      </c>
      <c r="AE61" s="477"/>
      <c r="AF61" s="477"/>
      <c r="AG61" s="477"/>
      <c r="AH61" s="477"/>
      <c r="AI61" s="477"/>
      <c r="AJ61" s="477"/>
      <c r="AK61" s="477"/>
      <c r="AL61" s="477"/>
      <c r="AM61" s="511"/>
      <c r="AN61" s="511"/>
      <c r="AO61" s="395"/>
      <c r="AP61" s="395"/>
      <c r="AQ61" s="395">
        <v>2</v>
      </c>
      <c r="AR61" s="420">
        <v>2</v>
      </c>
      <c r="AS61" s="395">
        <v>2</v>
      </c>
      <c r="AT61" s="395">
        <v>2</v>
      </c>
      <c r="AU61" s="395">
        <v>4</v>
      </c>
    </row>
    <row r="62" s="357" customFormat="1" ht="45" customHeight="1" spans="1:47">
      <c r="A62" s="386">
        <f t="shared" si="6"/>
        <v>53</v>
      </c>
      <c r="B62" s="395"/>
      <c r="C62" s="395"/>
      <c r="D62" s="395"/>
      <c r="E62" s="395"/>
      <c r="F62" s="395">
        <v>4</v>
      </c>
      <c r="G62" s="395"/>
      <c r="H62" s="395"/>
      <c r="I62" s="395"/>
      <c r="J62" s="395"/>
      <c r="K62" s="395"/>
      <c r="L62" s="395" t="s">
        <v>87</v>
      </c>
      <c r="M62" s="413" t="s">
        <v>303</v>
      </c>
      <c r="N62" s="413" t="s">
        <v>304</v>
      </c>
      <c r="O62" s="413" t="s">
        <v>305</v>
      </c>
      <c r="P62" s="395" t="s">
        <v>271</v>
      </c>
      <c r="Q62" s="395"/>
      <c r="R62" s="387" t="s">
        <v>67</v>
      </c>
      <c r="S62" s="395"/>
      <c r="T62" s="395" t="s">
        <v>225</v>
      </c>
      <c r="U62" s="395" t="s">
        <v>64</v>
      </c>
      <c r="V62" s="395" t="s">
        <v>66</v>
      </c>
      <c r="W62" s="395" t="s">
        <v>69</v>
      </c>
      <c r="X62" s="395" t="s">
        <v>68</v>
      </c>
      <c r="Y62" s="395" t="s">
        <v>149</v>
      </c>
      <c r="Z62" s="395" t="s">
        <v>306</v>
      </c>
      <c r="AA62" s="395" t="s">
        <v>64</v>
      </c>
      <c r="AB62" s="395" t="s">
        <v>307</v>
      </c>
      <c r="AC62" s="395">
        <v>0.124</v>
      </c>
      <c r="AD62" s="395" t="s">
        <v>64</v>
      </c>
      <c r="AE62" s="466" t="s">
        <v>153</v>
      </c>
      <c r="AF62" s="467">
        <f>AC62/0.395*1000</f>
        <v>313.924050632911</v>
      </c>
      <c r="AG62" s="467">
        <v>8</v>
      </c>
      <c r="AH62" s="467"/>
      <c r="AI62" s="498">
        <f>AF62*0.395/1000</f>
        <v>0.124</v>
      </c>
      <c r="AJ62" s="499">
        <f>AC62/AI62</f>
        <v>1</v>
      </c>
      <c r="AK62" s="477"/>
      <c r="AL62" s="477"/>
      <c r="AM62" s="510" t="s">
        <v>100</v>
      </c>
      <c r="AN62" s="510" t="s">
        <v>273</v>
      </c>
      <c r="AO62" s="395"/>
      <c r="AP62" s="395"/>
      <c r="AQ62" s="395">
        <v>1</v>
      </c>
      <c r="AR62" s="420">
        <v>1</v>
      </c>
      <c r="AS62" s="395">
        <v>1</v>
      </c>
      <c r="AT62" s="395">
        <v>1</v>
      </c>
      <c r="AU62" s="395">
        <v>2</v>
      </c>
    </row>
    <row r="63" s="357" customFormat="1" ht="45" customHeight="1" spans="1:47">
      <c r="A63" s="386">
        <f t="shared" si="6"/>
        <v>54</v>
      </c>
      <c r="B63" s="395"/>
      <c r="C63" s="395"/>
      <c r="D63" s="395"/>
      <c r="E63" s="395">
        <v>3</v>
      </c>
      <c r="F63" s="395"/>
      <c r="G63" s="395"/>
      <c r="H63" s="395"/>
      <c r="I63" s="395"/>
      <c r="J63" s="395"/>
      <c r="K63" s="395"/>
      <c r="L63" s="395" t="s">
        <v>87</v>
      </c>
      <c r="M63" s="413"/>
      <c r="N63" s="413" t="s">
        <v>308</v>
      </c>
      <c r="O63" s="413" t="s">
        <v>309</v>
      </c>
      <c r="P63" s="395" t="s">
        <v>280</v>
      </c>
      <c r="Q63" s="395"/>
      <c r="R63" s="387" t="s">
        <v>67</v>
      </c>
      <c r="S63" s="395"/>
      <c r="T63" s="395" t="s">
        <v>225</v>
      </c>
      <c r="U63" s="395" t="s">
        <v>64</v>
      </c>
      <c r="V63" s="395" t="s">
        <v>66</v>
      </c>
      <c r="W63" s="395" t="s">
        <v>69</v>
      </c>
      <c r="X63" s="395" t="s">
        <v>68</v>
      </c>
      <c r="Y63" s="395" t="s">
        <v>194</v>
      </c>
      <c r="Z63" s="395" t="s">
        <v>71</v>
      </c>
      <c r="AA63" s="395" t="s">
        <v>64</v>
      </c>
      <c r="AB63" s="395" t="s">
        <v>291</v>
      </c>
      <c r="AC63" s="395">
        <v>0.535</v>
      </c>
      <c r="AD63" s="395" t="s">
        <v>64</v>
      </c>
      <c r="AE63" s="477" t="s">
        <v>200</v>
      </c>
      <c r="AF63" s="477"/>
      <c r="AG63" s="477"/>
      <c r="AH63" s="477"/>
      <c r="AI63" s="477"/>
      <c r="AJ63" s="477"/>
      <c r="AK63" s="477"/>
      <c r="AL63" s="477"/>
      <c r="AM63" s="510" t="s">
        <v>80</v>
      </c>
      <c r="AN63" s="510"/>
      <c r="AO63" s="395"/>
      <c r="AP63" s="395"/>
      <c r="AQ63" s="395">
        <v>1</v>
      </c>
      <c r="AR63" s="420">
        <v>1</v>
      </c>
      <c r="AS63" s="395">
        <v>1</v>
      </c>
      <c r="AT63" s="395">
        <v>1</v>
      </c>
      <c r="AU63" s="395">
        <v>1</v>
      </c>
    </row>
    <row r="64" s="357" customFormat="1" ht="45" customHeight="1" spans="1:47">
      <c r="A64" s="386">
        <f t="shared" si="6"/>
        <v>55</v>
      </c>
      <c r="B64" s="395"/>
      <c r="C64" s="395"/>
      <c r="D64" s="395"/>
      <c r="E64" s="395"/>
      <c r="F64" s="395">
        <v>4</v>
      </c>
      <c r="G64" s="395"/>
      <c r="H64" s="395"/>
      <c r="I64" s="395"/>
      <c r="J64" s="395"/>
      <c r="K64" s="395"/>
      <c r="L64" s="395" t="s">
        <v>87</v>
      </c>
      <c r="M64" s="413" t="s">
        <v>310</v>
      </c>
      <c r="N64" s="413" t="s">
        <v>311</v>
      </c>
      <c r="O64" s="413" t="s">
        <v>312</v>
      </c>
      <c r="P64" s="395" t="s">
        <v>264</v>
      </c>
      <c r="Q64" s="395"/>
      <c r="R64" s="387" t="s">
        <v>67</v>
      </c>
      <c r="S64" s="395"/>
      <c r="T64" s="395" t="s">
        <v>225</v>
      </c>
      <c r="U64" s="395" t="s">
        <v>64</v>
      </c>
      <c r="V64" s="395" t="s">
        <v>66</v>
      </c>
      <c r="W64" s="395" t="s">
        <v>69</v>
      </c>
      <c r="X64" s="395" t="s">
        <v>68</v>
      </c>
      <c r="Y64" s="395" t="s">
        <v>169</v>
      </c>
      <c r="Z64" s="395" t="s">
        <v>295</v>
      </c>
      <c r="AA64" s="395" t="s">
        <v>64</v>
      </c>
      <c r="AB64" s="395" t="s">
        <v>296</v>
      </c>
      <c r="AC64" s="395">
        <v>0.5358</v>
      </c>
      <c r="AD64" s="395" t="s">
        <v>64</v>
      </c>
      <c r="AE64" s="477"/>
      <c r="AF64" s="477"/>
      <c r="AG64" s="477"/>
      <c r="AH64" s="477"/>
      <c r="AI64" s="477"/>
      <c r="AJ64" s="477"/>
      <c r="AK64" s="477"/>
      <c r="AL64" s="477"/>
      <c r="AM64" s="510" t="s">
        <v>100</v>
      </c>
      <c r="AN64" s="510" t="s">
        <v>297</v>
      </c>
      <c r="AO64" s="395"/>
      <c r="AP64" s="395"/>
      <c r="AQ64" s="395">
        <v>1</v>
      </c>
      <c r="AR64" s="420">
        <v>1</v>
      </c>
      <c r="AS64" s="395">
        <v>1</v>
      </c>
      <c r="AT64" s="395">
        <v>1</v>
      </c>
      <c r="AU64" s="395">
        <v>1</v>
      </c>
    </row>
    <row r="65" s="357" customFormat="1" ht="45" customHeight="1" spans="1:47">
      <c r="A65" s="386">
        <f t="shared" si="6"/>
        <v>56</v>
      </c>
      <c r="B65" s="395"/>
      <c r="C65" s="395"/>
      <c r="D65" s="395"/>
      <c r="E65" s="395"/>
      <c r="F65" s="395"/>
      <c r="G65" s="395">
        <v>5</v>
      </c>
      <c r="H65" s="395"/>
      <c r="I65" s="395"/>
      <c r="J65" s="395"/>
      <c r="K65" s="395"/>
      <c r="L65" s="395" t="s">
        <v>87</v>
      </c>
      <c r="M65" s="413"/>
      <c r="N65" s="413" t="s">
        <v>313</v>
      </c>
      <c r="O65" s="413" t="s">
        <v>314</v>
      </c>
      <c r="P65" s="395" t="s">
        <v>264</v>
      </c>
      <c r="Q65" s="395"/>
      <c r="R65" s="387" t="s">
        <v>67</v>
      </c>
      <c r="S65" s="395"/>
      <c r="T65" s="395" t="s">
        <v>225</v>
      </c>
      <c r="U65" s="395" t="s">
        <v>64</v>
      </c>
      <c r="V65" s="395" t="s">
        <v>66</v>
      </c>
      <c r="W65" s="395" t="s">
        <v>69</v>
      </c>
      <c r="X65" s="395" t="s">
        <v>68</v>
      </c>
      <c r="Y65" s="395" t="s">
        <v>169</v>
      </c>
      <c r="Z65" s="395" t="s">
        <v>295</v>
      </c>
      <c r="AA65" s="395" t="s">
        <v>64</v>
      </c>
      <c r="AB65" s="395" t="s">
        <v>296</v>
      </c>
      <c r="AC65" s="395">
        <v>0.513</v>
      </c>
      <c r="AD65" s="395" t="s">
        <v>64</v>
      </c>
      <c r="AE65" s="457" t="s">
        <v>110</v>
      </c>
      <c r="AF65" s="457">
        <f>394+6</f>
        <v>400</v>
      </c>
      <c r="AG65" s="457">
        <f>124+2.5</f>
        <v>126.5</v>
      </c>
      <c r="AH65" s="490" t="s">
        <v>241</v>
      </c>
      <c r="AI65" s="492">
        <f>AF65*AG65*AH65*7860/1000000000</f>
        <v>0.795432</v>
      </c>
      <c r="AJ65" s="489">
        <f>AC65/AI65</f>
        <v>0.644932564945841</v>
      </c>
      <c r="AK65" s="477"/>
      <c r="AL65" s="477"/>
      <c r="AM65" s="511"/>
      <c r="AN65" s="511"/>
      <c r="AO65" s="395"/>
      <c r="AP65" s="395"/>
      <c r="AQ65" s="395">
        <v>1</v>
      </c>
      <c r="AR65" s="420">
        <v>1</v>
      </c>
      <c r="AS65" s="395">
        <v>1</v>
      </c>
      <c r="AT65" s="395">
        <v>1</v>
      </c>
      <c r="AU65" s="395">
        <v>1</v>
      </c>
    </row>
    <row r="66" s="357" customFormat="1" ht="45" customHeight="1" spans="1:47">
      <c r="A66" s="386">
        <f t="shared" si="6"/>
        <v>57</v>
      </c>
      <c r="B66" s="395"/>
      <c r="C66" s="395"/>
      <c r="D66" s="395"/>
      <c r="E66" s="395"/>
      <c r="F66" s="395"/>
      <c r="G66" s="395">
        <v>5</v>
      </c>
      <c r="H66" s="395"/>
      <c r="I66" s="395"/>
      <c r="J66" s="395"/>
      <c r="K66" s="395"/>
      <c r="L66" s="395" t="s">
        <v>87</v>
      </c>
      <c r="M66" s="413"/>
      <c r="N66" s="413" t="s">
        <v>300</v>
      </c>
      <c r="O66" s="413" t="s">
        <v>301</v>
      </c>
      <c r="P66" s="395" t="s">
        <v>117</v>
      </c>
      <c r="Q66" s="395"/>
      <c r="R66" s="387" t="s">
        <v>67</v>
      </c>
      <c r="S66" s="395"/>
      <c r="T66" s="395" t="s">
        <v>225</v>
      </c>
      <c r="U66" s="395" t="s">
        <v>64</v>
      </c>
      <c r="V66" s="395" t="s">
        <v>66</v>
      </c>
      <c r="W66" s="395" t="s">
        <v>69</v>
      </c>
      <c r="X66" s="395" t="s">
        <v>68</v>
      </c>
      <c r="Y66" s="395" t="s">
        <v>117</v>
      </c>
      <c r="Z66" s="395" t="s">
        <v>267</v>
      </c>
      <c r="AA66" s="395" t="s">
        <v>64</v>
      </c>
      <c r="AB66" s="395" t="s">
        <v>302</v>
      </c>
      <c r="AC66" s="395">
        <v>0.01</v>
      </c>
      <c r="AD66" s="395" t="s">
        <v>64</v>
      </c>
      <c r="AE66" s="477"/>
      <c r="AF66" s="477"/>
      <c r="AG66" s="477"/>
      <c r="AH66" s="477"/>
      <c r="AI66" s="477"/>
      <c r="AJ66" s="477"/>
      <c r="AK66" s="477"/>
      <c r="AL66" s="477"/>
      <c r="AM66" s="511"/>
      <c r="AN66" s="511"/>
      <c r="AO66" s="395"/>
      <c r="AP66" s="395"/>
      <c r="AQ66" s="395">
        <v>2</v>
      </c>
      <c r="AR66" s="420">
        <v>2</v>
      </c>
      <c r="AS66" s="395">
        <v>2</v>
      </c>
      <c r="AT66" s="395">
        <v>2</v>
      </c>
      <c r="AU66" s="395">
        <v>2</v>
      </c>
    </row>
    <row r="67" s="357" customFormat="1" ht="45" customHeight="1" spans="1:47">
      <c r="A67" s="386">
        <f t="shared" si="6"/>
        <v>58</v>
      </c>
      <c r="B67" s="395"/>
      <c r="C67" s="395"/>
      <c r="D67" s="395"/>
      <c r="E67" s="395"/>
      <c r="F67" s="395">
        <v>4</v>
      </c>
      <c r="G67" s="395"/>
      <c r="H67" s="395"/>
      <c r="I67" s="395"/>
      <c r="J67" s="395"/>
      <c r="K67" s="395"/>
      <c r="L67" s="395" t="s">
        <v>87</v>
      </c>
      <c r="M67" s="413" t="s">
        <v>303</v>
      </c>
      <c r="N67" s="413" t="s">
        <v>304</v>
      </c>
      <c r="O67" s="413" t="s">
        <v>305</v>
      </c>
      <c r="P67" s="395" t="s">
        <v>271</v>
      </c>
      <c r="Q67" s="395"/>
      <c r="R67" s="387" t="s">
        <v>67</v>
      </c>
      <c r="S67" s="395"/>
      <c r="T67" s="395" t="s">
        <v>225</v>
      </c>
      <c r="U67" s="395" t="s">
        <v>64</v>
      </c>
      <c r="V67" s="395" t="s">
        <v>66</v>
      </c>
      <c r="W67" s="395" t="s">
        <v>69</v>
      </c>
      <c r="X67" s="395" t="s">
        <v>68</v>
      </c>
      <c r="Y67" s="395" t="s">
        <v>149</v>
      </c>
      <c r="Z67" s="395" t="s">
        <v>71</v>
      </c>
      <c r="AA67" s="395" t="s">
        <v>64</v>
      </c>
      <c r="AB67" s="395" t="s">
        <v>307</v>
      </c>
      <c r="AC67" s="395">
        <v>0.124</v>
      </c>
      <c r="AD67" s="395" t="s">
        <v>64</v>
      </c>
      <c r="AE67" s="466" t="s">
        <v>153</v>
      </c>
      <c r="AF67" s="467">
        <f>AC67/0.395*1000</f>
        <v>313.924050632911</v>
      </c>
      <c r="AG67" s="467">
        <v>8</v>
      </c>
      <c r="AH67" s="467"/>
      <c r="AI67" s="498">
        <f>AF67*0.395/1000</f>
        <v>0.124</v>
      </c>
      <c r="AJ67" s="499">
        <f>AC67/AI67</f>
        <v>1</v>
      </c>
      <c r="AK67" s="477"/>
      <c r="AL67" s="477"/>
      <c r="AM67" s="510" t="s">
        <v>100</v>
      </c>
      <c r="AN67" s="510" t="s">
        <v>273</v>
      </c>
      <c r="AO67" s="395"/>
      <c r="AP67" s="395"/>
      <c r="AQ67" s="395">
        <v>1</v>
      </c>
      <c r="AR67" s="420">
        <v>1</v>
      </c>
      <c r="AS67" s="395">
        <v>1</v>
      </c>
      <c r="AT67" s="395">
        <v>1</v>
      </c>
      <c r="AU67" s="395">
        <v>1</v>
      </c>
    </row>
    <row r="68" s="357" customFormat="1" ht="45" customHeight="1" spans="1:47">
      <c r="A68" s="386">
        <f t="shared" si="6"/>
        <v>59</v>
      </c>
      <c r="B68" s="395"/>
      <c r="C68" s="395"/>
      <c r="D68" s="395"/>
      <c r="E68" s="395">
        <v>3</v>
      </c>
      <c r="F68" s="395"/>
      <c r="G68" s="395"/>
      <c r="H68" s="395"/>
      <c r="I68" s="395"/>
      <c r="J68" s="395"/>
      <c r="K68" s="395"/>
      <c r="L68" s="395" t="s">
        <v>87</v>
      </c>
      <c r="M68" s="413" t="s">
        <v>315</v>
      </c>
      <c r="N68" s="413" t="s">
        <v>315</v>
      </c>
      <c r="O68" s="413" t="s">
        <v>316</v>
      </c>
      <c r="P68" s="395" t="s">
        <v>117</v>
      </c>
      <c r="Q68" s="395"/>
      <c r="R68" s="387" t="s">
        <v>67</v>
      </c>
      <c r="S68" s="395"/>
      <c r="T68" s="395" t="s">
        <v>225</v>
      </c>
      <c r="U68" s="395" t="s">
        <v>64</v>
      </c>
      <c r="V68" s="395" t="s">
        <v>66</v>
      </c>
      <c r="W68" s="395" t="s">
        <v>69</v>
      </c>
      <c r="X68" s="395" t="s">
        <v>68</v>
      </c>
      <c r="Y68" s="395" t="s">
        <v>230</v>
      </c>
      <c r="Z68" s="395" t="s">
        <v>317</v>
      </c>
      <c r="AA68" s="395" t="s">
        <v>64</v>
      </c>
      <c r="AB68" s="395" t="s">
        <v>318</v>
      </c>
      <c r="AC68" s="395">
        <v>1.892</v>
      </c>
      <c r="AD68" s="395" t="s">
        <v>64</v>
      </c>
      <c r="AE68" s="475" t="s">
        <v>233</v>
      </c>
      <c r="AF68" s="476">
        <f>AC68/1.134*1000+10</f>
        <v>1678.430335097</v>
      </c>
      <c r="AG68" s="476">
        <v>25</v>
      </c>
      <c r="AH68" s="476">
        <v>2</v>
      </c>
      <c r="AI68" s="508">
        <f>AF68*1.134/1000</f>
        <v>1.90334</v>
      </c>
      <c r="AJ68" s="509">
        <f>AC68/AI68</f>
        <v>0.994042052392111</v>
      </c>
      <c r="AK68" s="477"/>
      <c r="AL68" s="477"/>
      <c r="AM68" s="510" t="s">
        <v>74</v>
      </c>
      <c r="AN68" s="510" t="s">
        <v>234</v>
      </c>
      <c r="AO68" s="395"/>
      <c r="AP68" s="395"/>
      <c r="AQ68" s="395">
        <v>1</v>
      </c>
      <c r="AR68" s="420">
        <v>1</v>
      </c>
      <c r="AS68" s="395">
        <v>1</v>
      </c>
      <c r="AT68" s="395">
        <v>1</v>
      </c>
      <c r="AU68" s="395">
        <v>1</v>
      </c>
    </row>
    <row r="69" s="359" customFormat="1" ht="45" customHeight="1" spans="1:47">
      <c r="A69" s="386">
        <f t="shared" si="6"/>
        <v>60</v>
      </c>
      <c r="B69" s="530"/>
      <c r="C69" s="530"/>
      <c r="D69" s="530"/>
      <c r="E69" s="530">
        <v>3</v>
      </c>
      <c r="F69" s="530"/>
      <c r="G69" s="530"/>
      <c r="H69" s="530"/>
      <c r="I69" s="530"/>
      <c r="J69" s="530"/>
      <c r="K69" s="530"/>
      <c r="L69" s="530"/>
      <c r="M69" s="536" t="s">
        <v>319</v>
      </c>
      <c r="N69" s="536"/>
      <c r="O69" s="536" t="s">
        <v>320</v>
      </c>
      <c r="P69" s="530" t="s">
        <v>271</v>
      </c>
      <c r="Q69" s="530"/>
      <c r="R69" s="391" t="s">
        <v>67</v>
      </c>
      <c r="S69" s="530"/>
      <c r="T69" s="530" t="s">
        <v>225</v>
      </c>
      <c r="U69" s="530" t="s">
        <v>64</v>
      </c>
      <c r="V69" s="530" t="s">
        <v>66</v>
      </c>
      <c r="W69" s="530" t="s">
        <v>69</v>
      </c>
      <c r="X69" s="530" t="s">
        <v>69</v>
      </c>
      <c r="Y69" s="530" t="s">
        <v>149</v>
      </c>
      <c r="Z69" s="530" t="s">
        <v>321</v>
      </c>
      <c r="AA69" s="530" t="s">
        <v>64</v>
      </c>
      <c r="AB69" s="530" t="s">
        <v>322</v>
      </c>
      <c r="AC69" s="530">
        <v>0.0587</v>
      </c>
      <c r="AD69" s="530" t="s">
        <v>109</v>
      </c>
      <c r="AE69" s="466" t="s">
        <v>109</v>
      </c>
      <c r="AF69" s="467"/>
      <c r="AG69" s="467"/>
      <c r="AH69" s="467"/>
      <c r="AI69" s="498"/>
      <c r="AJ69" s="499"/>
      <c r="AK69" s="559"/>
      <c r="AL69" s="559">
        <v>0.0121</v>
      </c>
      <c r="AM69" s="510" t="s">
        <v>74</v>
      </c>
      <c r="AN69" s="568" t="s">
        <v>196</v>
      </c>
      <c r="AO69" s="530"/>
      <c r="AP69" s="530"/>
      <c r="AQ69" s="530">
        <v>1</v>
      </c>
      <c r="AR69" s="531">
        <v>1</v>
      </c>
      <c r="AS69" s="530">
        <v>1</v>
      </c>
      <c r="AT69" s="530"/>
      <c r="AU69" s="530"/>
    </row>
    <row r="70" s="359" customFormat="1" ht="45" customHeight="1" spans="1:47">
      <c r="A70" s="386">
        <f t="shared" si="6"/>
        <v>61</v>
      </c>
      <c r="B70" s="530"/>
      <c r="C70" s="530"/>
      <c r="D70" s="530"/>
      <c r="E70" s="530"/>
      <c r="F70" s="530">
        <v>4</v>
      </c>
      <c r="G70" s="530"/>
      <c r="H70" s="530"/>
      <c r="I70" s="530"/>
      <c r="J70" s="530"/>
      <c r="K70" s="530"/>
      <c r="L70" s="530" t="s">
        <v>87</v>
      </c>
      <c r="M70" s="536" t="s">
        <v>323</v>
      </c>
      <c r="N70" s="536" t="s">
        <v>323</v>
      </c>
      <c r="O70" s="536" t="s">
        <v>324</v>
      </c>
      <c r="P70" s="530" t="s">
        <v>271</v>
      </c>
      <c r="Q70" s="530"/>
      <c r="R70" s="391" t="s">
        <v>67</v>
      </c>
      <c r="S70" s="530"/>
      <c r="T70" s="530" t="s">
        <v>225</v>
      </c>
      <c r="U70" s="530" t="s">
        <v>64</v>
      </c>
      <c r="V70" s="530" t="s">
        <v>66</v>
      </c>
      <c r="W70" s="530" t="s">
        <v>69</v>
      </c>
      <c r="X70" s="530" t="s">
        <v>69</v>
      </c>
      <c r="Y70" s="530" t="s">
        <v>149</v>
      </c>
      <c r="Z70" s="530" t="s">
        <v>321</v>
      </c>
      <c r="AA70" s="530" t="s">
        <v>64</v>
      </c>
      <c r="AB70" s="530" t="s">
        <v>322</v>
      </c>
      <c r="AC70" s="530">
        <v>0.0587</v>
      </c>
      <c r="AD70" s="530" t="s">
        <v>109</v>
      </c>
      <c r="AE70" s="466" t="s">
        <v>153</v>
      </c>
      <c r="AF70" s="467">
        <f>AC70/0.2219*1000</f>
        <v>264.533573681839</v>
      </c>
      <c r="AG70" s="467">
        <v>6</v>
      </c>
      <c r="AH70" s="467"/>
      <c r="AI70" s="498">
        <f>AF70*0.2219/1000</f>
        <v>0.0587</v>
      </c>
      <c r="AJ70" s="499">
        <f>AC70/AI70</f>
        <v>1</v>
      </c>
      <c r="AK70" s="559"/>
      <c r="AL70" s="559"/>
      <c r="AM70" s="568" t="s">
        <v>100</v>
      </c>
      <c r="AN70" s="568" t="s">
        <v>273</v>
      </c>
      <c r="AO70" s="530"/>
      <c r="AP70" s="530"/>
      <c r="AQ70" s="530">
        <v>1</v>
      </c>
      <c r="AR70" s="531">
        <v>1</v>
      </c>
      <c r="AS70" s="530">
        <v>1</v>
      </c>
      <c r="AT70" s="530">
        <v>1</v>
      </c>
      <c r="AU70" s="530">
        <v>1</v>
      </c>
    </row>
    <row r="71" s="359" customFormat="1" ht="45" customHeight="1" spans="1:47">
      <c r="A71" s="386">
        <f t="shared" ref="A71:A80" si="7">ROW()-9</f>
        <v>62</v>
      </c>
      <c r="B71" s="530"/>
      <c r="C71" s="530"/>
      <c r="D71" s="530"/>
      <c r="E71" s="530">
        <v>3</v>
      </c>
      <c r="F71" s="530"/>
      <c r="G71" s="530"/>
      <c r="H71" s="530"/>
      <c r="I71" s="530"/>
      <c r="J71" s="530"/>
      <c r="K71" s="530"/>
      <c r="L71" s="530"/>
      <c r="M71" s="536" t="s">
        <v>325</v>
      </c>
      <c r="N71" s="536"/>
      <c r="O71" s="536" t="s">
        <v>326</v>
      </c>
      <c r="P71" s="530" t="s">
        <v>271</v>
      </c>
      <c r="Q71" s="530"/>
      <c r="R71" s="391" t="s">
        <v>67</v>
      </c>
      <c r="S71" s="530"/>
      <c r="T71" s="530" t="s">
        <v>225</v>
      </c>
      <c r="U71" s="530" t="s">
        <v>64</v>
      </c>
      <c r="V71" s="530" t="s">
        <v>66</v>
      </c>
      <c r="W71" s="530" t="s">
        <v>69</v>
      </c>
      <c r="X71" s="530" t="s">
        <v>68</v>
      </c>
      <c r="Y71" s="530" t="s">
        <v>149</v>
      </c>
      <c r="Z71" s="530" t="s">
        <v>327</v>
      </c>
      <c r="AA71" s="530" t="s">
        <v>64</v>
      </c>
      <c r="AB71" s="530" t="s">
        <v>328</v>
      </c>
      <c r="AC71" s="530">
        <v>0.0587</v>
      </c>
      <c r="AD71" s="530" t="s">
        <v>109</v>
      </c>
      <c r="AE71" s="466" t="s">
        <v>109</v>
      </c>
      <c r="AF71" s="467"/>
      <c r="AG71" s="467"/>
      <c r="AH71" s="467"/>
      <c r="AI71" s="498"/>
      <c r="AJ71" s="499"/>
      <c r="AK71" s="559"/>
      <c r="AL71" s="559">
        <v>0.0078</v>
      </c>
      <c r="AM71" s="510" t="s">
        <v>74</v>
      </c>
      <c r="AN71" s="568" t="s">
        <v>196</v>
      </c>
      <c r="AO71" s="530"/>
      <c r="AP71" s="530"/>
      <c r="AQ71" s="530">
        <v>1</v>
      </c>
      <c r="AR71" s="531">
        <v>1</v>
      </c>
      <c r="AS71" s="530">
        <v>1</v>
      </c>
      <c r="AT71" s="530"/>
      <c r="AU71" s="530"/>
    </row>
    <row r="72" s="359" customFormat="1" ht="45" customHeight="1" spans="1:47">
      <c r="A72" s="386">
        <f t="shared" si="7"/>
        <v>63</v>
      </c>
      <c r="B72" s="530"/>
      <c r="C72" s="530"/>
      <c r="D72" s="530"/>
      <c r="E72" s="530"/>
      <c r="F72" s="530">
        <v>4</v>
      </c>
      <c r="G72" s="530"/>
      <c r="H72" s="530"/>
      <c r="I72" s="530"/>
      <c r="J72" s="530"/>
      <c r="K72" s="530"/>
      <c r="L72" s="530" t="s">
        <v>87</v>
      </c>
      <c r="M72" s="536" t="s">
        <v>329</v>
      </c>
      <c r="N72" s="536" t="s">
        <v>329</v>
      </c>
      <c r="O72" s="536" t="s">
        <v>330</v>
      </c>
      <c r="P72" s="530" t="s">
        <v>271</v>
      </c>
      <c r="Q72" s="530"/>
      <c r="R72" s="391" t="s">
        <v>67</v>
      </c>
      <c r="S72" s="530"/>
      <c r="T72" s="530" t="s">
        <v>225</v>
      </c>
      <c r="U72" s="530" t="s">
        <v>64</v>
      </c>
      <c r="V72" s="530" t="s">
        <v>66</v>
      </c>
      <c r="W72" s="530" t="s">
        <v>69</v>
      </c>
      <c r="X72" s="530" t="s">
        <v>68</v>
      </c>
      <c r="Y72" s="530" t="s">
        <v>149</v>
      </c>
      <c r="Z72" s="530" t="s">
        <v>327</v>
      </c>
      <c r="AA72" s="530" t="s">
        <v>64</v>
      </c>
      <c r="AB72" s="530" t="s">
        <v>328</v>
      </c>
      <c r="AC72" s="530">
        <v>0.0587</v>
      </c>
      <c r="AD72" s="530" t="s">
        <v>109</v>
      </c>
      <c r="AE72" s="466" t="s">
        <v>153</v>
      </c>
      <c r="AF72" s="467">
        <f>AC72/0.2219*1000</f>
        <v>264.533573681839</v>
      </c>
      <c r="AG72" s="467">
        <v>6</v>
      </c>
      <c r="AH72" s="467"/>
      <c r="AI72" s="498">
        <f>AF72*0.2219/1000</f>
        <v>0.0587</v>
      </c>
      <c r="AJ72" s="499">
        <f>AC72/AI72</f>
        <v>1</v>
      </c>
      <c r="AK72" s="559"/>
      <c r="AL72" s="559"/>
      <c r="AM72" s="568" t="s">
        <v>100</v>
      </c>
      <c r="AN72" s="568" t="s">
        <v>273</v>
      </c>
      <c r="AO72" s="530"/>
      <c r="AP72" s="530"/>
      <c r="AQ72" s="530">
        <v>1</v>
      </c>
      <c r="AR72" s="531">
        <v>1</v>
      </c>
      <c r="AS72" s="530">
        <v>1</v>
      </c>
      <c r="AT72" s="530">
        <v>1</v>
      </c>
      <c r="AU72" s="530">
        <v>1</v>
      </c>
    </row>
    <row r="73" s="359" customFormat="1" ht="45" customHeight="1" spans="1:47">
      <c r="A73" s="386">
        <f t="shared" si="7"/>
        <v>64</v>
      </c>
      <c r="B73" s="530"/>
      <c r="C73" s="530"/>
      <c r="D73" s="530"/>
      <c r="E73" s="530">
        <v>3</v>
      </c>
      <c r="F73" s="530"/>
      <c r="G73" s="530"/>
      <c r="H73" s="530"/>
      <c r="I73" s="530"/>
      <c r="J73" s="530"/>
      <c r="K73" s="530"/>
      <c r="L73" s="530"/>
      <c r="M73" s="536" t="s">
        <v>331</v>
      </c>
      <c r="N73" s="536"/>
      <c r="O73" s="536" t="s">
        <v>332</v>
      </c>
      <c r="P73" s="536" t="s">
        <v>271</v>
      </c>
      <c r="Q73" s="536"/>
      <c r="R73" s="536"/>
      <c r="S73" s="536"/>
      <c r="T73" s="536" t="s">
        <v>225</v>
      </c>
      <c r="U73" s="536" t="s">
        <v>64</v>
      </c>
      <c r="V73" s="536" t="s">
        <v>66</v>
      </c>
      <c r="W73" s="536" t="s">
        <v>69</v>
      </c>
      <c r="X73" s="536" t="s">
        <v>68</v>
      </c>
      <c r="Y73" s="536" t="s">
        <v>149</v>
      </c>
      <c r="Z73" s="536" t="s">
        <v>321</v>
      </c>
      <c r="AA73" s="536" t="s">
        <v>64</v>
      </c>
      <c r="AB73" s="536" t="s">
        <v>64</v>
      </c>
      <c r="AC73" s="536">
        <v>0.0587</v>
      </c>
      <c r="AD73" s="536" t="s">
        <v>109</v>
      </c>
      <c r="AE73" s="466" t="s">
        <v>109</v>
      </c>
      <c r="AF73" s="467"/>
      <c r="AG73" s="467"/>
      <c r="AH73" s="467"/>
      <c r="AI73" s="498"/>
      <c r="AJ73" s="499"/>
      <c r="AK73" s="559"/>
      <c r="AL73" s="559">
        <v>0.0146</v>
      </c>
      <c r="AM73" s="568" t="s">
        <v>74</v>
      </c>
      <c r="AN73" s="568" t="s">
        <v>196</v>
      </c>
      <c r="AO73" s="530"/>
      <c r="AP73" s="530"/>
      <c r="AQ73" s="530">
        <v>1</v>
      </c>
      <c r="AR73" s="531">
        <v>1</v>
      </c>
      <c r="AS73" s="530">
        <v>1</v>
      </c>
      <c r="AT73" s="530"/>
      <c r="AU73" s="530"/>
    </row>
    <row r="74" s="359" customFormat="1" ht="45" customHeight="1" spans="1:47">
      <c r="A74" s="386">
        <f t="shared" si="7"/>
        <v>65</v>
      </c>
      <c r="B74" s="530"/>
      <c r="C74" s="530"/>
      <c r="D74" s="530"/>
      <c r="E74" s="530"/>
      <c r="F74" s="530">
        <v>4</v>
      </c>
      <c r="G74" s="530"/>
      <c r="H74" s="530"/>
      <c r="I74" s="530"/>
      <c r="J74" s="530"/>
      <c r="K74" s="530"/>
      <c r="L74" s="530"/>
      <c r="M74" s="536" t="s">
        <v>333</v>
      </c>
      <c r="N74" s="536" t="s">
        <v>333</v>
      </c>
      <c r="O74" s="536" t="s">
        <v>334</v>
      </c>
      <c r="P74" s="536" t="s">
        <v>271</v>
      </c>
      <c r="Q74" s="536"/>
      <c r="R74" s="536"/>
      <c r="S74" s="536"/>
      <c r="T74" s="536" t="s">
        <v>225</v>
      </c>
      <c r="U74" s="536" t="s">
        <v>64</v>
      </c>
      <c r="V74" s="536" t="s">
        <v>66</v>
      </c>
      <c r="W74" s="536" t="s">
        <v>69</v>
      </c>
      <c r="X74" s="536" t="s">
        <v>68</v>
      </c>
      <c r="Y74" s="536" t="s">
        <v>149</v>
      </c>
      <c r="Z74" s="536" t="s">
        <v>321</v>
      </c>
      <c r="AA74" s="536" t="s">
        <v>64</v>
      </c>
      <c r="AB74" s="536" t="s">
        <v>64</v>
      </c>
      <c r="AC74" s="536">
        <v>0.0587</v>
      </c>
      <c r="AD74" s="536" t="s">
        <v>109</v>
      </c>
      <c r="AE74" s="466" t="s">
        <v>153</v>
      </c>
      <c r="AF74" s="467">
        <f>AC74/0.2219*1000</f>
        <v>264.533573681839</v>
      </c>
      <c r="AG74" s="467">
        <v>8</v>
      </c>
      <c r="AH74" s="467"/>
      <c r="AI74" s="498">
        <f>AF74*0.2219/1000</f>
        <v>0.0587</v>
      </c>
      <c r="AJ74" s="499">
        <f>AC74/AI74</f>
        <v>1</v>
      </c>
      <c r="AK74" s="559"/>
      <c r="AL74" s="559"/>
      <c r="AM74" s="568" t="s">
        <v>100</v>
      </c>
      <c r="AN74" s="568" t="s">
        <v>273</v>
      </c>
      <c r="AO74" s="530"/>
      <c r="AP74" s="530"/>
      <c r="AQ74" s="530">
        <v>1</v>
      </c>
      <c r="AR74" s="531">
        <v>1</v>
      </c>
      <c r="AS74" s="530">
        <v>1</v>
      </c>
      <c r="AT74" s="530">
        <v>1</v>
      </c>
      <c r="AU74" s="530">
        <v>1</v>
      </c>
    </row>
    <row r="75" s="357" customFormat="1" ht="45" customHeight="1" spans="1:47">
      <c r="A75" s="386">
        <f t="shared" si="7"/>
        <v>66</v>
      </c>
      <c r="B75" s="395"/>
      <c r="C75" s="395"/>
      <c r="D75" s="395"/>
      <c r="E75" s="395">
        <v>3</v>
      </c>
      <c r="F75" s="395"/>
      <c r="G75" s="395"/>
      <c r="H75" s="395"/>
      <c r="I75" s="395"/>
      <c r="J75" s="395"/>
      <c r="K75" s="395"/>
      <c r="L75" s="395" t="s">
        <v>87</v>
      </c>
      <c r="M75" s="413" t="s">
        <v>335</v>
      </c>
      <c r="N75" s="413" t="s">
        <v>336</v>
      </c>
      <c r="O75" s="413" t="s">
        <v>337</v>
      </c>
      <c r="P75" s="395" t="s">
        <v>280</v>
      </c>
      <c r="Q75" s="395"/>
      <c r="R75" s="387" t="s">
        <v>67</v>
      </c>
      <c r="S75" s="395"/>
      <c r="T75" s="395" t="s">
        <v>66</v>
      </c>
      <c r="U75" s="395" t="s">
        <v>64</v>
      </c>
      <c r="V75" s="395" t="s">
        <v>66</v>
      </c>
      <c r="W75" s="395" t="s">
        <v>69</v>
      </c>
      <c r="X75" s="395" t="s">
        <v>68</v>
      </c>
      <c r="Y75" s="395" t="s">
        <v>230</v>
      </c>
      <c r="Z75" s="395" t="s">
        <v>338</v>
      </c>
      <c r="AA75" s="395" t="s">
        <v>64</v>
      </c>
      <c r="AB75" s="395" t="s">
        <v>339</v>
      </c>
      <c r="AC75" s="395">
        <v>0.4134</v>
      </c>
      <c r="AD75" s="395" t="s">
        <v>64</v>
      </c>
      <c r="AE75" s="475" t="s">
        <v>233</v>
      </c>
      <c r="AF75" s="476">
        <f>AC75/1.134*1000+10</f>
        <v>374.550264550265</v>
      </c>
      <c r="AG75" s="476">
        <v>25</v>
      </c>
      <c r="AH75" s="476">
        <v>2</v>
      </c>
      <c r="AI75" s="508">
        <f>AF75*1.134/1000</f>
        <v>0.42474</v>
      </c>
      <c r="AJ75" s="509">
        <f>AC75/AI75</f>
        <v>0.973301313744879</v>
      </c>
      <c r="AK75" s="477"/>
      <c r="AL75" s="477"/>
      <c r="AM75" s="510" t="s">
        <v>74</v>
      </c>
      <c r="AN75" s="510" t="s">
        <v>234</v>
      </c>
      <c r="AO75" s="395"/>
      <c r="AP75" s="395"/>
      <c r="AQ75" s="395">
        <v>1</v>
      </c>
      <c r="AR75" s="420">
        <v>1</v>
      </c>
      <c r="AS75" s="395">
        <v>1</v>
      </c>
      <c r="AT75" s="395">
        <v>1</v>
      </c>
      <c r="AU75" s="395">
        <v>1</v>
      </c>
    </row>
    <row r="76" s="357" customFormat="1" ht="45" customHeight="1" spans="1:47">
      <c r="A76" s="386">
        <f t="shared" si="7"/>
        <v>67</v>
      </c>
      <c r="B76" s="395"/>
      <c r="C76" s="395"/>
      <c r="D76" s="395"/>
      <c r="E76" s="395">
        <v>3</v>
      </c>
      <c r="F76" s="395"/>
      <c r="G76" s="395"/>
      <c r="H76" s="395"/>
      <c r="I76" s="395"/>
      <c r="J76" s="395"/>
      <c r="K76" s="395"/>
      <c r="L76" s="395" t="s">
        <v>87</v>
      </c>
      <c r="M76" s="413" t="s">
        <v>340</v>
      </c>
      <c r="N76" s="413" t="s">
        <v>341</v>
      </c>
      <c r="O76" s="413" t="s">
        <v>342</v>
      </c>
      <c r="P76" s="395" t="s">
        <v>271</v>
      </c>
      <c r="Q76" s="395"/>
      <c r="R76" s="387" t="s">
        <v>67</v>
      </c>
      <c r="S76" s="395"/>
      <c r="T76" s="395" t="s">
        <v>225</v>
      </c>
      <c r="U76" s="395" t="s">
        <v>64</v>
      </c>
      <c r="V76" s="395" t="s">
        <v>66</v>
      </c>
      <c r="W76" s="395" t="s">
        <v>69</v>
      </c>
      <c r="X76" s="395" t="s">
        <v>69</v>
      </c>
      <c r="Y76" s="395" t="s">
        <v>271</v>
      </c>
      <c r="Z76" s="395" t="s">
        <v>71</v>
      </c>
      <c r="AA76" s="395" t="s">
        <v>64</v>
      </c>
      <c r="AB76" s="395" t="s">
        <v>343</v>
      </c>
      <c r="AC76" s="395">
        <v>0.0658</v>
      </c>
      <c r="AD76" s="395" t="s">
        <v>64</v>
      </c>
      <c r="AE76" s="457" t="s">
        <v>110</v>
      </c>
      <c r="AF76" s="457">
        <f>265+6</f>
        <v>271</v>
      </c>
      <c r="AG76" s="457">
        <f>15+2.5</f>
        <v>17.5</v>
      </c>
      <c r="AH76" s="490" t="s">
        <v>241</v>
      </c>
      <c r="AI76" s="492">
        <f>AF76*AG76*AH76*7860/1000000000</f>
        <v>0.0745521</v>
      </c>
      <c r="AJ76" s="489">
        <f>AC76/AI76</f>
        <v>0.882604245889787</v>
      </c>
      <c r="AK76" s="477"/>
      <c r="AL76" s="477"/>
      <c r="AM76" s="510" t="s">
        <v>74</v>
      </c>
      <c r="AN76" s="510" t="s">
        <v>242</v>
      </c>
      <c r="AO76" s="395"/>
      <c r="AP76" s="395"/>
      <c r="AQ76" s="395">
        <v>3</v>
      </c>
      <c r="AR76" s="420">
        <v>3</v>
      </c>
      <c r="AS76" s="395">
        <v>3</v>
      </c>
      <c r="AT76" s="395">
        <v>3</v>
      </c>
      <c r="AU76" s="395">
        <v>3</v>
      </c>
    </row>
    <row r="77" s="360" customFormat="1" ht="45" customHeight="1" spans="1:47">
      <c r="A77" s="386">
        <f t="shared" si="7"/>
        <v>68</v>
      </c>
      <c r="B77" s="309"/>
      <c r="C77" s="251">
        <v>1</v>
      </c>
      <c r="D77" s="251"/>
      <c r="E77" s="251"/>
      <c r="F77" s="383"/>
      <c r="G77" s="532"/>
      <c r="H77" s="532"/>
      <c r="I77" s="532"/>
      <c r="J77" s="532"/>
      <c r="K77" s="532"/>
      <c r="L77" s="251" t="s">
        <v>197</v>
      </c>
      <c r="M77" s="251" t="s">
        <v>344</v>
      </c>
      <c r="N77" s="536" t="s">
        <v>344</v>
      </c>
      <c r="O77" s="536" t="s">
        <v>345</v>
      </c>
      <c r="P77" s="121" t="s">
        <v>346</v>
      </c>
      <c r="Q77" s="121" t="s">
        <v>225</v>
      </c>
      <c r="R77" s="251" t="s">
        <v>67</v>
      </c>
      <c r="S77" s="415"/>
      <c r="T77" s="548" t="s">
        <v>66</v>
      </c>
      <c r="U77" s="415" t="s">
        <v>344</v>
      </c>
      <c r="V77" s="383" t="s">
        <v>66</v>
      </c>
      <c r="W77" s="309" t="s">
        <v>69</v>
      </c>
      <c r="X77" s="549" t="s">
        <v>68</v>
      </c>
      <c r="Y77" s="120" t="s">
        <v>71</v>
      </c>
      <c r="Z77" s="413" t="s">
        <v>71</v>
      </c>
      <c r="AA77" s="383" t="s">
        <v>64</v>
      </c>
      <c r="AB77" s="121" t="s">
        <v>347</v>
      </c>
      <c r="AC77" s="555">
        <v>0.4721</v>
      </c>
      <c r="AD77" s="537" t="s">
        <v>64</v>
      </c>
      <c r="AE77" s="506"/>
      <c r="AF77" s="506"/>
      <c r="AG77" s="506"/>
      <c r="AH77" s="490"/>
      <c r="AI77" s="490"/>
      <c r="AJ77" s="490"/>
      <c r="AK77" s="490"/>
      <c r="AL77" s="493"/>
      <c r="AM77" s="487" t="s">
        <v>100</v>
      </c>
      <c r="AN77" s="569" t="s">
        <v>348</v>
      </c>
      <c r="AO77" s="309"/>
      <c r="AP77" s="383"/>
      <c r="AQ77" s="383">
        <v>1</v>
      </c>
      <c r="AR77" s="579">
        <v>1</v>
      </c>
      <c r="AS77" s="383">
        <v>1</v>
      </c>
      <c r="AT77" s="383">
        <v>1</v>
      </c>
      <c r="AU77" s="383">
        <v>1</v>
      </c>
    </row>
    <row r="78" s="361" customFormat="1" ht="45" customHeight="1" spans="1:47">
      <c r="A78" s="386">
        <f t="shared" si="7"/>
        <v>69</v>
      </c>
      <c r="B78" s="533"/>
      <c r="C78" s="421">
        <v>1</v>
      </c>
      <c r="D78" s="421"/>
      <c r="E78" s="421"/>
      <c r="F78" s="534"/>
      <c r="G78" s="535"/>
      <c r="H78" s="535"/>
      <c r="I78" s="535"/>
      <c r="J78" s="535"/>
      <c r="K78" s="535"/>
      <c r="L78" s="421" t="s">
        <v>197</v>
      </c>
      <c r="M78" s="421" t="s">
        <v>349</v>
      </c>
      <c r="N78" s="536" t="s">
        <v>349</v>
      </c>
      <c r="O78" s="536" t="s">
        <v>350</v>
      </c>
      <c r="P78" s="538" t="s">
        <v>351</v>
      </c>
      <c r="Q78" s="538"/>
      <c r="R78" s="421" t="s">
        <v>67</v>
      </c>
      <c r="S78" s="422" t="s">
        <v>64</v>
      </c>
      <c r="T78" s="550" t="s">
        <v>66</v>
      </c>
      <c r="U78" s="422" t="s">
        <v>352</v>
      </c>
      <c r="V78" s="534" t="s">
        <v>66</v>
      </c>
      <c r="W78" s="533" t="s">
        <v>69</v>
      </c>
      <c r="X78" s="551" t="s">
        <v>68</v>
      </c>
      <c r="Y78" s="424" t="s">
        <v>64</v>
      </c>
      <c r="Z78" s="538" t="s">
        <v>64</v>
      </c>
      <c r="AA78" s="534" t="s">
        <v>64</v>
      </c>
      <c r="AB78" s="538" t="s">
        <v>64</v>
      </c>
      <c r="AC78" s="556" t="s">
        <v>64</v>
      </c>
      <c r="AD78" s="557" t="s">
        <v>64</v>
      </c>
      <c r="AE78" s="558"/>
      <c r="AF78" s="558"/>
      <c r="AG78" s="558"/>
      <c r="AH78" s="504"/>
      <c r="AI78" s="504"/>
      <c r="AJ78" s="504"/>
      <c r="AK78" s="504"/>
      <c r="AL78" s="505"/>
      <c r="AM78" s="502" t="s">
        <v>100</v>
      </c>
      <c r="AN78" s="570" t="s">
        <v>174</v>
      </c>
      <c r="AO78" s="533"/>
      <c r="AP78" s="534"/>
      <c r="AQ78" s="534">
        <v>1</v>
      </c>
      <c r="AR78" s="580">
        <v>0</v>
      </c>
      <c r="AS78" s="534">
        <v>0</v>
      </c>
      <c r="AT78" s="534">
        <v>0</v>
      </c>
      <c r="AU78" s="534">
        <v>1</v>
      </c>
    </row>
    <row r="79" s="362" customFormat="1" ht="45" customHeight="1" spans="1:47">
      <c r="A79" s="386">
        <f t="shared" si="7"/>
        <v>70</v>
      </c>
      <c r="B79" s="62"/>
      <c r="C79" s="421">
        <v>1</v>
      </c>
      <c r="D79" s="536"/>
      <c r="E79" s="535"/>
      <c r="F79" s="62"/>
      <c r="G79" s="62"/>
      <c r="H79" s="62"/>
      <c r="I79" s="62"/>
      <c r="J79" s="62"/>
      <c r="K79" s="62"/>
      <c r="L79" s="421" t="s">
        <v>197</v>
      </c>
      <c r="M79" s="421" t="s">
        <v>353</v>
      </c>
      <c r="N79" s="536" t="s">
        <v>353</v>
      </c>
      <c r="O79" s="536" t="s">
        <v>354</v>
      </c>
      <c r="P79" s="536" t="s">
        <v>351</v>
      </c>
      <c r="Q79" s="536"/>
      <c r="R79" s="421" t="s">
        <v>67</v>
      </c>
      <c r="S79" s="536"/>
      <c r="T79" s="550" t="s">
        <v>66</v>
      </c>
      <c r="U79" s="536" t="s">
        <v>352</v>
      </c>
      <c r="V79" s="536" t="s">
        <v>66</v>
      </c>
      <c r="W79" s="533" t="s">
        <v>69</v>
      </c>
      <c r="X79" s="551" t="s">
        <v>68</v>
      </c>
      <c r="Y79" s="536" t="s">
        <v>64</v>
      </c>
      <c r="Z79" s="536" t="s">
        <v>71</v>
      </c>
      <c r="AA79" s="534" t="s">
        <v>64</v>
      </c>
      <c r="AB79" s="538" t="s">
        <v>64</v>
      </c>
      <c r="AC79" s="556" t="s">
        <v>64</v>
      </c>
      <c r="AD79" s="536" t="s">
        <v>64</v>
      </c>
      <c r="AE79" s="559"/>
      <c r="AF79" s="559"/>
      <c r="AG79" s="559"/>
      <c r="AH79" s="559"/>
      <c r="AI79" s="559"/>
      <c r="AJ79" s="559"/>
      <c r="AK79" s="559"/>
      <c r="AL79" s="559"/>
      <c r="AM79" s="568" t="s">
        <v>100</v>
      </c>
      <c r="AN79" s="568" t="s">
        <v>174</v>
      </c>
      <c r="AO79" s="536"/>
      <c r="AP79" s="536"/>
      <c r="AQ79" s="536">
        <v>1</v>
      </c>
      <c r="AR79" s="531">
        <v>0</v>
      </c>
      <c r="AS79" s="536">
        <v>0</v>
      </c>
      <c r="AT79" s="536">
        <v>0</v>
      </c>
      <c r="AU79" s="536">
        <v>1</v>
      </c>
    </row>
    <row r="80" ht="45" customHeight="1" spans="1:47">
      <c r="A80" s="386">
        <f t="shared" si="7"/>
        <v>71</v>
      </c>
      <c r="B80" s="517"/>
      <c r="C80" s="251">
        <v>1</v>
      </c>
      <c r="D80" s="413"/>
      <c r="E80" s="517"/>
      <c r="F80" s="517"/>
      <c r="G80" s="517"/>
      <c r="H80" s="517"/>
      <c r="I80" s="517"/>
      <c r="J80" s="517"/>
      <c r="K80" s="517"/>
      <c r="L80" s="251"/>
      <c r="M80" s="251" t="s">
        <v>355</v>
      </c>
      <c r="N80" s="413" t="s">
        <v>355</v>
      </c>
      <c r="O80" s="413" t="s">
        <v>356</v>
      </c>
      <c r="P80" s="413" t="s">
        <v>351</v>
      </c>
      <c r="Q80" s="413"/>
      <c r="R80" s="251" t="s">
        <v>67</v>
      </c>
      <c r="S80" s="413"/>
      <c r="T80" s="548" t="s">
        <v>66</v>
      </c>
      <c r="U80" s="413" t="s">
        <v>355</v>
      </c>
      <c r="V80" s="413" t="s">
        <v>66</v>
      </c>
      <c r="W80" s="309" t="s">
        <v>68</v>
      </c>
      <c r="X80" s="549" t="s">
        <v>69</v>
      </c>
      <c r="Y80" s="413" t="s">
        <v>64</v>
      </c>
      <c r="Z80" s="413" t="s">
        <v>71</v>
      </c>
      <c r="AA80" s="383" t="s">
        <v>64</v>
      </c>
      <c r="AB80" s="121" t="s">
        <v>64</v>
      </c>
      <c r="AC80" s="555" t="s">
        <v>64</v>
      </c>
      <c r="AD80" s="413" t="s">
        <v>64</v>
      </c>
      <c r="AE80" s="477"/>
      <c r="AF80" s="477"/>
      <c r="AG80" s="477"/>
      <c r="AH80" s="477"/>
      <c r="AI80" s="477"/>
      <c r="AJ80" s="477"/>
      <c r="AK80" s="477"/>
      <c r="AL80" s="477"/>
      <c r="AM80" s="510" t="s">
        <v>100</v>
      </c>
      <c r="AN80" s="510" t="s">
        <v>357</v>
      </c>
      <c r="AO80" s="413"/>
      <c r="AP80" s="413"/>
      <c r="AQ80" s="413">
        <v>1</v>
      </c>
      <c r="AR80" s="420">
        <v>1</v>
      </c>
      <c r="AS80" s="413">
        <v>1</v>
      </c>
      <c r="AT80" s="413">
        <v>1</v>
      </c>
      <c r="AU80" s="413">
        <v>1</v>
      </c>
    </row>
    <row r="81" ht="45" customHeight="1" spans="1:47">
      <c r="A81" s="386">
        <f t="shared" ref="A81:A90" si="8">ROW()-9</f>
        <v>72</v>
      </c>
      <c r="B81" s="517"/>
      <c r="C81" s="251">
        <v>1</v>
      </c>
      <c r="D81" s="413"/>
      <c r="E81" s="517"/>
      <c r="F81" s="413"/>
      <c r="G81" s="413"/>
      <c r="H81" s="413"/>
      <c r="I81" s="413"/>
      <c r="J81" s="413"/>
      <c r="K81" s="413"/>
      <c r="L81" s="251" t="s">
        <v>197</v>
      </c>
      <c r="M81" s="251" t="s">
        <v>358</v>
      </c>
      <c r="N81" s="413" t="s">
        <v>358</v>
      </c>
      <c r="O81" s="413" t="s">
        <v>359</v>
      </c>
      <c r="P81" s="413" t="s">
        <v>360</v>
      </c>
      <c r="Q81" s="413"/>
      <c r="R81" s="251" t="s">
        <v>67</v>
      </c>
      <c r="S81" s="413"/>
      <c r="T81" s="413" t="s">
        <v>66</v>
      </c>
      <c r="U81" s="413" t="s">
        <v>358</v>
      </c>
      <c r="V81" s="413" t="s">
        <v>66</v>
      </c>
      <c r="W81" s="309" t="s">
        <v>69</v>
      </c>
      <c r="X81" s="549" t="s">
        <v>68</v>
      </c>
      <c r="Y81" s="413" t="s">
        <v>360</v>
      </c>
      <c r="Z81" s="413" t="s">
        <v>71</v>
      </c>
      <c r="AA81" s="383" t="s">
        <v>64</v>
      </c>
      <c r="AB81" s="413" t="s">
        <v>361</v>
      </c>
      <c r="AC81" s="413">
        <v>0.046</v>
      </c>
      <c r="AD81" s="413" t="s">
        <v>64</v>
      </c>
      <c r="AE81" s="477"/>
      <c r="AF81" s="477"/>
      <c r="AG81" s="477"/>
      <c r="AH81" s="477"/>
      <c r="AI81" s="477"/>
      <c r="AJ81" s="477"/>
      <c r="AK81" s="477"/>
      <c r="AL81" s="477"/>
      <c r="AM81" s="510" t="s">
        <v>100</v>
      </c>
      <c r="AN81" s="510" t="s">
        <v>362</v>
      </c>
      <c r="AO81" s="413"/>
      <c r="AP81" s="413"/>
      <c r="AQ81" s="413">
        <v>1</v>
      </c>
      <c r="AR81" s="420">
        <v>0</v>
      </c>
      <c r="AS81" s="413">
        <v>0</v>
      </c>
      <c r="AT81" s="413">
        <v>1</v>
      </c>
      <c r="AU81" s="413">
        <v>1</v>
      </c>
    </row>
    <row r="82" ht="45" customHeight="1" spans="1:47">
      <c r="A82" s="386">
        <f t="shared" si="8"/>
        <v>73</v>
      </c>
      <c r="B82" s="517"/>
      <c r="C82" s="251">
        <v>1</v>
      </c>
      <c r="D82" s="413"/>
      <c r="E82" s="413"/>
      <c r="F82" s="413"/>
      <c r="G82" s="413"/>
      <c r="H82" s="413"/>
      <c r="I82" s="413"/>
      <c r="J82" s="413"/>
      <c r="K82" s="413"/>
      <c r="L82" s="251" t="s">
        <v>197</v>
      </c>
      <c r="M82" s="251" t="s">
        <v>363</v>
      </c>
      <c r="N82" s="413" t="s">
        <v>363</v>
      </c>
      <c r="O82" s="413" t="s">
        <v>364</v>
      </c>
      <c r="P82" s="413" t="s">
        <v>365</v>
      </c>
      <c r="Q82" s="413"/>
      <c r="R82" s="251" t="s">
        <v>67</v>
      </c>
      <c r="S82" s="413"/>
      <c r="T82" s="413" t="s">
        <v>66</v>
      </c>
      <c r="U82" s="413" t="s">
        <v>363</v>
      </c>
      <c r="V82" s="413" t="s">
        <v>66</v>
      </c>
      <c r="W82" s="309" t="s">
        <v>69</v>
      </c>
      <c r="X82" s="549" t="s">
        <v>68</v>
      </c>
      <c r="Y82" s="413" t="s">
        <v>360</v>
      </c>
      <c r="Z82" s="413" t="s">
        <v>71</v>
      </c>
      <c r="AA82" s="383" t="s">
        <v>64</v>
      </c>
      <c r="AB82" s="383" t="s">
        <v>64</v>
      </c>
      <c r="AC82" s="413">
        <v>0.103</v>
      </c>
      <c r="AD82" s="413" t="s">
        <v>64</v>
      </c>
      <c r="AE82" s="477"/>
      <c r="AF82" s="477"/>
      <c r="AG82" s="477"/>
      <c r="AH82" s="477"/>
      <c r="AI82" s="477"/>
      <c r="AJ82" s="477"/>
      <c r="AK82" s="477"/>
      <c r="AL82" s="477"/>
      <c r="AM82" s="510" t="s">
        <v>100</v>
      </c>
      <c r="AN82" s="510" t="s">
        <v>362</v>
      </c>
      <c r="AO82" s="413"/>
      <c r="AP82" s="413"/>
      <c r="AQ82" s="413">
        <v>1</v>
      </c>
      <c r="AR82" s="420">
        <v>0</v>
      </c>
      <c r="AS82" s="413">
        <v>0</v>
      </c>
      <c r="AT82" s="413">
        <v>0</v>
      </c>
      <c r="AU82" s="413">
        <v>1</v>
      </c>
    </row>
    <row r="83" ht="45" customHeight="1" spans="1:47">
      <c r="A83" s="386">
        <f t="shared" si="8"/>
        <v>74</v>
      </c>
      <c r="B83" s="517"/>
      <c r="C83" s="251">
        <v>1</v>
      </c>
      <c r="D83" s="413"/>
      <c r="E83" s="413"/>
      <c r="F83" s="413"/>
      <c r="G83" s="413"/>
      <c r="H83" s="413"/>
      <c r="I83" s="413"/>
      <c r="J83" s="413"/>
      <c r="K83" s="413"/>
      <c r="L83" s="251"/>
      <c r="M83" s="251" t="s">
        <v>366</v>
      </c>
      <c r="N83" s="413" t="s">
        <v>366</v>
      </c>
      <c r="O83" s="413" t="s">
        <v>367</v>
      </c>
      <c r="P83" s="413"/>
      <c r="Q83" s="413" t="s">
        <v>66</v>
      </c>
      <c r="R83" s="251" t="s">
        <v>368</v>
      </c>
      <c r="S83" s="413"/>
      <c r="T83" s="413" t="s">
        <v>66</v>
      </c>
      <c r="U83" s="413" t="s">
        <v>366</v>
      </c>
      <c r="V83" s="413" t="s">
        <v>66</v>
      </c>
      <c r="W83" s="309" t="s">
        <v>69</v>
      </c>
      <c r="X83" s="549" t="s">
        <v>68</v>
      </c>
      <c r="Y83" s="413" t="s">
        <v>94</v>
      </c>
      <c r="Z83" s="413" t="s">
        <v>369</v>
      </c>
      <c r="AA83" s="383" t="s">
        <v>64</v>
      </c>
      <c r="AB83" s="383" t="s">
        <v>370</v>
      </c>
      <c r="AC83" s="413">
        <v>0.015</v>
      </c>
      <c r="AD83" s="413" t="s">
        <v>64</v>
      </c>
      <c r="AE83" s="477"/>
      <c r="AF83" s="477"/>
      <c r="AG83" s="477"/>
      <c r="AH83" s="477"/>
      <c r="AI83" s="477"/>
      <c r="AJ83" s="477"/>
      <c r="AK83" s="477"/>
      <c r="AL83" s="477"/>
      <c r="AM83" s="510" t="s">
        <v>100</v>
      </c>
      <c r="AN83" s="510" t="s">
        <v>371</v>
      </c>
      <c r="AO83" s="413"/>
      <c r="AP83" s="413"/>
      <c r="AQ83" s="413">
        <v>2</v>
      </c>
      <c r="AR83" s="420">
        <v>0</v>
      </c>
      <c r="AS83" s="413">
        <v>0</v>
      </c>
      <c r="AT83" s="413">
        <v>0</v>
      </c>
      <c r="AU83" s="413">
        <v>2</v>
      </c>
    </row>
    <row r="84" ht="45" customHeight="1" spans="1:47">
      <c r="A84" s="386">
        <f t="shared" si="8"/>
        <v>75</v>
      </c>
      <c r="B84" s="517"/>
      <c r="C84" s="251">
        <v>1</v>
      </c>
      <c r="D84" s="413"/>
      <c r="E84" s="413"/>
      <c r="F84" s="413"/>
      <c r="G84" s="413"/>
      <c r="H84" s="413"/>
      <c r="I84" s="413"/>
      <c r="J84" s="413"/>
      <c r="K84" s="413"/>
      <c r="L84" s="251"/>
      <c r="M84" s="415" t="s">
        <v>372</v>
      </c>
      <c r="N84" s="415" t="s">
        <v>372</v>
      </c>
      <c r="O84" s="415" t="s">
        <v>373</v>
      </c>
      <c r="P84" s="415" t="s">
        <v>360</v>
      </c>
      <c r="Q84" s="413"/>
      <c r="R84" s="251" t="s">
        <v>67</v>
      </c>
      <c r="S84" s="413"/>
      <c r="T84" s="413" t="s">
        <v>66</v>
      </c>
      <c r="U84" s="415" t="s">
        <v>372</v>
      </c>
      <c r="V84" s="413" t="s">
        <v>66</v>
      </c>
      <c r="W84" s="309" t="s">
        <v>68</v>
      </c>
      <c r="X84" s="549" t="s">
        <v>69</v>
      </c>
      <c r="Y84" s="413" t="s">
        <v>360</v>
      </c>
      <c r="Z84" s="413" t="s">
        <v>71</v>
      </c>
      <c r="AA84" s="383" t="s">
        <v>64</v>
      </c>
      <c r="AB84" s="383" t="s">
        <v>64</v>
      </c>
      <c r="AC84" s="413">
        <v>0.047</v>
      </c>
      <c r="AD84" s="413" t="s">
        <v>64</v>
      </c>
      <c r="AE84" s="477"/>
      <c r="AF84" s="477"/>
      <c r="AG84" s="477"/>
      <c r="AH84" s="477"/>
      <c r="AI84" s="477"/>
      <c r="AJ84" s="477"/>
      <c r="AK84" s="477"/>
      <c r="AL84" s="477"/>
      <c r="AM84" s="510" t="s">
        <v>100</v>
      </c>
      <c r="AN84" s="510" t="s">
        <v>362</v>
      </c>
      <c r="AO84" s="413"/>
      <c r="AP84" s="413"/>
      <c r="AQ84" s="413">
        <v>1</v>
      </c>
      <c r="AR84" s="420">
        <v>0</v>
      </c>
      <c r="AS84" s="413">
        <v>0</v>
      </c>
      <c r="AT84" s="413">
        <v>1</v>
      </c>
      <c r="AU84" s="413">
        <v>0</v>
      </c>
    </row>
    <row r="85" s="356" customFormat="1" ht="45" customHeight="1" spans="1:47">
      <c r="A85" s="386">
        <f t="shared" si="8"/>
        <v>76</v>
      </c>
      <c r="B85" s="389"/>
      <c r="C85" s="387">
        <v>1</v>
      </c>
      <c r="D85" s="526"/>
      <c r="E85" s="395"/>
      <c r="F85" s="387"/>
      <c r="G85" s="388"/>
      <c r="H85" s="388"/>
      <c r="I85" s="388"/>
      <c r="J85" s="388"/>
      <c r="K85" s="388"/>
      <c r="L85" s="387" t="s">
        <v>202</v>
      </c>
      <c r="M85" s="251" t="s">
        <v>374</v>
      </c>
      <c r="N85" s="415" t="s">
        <v>374</v>
      </c>
      <c r="O85" s="415" t="s">
        <v>375</v>
      </c>
      <c r="P85" s="539" t="s">
        <v>91</v>
      </c>
      <c r="Q85" s="454" t="s">
        <v>66</v>
      </c>
      <c r="R85" s="387" t="s">
        <v>67</v>
      </c>
      <c r="S85" s="539"/>
      <c r="T85" s="435" t="s">
        <v>66</v>
      </c>
      <c r="U85" s="526" t="str">
        <f>N85</f>
        <v>SHT0011613</v>
      </c>
      <c r="V85" s="539" t="s">
        <v>66</v>
      </c>
      <c r="W85" s="389" t="s">
        <v>69</v>
      </c>
      <c r="X85" s="436" t="s">
        <v>68</v>
      </c>
      <c r="Y85" s="539" t="s">
        <v>70</v>
      </c>
      <c r="Z85" s="539" t="s">
        <v>71</v>
      </c>
      <c r="AA85" s="526" t="s">
        <v>64</v>
      </c>
      <c r="AB85" s="526" t="s">
        <v>376</v>
      </c>
      <c r="AC85" s="560"/>
      <c r="AD85" s="416" t="s">
        <v>64</v>
      </c>
      <c r="AE85" s="457"/>
      <c r="AF85" s="457"/>
      <c r="AG85" s="457"/>
      <c r="AH85" s="490"/>
      <c r="AI85" s="490"/>
      <c r="AJ85" s="490"/>
      <c r="AK85" s="490"/>
      <c r="AL85" s="493"/>
      <c r="AM85" s="487" t="s">
        <v>74</v>
      </c>
      <c r="AN85" s="494" t="s">
        <v>377</v>
      </c>
      <c r="AO85" s="389"/>
      <c r="AP85" s="526"/>
      <c r="AQ85" s="395">
        <v>1</v>
      </c>
      <c r="AR85" s="420">
        <v>1</v>
      </c>
      <c r="AS85" s="395">
        <v>1</v>
      </c>
      <c r="AT85" s="526">
        <v>1</v>
      </c>
      <c r="AU85" s="526">
        <v>1</v>
      </c>
    </row>
    <row r="86" s="356" customFormat="1" ht="45" customHeight="1" spans="1:47">
      <c r="A86" s="386">
        <f t="shared" si="8"/>
        <v>77</v>
      </c>
      <c r="B86" s="389"/>
      <c r="C86" s="387">
        <v>1</v>
      </c>
      <c r="D86" s="526"/>
      <c r="E86" s="387"/>
      <c r="F86" s="387"/>
      <c r="G86" s="388"/>
      <c r="H86" s="388"/>
      <c r="I86" s="388"/>
      <c r="J86" s="388"/>
      <c r="K86" s="388"/>
      <c r="L86" s="387" t="s">
        <v>202</v>
      </c>
      <c r="M86" s="251" t="s">
        <v>378</v>
      </c>
      <c r="N86" s="540" t="s">
        <v>378</v>
      </c>
      <c r="O86" s="541" t="s">
        <v>379</v>
      </c>
      <c r="P86" s="539" t="s">
        <v>199</v>
      </c>
      <c r="Q86" s="454"/>
      <c r="R86" s="387" t="s">
        <v>67</v>
      </c>
      <c r="S86" s="552"/>
      <c r="T86" s="435" t="s">
        <v>66</v>
      </c>
      <c r="U86" s="526" t="str">
        <f>N86</f>
        <v>BFA0010014</v>
      </c>
      <c r="V86" s="526" t="s">
        <v>66</v>
      </c>
      <c r="W86" s="389" t="s">
        <v>69</v>
      </c>
      <c r="X86" s="436" t="s">
        <v>68</v>
      </c>
      <c r="Y86" s="561" t="s">
        <v>380</v>
      </c>
      <c r="Z86" s="562" t="s">
        <v>381</v>
      </c>
      <c r="AA86" s="526" t="s">
        <v>64</v>
      </c>
      <c r="AB86" s="562" t="s">
        <v>382</v>
      </c>
      <c r="AC86" s="560">
        <v>0.0507</v>
      </c>
      <c r="AD86" s="416" t="s">
        <v>64</v>
      </c>
      <c r="AE86" s="457" t="s">
        <v>383</v>
      </c>
      <c r="AF86" s="457"/>
      <c r="AG86" s="457"/>
      <c r="AH86" s="490"/>
      <c r="AI86" s="490"/>
      <c r="AJ86" s="490"/>
      <c r="AK86" s="490"/>
      <c r="AL86" s="493"/>
      <c r="AM86" s="487" t="s">
        <v>100</v>
      </c>
      <c r="AN86" s="503" t="s">
        <v>384</v>
      </c>
      <c r="AO86" s="389"/>
      <c r="AP86" s="526"/>
      <c r="AQ86" s="395">
        <v>1</v>
      </c>
      <c r="AR86" s="420">
        <v>1</v>
      </c>
      <c r="AS86" s="395">
        <v>1</v>
      </c>
      <c r="AT86" s="526">
        <v>1</v>
      </c>
      <c r="AU86" s="526">
        <v>1</v>
      </c>
    </row>
    <row r="87" s="356" customFormat="1" ht="45" customHeight="1" spans="1:47">
      <c r="A87" s="386">
        <f t="shared" si="8"/>
        <v>78</v>
      </c>
      <c r="B87" s="389"/>
      <c r="C87" s="387">
        <v>1</v>
      </c>
      <c r="D87" s="526"/>
      <c r="E87" s="387"/>
      <c r="F87" s="387"/>
      <c r="G87" s="388"/>
      <c r="H87" s="388"/>
      <c r="I87" s="388"/>
      <c r="J87" s="388"/>
      <c r="K87" s="388"/>
      <c r="L87" s="387" t="s">
        <v>202</v>
      </c>
      <c r="M87" s="251" t="s">
        <v>385</v>
      </c>
      <c r="N87" s="542" t="s">
        <v>386</v>
      </c>
      <c r="O87" s="541" t="s">
        <v>387</v>
      </c>
      <c r="P87" s="539" t="s">
        <v>199</v>
      </c>
      <c r="Q87" s="454"/>
      <c r="R87" s="387" t="s">
        <v>67</v>
      </c>
      <c r="S87" s="552"/>
      <c r="T87" s="435" t="s">
        <v>66</v>
      </c>
      <c r="U87" s="526" t="str">
        <f>N87</f>
        <v>SHT0011330</v>
      </c>
      <c r="V87" s="526" t="s">
        <v>66</v>
      </c>
      <c r="W87" s="389" t="s">
        <v>69</v>
      </c>
      <c r="X87" s="436" t="s">
        <v>68</v>
      </c>
      <c r="Y87" s="563" t="s">
        <v>94</v>
      </c>
      <c r="Z87" s="562" t="s">
        <v>388</v>
      </c>
      <c r="AA87" s="526" t="s">
        <v>64</v>
      </c>
      <c r="AB87" s="562" t="s">
        <v>389</v>
      </c>
      <c r="AC87" s="560">
        <v>0.013</v>
      </c>
      <c r="AD87" s="416" t="s">
        <v>64</v>
      </c>
      <c r="AE87" s="457" t="s">
        <v>98</v>
      </c>
      <c r="AF87" s="457" t="s">
        <v>99</v>
      </c>
      <c r="AG87" s="457"/>
      <c r="AH87" s="490"/>
      <c r="AI87" s="492">
        <f>AC87*1.04</f>
        <v>0.01352</v>
      </c>
      <c r="AJ87" s="489">
        <f>AC87/AI87</f>
        <v>0.961538461538462</v>
      </c>
      <c r="AK87" s="490"/>
      <c r="AL87" s="493"/>
      <c r="AM87" s="487" t="s">
        <v>74</v>
      </c>
      <c r="AN87" s="494" t="s">
        <v>390</v>
      </c>
      <c r="AO87" s="389"/>
      <c r="AP87" s="526"/>
      <c r="AQ87" s="395">
        <v>1</v>
      </c>
      <c r="AR87" s="420">
        <v>1</v>
      </c>
      <c r="AS87" s="395">
        <v>1</v>
      </c>
      <c r="AT87" s="526">
        <v>1</v>
      </c>
      <c r="AU87" s="526">
        <v>1</v>
      </c>
    </row>
    <row r="88" s="360" customFormat="1" ht="45" customHeight="1" spans="1:47">
      <c r="A88" s="386">
        <f t="shared" si="8"/>
        <v>79</v>
      </c>
      <c r="B88" s="309"/>
      <c r="C88" s="537">
        <v>1</v>
      </c>
      <c r="D88" s="537"/>
      <c r="E88" s="120"/>
      <c r="F88" s="537"/>
      <c r="G88" s="537"/>
      <c r="H88" s="537"/>
      <c r="I88" s="537"/>
      <c r="J88" s="537"/>
      <c r="K88" s="537"/>
      <c r="L88" s="251" t="s">
        <v>131</v>
      </c>
      <c r="M88" s="251" t="s">
        <v>391</v>
      </c>
      <c r="N88" s="251" t="s">
        <v>391</v>
      </c>
      <c r="O88" s="251" t="s">
        <v>392</v>
      </c>
      <c r="P88" s="251" t="s">
        <v>64</v>
      </c>
      <c r="Q88" s="251"/>
      <c r="R88" s="251" t="s">
        <v>67</v>
      </c>
      <c r="S88" s="251"/>
      <c r="T88" s="251" t="s">
        <v>66</v>
      </c>
      <c r="U88" s="251" t="s">
        <v>64</v>
      </c>
      <c r="V88" s="251" t="s">
        <v>66</v>
      </c>
      <c r="W88" s="251" t="s">
        <v>69</v>
      </c>
      <c r="X88" s="251" t="s">
        <v>393</v>
      </c>
      <c r="Y88" s="251" t="s">
        <v>70</v>
      </c>
      <c r="Z88" s="251" t="s">
        <v>71</v>
      </c>
      <c r="AA88" s="251" t="s">
        <v>64</v>
      </c>
      <c r="AB88" s="251" t="s">
        <v>64</v>
      </c>
      <c r="AC88" s="251" t="s">
        <v>64</v>
      </c>
      <c r="AD88" s="251" t="s">
        <v>64</v>
      </c>
      <c r="AE88" s="455" t="s">
        <v>200</v>
      </c>
      <c r="AF88" s="455"/>
      <c r="AG88" s="455"/>
      <c r="AH88" s="455"/>
      <c r="AI88" s="455"/>
      <c r="AJ88" s="455"/>
      <c r="AK88" s="455"/>
      <c r="AL88" s="455"/>
      <c r="AM88" s="571" t="s">
        <v>74</v>
      </c>
      <c r="AN88" s="571" t="s">
        <v>201</v>
      </c>
      <c r="AO88" s="251"/>
      <c r="AP88" s="251" t="s">
        <v>64</v>
      </c>
      <c r="AQ88" s="251">
        <v>1</v>
      </c>
      <c r="AR88" s="527">
        <v>1</v>
      </c>
      <c r="AS88" s="251">
        <v>1</v>
      </c>
      <c r="AT88" s="251">
        <v>1</v>
      </c>
      <c r="AU88" s="251">
        <v>1</v>
      </c>
    </row>
    <row r="89" s="360" customFormat="1" ht="45" customHeight="1" spans="1:47">
      <c r="A89" s="386">
        <f t="shared" si="8"/>
        <v>80</v>
      </c>
      <c r="B89" s="309"/>
      <c r="C89" s="537"/>
      <c r="D89" s="537">
        <v>2</v>
      </c>
      <c r="E89" s="120"/>
      <c r="F89" s="537"/>
      <c r="G89" s="537"/>
      <c r="H89" s="537"/>
      <c r="I89" s="537"/>
      <c r="J89" s="537"/>
      <c r="K89" s="537"/>
      <c r="L89" s="251" t="s">
        <v>131</v>
      </c>
      <c r="M89" s="543"/>
      <c r="N89" s="421" t="s">
        <v>394</v>
      </c>
      <c r="O89" s="421" t="s">
        <v>395</v>
      </c>
      <c r="P89" s="251" t="s">
        <v>64</v>
      </c>
      <c r="Q89" s="251"/>
      <c r="R89" s="251" t="s">
        <v>67</v>
      </c>
      <c r="S89" s="251"/>
      <c r="T89" s="251" t="s">
        <v>66</v>
      </c>
      <c r="U89" s="251" t="s">
        <v>64</v>
      </c>
      <c r="V89" s="251" t="s">
        <v>66</v>
      </c>
      <c r="W89" s="251" t="s">
        <v>69</v>
      </c>
      <c r="X89" s="251" t="s">
        <v>393</v>
      </c>
      <c r="Y89" s="251" t="s">
        <v>70</v>
      </c>
      <c r="Z89" s="251" t="s">
        <v>71</v>
      </c>
      <c r="AA89" s="251" t="s">
        <v>64</v>
      </c>
      <c r="AB89" s="251" t="s">
        <v>64</v>
      </c>
      <c r="AC89" s="251" t="s">
        <v>64</v>
      </c>
      <c r="AD89" s="251" t="s">
        <v>64</v>
      </c>
      <c r="AE89" s="455"/>
      <c r="AF89" s="455"/>
      <c r="AG89" s="455"/>
      <c r="AH89" s="455"/>
      <c r="AI89" s="455"/>
      <c r="AJ89" s="455"/>
      <c r="AK89" s="455"/>
      <c r="AL89" s="455"/>
      <c r="AM89" s="571" t="s">
        <v>80</v>
      </c>
      <c r="AN89" s="571"/>
      <c r="AO89" s="251"/>
      <c r="AP89" s="251" t="s">
        <v>64</v>
      </c>
      <c r="AQ89" s="251">
        <v>1</v>
      </c>
      <c r="AR89" s="527">
        <v>1</v>
      </c>
      <c r="AS89" s="251">
        <v>1</v>
      </c>
      <c r="AT89" s="251">
        <v>1</v>
      </c>
      <c r="AU89" s="251">
        <v>1</v>
      </c>
    </row>
    <row r="90" s="360" customFormat="1" ht="45" customHeight="1" spans="1:47">
      <c r="A90" s="386">
        <f t="shared" si="8"/>
        <v>81</v>
      </c>
      <c r="B90" s="309"/>
      <c r="C90" s="537"/>
      <c r="D90" s="537"/>
      <c r="E90" s="120">
        <v>3</v>
      </c>
      <c r="F90" s="537"/>
      <c r="G90" s="537"/>
      <c r="H90" s="537"/>
      <c r="I90" s="537"/>
      <c r="J90" s="537"/>
      <c r="K90" s="537"/>
      <c r="L90" s="251" t="s">
        <v>87</v>
      </c>
      <c r="M90" s="421" t="s">
        <v>396</v>
      </c>
      <c r="N90" s="421" t="s">
        <v>397</v>
      </c>
      <c r="O90" s="421" t="s">
        <v>398</v>
      </c>
      <c r="P90" s="251" t="s">
        <v>399</v>
      </c>
      <c r="Q90" s="251"/>
      <c r="R90" s="251" t="s">
        <v>67</v>
      </c>
      <c r="S90" s="251"/>
      <c r="T90" s="251" t="s">
        <v>66</v>
      </c>
      <c r="U90" s="251" t="s">
        <v>64</v>
      </c>
      <c r="V90" s="251" t="s">
        <v>66</v>
      </c>
      <c r="W90" s="251" t="s">
        <v>69</v>
      </c>
      <c r="X90" s="251" t="s">
        <v>393</v>
      </c>
      <c r="Y90" s="251" t="s">
        <v>400</v>
      </c>
      <c r="Z90" s="251" t="s">
        <v>71</v>
      </c>
      <c r="AA90" s="251" t="s">
        <v>64</v>
      </c>
      <c r="AB90" s="251" t="s">
        <v>401</v>
      </c>
      <c r="AC90" s="251" t="s">
        <v>64</v>
      </c>
      <c r="AD90" s="251" t="s">
        <v>64</v>
      </c>
      <c r="AE90" s="455"/>
      <c r="AF90" s="455"/>
      <c r="AG90" s="455"/>
      <c r="AH90" s="455"/>
      <c r="AI90" s="455"/>
      <c r="AJ90" s="455"/>
      <c r="AK90" s="455"/>
      <c r="AL90" s="455"/>
      <c r="AM90" s="571" t="s">
        <v>100</v>
      </c>
      <c r="AN90" s="571" t="s">
        <v>402</v>
      </c>
      <c r="AO90" s="251"/>
      <c r="AP90" s="251"/>
      <c r="AQ90" s="251">
        <v>1</v>
      </c>
      <c r="AR90" s="527">
        <v>1</v>
      </c>
      <c r="AS90" s="251">
        <v>1</v>
      </c>
      <c r="AT90" s="251">
        <v>1</v>
      </c>
      <c r="AU90" s="251">
        <v>1</v>
      </c>
    </row>
    <row r="91" s="360" customFormat="1" ht="45" customHeight="1" spans="1:44">
      <c r="A91" s="386">
        <f t="shared" ref="A91:A100" si="9">ROW()-9</f>
        <v>82</v>
      </c>
      <c r="B91" s="309"/>
      <c r="C91" s="537"/>
      <c r="D91" s="537"/>
      <c r="E91" s="120">
        <v>3</v>
      </c>
      <c r="F91" s="537"/>
      <c r="G91" s="537"/>
      <c r="H91" s="537"/>
      <c r="I91" s="537"/>
      <c r="J91" s="537"/>
      <c r="K91" s="537"/>
      <c r="L91" s="251"/>
      <c r="M91" s="544" t="s">
        <v>403</v>
      </c>
      <c r="N91" s="421"/>
      <c r="O91" s="545" t="s">
        <v>404</v>
      </c>
      <c r="P91" s="251"/>
      <c r="Q91" s="251"/>
      <c r="R91" s="251" t="s">
        <v>67</v>
      </c>
      <c r="S91" s="251"/>
      <c r="T91" s="251" t="s">
        <v>66</v>
      </c>
      <c r="U91" s="251" t="s">
        <v>64</v>
      </c>
      <c r="V91" s="251" t="s">
        <v>66</v>
      </c>
      <c r="W91" s="251" t="s">
        <v>69</v>
      </c>
      <c r="X91" s="251" t="s">
        <v>393</v>
      </c>
      <c r="Y91" s="251" t="s">
        <v>400</v>
      </c>
      <c r="Z91" s="251" t="s">
        <v>71</v>
      </c>
      <c r="AA91" s="251" t="s">
        <v>64</v>
      </c>
      <c r="AB91" s="251" t="s">
        <v>401</v>
      </c>
      <c r="AC91" s="251" t="s">
        <v>64</v>
      </c>
      <c r="AD91" s="251" t="s">
        <v>109</v>
      </c>
      <c r="AE91" s="455" t="s">
        <v>109</v>
      </c>
      <c r="AF91" s="455"/>
      <c r="AG91" s="455"/>
      <c r="AH91" s="455"/>
      <c r="AI91" s="455"/>
      <c r="AJ91" s="455"/>
      <c r="AK91" s="455"/>
      <c r="AL91" s="455">
        <v>0.034</v>
      </c>
      <c r="AM91" s="571" t="s">
        <v>74</v>
      </c>
      <c r="AN91" s="571" t="s">
        <v>196</v>
      </c>
      <c r="AO91" s="251"/>
      <c r="AP91" s="251"/>
      <c r="AQ91" s="251">
        <v>1</v>
      </c>
      <c r="AR91" s="527">
        <v>1</v>
      </c>
    </row>
    <row r="92" s="360" customFormat="1" ht="45" customHeight="1" spans="1:47">
      <c r="A92" s="386">
        <f t="shared" si="9"/>
        <v>83</v>
      </c>
      <c r="B92" s="309"/>
      <c r="C92" s="537"/>
      <c r="D92" s="537"/>
      <c r="E92" s="120"/>
      <c r="F92" s="537">
        <v>4</v>
      </c>
      <c r="G92" s="537"/>
      <c r="H92" s="537"/>
      <c r="I92" s="537"/>
      <c r="J92" s="537"/>
      <c r="K92" s="537"/>
      <c r="L92" s="251" t="s">
        <v>87</v>
      </c>
      <c r="M92" s="421" t="s">
        <v>405</v>
      </c>
      <c r="N92" s="421"/>
      <c r="O92" s="421" t="s">
        <v>406</v>
      </c>
      <c r="P92" s="251"/>
      <c r="Q92" s="251"/>
      <c r="R92" s="251" t="s">
        <v>67</v>
      </c>
      <c r="S92" s="251"/>
      <c r="T92" s="251" t="s">
        <v>66</v>
      </c>
      <c r="U92" s="251" t="s">
        <v>64</v>
      </c>
      <c r="V92" s="251" t="s">
        <v>66</v>
      </c>
      <c r="W92" s="251" t="s">
        <v>69</v>
      </c>
      <c r="X92" s="251" t="s">
        <v>393</v>
      </c>
      <c r="Y92" s="251" t="s">
        <v>280</v>
      </c>
      <c r="Z92" s="251" t="s">
        <v>71</v>
      </c>
      <c r="AA92" s="251" t="s">
        <v>64</v>
      </c>
      <c r="AB92" s="251"/>
      <c r="AC92" s="251" t="s">
        <v>64</v>
      </c>
      <c r="AD92" s="251"/>
      <c r="AE92" s="455"/>
      <c r="AF92" s="455"/>
      <c r="AG92" s="455"/>
      <c r="AH92" s="455"/>
      <c r="AI92" s="455"/>
      <c r="AJ92" s="455"/>
      <c r="AK92" s="455"/>
      <c r="AL92" s="455"/>
      <c r="AM92" s="571" t="s">
        <v>100</v>
      </c>
      <c r="AN92" s="571" t="s">
        <v>407</v>
      </c>
      <c r="AO92" s="251"/>
      <c r="AP92" s="251"/>
      <c r="AQ92" s="251">
        <v>1</v>
      </c>
      <c r="AR92" s="527">
        <v>1</v>
      </c>
      <c r="AS92" s="251">
        <v>1</v>
      </c>
      <c r="AT92" s="251">
        <v>1</v>
      </c>
      <c r="AU92" s="251">
        <v>1</v>
      </c>
    </row>
    <row r="93" s="356" customFormat="1" ht="45" customHeight="1" spans="1:47">
      <c r="A93" s="386">
        <f t="shared" si="9"/>
        <v>84</v>
      </c>
      <c r="B93" s="389"/>
      <c r="C93" s="386"/>
      <c r="D93" s="386"/>
      <c r="E93" s="425"/>
      <c r="F93" s="386"/>
      <c r="G93" s="386">
        <v>5</v>
      </c>
      <c r="H93" s="386"/>
      <c r="I93" s="386"/>
      <c r="J93" s="386"/>
      <c r="K93" s="386"/>
      <c r="L93" s="387" t="s">
        <v>87</v>
      </c>
      <c r="M93" s="421"/>
      <c r="N93" s="421" t="s">
        <v>408</v>
      </c>
      <c r="O93" s="421" t="s">
        <v>409</v>
      </c>
      <c r="P93" s="387" t="s">
        <v>410</v>
      </c>
      <c r="Q93" s="387"/>
      <c r="R93" s="387" t="s">
        <v>67</v>
      </c>
      <c r="S93" s="387"/>
      <c r="T93" s="387" t="s">
        <v>66</v>
      </c>
      <c r="U93" s="387" t="s">
        <v>64</v>
      </c>
      <c r="V93" s="387" t="s">
        <v>66</v>
      </c>
      <c r="W93" s="387" t="s">
        <v>69</v>
      </c>
      <c r="X93" s="387" t="s">
        <v>393</v>
      </c>
      <c r="Y93" s="387" t="s">
        <v>169</v>
      </c>
      <c r="Z93" s="387" t="s">
        <v>411</v>
      </c>
      <c r="AA93" s="387" t="s">
        <v>64</v>
      </c>
      <c r="AB93" s="387" t="s">
        <v>412</v>
      </c>
      <c r="AC93" s="387">
        <v>0.3374</v>
      </c>
      <c r="AD93" s="387" t="s">
        <v>64</v>
      </c>
      <c r="AE93" s="457" t="s">
        <v>110</v>
      </c>
      <c r="AF93" s="457">
        <f>157+8</f>
        <v>165</v>
      </c>
      <c r="AG93" s="457">
        <f>125+3</f>
        <v>128</v>
      </c>
      <c r="AH93" s="490" t="s">
        <v>215</v>
      </c>
      <c r="AI93" s="492">
        <f t="shared" ref="AI93:AI95" si="10">AF93*AG93*AH93*7860/1000000000</f>
        <v>0.4980096</v>
      </c>
      <c r="AJ93" s="489">
        <f t="shared" ref="AJ93:AJ95" si="11">AC93/AI93</f>
        <v>0.677496979977896</v>
      </c>
      <c r="AK93" s="455"/>
      <c r="AL93" s="455"/>
      <c r="AM93" s="572"/>
      <c r="AN93" s="572"/>
      <c r="AO93" s="387"/>
      <c r="AP93" s="387"/>
      <c r="AQ93" s="387">
        <v>1</v>
      </c>
      <c r="AR93" s="527">
        <v>1</v>
      </c>
      <c r="AS93" s="387">
        <v>1</v>
      </c>
      <c r="AT93" s="387">
        <v>1</v>
      </c>
      <c r="AU93" s="387">
        <v>1</v>
      </c>
    </row>
    <row r="94" s="356" customFormat="1" ht="45" customHeight="1" spans="1:47">
      <c r="A94" s="386">
        <f t="shared" si="9"/>
        <v>85</v>
      </c>
      <c r="B94" s="389"/>
      <c r="C94" s="386"/>
      <c r="D94" s="386"/>
      <c r="E94" s="425"/>
      <c r="F94" s="386"/>
      <c r="G94" s="386">
        <v>5</v>
      </c>
      <c r="H94" s="386"/>
      <c r="I94" s="386"/>
      <c r="J94" s="386"/>
      <c r="K94" s="386"/>
      <c r="L94" s="387" t="s">
        <v>87</v>
      </c>
      <c r="M94" s="421"/>
      <c r="N94" s="421" t="s">
        <v>413</v>
      </c>
      <c r="O94" s="421" t="s">
        <v>414</v>
      </c>
      <c r="P94" s="387" t="s">
        <v>415</v>
      </c>
      <c r="Q94" s="387"/>
      <c r="R94" s="387" t="s">
        <v>67</v>
      </c>
      <c r="S94" s="387"/>
      <c r="T94" s="387" t="s">
        <v>66</v>
      </c>
      <c r="U94" s="387" t="s">
        <v>64</v>
      </c>
      <c r="V94" s="387" t="s">
        <v>66</v>
      </c>
      <c r="W94" s="387" t="s">
        <v>69</v>
      </c>
      <c r="X94" s="387" t="s">
        <v>393</v>
      </c>
      <c r="Y94" s="387" t="s">
        <v>169</v>
      </c>
      <c r="Z94" s="387" t="s">
        <v>416</v>
      </c>
      <c r="AA94" s="387" t="s">
        <v>64</v>
      </c>
      <c r="AB94" s="387" t="s">
        <v>417</v>
      </c>
      <c r="AC94" s="387">
        <v>0.0143</v>
      </c>
      <c r="AD94" s="387" t="s">
        <v>64</v>
      </c>
      <c r="AE94" s="457" t="s">
        <v>110</v>
      </c>
      <c r="AF94" s="457">
        <f>51+7</f>
        <v>58</v>
      </c>
      <c r="AG94" s="457">
        <f>25+3</f>
        <v>28</v>
      </c>
      <c r="AH94" s="490" t="s">
        <v>215</v>
      </c>
      <c r="AI94" s="492">
        <f t="shared" si="10"/>
        <v>0.03829392</v>
      </c>
      <c r="AJ94" s="489">
        <f t="shared" si="11"/>
        <v>0.373427426599314</v>
      </c>
      <c r="AK94" s="455"/>
      <c r="AL94" s="455"/>
      <c r="AM94" s="572"/>
      <c r="AN94" s="572"/>
      <c r="AO94" s="387"/>
      <c r="AP94" s="387"/>
      <c r="AQ94" s="387">
        <v>1</v>
      </c>
      <c r="AR94" s="527">
        <v>1</v>
      </c>
      <c r="AS94" s="387">
        <v>1</v>
      </c>
      <c r="AT94" s="387">
        <v>1</v>
      </c>
      <c r="AU94" s="387">
        <v>1</v>
      </c>
    </row>
    <row r="95" s="356" customFormat="1" ht="45" customHeight="1" spans="1:47">
      <c r="A95" s="386">
        <f t="shared" si="9"/>
        <v>86</v>
      </c>
      <c r="B95" s="389"/>
      <c r="C95" s="386"/>
      <c r="D95" s="386"/>
      <c r="E95" s="425"/>
      <c r="F95" s="386"/>
      <c r="G95" s="386">
        <v>5</v>
      </c>
      <c r="H95" s="386"/>
      <c r="I95" s="386"/>
      <c r="J95" s="386"/>
      <c r="K95" s="386"/>
      <c r="L95" s="387" t="s">
        <v>87</v>
      </c>
      <c r="M95" s="421"/>
      <c r="N95" s="421" t="s">
        <v>418</v>
      </c>
      <c r="O95" s="421" t="s">
        <v>419</v>
      </c>
      <c r="P95" s="387" t="s">
        <v>420</v>
      </c>
      <c r="Q95" s="387"/>
      <c r="R95" s="387" t="s">
        <v>67</v>
      </c>
      <c r="S95" s="387"/>
      <c r="T95" s="387" t="s">
        <v>66</v>
      </c>
      <c r="U95" s="387" t="s">
        <v>64</v>
      </c>
      <c r="V95" s="387" t="s">
        <v>66</v>
      </c>
      <c r="W95" s="387" t="s">
        <v>69</v>
      </c>
      <c r="X95" s="387" t="s">
        <v>393</v>
      </c>
      <c r="Y95" s="387" t="s">
        <v>169</v>
      </c>
      <c r="Z95" s="387" t="s">
        <v>421</v>
      </c>
      <c r="AA95" s="387" t="s">
        <v>64</v>
      </c>
      <c r="AB95" s="387" t="s">
        <v>422</v>
      </c>
      <c r="AC95" s="387">
        <v>0.0091</v>
      </c>
      <c r="AD95" s="387" t="s">
        <v>64</v>
      </c>
      <c r="AE95" s="457" t="s">
        <v>110</v>
      </c>
      <c r="AF95" s="457">
        <f>24+5</f>
        <v>29</v>
      </c>
      <c r="AG95" s="457">
        <f>22+2</f>
        <v>24</v>
      </c>
      <c r="AH95" s="490" t="s">
        <v>241</v>
      </c>
      <c r="AI95" s="492">
        <f t="shared" si="10"/>
        <v>0.01094112</v>
      </c>
      <c r="AJ95" s="489">
        <f t="shared" si="11"/>
        <v>0.83172472288029</v>
      </c>
      <c r="AK95" s="455"/>
      <c r="AL95" s="455"/>
      <c r="AM95" s="572"/>
      <c r="AN95" s="572"/>
      <c r="AO95" s="387"/>
      <c r="AP95" s="387"/>
      <c r="AQ95" s="387">
        <v>1</v>
      </c>
      <c r="AR95" s="527">
        <v>1</v>
      </c>
      <c r="AS95" s="387">
        <v>1</v>
      </c>
      <c r="AT95" s="387">
        <v>1</v>
      </c>
      <c r="AU95" s="387">
        <v>1</v>
      </c>
    </row>
    <row r="96" s="356" customFormat="1" ht="45" customHeight="1" spans="1:47">
      <c r="A96" s="386">
        <f t="shared" si="9"/>
        <v>87</v>
      </c>
      <c r="B96" s="389"/>
      <c r="C96" s="386"/>
      <c r="D96" s="386"/>
      <c r="E96" s="120">
        <v>3</v>
      </c>
      <c r="F96" s="537"/>
      <c r="G96" s="537"/>
      <c r="H96" s="386"/>
      <c r="I96" s="386"/>
      <c r="J96" s="386"/>
      <c r="K96" s="386"/>
      <c r="L96" s="387"/>
      <c r="M96" s="544" t="s">
        <v>423</v>
      </c>
      <c r="N96" s="421"/>
      <c r="O96" s="545" t="s">
        <v>424</v>
      </c>
      <c r="P96" s="387"/>
      <c r="Q96" s="387"/>
      <c r="R96" s="387" t="s">
        <v>67</v>
      </c>
      <c r="S96" s="387"/>
      <c r="T96" s="387" t="s">
        <v>66</v>
      </c>
      <c r="U96" s="387" t="s">
        <v>64</v>
      </c>
      <c r="V96" s="251" t="s">
        <v>66</v>
      </c>
      <c r="W96" s="251" t="s">
        <v>69</v>
      </c>
      <c r="X96" s="251" t="s">
        <v>393</v>
      </c>
      <c r="Y96" s="251" t="s">
        <v>280</v>
      </c>
      <c r="Z96" s="251" t="s">
        <v>71</v>
      </c>
      <c r="AA96" s="251" t="s">
        <v>64</v>
      </c>
      <c r="AB96" s="251"/>
      <c r="AC96" s="251" t="s">
        <v>64</v>
      </c>
      <c r="AD96" s="251" t="s">
        <v>109</v>
      </c>
      <c r="AE96" s="457" t="s">
        <v>109</v>
      </c>
      <c r="AF96" s="457"/>
      <c r="AG96" s="457"/>
      <c r="AH96" s="490"/>
      <c r="AI96" s="492"/>
      <c r="AJ96" s="489"/>
      <c r="AK96" s="455"/>
      <c r="AL96" s="455">
        <v>0.028</v>
      </c>
      <c r="AM96" s="571" t="s">
        <v>74</v>
      </c>
      <c r="AN96" s="571" t="s">
        <v>196</v>
      </c>
      <c r="AO96" s="387"/>
      <c r="AP96" s="387"/>
      <c r="AQ96" s="387">
        <v>1</v>
      </c>
      <c r="AR96" s="527">
        <v>1</v>
      </c>
      <c r="AS96" s="387">
        <v>1</v>
      </c>
      <c r="AT96" s="387"/>
      <c r="AU96" s="387"/>
    </row>
    <row r="97" s="356" customFormat="1" ht="45" customHeight="1" spans="1:47">
      <c r="A97" s="386">
        <f t="shared" si="9"/>
        <v>88</v>
      </c>
      <c r="B97" s="389"/>
      <c r="C97" s="386"/>
      <c r="D97" s="386"/>
      <c r="E97" s="120"/>
      <c r="F97" s="537">
        <v>4</v>
      </c>
      <c r="G97" s="537"/>
      <c r="H97" s="386"/>
      <c r="I97" s="386"/>
      <c r="J97" s="386"/>
      <c r="K97" s="386"/>
      <c r="L97" s="387" t="s">
        <v>87</v>
      </c>
      <c r="M97" s="421" t="s">
        <v>425</v>
      </c>
      <c r="N97" s="421"/>
      <c r="O97" s="421" t="s">
        <v>426</v>
      </c>
      <c r="P97" s="387"/>
      <c r="Q97" s="387"/>
      <c r="R97" s="387" t="s">
        <v>67</v>
      </c>
      <c r="S97" s="387"/>
      <c r="T97" s="387" t="s">
        <v>66</v>
      </c>
      <c r="U97" s="387" t="s">
        <v>64</v>
      </c>
      <c r="V97" s="251" t="s">
        <v>66</v>
      </c>
      <c r="W97" s="251" t="s">
        <v>69</v>
      </c>
      <c r="X97" s="251" t="s">
        <v>393</v>
      </c>
      <c r="Y97" s="251" t="s">
        <v>280</v>
      </c>
      <c r="Z97" s="251" t="s">
        <v>71</v>
      </c>
      <c r="AA97" s="251" t="s">
        <v>64</v>
      </c>
      <c r="AB97" s="251"/>
      <c r="AC97" s="251" t="s">
        <v>64</v>
      </c>
      <c r="AD97" s="251"/>
      <c r="AE97" s="455"/>
      <c r="AF97" s="455"/>
      <c r="AG97" s="455"/>
      <c r="AH97" s="455"/>
      <c r="AI97" s="455"/>
      <c r="AJ97" s="455"/>
      <c r="AK97" s="455"/>
      <c r="AL97" s="455"/>
      <c r="AM97" s="571" t="s">
        <v>100</v>
      </c>
      <c r="AN97" s="571" t="s">
        <v>407</v>
      </c>
      <c r="AO97" s="387"/>
      <c r="AP97" s="387"/>
      <c r="AQ97" s="387">
        <v>1</v>
      </c>
      <c r="AR97" s="527">
        <v>1</v>
      </c>
      <c r="AS97" s="387">
        <v>1</v>
      </c>
      <c r="AT97" s="387">
        <v>1</v>
      </c>
      <c r="AU97" s="387">
        <v>1</v>
      </c>
    </row>
    <row r="98" s="356" customFormat="1" ht="45" customHeight="1" spans="1:47">
      <c r="A98" s="386">
        <f t="shared" si="9"/>
        <v>89</v>
      </c>
      <c r="B98" s="389"/>
      <c r="C98" s="386"/>
      <c r="D98" s="386"/>
      <c r="E98" s="425"/>
      <c r="F98" s="386"/>
      <c r="G98" s="386">
        <v>5</v>
      </c>
      <c r="H98" s="386"/>
      <c r="I98" s="386"/>
      <c r="J98" s="386"/>
      <c r="K98" s="386"/>
      <c r="L98" s="387" t="s">
        <v>87</v>
      </c>
      <c r="M98" s="421"/>
      <c r="N98" s="421" t="s">
        <v>427</v>
      </c>
      <c r="O98" s="421" t="s">
        <v>428</v>
      </c>
      <c r="P98" s="387" t="s">
        <v>410</v>
      </c>
      <c r="Q98" s="387"/>
      <c r="R98" s="387" t="s">
        <v>67</v>
      </c>
      <c r="S98" s="387"/>
      <c r="T98" s="387" t="s">
        <v>66</v>
      </c>
      <c r="U98" s="387" t="s">
        <v>64</v>
      </c>
      <c r="V98" s="387" t="s">
        <v>66</v>
      </c>
      <c r="W98" s="387" t="s">
        <v>69</v>
      </c>
      <c r="X98" s="387" t="s">
        <v>68</v>
      </c>
      <c r="Y98" s="387" t="s">
        <v>169</v>
      </c>
      <c r="Z98" s="387" t="s">
        <v>411</v>
      </c>
      <c r="AA98" s="387" t="s">
        <v>64</v>
      </c>
      <c r="AB98" s="387" t="s">
        <v>429</v>
      </c>
      <c r="AC98" s="387">
        <v>0.2429</v>
      </c>
      <c r="AD98" s="387" t="s">
        <v>64</v>
      </c>
      <c r="AE98" s="457" t="s">
        <v>110</v>
      </c>
      <c r="AF98" s="457">
        <f t="shared" ref="AF98" si="12">140+8</f>
        <v>148</v>
      </c>
      <c r="AG98" s="457">
        <f t="shared" ref="AG98" si="13">101+3</f>
        <v>104</v>
      </c>
      <c r="AH98" s="490" t="s">
        <v>215</v>
      </c>
      <c r="AI98" s="492">
        <f t="shared" ref="AI98:AI100" si="14">AF98*AG98*AH98*7860/1000000000</f>
        <v>0.36294336</v>
      </c>
      <c r="AJ98" s="489">
        <f t="shared" ref="AJ98:AJ100" si="15">AC98/AI98</f>
        <v>0.669250430700812</v>
      </c>
      <c r="AK98" s="455"/>
      <c r="AL98" s="455"/>
      <c r="AM98" s="572"/>
      <c r="AN98" s="572"/>
      <c r="AO98" s="387"/>
      <c r="AP98" s="387" t="s">
        <v>64</v>
      </c>
      <c r="AQ98" s="387">
        <v>1</v>
      </c>
      <c r="AR98" s="527">
        <v>1</v>
      </c>
      <c r="AS98" s="387">
        <v>1</v>
      </c>
      <c r="AT98" s="387">
        <v>1</v>
      </c>
      <c r="AU98" s="387">
        <v>1</v>
      </c>
    </row>
    <row r="99" s="356" customFormat="1" ht="45" customHeight="1" spans="1:47">
      <c r="A99" s="386">
        <f t="shared" si="9"/>
        <v>90</v>
      </c>
      <c r="B99" s="389"/>
      <c r="C99" s="386"/>
      <c r="D99" s="386"/>
      <c r="E99" s="425"/>
      <c r="F99" s="386"/>
      <c r="G99" s="386">
        <v>5</v>
      </c>
      <c r="H99" s="386"/>
      <c r="I99" s="386"/>
      <c r="J99" s="386"/>
      <c r="K99" s="386"/>
      <c r="L99" s="387" t="s">
        <v>87</v>
      </c>
      <c r="M99" s="421"/>
      <c r="N99" s="421" t="s">
        <v>430</v>
      </c>
      <c r="O99" s="421" t="s">
        <v>431</v>
      </c>
      <c r="P99" s="387" t="s">
        <v>410</v>
      </c>
      <c r="Q99" s="387"/>
      <c r="R99" s="387" t="s">
        <v>67</v>
      </c>
      <c r="S99" s="387"/>
      <c r="T99" s="387" t="s">
        <v>66</v>
      </c>
      <c r="U99" s="387" t="s">
        <v>64</v>
      </c>
      <c r="V99" s="387" t="s">
        <v>66</v>
      </c>
      <c r="W99" s="387" t="s">
        <v>69</v>
      </c>
      <c r="X99" s="387" t="s">
        <v>393</v>
      </c>
      <c r="Y99" s="387" t="s">
        <v>169</v>
      </c>
      <c r="Z99" s="387" t="s">
        <v>416</v>
      </c>
      <c r="AA99" s="387" t="s">
        <v>64</v>
      </c>
      <c r="AB99" s="387" t="s">
        <v>432</v>
      </c>
      <c r="AC99" s="387">
        <v>0.023</v>
      </c>
      <c r="AD99" s="387" t="s">
        <v>64</v>
      </c>
      <c r="AE99" s="457" t="s">
        <v>110</v>
      </c>
      <c r="AF99" s="457">
        <f>50+7</f>
        <v>57</v>
      </c>
      <c r="AG99" s="457">
        <f>30+3</f>
        <v>33</v>
      </c>
      <c r="AH99" s="490" t="s">
        <v>215</v>
      </c>
      <c r="AI99" s="492">
        <f t="shared" si="14"/>
        <v>0.04435398</v>
      </c>
      <c r="AJ99" s="489">
        <f t="shared" si="15"/>
        <v>0.518555493779814</v>
      </c>
      <c r="AK99" s="455"/>
      <c r="AL99" s="455"/>
      <c r="AM99" s="572"/>
      <c r="AN99" s="572"/>
      <c r="AO99" s="387"/>
      <c r="AP99" s="387" t="s">
        <v>402</v>
      </c>
      <c r="AQ99" s="387">
        <v>1</v>
      </c>
      <c r="AR99" s="527">
        <v>1</v>
      </c>
      <c r="AS99" s="387">
        <v>1</v>
      </c>
      <c r="AT99" s="387">
        <v>1</v>
      </c>
      <c r="AU99" s="387">
        <v>1</v>
      </c>
    </row>
    <row r="100" s="356" customFormat="1" ht="45" customHeight="1" spans="1:47">
      <c r="A100" s="386">
        <f t="shared" si="9"/>
        <v>91</v>
      </c>
      <c r="B100" s="389"/>
      <c r="C100" s="386"/>
      <c r="D100" s="386"/>
      <c r="E100" s="425"/>
      <c r="F100" s="386"/>
      <c r="G100" s="386">
        <v>5</v>
      </c>
      <c r="H100" s="386"/>
      <c r="I100" s="386"/>
      <c r="J100" s="386"/>
      <c r="K100" s="386"/>
      <c r="L100" s="387" t="s">
        <v>87</v>
      </c>
      <c r="M100" s="421"/>
      <c r="N100" s="421" t="s">
        <v>433</v>
      </c>
      <c r="O100" s="421" t="s">
        <v>434</v>
      </c>
      <c r="P100" s="387" t="s">
        <v>410</v>
      </c>
      <c r="Q100" s="387"/>
      <c r="R100" s="387" t="s">
        <v>67</v>
      </c>
      <c r="S100" s="387"/>
      <c r="T100" s="387" t="s">
        <v>66</v>
      </c>
      <c r="U100" s="387" t="s">
        <v>64</v>
      </c>
      <c r="V100" s="387" t="s">
        <v>66</v>
      </c>
      <c r="W100" s="387" t="s">
        <v>69</v>
      </c>
      <c r="X100" s="387" t="s">
        <v>393</v>
      </c>
      <c r="Y100" s="387" t="s">
        <v>169</v>
      </c>
      <c r="Z100" s="387" t="s">
        <v>416</v>
      </c>
      <c r="AA100" s="387" t="s">
        <v>64</v>
      </c>
      <c r="AB100" s="387" t="s">
        <v>435</v>
      </c>
      <c r="AC100" s="387">
        <v>0.0274</v>
      </c>
      <c r="AD100" s="387" t="s">
        <v>64</v>
      </c>
      <c r="AE100" s="457" t="s">
        <v>110</v>
      </c>
      <c r="AF100" s="457">
        <f>52+7</f>
        <v>59</v>
      </c>
      <c r="AG100" s="457">
        <f>22+3</f>
        <v>25</v>
      </c>
      <c r="AH100" s="490" t="s">
        <v>215</v>
      </c>
      <c r="AI100" s="492">
        <f t="shared" si="14"/>
        <v>0.0347805</v>
      </c>
      <c r="AJ100" s="489">
        <f t="shared" si="15"/>
        <v>0.787797760239215</v>
      </c>
      <c r="AK100" s="455"/>
      <c r="AL100" s="455"/>
      <c r="AM100" s="572"/>
      <c r="AN100" s="572"/>
      <c r="AO100" s="387"/>
      <c r="AP100" s="387"/>
      <c r="AQ100" s="387">
        <v>1</v>
      </c>
      <c r="AR100" s="527">
        <v>1</v>
      </c>
      <c r="AS100" s="387">
        <v>1</v>
      </c>
      <c r="AT100" s="387">
        <v>1</v>
      </c>
      <c r="AU100" s="387">
        <v>1</v>
      </c>
    </row>
    <row r="101" s="356" customFormat="1" ht="45" customHeight="1" spans="1:47">
      <c r="A101" s="386">
        <f t="shared" ref="A101:A110" si="16">ROW()-9</f>
        <v>92</v>
      </c>
      <c r="B101" s="389"/>
      <c r="C101" s="386"/>
      <c r="D101" s="386"/>
      <c r="E101" s="425">
        <v>3</v>
      </c>
      <c r="F101" s="386"/>
      <c r="G101" s="386"/>
      <c r="H101" s="386"/>
      <c r="I101" s="386"/>
      <c r="J101" s="386"/>
      <c r="K101" s="386"/>
      <c r="L101" s="387"/>
      <c r="M101" s="421" t="s">
        <v>436</v>
      </c>
      <c r="N101" s="421"/>
      <c r="O101" s="421" t="s">
        <v>437</v>
      </c>
      <c r="P101" s="387" t="s">
        <v>438</v>
      </c>
      <c r="Q101" s="387"/>
      <c r="R101" s="387" t="s">
        <v>67</v>
      </c>
      <c r="S101" s="387"/>
      <c r="T101" s="387" t="s">
        <v>66</v>
      </c>
      <c r="U101" s="387" t="s">
        <v>64</v>
      </c>
      <c r="V101" s="387" t="s">
        <v>66</v>
      </c>
      <c r="W101" s="387" t="s">
        <v>69</v>
      </c>
      <c r="X101" s="387" t="s">
        <v>393</v>
      </c>
      <c r="Y101" s="387" t="s">
        <v>169</v>
      </c>
      <c r="Z101" s="387" t="s">
        <v>439</v>
      </c>
      <c r="AA101" s="387" t="s">
        <v>64</v>
      </c>
      <c r="AB101" s="387" t="s">
        <v>440</v>
      </c>
      <c r="AC101" s="387">
        <v>0.0493</v>
      </c>
      <c r="AD101" s="387" t="s">
        <v>109</v>
      </c>
      <c r="AE101" s="457" t="s">
        <v>109</v>
      </c>
      <c r="AF101" s="457"/>
      <c r="AG101" s="457"/>
      <c r="AH101" s="490"/>
      <c r="AI101" s="492"/>
      <c r="AJ101" s="489"/>
      <c r="AK101" s="455"/>
      <c r="AL101" s="455">
        <v>0.005</v>
      </c>
      <c r="AM101" s="571" t="s">
        <v>74</v>
      </c>
      <c r="AN101" s="571" t="s">
        <v>196</v>
      </c>
      <c r="AO101" s="387"/>
      <c r="AP101" s="387"/>
      <c r="AQ101" s="387"/>
      <c r="AR101" s="527"/>
      <c r="AS101" s="387"/>
      <c r="AT101" s="387"/>
      <c r="AU101" s="387"/>
    </row>
    <row r="102" s="356" customFormat="1" ht="45" customHeight="1" spans="1:47">
      <c r="A102" s="386">
        <f t="shared" si="16"/>
        <v>93</v>
      </c>
      <c r="B102" s="389"/>
      <c r="C102" s="386"/>
      <c r="D102" s="386"/>
      <c r="E102" s="425"/>
      <c r="F102" s="386">
        <v>4</v>
      </c>
      <c r="G102" s="386"/>
      <c r="H102" s="386"/>
      <c r="I102" s="386"/>
      <c r="J102" s="386"/>
      <c r="K102" s="386"/>
      <c r="L102" s="387" t="s">
        <v>441</v>
      </c>
      <c r="M102" s="421" t="s">
        <v>442</v>
      </c>
      <c r="N102" s="421" t="s">
        <v>442</v>
      </c>
      <c r="O102" s="421" t="s">
        <v>437</v>
      </c>
      <c r="P102" s="387" t="s">
        <v>438</v>
      </c>
      <c r="Q102" s="387"/>
      <c r="R102" s="387" t="s">
        <v>67</v>
      </c>
      <c r="S102" s="387"/>
      <c r="T102" s="387" t="s">
        <v>66</v>
      </c>
      <c r="U102" s="387" t="s">
        <v>64</v>
      </c>
      <c r="V102" s="387" t="s">
        <v>66</v>
      </c>
      <c r="W102" s="387" t="s">
        <v>69</v>
      </c>
      <c r="X102" s="387" t="s">
        <v>393</v>
      </c>
      <c r="Y102" s="387" t="s">
        <v>169</v>
      </c>
      <c r="Z102" s="387" t="s">
        <v>439</v>
      </c>
      <c r="AA102" s="387" t="s">
        <v>64</v>
      </c>
      <c r="AB102" s="387" t="s">
        <v>440</v>
      </c>
      <c r="AC102" s="387">
        <v>0.0493</v>
      </c>
      <c r="AD102" s="387" t="s">
        <v>64</v>
      </c>
      <c r="AE102" s="455"/>
      <c r="AF102" s="455"/>
      <c r="AG102" s="455"/>
      <c r="AH102" s="455"/>
      <c r="AI102" s="455"/>
      <c r="AJ102" s="455"/>
      <c r="AK102" s="455"/>
      <c r="AL102" s="455"/>
      <c r="AM102" s="571" t="s">
        <v>100</v>
      </c>
      <c r="AN102" s="571" t="s">
        <v>443</v>
      </c>
      <c r="AO102" s="387"/>
      <c r="AP102" s="387"/>
      <c r="AQ102" s="387">
        <v>1</v>
      </c>
      <c r="AR102" s="527">
        <v>1</v>
      </c>
      <c r="AS102" s="387">
        <v>1</v>
      </c>
      <c r="AT102" s="387">
        <v>1</v>
      </c>
      <c r="AU102" s="387">
        <v>1</v>
      </c>
    </row>
    <row r="103" s="360" customFormat="1" ht="45" customHeight="1" spans="1:47">
      <c r="A103" s="386">
        <f t="shared" si="16"/>
        <v>94</v>
      </c>
      <c r="B103" s="309"/>
      <c r="C103" s="537"/>
      <c r="D103" s="537"/>
      <c r="E103" s="120">
        <v>3</v>
      </c>
      <c r="F103" s="537"/>
      <c r="G103" s="537"/>
      <c r="H103" s="537"/>
      <c r="I103" s="537"/>
      <c r="J103" s="537"/>
      <c r="K103" s="537"/>
      <c r="L103" s="251" t="s">
        <v>87</v>
      </c>
      <c r="M103" s="421" t="s">
        <v>444</v>
      </c>
      <c r="N103" s="421" t="s">
        <v>445</v>
      </c>
      <c r="O103" s="421" t="s">
        <v>446</v>
      </c>
      <c r="P103" s="251" t="s">
        <v>447</v>
      </c>
      <c r="Q103" s="251"/>
      <c r="R103" s="251" t="s">
        <v>67</v>
      </c>
      <c r="S103" s="251"/>
      <c r="T103" s="251" t="s">
        <v>66</v>
      </c>
      <c r="U103" s="251" t="s">
        <v>64</v>
      </c>
      <c r="V103" s="251" t="s">
        <v>66</v>
      </c>
      <c r="W103" s="251" t="s">
        <v>69</v>
      </c>
      <c r="X103" s="251" t="s">
        <v>393</v>
      </c>
      <c r="Y103" s="251" t="s">
        <v>448</v>
      </c>
      <c r="Z103" s="251" t="s">
        <v>449</v>
      </c>
      <c r="AA103" s="251" t="s">
        <v>64</v>
      </c>
      <c r="AB103" s="251" t="s">
        <v>64</v>
      </c>
      <c r="AC103" s="251">
        <v>0.089</v>
      </c>
      <c r="AD103" s="251" t="s">
        <v>64</v>
      </c>
      <c r="AE103" s="475" t="s">
        <v>233</v>
      </c>
      <c r="AF103" s="476">
        <f>AC103/0.222*1000+10</f>
        <v>410.900900900901</v>
      </c>
      <c r="AG103" s="476">
        <v>10</v>
      </c>
      <c r="AH103" s="476">
        <v>1</v>
      </c>
      <c r="AI103" s="508">
        <f>AF103*0.222/1000</f>
        <v>0.09122</v>
      </c>
      <c r="AJ103" s="509">
        <f>AC103/AI103</f>
        <v>0.975663231747424</v>
      </c>
      <c r="AK103" s="455"/>
      <c r="AL103" s="455"/>
      <c r="AM103" s="571" t="s">
        <v>100</v>
      </c>
      <c r="AN103" s="571" t="s">
        <v>402</v>
      </c>
      <c r="AO103" s="251"/>
      <c r="AP103" s="251"/>
      <c r="AQ103" s="251">
        <v>1</v>
      </c>
      <c r="AR103" s="527">
        <v>1</v>
      </c>
      <c r="AS103" s="251">
        <v>1</v>
      </c>
      <c r="AT103" s="251">
        <v>1</v>
      </c>
      <c r="AU103" s="251">
        <v>1</v>
      </c>
    </row>
    <row r="104" s="360" customFormat="1" ht="45" customHeight="1" spans="1:47">
      <c r="A104" s="386">
        <f t="shared" si="16"/>
        <v>95</v>
      </c>
      <c r="B104" s="309"/>
      <c r="C104" s="537"/>
      <c r="D104" s="537"/>
      <c r="E104" s="120">
        <v>3</v>
      </c>
      <c r="F104" s="537"/>
      <c r="G104" s="537"/>
      <c r="H104" s="537"/>
      <c r="I104" s="537"/>
      <c r="J104" s="537"/>
      <c r="K104" s="537"/>
      <c r="L104" s="251" t="s">
        <v>87</v>
      </c>
      <c r="M104" s="421" t="s">
        <v>450</v>
      </c>
      <c r="N104" s="421" t="s">
        <v>451</v>
      </c>
      <c r="O104" s="421" t="s">
        <v>452</v>
      </c>
      <c r="P104" s="251" t="s">
        <v>453</v>
      </c>
      <c r="Q104" s="251"/>
      <c r="R104" s="251" t="s">
        <v>67</v>
      </c>
      <c r="S104" s="251"/>
      <c r="T104" s="251" t="s">
        <v>66</v>
      </c>
      <c r="U104" s="251" t="s">
        <v>64</v>
      </c>
      <c r="V104" s="251" t="s">
        <v>66</v>
      </c>
      <c r="W104" s="251" t="s">
        <v>69</v>
      </c>
      <c r="X104" s="251" t="s">
        <v>393</v>
      </c>
      <c r="Y104" s="251" t="s">
        <v>454</v>
      </c>
      <c r="Z104" s="251" t="s">
        <v>381</v>
      </c>
      <c r="AA104" s="251" t="s">
        <v>64</v>
      </c>
      <c r="AB104" s="251" t="s">
        <v>64</v>
      </c>
      <c r="AC104" s="251">
        <v>0.1358</v>
      </c>
      <c r="AD104" s="251" t="s">
        <v>455</v>
      </c>
      <c r="AE104" s="455"/>
      <c r="AF104" s="455"/>
      <c r="AG104" s="455"/>
      <c r="AH104" s="455"/>
      <c r="AI104" s="455"/>
      <c r="AJ104" s="455"/>
      <c r="AK104" s="455"/>
      <c r="AL104" s="455"/>
      <c r="AM104" s="571" t="s">
        <v>100</v>
      </c>
      <c r="AN104" s="571" t="s">
        <v>456</v>
      </c>
      <c r="AO104" s="251"/>
      <c r="AP104" s="251"/>
      <c r="AQ104" s="251">
        <v>1</v>
      </c>
      <c r="AR104" s="527">
        <v>1</v>
      </c>
      <c r="AS104" s="251">
        <v>1</v>
      </c>
      <c r="AT104" s="251">
        <v>1</v>
      </c>
      <c r="AU104" s="251">
        <v>1</v>
      </c>
    </row>
    <row r="105" s="360" customFormat="1" ht="45" customHeight="1" spans="1:47">
      <c r="A105" s="386">
        <f t="shared" si="16"/>
        <v>96</v>
      </c>
      <c r="B105" s="309"/>
      <c r="C105" s="537"/>
      <c r="D105" s="537">
        <v>2</v>
      </c>
      <c r="E105" s="120"/>
      <c r="F105" s="537"/>
      <c r="G105" s="537"/>
      <c r="H105" s="537"/>
      <c r="I105" s="537"/>
      <c r="J105" s="537"/>
      <c r="K105" s="537"/>
      <c r="L105" s="251" t="s">
        <v>87</v>
      </c>
      <c r="M105" s="421"/>
      <c r="N105" s="421" t="s">
        <v>457</v>
      </c>
      <c r="O105" s="421" t="s">
        <v>458</v>
      </c>
      <c r="P105" s="251" t="s">
        <v>64</v>
      </c>
      <c r="Q105" s="251"/>
      <c r="R105" s="251" t="s">
        <v>67</v>
      </c>
      <c r="S105" s="251"/>
      <c r="T105" s="251" t="s">
        <v>66</v>
      </c>
      <c r="U105" s="251" t="s">
        <v>64</v>
      </c>
      <c r="V105" s="251" t="s">
        <v>66</v>
      </c>
      <c r="W105" s="251" t="s">
        <v>69</v>
      </c>
      <c r="X105" s="251" t="s">
        <v>393</v>
      </c>
      <c r="Y105" s="251" t="s">
        <v>70</v>
      </c>
      <c r="Z105" s="251" t="s">
        <v>64</v>
      </c>
      <c r="AA105" s="251" t="s">
        <v>64</v>
      </c>
      <c r="AB105" s="251" t="s">
        <v>64</v>
      </c>
      <c r="AC105" s="251" t="s">
        <v>64</v>
      </c>
      <c r="AD105" s="251" t="s">
        <v>64</v>
      </c>
      <c r="AE105" s="455" t="s">
        <v>200</v>
      </c>
      <c r="AF105" s="455"/>
      <c r="AG105" s="455"/>
      <c r="AH105" s="455"/>
      <c r="AI105" s="455"/>
      <c r="AJ105" s="455"/>
      <c r="AK105" s="455"/>
      <c r="AL105" s="455"/>
      <c r="AM105" s="571" t="s">
        <v>80</v>
      </c>
      <c r="AN105" s="571"/>
      <c r="AO105" s="251"/>
      <c r="AP105" s="251"/>
      <c r="AQ105" s="251">
        <v>1</v>
      </c>
      <c r="AR105" s="527">
        <v>1</v>
      </c>
      <c r="AS105" s="251">
        <v>1</v>
      </c>
      <c r="AT105" s="251">
        <v>1</v>
      </c>
      <c r="AU105" s="251">
        <v>1</v>
      </c>
    </row>
    <row r="106" s="360" customFormat="1" ht="45" customHeight="1" spans="1:47">
      <c r="A106" s="386">
        <f t="shared" si="16"/>
        <v>97</v>
      </c>
      <c r="B106" s="309"/>
      <c r="C106" s="537"/>
      <c r="D106" s="537"/>
      <c r="E106" s="120">
        <v>3</v>
      </c>
      <c r="F106" s="537"/>
      <c r="G106" s="537"/>
      <c r="H106" s="537"/>
      <c r="I106" s="537"/>
      <c r="J106" s="537"/>
      <c r="K106" s="537"/>
      <c r="L106" s="251" t="s">
        <v>87</v>
      </c>
      <c r="M106" s="421" t="s">
        <v>459</v>
      </c>
      <c r="N106" s="421" t="s">
        <v>460</v>
      </c>
      <c r="O106" s="421" t="s">
        <v>461</v>
      </c>
      <c r="P106" s="251" t="s">
        <v>399</v>
      </c>
      <c r="Q106" s="251"/>
      <c r="R106" s="251" t="s">
        <v>67</v>
      </c>
      <c r="S106" s="251"/>
      <c r="T106" s="251" t="s">
        <v>66</v>
      </c>
      <c r="U106" s="251" t="s">
        <v>64</v>
      </c>
      <c r="V106" s="251" t="s">
        <v>66</v>
      </c>
      <c r="W106" s="251" t="s">
        <v>69</v>
      </c>
      <c r="X106" s="251" t="s">
        <v>393</v>
      </c>
      <c r="Y106" s="251" t="s">
        <v>400</v>
      </c>
      <c r="Z106" s="251" t="s">
        <v>71</v>
      </c>
      <c r="AA106" s="251" t="s">
        <v>64</v>
      </c>
      <c r="AB106" s="251" t="s">
        <v>401</v>
      </c>
      <c r="AC106" s="251" t="s">
        <v>64</v>
      </c>
      <c r="AD106" s="251" t="s">
        <v>64</v>
      </c>
      <c r="AE106" s="455"/>
      <c r="AF106" s="455"/>
      <c r="AG106" s="455"/>
      <c r="AH106" s="455"/>
      <c r="AI106" s="455"/>
      <c r="AJ106" s="455"/>
      <c r="AK106" s="455"/>
      <c r="AL106" s="455"/>
      <c r="AM106" s="571" t="s">
        <v>100</v>
      </c>
      <c r="AN106" s="571" t="s">
        <v>402</v>
      </c>
      <c r="AO106" s="251"/>
      <c r="AP106" s="251"/>
      <c r="AQ106" s="251">
        <v>1</v>
      </c>
      <c r="AR106" s="527">
        <v>1</v>
      </c>
      <c r="AS106" s="251">
        <v>1</v>
      </c>
      <c r="AT106" s="251">
        <v>1</v>
      </c>
      <c r="AU106" s="251">
        <v>1</v>
      </c>
    </row>
    <row r="107" s="360" customFormat="1" ht="45" customHeight="1" spans="1:47">
      <c r="A107" s="386">
        <f t="shared" si="16"/>
        <v>98</v>
      </c>
      <c r="B107" s="309"/>
      <c r="C107" s="537"/>
      <c r="D107" s="537"/>
      <c r="E107" s="120">
        <v>3</v>
      </c>
      <c r="F107" s="537"/>
      <c r="G107" s="537"/>
      <c r="H107" s="537"/>
      <c r="I107" s="537"/>
      <c r="J107" s="537"/>
      <c r="K107" s="537"/>
      <c r="L107" s="251"/>
      <c r="M107" s="544" t="s">
        <v>462</v>
      </c>
      <c r="N107" s="421"/>
      <c r="O107" s="545" t="s">
        <v>463</v>
      </c>
      <c r="P107" s="251"/>
      <c r="Q107" s="251"/>
      <c r="R107" s="387" t="s">
        <v>67</v>
      </c>
      <c r="S107" s="387"/>
      <c r="T107" s="387" t="s">
        <v>66</v>
      </c>
      <c r="U107" s="387" t="s">
        <v>64</v>
      </c>
      <c r="V107" s="251" t="s">
        <v>66</v>
      </c>
      <c r="W107" s="251" t="s">
        <v>69</v>
      </c>
      <c r="X107" s="251" t="s">
        <v>393</v>
      </c>
      <c r="Y107" s="251" t="s">
        <v>280</v>
      </c>
      <c r="Z107" s="251" t="s">
        <v>71</v>
      </c>
      <c r="AA107" s="251" t="s">
        <v>64</v>
      </c>
      <c r="AB107" s="251"/>
      <c r="AC107" s="251" t="s">
        <v>64</v>
      </c>
      <c r="AD107" s="251" t="s">
        <v>109</v>
      </c>
      <c r="AE107" s="455" t="s">
        <v>109</v>
      </c>
      <c r="AF107" s="455"/>
      <c r="AG107" s="455"/>
      <c r="AH107" s="455"/>
      <c r="AI107" s="455"/>
      <c r="AJ107" s="455"/>
      <c r="AK107" s="455"/>
      <c r="AL107" s="455">
        <v>0.034</v>
      </c>
      <c r="AM107" s="571" t="s">
        <v>74</v>
      </c>
      <c r="AN107" s="571" t="s">
        <v>196</v>
      </c>
      <c r="AO107" s="251"/>
      <c r="AP107" s="251"/>
      <c r="AQ107" s="251">
        <v>1</v>
      </c>
      <c r="AR107" s="527">
        <v>1</v>
      </c>
      <c r="AS107" s="251">
        <v>1</v>
      </c>
      <c r="AT107" s="251"/>
      <c r="AU107" s="251"/>
    </row>
    <row r="108" s="360" customFormat="1" ht="45" customHeight="1" spans="1:47">
      <c r="A108" s="386">
        <f t="shared" si="16"/>
        <v>99</v>
      </c>
      <c r="B108" s="309"/>
      <c r="C108" s="537"/>
      <c r="D108" s="537"/>
      <c r="E108" s="120"/>
      <c r="F108" s="537">
        <v>4</v>
      </c>
      <c r="G108" s="537"/>
      <c r="H108" s="537"/>
      <c r="I108" s="537"/>
      <c r="J108" s="537"/>
      <c r="K108" s="537"/>
      <c r="L108" s="251"/>
      <c r="M108" s="421" t="s">
        <v>464</v>
      </c>
      <c r="N108" s="421"/>
      <c r="O108" s="421" t="s">
        <v>465</v>
      </c>
      <c r="P108" s="251"/>
      <c r="Q108" s="251"/>
      <c r="R108" s="387" t="s">
        <v>67</v>
      </c>
      <c r="S108" s="387"/>
      <c r="T108" s="387" t="s">
        <v>66</v>
      </c>
      <c r="U108" s="387" t="s">
        <v>64</v>
      </c>
      <c r="V108" s="251" t="s">
        <v>66</v>
      </c>
      <c r="W108" s="251" t="s">
        <v>69</v>
      </c>
      <c r="X108" s="251" t="s">
        <v>393</v>
      </c>
      <c r="Y108" s="251" t="s">
        <v>280</v>
      </c>
      <c r="Z108" s="251" t="s">
        <v>71</v>
      </c>
      <c r="AA108" s="251" t="s">
        <v>64</v>
      </c>
      <c r="AB108" s="251"/>
      <c r="AC108" s="251" t="s">
        <v>64</v>
      </c>
      <c r="AD108" s="251" t="s">
        <v>109</v>
      </c>
      <c r="AE108" s="455" t="s">
        <v>200</v>
      </c>
      <c r="AF108" s="455"/>
      <c r="AG108" s="455"/>
      <c r="AH108" s="455"/>
      <c r="AI108" s="455"/>
      <c r="AJ108" s="455"/>
      <c r="AK108" s="455"/>
      <c r="AL108" s="455"/>
      <c r="AM108" s="571" t="s">
        <v>100</v>
      </c>
      <c r="AN108" s="571" t="s">
        <v>407</v>
      </c>
      <c r="AO108" s="251"/>
      <c r="AP108" s="251"/>
      <c r="AQ108" s="251">
        <v>1</v>
      </c>
      <c r="AR108" s="527">
        <v>1</v>
      </c>
      <c r="AS108" s="251">
        <v>1</v>
      </c>
      <c r="AT108" s="251">
        <v>1</v>
      </c>
      <c r="AU108" s="251">
        <v>1</v>
      </c>
    </row>
    <row r="109" s="356" customFormat="1" ht="45" customHeight="1" spans="1:47">
      <c r="A109" s="386">
        <f t="shared" si="16"/>
        <v>100</v>
      </c>
      <c r="B109" s="389"/>
      <c r="C109" s="386"/>
      <c r="D109" s="386"/>
      <c r="E109" s="425"/>
      <c r="F109" s="386"/>
      <c r="G109" s="386">
        <v>5</v>
      </c>
      <c r="H109" s="386"/>
      <c r="I109" s="386"/>
      <c r="J109" s="386"/>
      <c r="K109" s="386"/>
      <c r="L109" s="387" t="s">
        <v>87</v>
      </c>
      <c r="M109" s="421"/>
      <c r="N109" s="421" t="s">
        <v>466</v>
      </c>
      <c r="O109" s="421" t="s">
        <v>467</v>
      </c>
      <c r="P109" s="387" t="s">
        <v>410</v>
      </c>
      <c r="Q109" s="387"/>
      <c r="R109" s="387" t="s">
        <v>67</v>
      </c>
      <c r="S109" s="387"/>
      <c r="T109" s="387" t="s">
        <v>66</v>
      </c>
      <c r="U109" s="387" t="s">
        <v>64</v>
      </c>
      <c r="V109" s="387" t="s">
        <v>66</v>
      </c>
      <c r="W109" s="387" t="s">
        <v>69</v>
      </c>
      <c r="X109" s="387" t="s">
        <v>393</v>
      </c>
      <c r="Y109" s="387" t="s">
        <v>169</v>
      </c>
      <c r="Z109" s="387" t="s">
        <v>411</v>
      </c>
      <c r="AA109" s="387" t="s">
        <v>64</v>
      </c>
      <c r="AB109" s="387" t="s">
        <v>412</v>
      </c>
      <c r="AC109" s="387">
        <v>0.3374</v>
      </c>
      <c r="AD109" s="387" t="s">
        <v>64</v>
      </c>
      <c r="AE109" s="457" t="s">
        <v>110</v>
      </c>
      <c r="AF109" s="457">
        <f>157+8</f>
        <v>165</v>
      </c>
      <c r="AG109" s="457">
        <f>125+3</f>
        <v>128</v>
      </c>
      <c r="AH109" s="490" t="s">
        <v>215</v>
      </c>
      <c r="AI109" s="492">
        <f t="shared" ref="AI109:AI111" si="17">AF109*AG109*AH109*7860/1000000000</f>
        <v>0.4980096</v>
      </c>
      <c r="AJ109" s="489">
        <f t="shared" ref="AJ109:AJ111" si="18">AC109/AI109</f>
        <v>0.677496979977896</v>
      </c>
      <c r="AK109" s="455"/>
      <c r="AL109" s="455"/>
      <c r="AM109" s="572"/>
      <c r="AN109" s="572"/>
      <c r="AO109" s="387"/>
      <c r="AP109" s="387"/>
      <c r="AQ109" s="387">
        <v>1</v>
      </c>
      <c r="AR109" s="527">
        <v>1</v>
      </c>
      <c r="AS109" s="387">
        <v>1</v>
      </c>
      <c r="AT109" s="387">
        <v>1</v>
      </c>
      <c r="AU109" s="387">
        <v>1</v>
      </c>
    </row>
    <row r="110" s="356" customFormat="1" ht="45" customHeight="1" spans="1:47">
      <c r="A110" s="386">
        <f t="shared" si="16"/>
        <v>101</v>
      </c>
      <c r="B110" s="389"/>
      <c r="C110" s="386"/>
      <c r="D110" s="386"/>
      <c r="E110" s="425"/>
      <c r="F110" s="386"/>
      <c r="G110" s="386">
        <v>5</v>
      </c>
      <c r="H110" s="386"/>
      <c r="I110" s="386"/>
      <c r="J110" s="386"/>
      <c r="K110" s="386"/>
      <c r="L110" s="387" t="s">
        <v>87</v>
      </c>
      <c r="M110" s="421"/>
      <c r="N110" s="421" t="s">
        <v>468</v>
      </c>
      <c r="O110" s="421" t="s">
        <v>469</v>
      </c>
      <c r="P110" s="387" t="s">
        <v>415</v>
      </c>
      <c r="Q110" s="387"/>
      <c r="R110" s="387" t="s">
        <v>67</v>
      </c>
      <c r="S110" s="387"/>
      <c r="T110" s="387" t="s">
        <v>66</v>
      </c>
      <c r="U110" s="387" t="s">
        <v>64</v>
      </c>
      <c r="V110" s="387" t="s">
        <v>66</v>
      </c>
      <c r="W110" s="387" t="s">
        <v>69</v>
      </c>
      <c r="X110" s="387" t="s">
        <v>393</v>
      </c>
      <c r="Y110" s="387" t="s">
        <v>169</v>
      </c>
      <c r="Z110" s="387" t="s">
        <v>416</v>
      </c>
      <c r="AA110" s="387" t="s">
        <v>64</v>
      </c>
      <c r="AB110" s="387" t="s">
        <v>417</v>
      </c>
      <c r="AC110" s="387">
        <v>0.0143</v>
      </c>
      <c r="AD110" s="387" t="s">
        <v>64</v>
      </c>
      <c r="AE110" s="457" t="s">
        <v>110</v>
      </c>
      <c r="AF110" s="457">
        <f>51+7</f>
        <v>58</v>
      </c>
      <c r="AG110" s="457">
        <f>25+3</f>
        <v>28</v>
      </c>
      <c r="AH110" s="490" t="s">
        <v>215</v>
      </c>
      <c r="AI110" s="492">
        <f t="shared" si="17"/>
        <v>0.03829392</v>
      </c>
      <c r="AJ110" s="489">
        <f t="shared" si="18"/>
        <v>0.373427426599314</v>
      </c>
      <c r="AK110" s="455"/>
      <c r="AL110" s="455"/>
      <c r="AM110" s="572"/>
      <c r="AN110" s="572"/>
      <c r="AO110" s="387"/>
      <c r="AP110" s="387"/>
      <c r="AQ110" s="387">
        <v>1</v>
      </c>
      <c r="AR110" s="527">
        <v>1</v>
      </c>
      <c r="AS110" s="387">
        <v>1</v>
      </c>
      <c r="AT110" s="387">
        <v>1</v>
      </c>
      <c r="AU110" s="387">
        <v>1</v>
      </c>
    </row>
    <row r="111" s="356" customFormat="1" ht="45" customHeight="1" spans="1:47">
      <c r="A111" s="386">
        <f t="shared" ref="A111:A128" si="19">ROW()-9</f>
        <v>102</v>
      </c>
      <c r="B111" s="389"/>
      <c r="C111" s="386"/>
      <c r="D111" s="386"/>
      <c r="E111" s="425"/>
      <c r="F111" s="386"/>
      <c r="G111" s="386">
        <v>5</v>
      </c>
      <c r="H111" s="386"/>
      <c r="I111" s="386"/>
      <c r="J111" s="386"/>
      <c r="K111" s="386"/>
      <c r="L111" s="387" t="s">
        <v>87</v>
      </c>
      <c r="M111" s="251"/>
      <c r="N111" s="251" t="s">
        <v>418</v>
      </c>
      <c r="O111" s="251" t="s">
        <v>470</v>
      </c>
      <c r="P111" s="387" t="s">
        <v>420</v>
      </c>
      <c r="Q111" s="387"/>
      <c r="R111" s="387" t="s">
        <v>67</v>
      </c>
      <c r="S111" s="387"/>
      <c r="T111" s="387" t="s">
        <v>66</v>
      </c>
      <c r="U111" s="387" t="s">
        <v>64</v>
      </c>
      <c r="V111" s="387" t="s">
        <v>66</v>
      </c>
      <c r="W111" s="387" t="s">
        <v>69</v>
      </c>
      <c r="X111" s="387" t="s">
        <v>393</v>
      </c>
      <c r="Y111" s="387" t="s">
        <v>169</v>
      </c>
      <c r="Z111" s="387" t="s">
        <v>421</v>
      </c>
      <c r="AA111" s="387" t="s">
        <v>64</v>
      </c>
      <c r="AB111" s="387" t="s">
        <v>422</v>
      </c>
      <c r="AC111" s="387">
        <v>0.0091</v>
      </c>
      <c r="AD111" s="387" t="s">
        <v>64</v>
      </c>
      <c r="AE111" s="457" t="s">
        <v>110</v>
      </c>
      <c r="AF111" s="457">
        <f>24+5</f>
        <v>29</v>
      </c>
      <c r="AG111" s="457">
        <f>22+2</f>
        <v>24</v>
      </c>
      <c r="AH111" s="490" t="s">
        <v>241</v>
      </c>
      <c r="AI111" s="492">
        <f t="shared" si="17"/>
        <v>0.01094112</v>
      </c>
      <c r="AJ111" s="489">
        <f t="shared" si="18"/>
        <v>0.83172472288029</v>
      </c>
      <c r="AK111" s="455"/>
      <c r="AL111" s="455"/>
      <c r="AM111" s="572"/>
      <c r="AN111" s="572"/>
      <c r="AO111" s="387"/>
      <c r="AP111" s="387"/>
      <c r="AQ111" s="387">
        <v>1</v>
      </c>
      <c r="AR111" s="527">
        <v>1</v>
      </c>
      <c r="AS111" s="387">
        <v>1</v>
      </c>
      <c r="AT111" s="387">
        <v>1</v>
      </c>
      <c r="AU111" s="387">
        <v>1</v>
      </c>
    </row>
    <row r="112" s="356" customFormat="1" ht="45" customHeight="1" spans="1:47">
      <c r="A112" s="386">
        <f t="shared" si="19"/>
        <v>103</v>
      </c>
      <c r="B112" s="389"/>
      <c r="C112" s="386"/>
      <c r="D112" s="386"/>
      <c r="E112" s="120">
        <v>3</v>
      </c>
      <c r="F112" s="537"/>
      <c r="G112" s="537"/>
      <c r="H112" s="386"/>
      <c r="I112" s="386"/>
      <c r="J112" s="386"/>
      <c r="K112" s="386"/>
      <c r="L112" s="387"/>
      <c r="M112" s="546" t="s">
        <v>471</v>
      </c>
      <c r="N112" s="251"/>
      <c r="O112" s="410" t="s">
        <v>472</v>
      </c>
      <c r="P112" s="387"/>
      <c r="Q112" s="387"/>
      <c r="R112" s="387" t="s">
        <v>67</v>
      </c>
      <c r="S112" s="387"/>
      <c r="T112" s="387" t="s">
        <v>66</v>
      </c>
      <c r="U112" s="387" t="s">
        <v>64</v>
      </c>
      <c r="V112" s="251" t="s">
        <v>66</v>
      </c>
      <c r="W112" s="251" t="s">
        <v>69</v>
      </c>
      <c r="X112" s="251" t="s">
        <v>393</v>
      </c>
      <c r="Y112" s="251" t="s">
        <v>280</v>
      </c>
      <c r="Z112" s="251" t="s">
        <v>71</v>
      </c>
      <c r="AA112" s="251" t="s">
        <v>64</v>
      </c>
      <c r="AB112" s="251"/>
      <c r="AC112" s="251" t="s">
        <v>64</v>
      </c>
      <c r="AD112" s="251" t="s">
        <v>109</v>
      </c>
      <c r="AE112" s="457" t="s">
        <v>109</v>
      </c>
      <c r="AF112" s="457"/>
      <c r="AG112" s="457"/>
      <c r="AH112" s="490"/>
      <c r="AI112" s="492"/>
      <c r="AJ112" s="489"/>
      <c r="AK112" s="455"/>
      <c r="AL112" s="455">
        <v>0.028</v>
      </c>
      <c r="AM112" s="571" t="s">
        <v>74</v>
      </c>
      <c r="AN112" s="571" t="s">
        <v>196</v>
      </c>
      <c r="AO112" s="387"/>
      <c r="AP112" s="387"/>
      <c r="AQ112" s="387">
        <v>1</v>
      </c>
      <c r="AR112" s="527">
        <v>1</v>
      </c>
      <c r="AS112" s="387">
        <v>1</v>
      </c>
      <c r="AT112" s="387"/>
      <c r="AU112" s="387"/>
    </row>
    <row r="113" s="356" customFormat="1" ht="45" customHeight="1" spans="1:47">
      <c r="A113" s="386">
        <f t="shared" si="19"/>
        <v>104</v>
      </c>
      <c r="B113" s="389"/>
      <c r="C113" s="386"/>
      <c r="D113" s="386"/>
      <c r="E113" s="120"/>
      <c r="F113" s="537">
        <v>4</v>
      </c>
      <c r="G113" s="537"/>
      <c r="H113" s="386"/>
      <c r="I113" s="386"/>
      <c r="J113" s="386"/>
      <c r="K113" s="386"/>
      <c r="L113" s="387"/>
      <c r="M113" s="251" t="s">
        <v>473</v>
      </c>
      <c r="N113" s="251"/>
      <c r="O113" s="251" t="s">
        <v>474</v>
      </c>
      <c r="P113" s="387"/>
      <c r="Q113" s="387"/>
      <c r="R113" s="387" t="s">
        <v>67</v>
      </c>
      <c r="S113" s="387"/>
      <c r="T113" s="387" t="s">
        <v>66</v>
      </c>
      <c r="U113" s="387" t="s">
        <v>64</v>
      </c>
      <c r="V113" s="251" t="s">
        <v>66</v>
      </c>
      <c r="W113" s="251" t="s">
        <v>69</v>
      </c>
      <c r="X113" s="251" t="s">
        <v>393</v>
      </c>
      <c r="Y113" s="251" t="s">
        <v>280</v>
      </c>
      <c r="Z113" s="251" t="s">
        <v>71</v>
      </c>
      <c r="AA113" s="251" t="s">
        <v>64</v>
      </c>
      <c r="AB113" s="251"/>
      <c r="AC113" s="251" t="s">
        <v>64</v>
      </c>
      <c r="AD113" s="251"/>
      <c r="AE113" s="455" t="s">
        <v>200</v>
      </c>
      <c r="AF113" s="455"/>
      <c r="AG113" s="455"/>
      <c r="AH113" s="455"/>
      <c r="AI113" s="455"/>
      <c r="AJ113" s="455"/>
      <c r="AK113" s="455"/>
      <c r="AL113" s="455"/>
      <c r="AM113" s="571" t="s">
        <v>100</v>
      </c>
      <c r="AN113" s="571" t="s">
        <v>407</v>
      </c>
      <c r="AO113" s="387"/>
      <c r="AP113" s="387"/>
      <c r="AQ113" s="387">
        <v>1</v>
      </c>
      <c r="AR113" s="527">
        <v>1</v>
      </c>
      <c r="AS113" s="387">
        <v>1</v>
      </c>
      <c r="AT113" s="387">
        <v>1</v>
      </c>
      <c r="AU113" s="387">
        <v>1</v>
      </c>
    </row>
    <row r="114" s="356" customFormat="1" ht="45" customHeight="1" spans="1:47">
      <c r="A114" s="386">
        <f t="shared" si="19"/>
        <v>105</v>
      </c>
      <c r="B114" s="389"/>
      <c r="C114" s="386"/>
      <c r="D114" s="386"/>
      <c r="E114" s="425"/>
      <c r="F114" s="386"/>
      <c r="G114" s="386">
        <v>5</v>
      </c>
      <c r="H114" s="386"/>
      <c r="I114" s="386"/>
      <c r="J114" s="386"/>
      <c r="K114" s="386"/>
      <c r="L114" s="387" t="s">
        <v>87</v>
      </c>
      <c r="M114" s="251"/>
      <c r="N114" s="251" t="s">
        <v>475</v>
      </c>
      <c r="O114" s="251" t="s">
        <v>476</v>
      </c>
      <c r="P114" s="387" t="s">
        <v>410</v>
      </c>
      <c r="Q114" s="387"/>
      <c r="R114" s="387" t="s">
        <v>67</v>
      </c>
      <c r="S114" s="387"/>
      <c r="T114" s="387" t="s">
        <v>66</v>
      </c>
      <c r="U114" s="387" t="s">
        <v>64</v>
      </c>
      <c r="V114" s="387" t="s">
        <v>66</v>
      </c>
      <c r="W114" s="387" t="s">
        <v>69</v>
      </c>
      <c r="X114" s="387" t="s">
        <v>68</v>
      </c>
      <c r="Y114" s="387" t="s">
        <v>169</v>
      </c>
      <c r="Z114" s="387" t="s">
        <v>411</v>
      </c>
      <c r="AA114" s="387" t="s">
        <v>64</v>
      </c>
      <c r="AB114" s="387" t="s">
        <v>429</v>
      </c>
      <c r="AC114" s="387">
        <v>0.2429</v>
      </c>
      <c r="AD114" s="387" t="s">
        <v>64</v>
      </c>
      <c r="AE114" s="457" t="s">
        <v>110</v>
      </c>
      <c r="AF114" s="457">
        <f>131+8</f>
        <v>139</v>
      </c>
      <c r="AG114" s="457">
        <f>91+3</f>
        <v>94</v>
      </c>
      <c r="AH114" s="490" t="s">
        <v>215</v>
      </c>
      <c r="AI114" s="492">
        <f t="shared" ref="AI114:AI116" si="20">AF114*AG114*AH114*7860/1000000000</f>
        <v>0.30809628</v>
      </c>
      <c r="AJ114" s="489">
        <f t="shared" ref="AJ114:AJ117" si="21">AC114/AI114</f>
        <v>0.788389914996702</v>
      </c>
      <c r="AK114" s="455"/>
      <c r="AL114" s="455"/>
      <c r="AM114" s="572"/>
      <c r="AN114" s="572"/>
      <c r="AO114" s="387"/>
      <c r="AP114" s="387"/>
      <c r="AQ114" s="387">
        <v>1</v>
      </c>
      <c r="AR114" s="527">
        <v>1</v>
      </c>
      <c r="AS114" s="387">
        <v>1</v>
      </c>
      <c r="AT114" s="387">
        <v>1</v>
      </c>
      <c r="AU114" s="387">
        <v>1</v>
      </c>
    </row>
    <row r="115" s="356" customFormat="1" ht="45" customHeight="1" spans="1:47">
      <c r="A115" s="386">
        <f t="shared" si="19"/>
        <v>106</v>
      </c>
      <c r="B115" s="389"/>
      <c r="C115" s="386"/>
      <c r="D115" s="386"/>
      <c r="E115" s="425"/>
      <c r="F115" s="386"/>
      <c r="G115" s="386">
        <v>5</v>
      </c>
      <c r="H115" s="386"/>
      <c r="I115" s="386"/>
      <c r="J115" s="386"/>
      <c r="K115" s="386"/>
      <c r="L115" s="387" t="s">
        <v>87</v>
      </c>
      <c r="M115" s="251"/>
      <c r="N115" s="251" t="s">
        <v>430</v>
      </c>
      <c r="O115" s="251" t="s">
        <v>431</v>
      </c>
      <c r="P115" s="387" t="s">
        <v>64</v>
      </c>
      <c r="Q115" s="387"/>
      <c r="R115" s="387" t="s">
        <v>67</v>
      </c>
      <c r="S115" s="553"/>
      <c r="T115" s="387" t="s">
        <v>66</v>
      </c>
      <c r="U115" s="387" t="s">
        <v>64</v>
      </c>
      <c r="V115" s="387" t="s">
        <v>66</v>
      </c>
      <c r="W115" s="387" t="s">
        <v>69</v>
      </c>
      <c r="X115" s="387" t="s">
        <v>393</v>
      </c>
      <c r="Y115" s="387" t="s">
        <v>169</v>
      </c>
      <c r="Z115" s="387" t="s">
        <v>416</v>
      </c>
      <c r="AA115" s="387" t="s">
        <v>64</v>
      </c>
      <c r="AB115" s="387" t="s">
        <v>432</v>
      </c>
      <c r="AC115" s="387">
        <v>0.023</v>
      </c>
      <c r="AD115" s="387" t="s">
        <v>64</v>
      </c>
      <c r="AE115" s="457" t="s">
        <v>110</v>
      </c>
      <c r="AF115" s="457">
        <f>50+7</f>
        <v>57</v>
      </c>
      <c r="AG115" s="457">
        <f>30+3</f>
        <v>33</v>
      </c>
      <c r="AH115" s="490" t="s">
        <v>215</v>
      </c>
      <c r="AI115" s="492">
        <f t="shared" si="20"/>
        <v>0.04435398</v>
      </c>
      <c r="AJ115" s="489">
        <f t="shared" si="21"/>
        <v>0.518555493779814</v>
      </c>
      <c r="AK115" s="455"/>
      <c r="AL115" s="455"/>
      <c r="AM115" s="572"/>
      <c r="AN115" s="572"/>
      <c r="AO115" s="387"/>
      <c r="AP115" s="387"/>
      <c r="AQ115" s="387">
        <v>1</v>
      </c>
      <c r="AR115" s="527">
        <v>1</v>
      </c>
      <c r="AS115" s="387">
        <v>1</v>
      </c>
      <c r="AT115" s="387">
        <v>1</v>
      </c>
      <c r="AU115" s="387">
        <v>1</v>
      </c>
    </row>
    <row r="116" s="356" customFormat="1" ht="45" customHeight="1" spans="1:47">
      <c r="A116" s="386">
        <f t="shared" si="19"/>
        <v>107</v>
      </c>
      <c r="B116" s="389"/>
      <c r="C116" s="386"/>
      <c r="D116" s="386"/>
      <c r="E116" s="425"/>
      <c r="F116" s="386"/>
      <c r="G116" s="386">
        <v>5</v>
      </c>
      <c r="H116" s="386"/>
      <c r="I116" s="386"/>
      <c r="J116" s="386"/>
      <c r="K116" s="386"/>
      <c r="L116" s="387" t="s">
        <v>87</v>
      </c>
      <c r="M116" s="251"/>
      <c r="N116" s="251" t="s">
        <v>433</v>
      </c>
      <c r="O116" s="251" t="s">
        <v>434</v>
      </c>
      <c r="P116" s="387" t="s">
        <v>410</v>
      </c>
      <c r="Q116" s="387"/>
      <c r="R116" s="387" t="s">
        <v>67</v>
      </c>
      <c r="S116" s="387"/>
      <c r="T116" s="387" t="s">
        <v>66</v>
      </c>
      <c r="U116" s="387" t="s">
        <v>64</v>
      </c>
      <c r="V116" s="387" t="s">
        <v>66</v>
      </c>
      <c r="W116" s="387" t="s">
        <v>69</v>
      </c>
      <c r="X116" s="387" t="s">
        <v>393</v>
      </c>
      <c r="Y116" s="387" t="s">
        <v>169</v>
      </c>
      <c r="Z116" s="387" t="s">
        <v>416</v>
      </c>
      <c r="AA116" s="387" t="s">
        <v>64</v>
      </c>
      <c r="AB116" s="387" t="s">
        <v>435</v>
      </c>
      <c r="AC116" s="387">
        <v>0.0274</v>
      </c>
      <c r="AD116" s="387" t="s">
        <v>64</v>
      </c>
      <c r="AE116" s="457" t="s">
        <v>110</v>
      </c>
      <c r="AF116" s="457">
        <f>52+7</f>
        <v>59</v>
      </c>
      <c r="AG116" s="457">
        <f>22+3</f>
        <v>25</v>
      </c>
      <c r="AH116" s="490" t="s">
        <v>215</v>
      </c>
      <c r="AI116" s="492">
        <f t="shared" si="20"/>
        <v>0.0347805</v>
      </c>
      <c r="AJ116" s="489">
        <f t="shared" si="21"/>
        <v>0.787797760239215</v>
      </c>
      <c r="AK116" s="455"/>
      <c r="AL116" s="455"/>
      <c r="AM116" s="572"/>
      <c r="AN116" s="572"/>
      <c r="AO116" s="387"/>
      <c r="AP116" s="387"/>
      <c r="AQ116" s="387">
        <v>1</v>
      </c>
      <c r="AR116" s="527">
        <v>1</v>
      </c>
      <c r="AS116" s="387">
        <v>1</v>
      </c>
      <c r="AT116" s="387">
        <v>1</v>
      </c>
      <c r="AU116" s="387">
        <v>1</v>
      </c>
    </row>
    <row r="117" s="3" customFormat="1" ht="39.95" customHeight="1" spans="1:47">
      <c r="A117" s="386">
        <f t="shared" si="19"/>
        <v>108</v>
      </c>
      <c r="B117" s="34"/>
      <c r="C117" s="34"/>
      <c r="D117" s="34"/>
      <c r="E117" s="120">
        <v>3</v>
      </c>
      <c r="F117" s="34"/>
      <c r="G117" s="38"/>
      <c r="H117" s="38"/>
      <c r="I117" s="38"/>
      <c r="J117" s="38"/>
      <c r="K117" s="69"/>
      <c r="L117" s="69"/>
      <c r="M117" s="547" t="s">
        <v>477</v>
      </c>
      <c r="N117" s="421" t="s">
        <v>478</v>
      </c>
      <c r="O117" s="421" t="s">
        <v>479</v>
      </c>
      <c r="P117" s="251"/>
      <c r="Q117" s="251" t="s">
        <v>480</v>
      </c>
      <c r="R117" s="251" t="s">
        <v>67</v>
      </c>
      <c r="S117" s="251"/>
      <c r="T117" s="251" t="s">
        <v>481</v>
      </c>
      <c r="U117" s="251" t="str">
        <f t="shared" ref="U117" si="22">N117</f>
        <v>SQX3000-6805112</v>
      </c>
      <c r="V117" s="251" t="s">
        <v>480</v>
      </c>
      <c r="W117" s="251" t="s">
        <v>393</v>
      </c>
      <c r="X117" s="251" t="s">
        <v>93</v>
      </c>
      <c r="Y117" s="251" t="s">
        <v>482</v>
      </c>
      <c r="Z117" s="251" t="s">
        <v>64</v>
      </c>
      <c r="AA117" s="251" t="s">
        <v>64</v>
      </c>
      <c r="AB117" s="251" t="s">
        <v>483</v>
      </c>
      <c r="AC117" s="251">
        <v>0.001</v>
      </c>
      <c r="AD117" s="251"/>
      <c r="AE117" s="417" t="s">
        <v>98</v>
      </c>
      <c r="AF117" s="417" t="s">
        <v>99</v>
      </c>
      <c r="AG117" s="417"/>
      <c r="AH117" s="549"/>
      <c r="AI117" s="573">
        <f>AC117*1.04</f>
        <v>0.00104</v>
      </c>
      <c r="AJ117" s="574">
        <f t="shared" si="21"/>
        <v>0.961538461538461</v>
      </c>
      <c r="AK117" s="251"/>
      <c r="AL117" s="251"/>
      <c r="AM117" s="571" t="s">
        <v>100</v>
      </c>
      <c r="AN117" s="571" t="s">
        <v>402</v>
      </c>
      <c r="AO117" s="251"/>
      <c r="AP117" s="251"/>
      <c r="AQ117" s="251">
        <v>1</v>
      </c>
      <c r="AR117" s="527" t="s">
        <v>111</v>
      </c>
      <c r="AS117" s="251" t="s">
        <v>111</v>
      </c>
      <c r="AT117" s="251" t="s">
        <v>111</v>
      </c>
      <c r="AU117" s="251">
        <v>1</v>
      </c>
    </row>
    <row r="118" s="360" customFormat="1" ht="45" customHeight="1" spans="1:47">
      <c r="A118" s="386">
        <f t="shared" si="19"/>
        <v>109</v>
      </c>
      <c r="B118" s="309"/>
      <c r="C118" s="537"/>
      <c r="D118" s="537"/>
      <c r="E118" s="120">
        <v>3</v>
      </c>
      <c r="F118" s="537"/>
      <c r="G118" s="537"/>
      <c r="H118" s="537"/>
      <c r="I118" s="537"/>
      <c r="J118" s="537"/>
      <c r="K118" s="537"/>
      <c r="L118" s="251" t="s">
        <v>87</v>
      </c>
      <c r="M118" s="251" t="s">
        <v>450</v>
      </c>
      <c r="N118" s="251" t="s">
        <v>451</v>
      </c>
      <c r="O118" s="251" t="s">
        <v>452</v>
      </c>
      <c r="P118" s="251" t="s">
        <v>484</v>
      </c>
      <c r="Q118" s="251"/>
      <c r="R118" s="251" t="s">
        <v>67</v>
      </c>
      <c r="S118" s="251"/>
      <c r="T118" s="251" t="s">
        <v>66</v>
      </c>
      <c r="U118" s="251" t="s">
        <v>64</v>
      </c>
      <c r="V118" s="251" t="s">
        <v>66</v>
      </c>
      <c r="W118" s="251" t="s">
        <v>69</v>
      </c>
      <c r="X118" s="251" t="s">
        <v>393</v>
      </c>
      <c r="Y118" s="251" t="s">
        <v>454</v>
      </c>
      <c r="Z118" s="251" t="s">
        <v>381</v>
      </c>
      <c r="AA118" s="251" t="s">
        <v>64</v>
      </c>
      <c r="AB118" s="251" t="s">
        <v>64</v>
      </c>
      <c r="AC118" s="251">
        <v>0.1358</v>
      </c>
      <c r="AD118" s="251" t="s">
        <v>455</v>
      </c>
      <c r="AE118" s="455"/>
      <c r="AF118" s="455"/>
      <c r="AG118" s="455"/>
      <c r="AH118" s="455"/>
      <c r="AI118" s="455"/>
      <c r="AJ118" s="455"/>
      <c r="AK118" s="455"/>
      <c r="AL118" s="455"/>
      <c r="AM118" s="571" t="s">
        <v>100</v>
      </c>
      <c r="AN118" s="571" t="s">
        <v>456</v>
      </c>
      <c r="AO118" s="251"/>
      <c r="AP118" s="251"/>
      <c r="AQ118" s="251">
        <v>1</v>
      </c>
      <c r="AR118" s="527">
        <v>1</v>
      </c>
      <c r="AS118" s="251">
        <v>1</v>
      </c>
      <c r="AT118" s="251">
        <v>1</v>
      </c>
      <c r="AU118" s="251">
        <v>1</v>
      </c>
    </row>
    <row r="119" s="357" customFormat="1" ht="45" customHeight="1" spans="1:47">
      <c r="A119" s="386">
        <f t="shared" si="19"/>
        <v>110</v>
      </c>
      <c r="B119" s="389"/>
      <c r="C119" s="386">
        <v>1</v>
      </c>
      <c r="D119" s="390"/>
      <c r="E119" s="386"/>
      <c r="F119" s="386"/>
      <c r="G119" s="386"/>
      <c r="H119" s="386"/>
      <c r="I119" s="386"/>
      <c r="J119" s="386"/>
      <c r="K119" s="386"/>
      <c r="L119" s="387" t="s">
        <v>87</v>
      </c>
      <c r="M119" s="251" t="s">
        <v>485</v>
      </c>
      <c r="N119" s="413" t="s">
        <v>486</v>
      </c>
      <c r="O119" s="413" t="s">
        <v>487</v>
      </c>
      <c r="P119" s="395" t="s">
        <v>488</v>
      </c>
      <c r="Q119" s="387" t="s">
        <v>66</v>
      </c>
      <c r="R119" s="387" t="s">
        <v>67</v>
      </c>
      <c r="S119" s="387"/>
      <c r="T119" s="435" t="s">
        <v>66</v>
      </c>
      <c r="U119" s="395" t="s">
        <v>486</v>
      </c>
      <c r="V119" s="435" t="s">
        <v>66</v>
      </c>
      <c r="W119" s="389" t="s">
        <v>69</v>
      </c>
      <c r="X119" s="436" t="s">
        <v>68</v>
      </c>
      <c r="Y119" s="425" t="s">
        <v>117</v>
      </c>
      <c r="Z119" s="386" t="s">
        <v>64</v>
      </c>
      <c r="AA119" s="386" t="s">
        <v>64</v>
      </c>
      <c r="AB119" s="386" t="s">
        <v>489</v>
      </c>
      <c r="AC119" s="564">
        <v>0.0264</v>
      </c>
      <c r="AD119" s="454" t="s">
        <v>64</v>
      </c>
      <c r="AE119" s="123"/>
      <c r="AF119" s="123"/>
      <c r="AG119" s="123"/>
      <c r="AH119" s="575"/>
      <c r="AI119" s="575"/>
      <c r="AJ119" s="575"/>
      <c r="AK119" s="576"/>
      <c r="AL119" s="577"/>
      <c r="AM119" s="487" t="s">
        <v>100</v>
      </c>
      <c r="AN119" s="487" t="s">
        <v>490</v>
      </c>
      <c r="AO119" s="525"/>
      <c r="AP119" s="389"/>
      <c r="AQ119" s="581" t="s">
        <v>491</v>
      </c>
      <c r="AR119" s="582" t="s">
        <v>491</v>
      </c>
      <c r="AS119" s="581" t="s">
        <v>491</v>
      </c>
      <c r="AT119" s="390">
        <v>8</v>
      </c>
      <c r="AU119" s="390">
        <v>8</v>
      </c>
    </row>
    <row r="120" s="357" customFormat="1" ht="45" customHeight="1" spans="1:47">
      <c r="A120" s="386">
        <f t="shared" si="19"/>
        <v>111</v>
      </c>
      <c r="B120" s="389"/>
      <c r="C120" s="386">
        <v>1</v>
      </c>
      <c r="D120" s="390"/>
      <c r="E120" s="386"/>
      <c r="F120" s="386"/>
      <c r="G120" s="386"/>
      <c r="H120" s="386"/>
      <c r="I120" s="386"/>
      <c r="J120" s="386"/>
      <c r="K120" s="386"/>
      <c r="L120" s="387" t="s">
        <v>87</v>
      </c>
      <c r="M120" s="251" t="s">
        <v>492</v>
      </c>
      <c r="N120" s="413" t="s">
        <v>493</v>
      </c>
      <c r="O120" s="413" t="s">
        <v>494</v>
      </c>
      <c r="P120" s="395" t="s">
        <v>488</v>
      </c>
      <c r="Q120" s="387" t="s">
        <v>92</v>
      </c>
      <c r="R120" s="387" t="s">
        <v>67</v>
      </c>
      <c r="S120" s="387"/>
      <c r="T120" s="435" t="s">
        <v>66</v>
      </c>
      <c r="U120" s="395" t="s">
        <v>493</v>
      </c>
      <c r="V120" s="435" t="s">
        <v>66</v>
      </c>
      <c r="W120" s="389" t="s">
        <v>69</v>
      </c>
      <c r="X120" s="436" t="s">
        <v>68</v>
      </c>
      <c r="Y120" s="425" t="s">
        <v>117</v>
      </c>
      <c r="Z120" s="386" t="s">
        <v>64</v>
      </c>
      <c r="AA120" s="386" t="s">
        <v>64</v>
      </c>
      <c r="AB120" s="386" t="s">
        <v>495</v>
      </c>
      <c r="AC120" s="564">
        <v>0.004</v>
      </c>
      <c r="AD120" s="454" t="s">
        <v>64</v>
      </c>
      <c r="AE120" s="123"/>
      <c r="AF120" s="123"/>
      <c r="AG120" s="123"/>
      <c r="AH120" s="575"/>
      <c r="AI120" s="575"/>
      <c r="AJ120" s="575"/>
      <c r="AK120" s="576"/>
      <c r="AL120" s="578"/>
      <c r="AM120" s="494" t="s">
        <v>100</v>
      </c>
      <c r="AN120" s="487" t="s">
        <v>490</v>
      </c>
      <c r="AO120" s="525"/>
      <c r="AP120" s="525"/>
      <c r="AQ120" s="581" t="s">
        <v>491</v>
      </c>
      <c r="AR120" s="582" t="s">
        <v>491</v>
      </c>
      <c r="AS120" s="581" t="s">
        <v>491</v>
      </c>
      <c r="AT120" s="390">
        <v>8</v>
      </c>
      <c r="AU120" s="390">
        <v>8</v>
      </c>
    </row>
    <row r="121" s="357" customFormat="1" ht="45" customHeight="1" spans="1:47">
      <c r="A121" s="386">
        <f t="shared" si="19"/>
        <v>112</v>
      </c>
      <c r="B121" s="389"/>
      <c r="C121" s="386">
        <v>1</v>
      </c>
      <c r="D121" s="390"/>
      <c r="E121" s="386"/>
      <c r="F121" s="386"/>
      <c r="G121" s="386"/>
      <c r="H121" s="386"/>
      <c r="I121" s="386"/>
      <c r="J121" s="386"/>
      <c r="K121" s="386"/>
      <c r="L121" s="387" t="s">
        <v>87</v>
      </c>
      <c r="M121" s="251" t="s">
        <v>496</v>
      </c>
      <c r="N121" s="413" t="s">
        <v>497</v>
      </c>
      <c r="O121" s="413" t="s">
        <v>498</v>
      </c>
      <c r="P121" s="395" t="s">
        <v>488</v>
      </c>
      <c r="Q121" s="387" t="s">
        <v>92</v>
      </c>
      <c r="R121" s="387" t="s">
        <v>67</v>
      </c>
      <c r="S121" s="387"/>
      <c r="T121" s="435" t="s">
        <v>66</v>
      </c>
      <c r="U121" s="395" t="s">
        <v>497</v>
      </c>
      <c r="V121" s="435" t="s">
        <v>66</v>
      </c>
      <c r="W121" s="389" t="s">
        <v>69</v>
      </c>
      <c r="X121" s="436" t="s">
        <v>68</v>
      </c>
      <c r="Y121" s="425" t="s">
        <v>117</v>
      </c>
      <c r="Z121" s="386" t="s">
        <v>64</v>
      </c>
      <c r="AA121" s="386" t="s">
        <v>64</v>
      </c>
      <c r="AB121" s="386" t="s">
        <v>499</v>
      </c>
      <c r="AC121" s="564">
        <v>0.006</v>
      </c>
      <c r="AD121" s="454" t="s">
        <v>64</v>
      </c>
      <c r="AE121" s="123"/>
      <c r="AF121" s="123"/>
      <c r="AG121" s="123"/>
      <c r="AH121" s="575"/>
      <c r="AI121" s="575"/>
      <c r="AJ121" s="575"/>
      <c r="AK121" s="576"/>
      <c r="AL121" s="577"/>
      <c r="AM121" s="487" t="s">
        <v>100</v>
      </c>
      <c r="AN121" s="487" t="s">
        <v>490</v>
      </c>
      <c r="AO121" s="525"/>
      <c r="AP121" s="389"/>
      <c r="AQ121" s="581" t="s">
        <v>491</v>
      </c>
      <c r="AR121" s="582" t="s">
        <v>491</v>
      </c>
      <c r="AS121" s="581" t="s">
        <v>491</v>
      </c>
      <c r="AT121" s="390">
        <v>8</v>
      </c>
      <c r="AU121" s="390">
        <v>8</v>
      </c>
    </row>
    <row r="122" s="11" customFormat="1" ht="45" customHeight="1" spans="1:47">
      <c r="A122" s="386">
        <f t="shared" si="19"/>
        <v>113</v>
      </c>
      <c r="B122" s="309"/>
      <c r="C122" s="405"/>
      <c r="D122" s="405"/>
      <c r="E122" s="537"/>
      <c r="F122" s="537"/>
      <c r="G122" s="537"/>
      <c r="H122" s="309"/>
      <c r="I122" s="309"/>
      <c r="J122" s="309"/>
      <c r="K122" s="309"/>
      <c r="L122" s="251" t="s">
        <v>131</v>
      </c>
      <c r="M122" s="251"/>
      <c r="N122" s="413" t="s">
        <v>500</v>
      </c>
      <c r="O122" s="120" t="s">
        <v>501</v>
      </c>
      <c r="P122" s="120" t="s">
        <v>64</v>
      </c>
      <c r="Q122" s="554" t="s">
        <v>225</v>
      </c>
      <c r="R122" s="251" t="s">
        <v>67</v>
      </c>
      <c r="S122" s="549"/>
      <c r="T122" s="548" t="s">
        <v>66</v>
      </c>
      <c r="U122" s="413" t="s">
        <v>64</v>
      </c>
      <c r="V122" s="548" t="s">
        <v>66</v>
      </c>
      <c r="W122" s="309" t="s">
        <v>68</v>
      </c>
      <c r="X122" s="549" t="s">
        <v>69</v>
      </c>
      <c r="Y122" s="120" t="s">
        <v>70</v>
      </c>
      <c r="Z122" s="537" t="s">
        <v>71</v>
      </c>
      <c r="AA122" s="537" t="s">
        <v>64</v>
      </c>
      <c r="AB122" s="537" t="s">
        <v>502</v>
      </c>
      <c r="AC122" s="565" t="s">
        <v>64</v>
      </c>
      <c r="AD122" s="565" t="s">
        <v>64</v>
      </c>
      <c r="AE122" s="566"/>
      <c r="AF122" s="566"/>
      <c r="AG122" s="566"/>
      <c r="AH122" s="575"/>
      <c r="AI122" s="575"/>
      <c r="AJ122" s="575"/>
      <c r="AK122" s="576"/>
      <c r="AL122" s="577"/>
      <c r="AM122" s="487" t="s">
        <v>80</v>
      </c>
      <c r="AN122" s="487"/>
      <c r="AO122" s="583"/>
      <c r="AP122" s="309"/>
      <c r="AQ122" s="584">
        <v>1</v>
      </c>
      <c r="AR122" s="582">
        <v>0</v>
      </c>
      <c r="AS122" s="584">
        <v>0</v>
      </c>
      <c r="AT122" s="405">
        <v>0</v>
      </c>
      <c r="AU122" s="405">
        <v>0</v>
      </c>
    </row>
    <row r="123" s="11" customFormat="1" ht="45" customHeight="1" spans="1:47">
      <c r="A123" s="386">
        <f t="shared" si="19"/>
        <v>114</v>
      </c>
      <c r="B123" s="309"/>
      <c r="C123" s="405"/>
      <c r="D123" s="405"/>
      <c r="E123" s="537"/>
      <c r="F123" s="537"/>
      <c r="G123" s="537"/>
      <c r="H123" s="309"/>
      <c r="I123" s="309"/>
      <c r="J123" s="309"/>
      <c r="K123" s="309"/>
      <c r="L123" s="251" t="s">
        <v>131</v>
      </c>
      <c r="M123" s="251"/>
      <c r="N123" s="413" t="s">
        <v>503</v>
      </c>
      <c r="O123" s="120" t="s">
        <v>501</v>
      </c>
      <c r="P123" s="120" t="s">
        <v>64</v>
      </c>
      <c r="Q123" s="554" t="s">
        <v>225</v>
      </c>
      <c r="R123" s="251" t="s">
        <v>67</v>
      </c>
      <c r="S123" s="549"/>
      <c r="T123" s="548" t="s">
        <v>66</v>
      </c>
      <c r="U123" s="413" t="s">
        <v>64</v>
      </c>
      <c r="V123" s="548" t="s">
        <v>66</v>
      </c>
      <c r="W123" s="309" t="s">
        <v>68</v>
      </c>
      <c r="X123" s="549" t="s">
        <v>69</v>
      </c>
      <c r="Y123" s="120" t="s">
        <v>70</v>
      </c>
      <c r="Z123" s="537" t="s">
        <v>71</v>
      </c>
      <c r="AA123" s="537" t="s">
        <v>64</v>
      </c>
      <c r="AB123" s="537" t="s">
        <v>504</v>
      </c>
      <c r="AC123" s="565" t="s">
        <v>64</v>
      </c>
      <c r="AD123" s="565"/>
      <c r="AE123" s="566"/>
      <c r="AF123" s="566"/>
      <c r="AG123" s="566"/>
      <c r="AH123" s="575"/>
      <c r="AI123" s="575"/>
      <c r="AJ123" s="575"/>
      <c r="AK123" s="576"/>
      <c r="AL123" s="577"/>
      <c r="AM123" s="487" t="s">
        <v>80</v>
      </c>
      <c r="AN123" s="487"/>
      <c r="AO123" s="583"/>
      <c r="AP123" s="309"/>
      <c r="AQ123" s="584">
        <v>0</v>
      </c>
      <c r="AR123" s="582">
        <v>1</v>
      </c>
      <c r="AS123" s="584">
        <v>0</v>
      </c>
      <c r="AT123" s="405">
        <v>0</v>
      </c>
      <c r="AU123" s="405">
        <v>0</v>
      </c>
    </row>
    <row r="124" s="11" customFormat="1" ht="45" customHeight="1" spans="1:47">
      <c r="A124" s="386">
        <f t="shared" si="19"/>
        <v>115</v>
      </c>
      <c r="B124" s="309"/>
      <c r="C124" s="405"/>
      <c r="D124" s="405"/>
      <c r="E124" s="537"/>
      <c r="F124" s="537"/>
      <c r="G124" s="537"/>
      <c r="H124" s="309"/>
      <c r="I124" s="309"/>
      <c r="J124" s="309"/>
      <c r="K124" s="309"/>
      <c r="L124" s="251" t="s">
        <v>131</v>
      </c>
      <c r="M124" s="251"/>
      <c r="N124" s="413" t="s">
        <v>505</v>
      </c>
      <c r="O124" s="120" t="s">
        <v>501</v>
      </c>
      <c r="P124" s="120" t="s">
        <v>64</v>
      </c>
      <c r="Q124" s="554" t="s">
        <v>225</v>
      </c>
      <c r="R124" s="251" t="s">
        <v>67</v>
      </c>
      <c r="S124" s="549"/>
      <c r="T124" s="548" t="s">
        <v>66</v>
      </c>
      <c r="U124" s="413" t="s">
        <v>64</v>
      </c>
      <c r="V124" s="548" t="s">
        <v>66</v>
      </c>
      <c r="W124" s="309" t="s">
        <v>68</v>
      </c>
      <c r="X124" s="549" t="s">
        <v>69</v>
      </c>
      <c r="Y124" s="120" t="s">
        <v>70</v>
      </c>
      <c r="Z124" s="537" t="s">
        <v>71</v>
      </c>
      <c r="AA124" s="537" t="s">
        <v>64</v>
      </c>
      <c r="AB124" s="537" t="s">
        <v>502</v>
      </c>
      <c r="AC124" s="565" t="s">
        <v>64</v>
      </c>
      <c r="AD124" s="565" t="s">
        <v>64</v>
      </c>
      <c r="AE124" s="566"/>
      <c r="AF124" s="566"/>
      <c r="AG124" s="566"/>
      <c r="AH124" s="575"/>
      <c r="AI124" s="575"/>
      <c r="AJ124" s="575"/>
      <c r="AK124" s="576"/>
      <c r="AL124" s="577"/>
      <c r="AM124" s="487" t="s">
        <v>80</v>
      </c>
      <c r="AN124" s="487"/>
      <c r="AO124" s="583"/>
      <c r="AP124" s="309"/>
      <c r="AQ124" s="584">
        <v>0</v>
      </c>
      <c r="AR124" s="582">
        <v>0</v>
      </c>
      <c r="AS124" s="584">
        <v>1</v>
      </c>
      <c r="AT124" s="405">
        <v>0</v>
      </c>
      <c r="AU124" s="405">
        <v>0</v>
      </c>
    </row>
    <row r="125" s="11" customFormat="1" ht="45" customHeight="1" spans="1:47">
      <c r="A125" s="386">
        <f t="shared" si="19"/>
        <v>116</v>
      </c>
      <c r="B125" s="309"/>
      <c r="C125" s="537">
        <v>1</v>
      </c>
      <c r="D125" s="537"/>
      <c r="E125" s="537"/>
      <c r="F125" s="537"/>
      <c r="G125" s="537"/>
      <c r="H125" s="309"/>
      <c r="I125" s="309"/>
      <c r="J125" s="309"/>
      <c r="K125" s="309"/>
      <c r="L125" s="251" t="s">
        <v>131</v>
      </c>
      <c r="M125" s="251" t="s">
        <v>506</v>
      </c>
      <c r="N125" s="413" t="s">
        <v>506</v>
      </c>
      <c r="O125" s="120" t="s">
        <v>507</v>
      </c>
      <c r="P125" s="120" t="s">
        <v>64</v>
      </c>
      <c r="Q125" s="554"/>
      <c r="R125" s="251" t="s">
        <v>67</v>
      </c>
      <c r="S125" s="549"/>
      <c r="T125" s="548" t="s">
        <v>66</v>
      </c>
      <c r="U125" s="413" t="s">
        <v>64</v>
      </c>
      <c r="V125" s="548" t="s">
        <v>66</v>
      </c>
      <c r="W125" s="309" t="s">
        <v>68</v>
      </c>
      <c r="X125" s="549" t="s">
        <v>69</v>
      </c>
      <c r="Y125" s="120" t="s">
        <v>181</v>
      </c>
      <c r="Z125" s="537" t="s">
        <v>71</v>
      </c>
      <c r="AA125" s="537" t="s">
        <v>64</v>
      </c>
      <c r="AB125" s="537" t="s">
        <v>502</v>
      </c>
      <c r="AC125" s="565" t="s">
        <v>64</v>
      </c>
      <c r="AD125" s="565" t="s">
        <v>64</v>
      </c>
      <c r="AE125" s="566"/>
      <c r="AF125" s="566"/>
      <c r="AG125" s="566"/>
      <c r="AH125" s="575"/>
      <c r="AI125" s="575"/>
      <c r="AJ125" s="575"/>
      <c r="AK125" s="576"/>
      <c r="AL125" s="577"/>
      <c r="AM125" s="487" t="s">
        <v>74</v>
      </c>
      <c r="AN125" s="487" t="s">
        <v>184</v>
      </c>
      <c r="AO125" s="583"/>
      <c r="AP125" s="309"/>
      <c r="AQ125" s="584">
        <v>1</v>
      </c>
      <c r="AR125" s="582">
        <v>0</v>
      </c>
      <c r="AS125" s="584">
        <v>0</v>
      </c>
      <c r="AT125" s="405">
        <v>0</v>
      </c>
      <c r="AU125" s="405">
        <v>1</v>
      </c>
    </row>
    <row r="126" s="11" customFormat="1" ht="45" customHeight="1" spans="1:47">
      <c r="A126" s="386">
        <f t="shared" si="19"/>
        <v>117</v>
      </c>
      <c r="B126" s="309"/>
      <c r="C126" s="537">
        <v>1</v>
      </c>
      <c r="D126" s="537"/>
      <c r="E126" s="537"/>
      <c r="F126" s="537"/>
      <c r="G126" s="537"/>
      <c r="H126" s="309"/>
      <c r="I126" s="309"/>
      <c r="J126" s="309"/>
      <c r="K126" s="309"/>
      <c r="L126" s="251" t="s">
        <v>131</v>
      </c>
      <c r="M126" s="413" t="s">
        <v>508</v>
      </c>
      <c r="N126" s="413" t="s">
        <v>508</v>
      </c>
      <c r="O126" s="120" t="s">
        <v>509</v>
      </c>
      <c r="P126" s="120" t="s">
        <v>64</v>
      </c>
      <c r="Q126" s="554"/>
      <c r="R126" s="251" t="s">
        <v>67</v>
      </c>
      <c r="S126" s="549"/>
      <c r="T126" s="548" t="s">
        <v>66</v>
      </c>
      <c r="U126" s="413" t="s">
        <v>64</v>
      </c>
      <c r="V126" s="548" t="s">
        <v>66</v>
      </c>
      <c r="W126" s="309" t="s">
        <v>68</v>
      </c>
      <c r="X126" s="549" t="s">
        <v>69</v>
      </c>
      <c r="Y126" s="120" t="s">
        <v>181</v>
      </c>
      <c r="Z126" s="537" t="s">
        <v>71</v>
      </c>
      <c r="AA126" s="537" t="s">
        <v>64</v>
      </c>
      <c r="AB126" s="537" t="s">
        <v>502</v>
      </c>
      <c r="AC126" s="565" t="s">
        <v>64</v>
      </c>
      <c r="AD126" s="565" t="s">
        <v>64</v>
      </c>
      <c r="AE126" s="566"/>
      <c r="AF126" s="566"/>
      <c r="AG126" s="566"/>
      <c r="AH126" s="575"/>
      <c r="AI126" s="575"/>
      <c r="AJ126" s="575"/>
      <c r="AK126" s="576"/>
      <c r="AL126" s="577"/>
      <c r="AM126" s="487" t="s">
        <v>74</v>
      </c>
      <c r="AN126" s="487" t="s">
        <v>184</v>
      </c>
      <c r="AO126" s="583"/>
      <c r="AP126" s="309"/>
      <c r="AQ126" s="584">
        <v>0</v>
      </c>
      <c r="AR126" s="582">
        <v>1</v>
      </c>
      <c r="AS126" s="584">
        <v>0</v>
      </c>
      <c r="AT126" s="405">
        <v>0</v>
      </c>
      <c r="AU126" s="405">
        <v>0</v>
      </c>
    </row>
    <row r="127" s="11" customFormat="1" ht="45" customHeight="1" spans="1:47">
      <c r="A127" s="386">
        <f t="shared" si="19"/>
        <v>118</v>
      </c>
      <c r="B127" s="309"/>
      <c r="C127" s="537">
        <v>1</v>
      </c>
      <c r="D127" s="537"/>
      <c r="E127" s="537"/>
      <c r="F127" s="537"/>
      <c r="G127" s="537"/>
      <c r="H127" s="309"/>
      <c r="I127" s="309"/>
      <c r="J127" s="309"/>
      <c r="K127" s="309"/>
      <c r="L127" s="251" t="s">
        <v>131</v>
      </c>
      <c r="M127" s="251" t="s">
        <v>510</v>
      </c>
      <c r="N127" s="413" t="s">
        <v>510</v>
      </c>
      <c r="O127" s="120" t="s">
        <v>509</v>
      </c>
      <c r="P127" s="120" t="s">
        <v>64</v>
      </c>
      <c r="Q127" s="554"/>
      <c r="R127" s="251" t="s">
        <v>67</v>
      </c>
      <c r="S127" s="549"/>
      <c r="T127" s="548" t="s">
        <v>66</v>
      </c>
      <c r="U127" s="413" t="s">
        <v>64</v>
      </c>
      <c r="V127" s="548" t="s">
        <v>66</v>
      </c>
      <c r="W127" s="309" t="s">
        <v>68</v>
      </c>
      <c r="X127" s="549" t="s">
        <v>69</v>
      </c>
      <c r="Y127" s="120" t="s">
        <v>181</v>
      </c>
      <c r="Z127" s="537" t="s">
        <v>71</v>
      </c>
      <c r="AA127" s="537" t="s">
        <v>64</v>
      </c>
      <c r="AB127" s="537" t="s">
        <v>502</v>
      </c>
      <c r="AC127" s="565" t="s">
        <v>64</v>
      </c>
      <c r="AD127" s="565" t="s">
        <v>64</v>
      </c>
      <c r="AE127" s="566"/>
      <c r="AF127" s="566"/>
      <c r="AG127" s="566"/>
      <c r="AH127" s="575"/>
      <c r="AI127" s="575"/>
      <c r="AJ127" s="575"/>
      <c r="AK127" s="576"/>
      <c r="AL127" s="577"/>
      <c r="AM127" s="487" t="s">
        <v>74</v>
      </c>
      <c r="AN127" s="487" t="s">
        <v>184</v>
      </c>
      <c r="AO127" s="583"/>
      <c r="AP127" s="309"/>
      <c r="AQ127" s="584">
        <v>0</v>
      </c>
      <c r="AR127" s="582">
        <v>0</v>
      </c>
      <c r="AS127" s="584">
        <v>1</v>
      </c>
      <c r="AT127" s="405">
        <v>1</v>
      </c>
      <c r="AU127" s="405">
        <v>0</v>
      </c>
    </row>
    <row r="128" s="11" customFormat="1" ht="45" customHeight="1" spans="1:47">
      <c r="A128" s="386">
        <f t="shared" si="19"/>
        <v>119</v>
      </c>
      <c r="B128" s="309"/>
      <c r="C128" s="537">
        <v>1</v>
      </c>
      <c r="D128" s="537"/>
      <c r="E128" s="537"/>
      <c r="F128" s="537"/>
      <c r="G128" s="309"/>
      <c r="H128" s="309"/>
      <c r="I128" s="405"/>
      <c r="J128" s="309"/>
      <c r="K128" s="309"/>
      <c r="L128" s="251" t="s">
        <v>131</v>
      </c>
      <c r="M128" s="251" t="s">
        <v>511</v>
      </c>
      <c r="N128" s="309" t="s">
        <v>511</v>
      </c>
      <c r="O128" s="120" t="s">
        <v>512</v>
      </c>
      <c r="P128" s="120" t="s">
        <v>135</v>
      </c>
      <c r="Q128" s="120"/>
      <c r="R128" s="251" t="s">
        <v>67</v>
      </c>
      <c r="S128" s="549"/>
      <c r="T128" s="548" t="s">
        <v>66</v>
      </c>
      <c r="U128" s="309" t="str">
        <f>N128</f>
        <v>SHT0013899</v>
      </c>
      <c r="V128" s="548" t="s">
        <v>66</v>
      </c>
      <c r="W128" s="309" t="s">
        <v>69</v>
      </c>
      <c r="X128" s="549" t="s">
        <v>68</v>
      </c>
      <c r="Y128" s="120" t="s">
        <v>135</v>
      </c>
      <c r="Z128" s="537" t="s">
        <v>142</v>
      </c>
      <c r="AA128" s="537" t="s">
        <v>64</v>
      </c>
      <c r="AB128" s="537" t="s">
        <v>502</v>
      </c>
      <c r="AC128" s="567"/>
      <c r="AD128" s="565" t="s">
        <v>64</v>
      </c>
      <c r="AE128" s="460" t="s">
        <v>135</v>
      </c>
      <c r="AF128" s="566"/>
      <c r="AG128" s="566"/>
      <c r="AH128" s="575"/>
      <c r="AI128" s="575"/>
      <c r="AJ128" s="575"/>
      <c r="AK128" s="576"/>
      <c r="AL128" s="577"/>
      <c r="AM128" s="487" t="s">
        <v>74</v>
      </c>
      <c r="AN128" s="487" t="s">
        <v>136</v>
      </c>
      <c r="AO128" s="583"/>
      <c r="AP128" s="309"/>
      <c r="AQ128" s="584" t="s">
        <v>111</v>
      </c>
      <c r="AR128" s="582">
        <v>0</v>
      </c>
      <c r="AS128" s="584">
        <v>0</v>
      </c>
      <c r="AT128" s="405">
        <v>0</v>
      </c>
      <c r="AU128" s="405">
        <v>1</v>
      </c>
    </row>
    <row r="129" s="11" customFormat="1" ht="45" customHeight="1" spans="1:47">
      <c r="A129" s="386">
        <f t="shared" ref="A129:A138" si="23">ROW()-9</f>
        <v>120</v>
      </c>
      <c r="B129" s="309"/>
      <c r="C129" s="537">
        <v>1</v>
      </c>
      <c r="D129" s="537"/>
      <c r="E129" s="537"/>
      <c r="F129" s="537"/>
      <c r="G129" s="309"/>
      <c r="H129" s="309"/>
      <c r="I129" s="405"/>
      <c r="J129" s="309"/>
      <c r="K129" s="309"/>
      <c r="L129" s="251" t="s">
        <v>131</v>
      </c>
      <c r="M129" s="251" t="s">
        <v>513</v>
      </c>
      <c r="N129" s="309" t="s">
        <v>513</v>
      </c>
      <c r="O129" s="120" t="s">
        <v>514</v>
      </c>
      <c r="P129" s="120" t="s">
        <v>135</v>
      </c>
      <c r="Q129" s="120"/>
      <c r="R129" s="251" t="s">
        <v>67</v>
      </c>
      <c r="S129" s="549"/>
      <c r="T129" s="548" t="s">
        <v>66</v>
      </c>
      <c r="U129" s="309" t="str">
        <f>N129</f>
        <v>SHT0011281</v>
      </c>
      <c r="V129" s="548" t="s">
        <v>66</v>
      </c>
      <c r="W129" s="309" t="s">
        <v>69</v>
      </c>
      <c r="X129" s="549" t="s">
        <v>68</v>
      </c>
      <c r="Y129" s="120" t="s">
        <v>135</v>
      </c>
      <c r="Z129" s="537" t="s">
        <v>142</v>
      </c>
      <c r="AA129" s="537" t="s">
        <v>64</v>
      </c>
      <c r="AB129" s="537" t="s">
        <v>502</v>
      </c>
      <c r="AC129" s="567"/>
      <c r="AD129" s="565" t="s">
        <v>64</v>
      </c>
      <c r="AE129" s="460" t="s">
        <v>135</v>
      </c>
      <c r="AF129" s="461"/>
      <c r="AG129" s="461"/>
      <c r="AH129" s="461"/>
      <c r="AI129" s="488"/>
      <c r="AJ129" s="495"/>
      <c r="AK129" s="576"/>
      <c r="AL129" s="577"/>
      <c r="AM129" s="487" t="s">
        <v>74</v>
      </c>
      <c r="AN129" s="487" t="s">
        <v>136</v>
      </c>
      <c r="AO129" s="583"/>
      <c r="AP129" s="309"/>
      <c r="AQ129" s="584">
        <v>0</v>
      </c>
      <c r="AR129" s="582" t="s">
        <v>111</v>
      </c>
      <c r="AS129" s="584" t="s">
        <v>111</v>
      </c>
      <c r="AT129" s="405">
        <v>1</v>
      </c>
      <c r="AU129" s="405">
        <v>0</v>
      </c>
    </row>
    <row r="130" s="357" customFormat="1" ht="45" customHeight="1" spans="1:47">
      <c r="A130" s="386">
        <f t="shared" si="23"/>
        <v>121</v>
      </c>
      <c r="B130" s="389"/>
      <c r="C130" s="386"/>
      <c r="D130" s="386">
        <v>2</v>
      </c>
      <c r="E130" s="386"/>
      <c r="F130" s="386"/>
      <c r="G130" s="389"/>
      <c r="H130" s="389"/>
      <c r="I130" s="390"/>
      <c r="J130" s="389"/>
      <c r="K130" s="389"/>
      <c r="L130" s="387" t="s">
        <v>131</v>
      </c>
      <c r="M130" s="251"/>
      <c r="N130" s="309" t="s">
        <v>515</v>
      </c>
      <c r="O130" s="120" t="s">
        <v>516</v>
      </c>
      <c r="P130" s="425" t="s">
        <v>80</v>
      </c>
      <c r="Q130" s="425"/>
      <c r="R130" s="387" t="s">
        <v>67</v>
      </c>
      <c r="S130" s="436"/>
      <c r="T130" s="435" t="s">
        <v>66</v>
      </c>
      <c r="U130" s="389" t="s">
        <v>64</v>
      </c>
      <c r="V130" s="435" t="s">
        <v>66</v>
      </c>
      <c r="W130" s="389" t="s">
        <v>69</v>
      </c>
      <c r="X130" s="436" t="s">
        <v>68</v>
      </c>
      <c r="Y130" s="425" t="s">
        <v>135</v>
      </c>
      <c r="Z130" s="386" t="s">
        <v>142</v>
      </c>
      <c r="AA130" s="386" t="s">
        <v>64</v>
      </c>
      <c r="AB130" s="386" t="s">
        <v>517</v>
      </c>
      <c r="AC130" s="564">
        <v>0.9287</v>
      </c>
      <c r="AD130" s="614" t="s">
        <v>64</v>
      </c>
      <c r="AE130" s="460"/>
      <c r="AF130" s="456" t="s">
        <v>143</v>
      </c>
      <c r="AG130" s="456"/>
      <c r="AH130" s="456"/>
      <c r="AI130" s="496">
        <f>AC130*1.08</f>
        <v>1.002996</v>
      </c>
      <c r="AJ130" s="497">
        <f t="shared" ref="AJ130:AJ135" si="24">AC130/AI130</f>
        <v>0.925925925925926</v>
      </c>
      <c r="AK130" s="576"/>
      <c r="AL130" s="577"/>
      <c r="AM130" s="487" t="s">
        <v>80</v>
      </c>
      <c r="AN130" s="487"/>
      <c r="AO130" s="525"/>
      <c r="AP130" s="389"/>
      <c r="AQ130" s="581" t="s">
        <v>111</v>
      </c>
      <c r="AR130" s="582">
        <v>0</v>
      </c>
      <c r="AS130" s="581">
        <v>0</v>
      </c>
      <c r="AT130" s="390">
        <v>0</v>
      </c>
      <c r="AU130" s="390">
        <v>1</v>
      </c>
    </row>
    <row r="131" s="357" customFormat="1" ht="45" customHeight="1" spans="1:47">
      <c r="A131" s="386">
        <f t="shared" si="23"/>
        <v>122</v>
      </c>
      <c r="B131" s="389"/>
      <c r="C131" s="386"/>
      <c r="D131" s="386">
        <v>2</v>
      </c>
      <c r="E131" s="386"/>
      <c r="F131" s="386"/>
      <c r="G131" s="389"/>
      <c r="H131" s="389"/>
      <c r="I131" s="390"/>
      <c r="J131" s="389"/>
      <c r="K131" s="389"/>
      <c r="L131" s="387" t="s">
        <v>131</v>
      </c>
      <c r="M131" s="251"/>
      <c r="N131" s="309" t="s">
        <v>518</v>
      </c>
      <c r="O131" s="120" t="s">
        <v>519</v>
      </c>
      <c r="P131" s="425" t="s">
        <v>80</v>
      </c>
      <c r="Q131" s="425"/>
      <c r="R131" s="387" t="s">
        <v>67</v>
      </c>
      <c r="S131" s="436"/>
      <c r="T131" s="435" t="s">
        <v>66</v>
      </c>
      <c r="U131" s="389" t="s">
        <v>64</v>
      </c>
      <c r="V131" s="435" t="s">
        <v>66</v>
      </c>
      <c r="W131" s="389" t="s">
        <v>69</v>
      </c>
      <c r="X131" s="436" t="s">
        <v>68</v>
      </c>
      <c r="Y131" s="425" t="s">
        <v>135</v>
      </c>
      <c r="Z131" s="386" t="s">
        <v>142</v>
      </c>
      <c r="AA131" s="386" t="s">
        <v>64</v>
      </c>
      <c r="AB131" s="386" t="s">
        <v>517</v>
      </c>
      <c r="AC131" s="564">
        <v>0.9287</v>
      </c>
      <c r="AD131" s="614" t="s">
        <v>64</v>
      </c>
      <c r="AE131" s="566"/>
      <c r="AF131" s="456" t="s">
        <v>143</v>
      </c>
      <c r="AG131" s="456"/>
      <c r="AH131" s="456"/>
      <c r="AI131" s="496">
        <f>AC131*1.08</f>
        <v>1.002996</v>
      </c>
      <c r="AJ131" s="497">
        <f t="shared" si="24"/>
        <v>0.925925925925926</v>
      </c>
      <c r="AK131" s="576"/>
      <c r="AL131" s="577"/>
      <c r="AM131" s="487" t="s">
        <v>80</v>
      </c>
      <c r="AN131" s="487"/>
      <c r="AO131" s="525"/>
      <c r="AP131" s="389"/>
      <c r="AQ131" s="581">
        <v>0</v>
      </c>
      <c r="AR131" s="582" t="s">
        <v>111</v>
      </c>
      <c r="AS131" s="581" t="s">
        <v>111</v>
      </c>
      <c r="AT131" s="390">
        <v>1</v>
      </c>
      <c r="AU131" s="390">
        <v>0</v>
      </c>
    </row>
    <row r="132" s="357" customFormat="1" ht="45" customHeight="1" spans="1:47">
      <c r="A132" s="386">
        <f t="shared" si="23"/>
        <v>123</v>
      </c>
      <c r="B132" s="389"/>
      <c r="C132" s="386"/>
      <c r="D132" s="386">
        <v>2</v>
      </c>
      <c r="E132" s="386"/>
      <c r="F132" s="386"/>
      <c r="G132" s="389"/>
      <c r="H132" s="389"/>
      <c r="I132" s="390"/>
      <c r="J132" s="389"/>
      <c r="K132" s="389"/>
      <c r="L132" s="387" t="s">
        <v>64</v>
      </c>
      <c r="M132" s="421" t="s">
        <v>520</v>
      </c>
      <c r="N132" s="533" t="s">
        <v>520</v>
      </c>
      <c r="O132" s="424" t="s">
        <v>521</v>
      </c>
      <c r="P132" s="389" t="s">
        <v>271</v>
      </c>
      <c r="Q132" s="425"/>
      <c r="R132" s="387" t="s">
        <v>67</v>
      </c>
      <c r="S132" s="436"/>
      <c r="T132" s="435" t="s">
        <v>66</v>
      </c>
      <c r="U132" s="387" t="s">
        <v>64</v>
      </c>
      <c r="V132" s="435" t="s">
        <v>66</v>
      </c>
      <c r="W132" s="389" t="s">
        <v>69</v>
      </c>
      <c r="X132" s="436" t="s">
        <v>68</v>
      </c>
      <c r="Y132" s="425" t="s">
        <v>271</v>
      </c>
      <c r="Z132" s="386" t="s">
        <v>522</v>
      </c>
      <c r="AA132" s="386" t="s">
        <v>151</v>
      </c>
      <c r="AB132" s="386" t="s">
        <v>523</v>
      </c>
      <c r="AC132" s="564">
        <v>0.0071</v>
      </c>
      <c r="AD132" s="614" t="s">
        <v>64</v>
      </c>
      <c r="AE132" s="466" t="s">
        <v>153</v>
      </c>
      <c r="AF132" s="467">
        <f t="shared" ref="AF132:AF135" si="25">AC132/0.025*1000</f>
        <v>284</v>
      </c>
      <c r="AG132" s="467">
        <v>2</v>
      </c>
      <c r="AH132" s="467"/>
      <c r="AI132" s="498">
        <f t="shared" ref="AI132:AI135" si="26">AF132*0.025/1000</f>
        <v>0.0071</v>
      </c>
      <c r="AJ132" s="499">
        <f t="shared" si="24"/>
        <v>1</v>
      </c>
      <c r="AK132" s="576"/>
      <c r="AL132" s="577"/>
      <c r="AM132" s="487" t="s">
        <v>100</v>
      </c>
      <c r="AN132" s="487"/>
      <c r="AO132" s="525"/>
      <c r="AP132" s="389"/>
      <c r="AQ132" s="581">
        <v>1</v>
      </c>
      <c r="AR132" s="582">
        <v>1</v>
      </c>
      <c r="AS132" s="581">
        <v>1</v>
      </c>
      <c r="AT132" s="581">
        <v>1</v>
      </c>
      <c r="AU132" s="581">
        <v>1</v>
      </c>
    </row>
    <row r="133" s="357" customFormat="1" ht="45" customHeight="1" spans="1:47">
      <c r="A133" s="386">
        <f t="shared" si="23"/>
        <v>124</v>
      </c>
      <c r="B133" s="389"/>
      <c r="C133" s="386"/>
      <c r="D133" s="386">
        <v>2</v>
      </c>
      <c r="E133" s="386"/>
      <c r="F133" s="386"/>
      <c r="G133" s="389"/>
      <c r="H133" s="389"/>
      <c r="I133" s="390"/>
      <c r="J133" s="389"/>
      <c r="K133" s="389"/>
      <c r="L133" s="387" t="s">
        <v>64</v>
      </c>
      <c r="M133" s="421" t="s">
        <v>524</v>
      </c>
      <c r="N133" s="533" t="s">
        <v>524</v>
      </c>
      <c r="O133" s="424" t="s">
        <v>525</v>
      </c>
      <c r="P133" s="389" t="s">
        <v>271</v>
      </c>
      <c r="Q133" s="425"/>
      <c r="R133" s="387" t="s">
        <v>67</v>
      </c>
      <c r="S133" s="436"/>
      <c r="T133" s="435" t="s">
        <v>66</v>
      </c>
      <c r="U133" s="387" t="s">
        <v>64</v>
      </c>
      <c r="V133" s="435" t="s">
        <v>66</v>
      </c>
      <c r="W133" s="389" t="s">
        <v>69</v>
      </c>
      <c r="X133" s="436" t="s">
        <v>68</v>
      </c>
      <c r="Y133" s="425" t="s">
        <v>271</v>
      </c>
      <c r="Z133" s="386" t="s">
        <v>522</v>
      </c>
      <c r="AA133" s="386" t="s">
        <v>151</v>
      </c>
      <c r="AB133" s="386" t="s">
        <v>526</v>
      </c>
      <c r="AC133" s="564">
        <v>0.0101</v>
      </c>
      <c r="AD133" s="614" t="s">
        <v>64</v>
      </c>
      <c r="AE133" s="466" t="s">
        <v>153</v>
      </c>
      <c r="AF133" s="467">
        <f t="shared" si="25"/>
        <v>404</v>
      </c>
      <c r="AG133" s="467">
        <v>2</v>
      </c>
      <c r="AH133" s="467"/>
      <c r="AI133" s="498">
        <f t="shared" si="26"/>
        <v>0.0101</v>
      </c>
      <c r="AJ133" s="499">
        <f t="shared" si="24"/>
        <v>1</v>
      </c>
      <c r="AK133" s="576"/>
      <c r="AL133" s="577"/>
      <c r="AM133" s="487" t="s">
        <v>100</v>
      </c>
      <c r="AN133" s="487"/>
      <c r="AO133" s="525"/>
      <c r="AP133" s="389"/>
      <c r="AQ133" s="581">
        <v>1</v>
      </c>
      <c r="AR133" s="582">
        <v>1</v>
      </c>
      <c r="AS133" s="581">
        <v>1</v>
      </c>
      <c r="AT133" s="581">
        <v>1</v>
      </c>
      <c r="AU133" s="581">
        <v>1</v>
      </c>
    </row>
    <row r="134" s="357" customFormat="1" ht="45" customHeight="1" spans="1:47">
      <c r="A134" s="386">
        <f t="shared" si="23"/>
        <v>125</v>
      </c>
      <c r="B134" s="389"/>
      <c r="C134" s="386"/>
      <c r="D134" s="386">
        <v>2</v>
      </c>
      <c r="E134" s="386"/>
      <c r="F134" s="386"/>
      <c r="G134" s="389"/>
      <c r="H134" s="389"/>
      <c r="I134" s="390"/>
      <c r="J134" s="389"/>
      <c r="K134" s="389"/>
      <c r="L134" s="387" t="s">
        <v>64</v>
      </c>
      <c r="M134" s="421" t="s">
        <v>527</v>
      </c>
      <c r="N134" s="533" t="s">
        <v>527</v>
      </c>
      <c r="O134" s="424" t="s">
        <v>528</v>
      </c>
      <c r="P134" s="389" t="s">
        <v>271</v>
      </c>
      <c r="Q134" s="425"/>
      <c r="R134" s="387" t="s">
        <v>67</v>
      </c>
      <c r="S134" s="436"/>
      <c r="T134" s="435" t="s">
        <v>66</v>
      </c>
      <c r="U134" s="387" t="s">
        <v>64</v>
      </c>
      <c r="V134" s="435" t="s">
        <v>66</v>
      </c>
      <c r="W134" s="389" t="s">
        <v>69</v>
      </c>
      <c r="X134" s="436" t="s">
        <v>68</v>
      </c>
      <c r="Y134" s="425" t="s">
        <v>271</v>
      </c>
      <c r="Z134" s="386" t="s">
        <v>522</v>
      </c>
      <c r="AA134" s="386" t="s">
        <v>151</v>
      </c>
      <c r="AB134" s="386" t="s">
        <v>529</v>
      </c>
      <c r="AC134" s="564">
        <v>0.0116</v>
      </c>
      <c r="AD134" s="614" t="s">
        <v>64</v>
      </c>
      <c r="AE134" s="466" t="s">
        <v>153</v>
      </c>
      <c r="AF134" s="467">
        <f t="shared" si="25"/>
        <v>464</v>
      </c>
      <c r="AG134" s="467">
        <v>2</v>
      </c>
      <c r="AH134" s="467"/>
      <c r="AI134" s="498">
        <f t="shared" si="26"/>
        <v>0.0116</v>
      </c>
      <c r="AJ134" s="499">
        <f t="shared" si="24"/>
        <v>1</v>
      </c>
      <c r="AK134" s="576"/>
      <c r="AL134" s="577"/>
      <c r="AM134" s="487" t="s">
        <v>100</v>
      </c>
      <c r="AN134" s="487"/>
      <c r="AO134" s="525"/>
      <c r="AP134" s="389"/>
      <c r="AQ134" s="581">
        <v>1</v>
      </c>
      <c r="AR134" s="582">
        <v>1</v>
      </c>
      <c r="AS134" s="581">
        <v>1</v>
      </c>
      <c r="AT134" s="581">
        <v>1</v>
      </c>
      <c r="AU134" s="581">
        <v>1</v>
      </c>
    </row>
    <row r="135" s="357" customFormat="1" ht="45" customHeight="1" spans="1:47">
      <c r="A135" s="386">
        <f t="shared" si="23"/>
        <v>126</v>
      </c>
      <c r="B135" s="389"/>
      <c r="C135" s="386"/>
      <c r="D135" s="386">
        <v>2</v>
      </c>
      <c r="E135" s="386"/>
      <c r="F135" s="386"/>
      <c r="G135" s="389"/>
      <c r="H135" s="389"/>
      <c r="I135" s="390"/>
      <c r="J135" s="389"/>
      <c r="K135" s="389"/>
      <c r="L135" s="387" t="s">
        <v>64</v>
      </c>
      <c r="M135" s="421" t="s">
        <v>530</v>
      </c>
      <c r="N135" s="533" t="s">
        <v>530</v>
      </c>
      <c r="O135" s="424" t="s">
        <v>531</v>
      </c>
      <c r="P135" s="389" t="s">
        <v>271</v>
      </c>
      <c r="Q135" s="425"/>
      <c r="R135" s="387" t="s">
        <v>67</v>
      </c>
      <c r="S135" s="436"/>
      <c r="T135" s="435" t="s">
        <v>66</v>
      </c>
      <c r="U135" s="387" t="s">
        <v>64</v>
      </c>
      <c r="V135" s="435" t="s">
        <v>66</v>
      </c>
      <c r="W135" s="389" t="s">
        <v>69</v>
      </c>
      <c r="X135" s="436" t="s">
        <v>68</v>
      </c>
      <c r="Y135" s="425" t="s">
        <v>271</v>
      </c>
      <c r="Z135" s="386" t="s">
        <v>522</v>
      </c>
      <c r="AA135" s="386" t="s">
        <v>151</v>
      </c>
      <c r="AB135" s="386" t="s">
        <v>532</v>
      </c>
      <c r="AC135" s="564">
        <v>0.0116</v>
      </c>
      <c r="AD135" s="614" t="s">
        <v>64</v>
      </c>
      <c r="AE135" s="466" t="s">
        <v>153</v>
      </c>
      <c r="AF135" s="467">
        <f t="shared" si="25"/>
        <v>464</v>
      </c>
      <c r="AG135" s="467">
        <v>2</v>
      </c>
      <c r="AH135" s="467"/>
      <c r="AI135" s="498">
        <f t="shared" si="26"/>
        <v>0.0116</v>
      </c>
      <c r="AJ135" s="499">
        <f t="shared" si="24"/>
        <v>1</v>
      </c>
      <c r="AK135" s="576"/>
      <c r="AL135" s="577"/>
      <c r="AM135" s="487" t="s">
        <v>100</v>
      </c>
      <c r="AN135" s="487"/>
      <c r="AO135" s="525"/>
      <c r="AP135" s="389"/>
      <c r="AQ135" s="581">
        <v>1</v>
      </c>
      <c r="AR135" s="582">
        <v>1</v>
      </c>
      <c r="AS135" s="581">
        <v>1</v>
      </c>
      <c r="AT135" s="581">
        <v>1</v>
      </c>
      <c r="AU135" s="581">
        <v>1</v>
      </c>
    </row>
    <row r="136" s="357" customFormat="1" ht="45" customHeight="1" spans="1:47">
      <c r="A136" s="386">
        <f t="shared" si="23"/>
        <v>127</v>
      </c>
      <c r="B136" s="389"/>
      <c r="C136" s="387">
        <v>1</v>
      </c>
      <c r="D136" s="387"/>
      <c r="E136" s="387"/>
      <c r="F136" s="390"/>
      <c r="G136" s="388"/>
      <c r="H136" s="388"/>
      <c r="I136" s="388"/>
      <c r="J136" s="388"/>
      <c r="K136" s="388"/>
      <c r="L136" s="387"/>
      <c r="M136" s="251" t="s">
        <v>175</v>
      </c>
      <c r="N136" s="413" t="s">
        <v>176</v>
      </c>
      <c r="O136" s="413" t="s">
        <v>177</v>
      </c>
      <c r="P136" s="395" t="s">
        <v>178</v>
      </c>
      <c r="Q136" s="387"/>
      <c r="R136" s="387" t="s">
        <v>67</v>
      </c>
      <c r="S136" s="437"/>
      <c r="T136" s="438" t="s">
        <v>66</v>
      </c>
      <c r="U136" s="416"/>
      <c r="V136" s="389" t="s">
        <v>66</v>
      </c>
      <c r="W136" s="389" t="s">
        <v>69</v>
      </c>
      <c r="X136" s="436" t="s">
        <v>68</v>
      </c>
      <c r="Y136" s="386" t="s">
        <v>117</v>
      </c>
      <c r="Z136" s="395"/>
      <c r="AA136" s="386"/>
      <c r="AB136" s="386"/>
      <c r="AC136" s="458">
        <v>0.001</v>
      </c>
      <c r="AD136" s="390"/>
      <c r="AE136" s="457"/>
      <c r="AF136" s="457"/>
      <c r="AG136" s="457"/>
      <c r="AH136" s="490"/>
      <c r="AI136" s="492"/>
      <c r="AJ136" s="489"/>
      <c r="AK136" s="490"/>
      <c r="AL136" s="493"/>
      <c r="AM136" s="487" t="s">
        <v>100</v>
      </c>
      <c r="AN136" s="487" t="s">
        <v>533</v>
      </c>
      <c r="AO136" s="389"/>
      <c r="AP136" s="390"/>
      <c r="AQ136" s="395">
        <v>17</v>
      </c>
      <c r="AR136" s="420">
        <v>17</v>
      </c>
      <c r="AS136" s="395">
        <v>17</v>
      </c>
      <c r="AT136" s="395">
        <v>17</v>
      </c>
      <c r="AU136" s="395">
        <v>17</v>
      </c>
    </row>
    <row r="137" s="357" customFormat="1" ht="45" customHeight="1" spans="1:47">
      <c r="A137" s="386">
        <f t="shared" si="23"/>
        <v>128</v>
      </c>
      <c r="B137" s="386"/>
      <c r="C137" s="386">
        <v>1</v>
      </c>
      <c r="D137" s="386"/>
      <c r="E137" s="386"/>
      <c r="F137" s="390"/>
      <c r="G137" s="388"/>
      <c r="H137" s="388"/>
      <c r="I137" s="388"/>
      <c r="J137" s="388"/>
      <c r="K137" s="414"/>
      <c r="L137" s="387" t="s">
        <v>534</v>
      </c>
      <c r="M137" s="251" t="s">
        <v>535</v>
      </c>
      <c r="N137" s="120" t="s">
        <v>536</v>
      </c>
      <c r="O137" s="120" t="s">
        <v>537</v>
      </c>
      <c r="P137" s="586" t="s">
        <v>538</v>
      </c>
      <c r="Q137" s="586" t="s">
        <v>225</v>
      </c>
      <c r="R137" s="387" t="s">
        <v>67</v>
      </c>
      <c r="S137" s="593"/>
      <c r="T137" s="435" t="s">
        <v>66</v>
      </c>
      <c r="U137" s="389" t="s">
        <v>536</v>
      </c>
      <c r="V137" s="594" t="s">
        <v>66</v>
      </c>
      <c r="W137" s="389" t="s">
        <v>69</v>
      </c>
      <c r="X137" s="436" t="s">
        <v>68</v>
      </c>
      <c r="Y137" s="589" t="s">
        <v>70</v>
      </c>
      <c r="Z137" s="386" t="s">
        <v>71</v>
      </c>
      <c r="AA137" s="386" t="s">
        <v>64</v>
      </c>
      <c r="AB137" s="386" t="s">
        <v>539</v>
      </c>
      <c r="AC137" s="564">
        <f>AC138+AC139+AC140+AC141</f>
        <v>2.0848</v>
      </c>
      <c r="AD137" s="526" t="s">
        <v>109</v>
      </c>
      <c r="AE137" s="491"/>
      <c r="AF137" s="491"/>
      <c r="AG137" s="491"/>
      <c r="AH137" s="626"/>
      <c r="AI137" s="464"/>
      <c r="AJ137" s="464"/>
      <c r="AK137" s="490"/>
      <c r="AL137" s="490"/>
      <c r="AM137" s="487" t="s">
        <v>100</v>
      </c>
      <c r="AN137" s="487" t="s">
        <v>540</v>
      </c>
      <c r="AO137" s="416"/>
      <c r="AP137" s="389"/>
      <c r="AQ137" s="593" t="s">
        <v>111</v>
      </c>
      <c r="AR137" s="631" t="s">
        <v>111</v>
      </c>
      <c r="AS137" s="593" t="s">
        <v>111</v>
      </c>
      <c r="AT137" s="593" t="s">
        <v>111</v>
      </c>
      <c r="AU137" s="593" t="s">
        <v>111</v>
      </c>
    </row>
    <row r="138" s="357" customFormat="1" ht="45" customHeight="1" spans="1:47">
      <c r="A138" s="386">
        <f t="shared" si="23"/>
        <v>129</v>
      </c>
      <c r="B138" s="386"/>
      <c r="C138" s="386"/>
      <c r="D138" s="386">
        <v>2</v>
      </c>
      <c r="E138" s="386"/>
      <c r="F138" s="390"/>
      <c r="G138" s="388"/>
      <c r="H138" s="388"/>
      <c r="I138" s="388"/>
      <c r="J138" s="388"/>
      <c r="K138" s="414"/>
      <c r="L138" s="387" t="s">
        <v>534</v>
      </c>
      <c r="M138" s="251"/>
      <c r="N138" s="120" t="s">
        <v>541</v>
      </c>
      <c r="O138" s="120" t="s">
        <v>542</v>
      </c>
      <c r="P138" s="586" t="s">
        <v>64</v>
      </c>
      <c r="Q138" s="586"/>
      <c r="R138" s="387" t="s">
        <v>67</v>
      </c>
      <c r="S138" s="593"/>
      <c r="T138" s="435" t="s">
        <v>66</v>
      </c>
      <c r="U138" s="389" t="s">
        <v>64</v>
      </c>
      <c r="V138" s="594" t="s">
        <v>66</v>
      </c>
      <c r="W138" s="389" t="s">
        <v>69</v>
      </c>
      <c r="X138" s="436" t="s">
        <v>68</v>
      </c>
      <c r="Y138" s="589" t="s">
        <v>169</v>
      </c>
      <c r="Z138" s="386" t="s">
        <v>64</v>
      </c>
      <c r="AA138" s="386" t="s">
        <v>64</v>
      </c>
      <c r="AB138" s="386" t="s">
        <v>543</v>
      </c>
      <c r="AC138" s="564">
        <v>0.04</v>
      </c>
      <c r="AD138" s="526" t="s">
        <v>64</v>
      </c>
      <c r="AE138" s="457" t="s">
        <v>110</v>
      </c>
      <c r="AF138" s="457">
        <f>80+5</f>
        <v>85</v>
      </c>
      <c r="AG138" s="457">
        <f>65+2</f>
        <v>67</v>
      </c>
      <c r="AH138" s="490" t="s">
        <v>111</v>
      </c>
      <c r="AI138" s="492">
        <f>AF138*AG138*AH138*7860/1000000000</f>
        <v>0.0447627</v>
      </c>
      <c r="AJ138" s="489">
        <f>AC138/AI138</f>
        <v>0.893601145596669</v>
      </c>
      <c r="AK138" s="490"/>
      <c r="AL138" s="490"/>
      <c r="AM138" s="627"/>
      <c r="AN138" s="627"/>
      <c r="AO138" s="416"/>
      <c r="AP138" s="389"/>
      <c r="AQ138" s="593" t="s">
        <v>111</v>
      </c>
      <c r="AR138" s="631" t="s">
        <v>111</v>
      </c>
      <c r="AS138" s="593" t="s">
        <v>111</v>
      </c>
      <c r="AT138" s="593" t="s">
        <v>111</v>
      </c>
      <c r="AU138" s="593" t="s">
        <v>111</v>
      </c>
    </row>
    <row r="139" s="357" customFormat="1" ht="45" customHeight="1" spans="1:47">
      <c r="A139" s="386">
        <f t="shared" ref="A139:A157" si="27">ROW()-9</f>
        <v>130</v>
      </c>
      <c r="B139" s="386"/>
      <c r="C139" s="386"/>
      <c r="D139" s="386">
        <v>2</v>
      </c>
      <c r="E139" s="386"/>
      <c r="F139" s="390"/>
      <c r="G139" s="388"/>
      <c r="H139" s="388"/>
      <c r="I139" s="388"/>
      <c r="J139" s="388"/>
      <c r="K139" s="414"/>
      <c r="L139" s="387" t="s">
        <v>534</v>
      </c>
      <c r="M139" s="251"/>
      <c r="N139" s="120" t="s">
        <v>544</v>
      </c>
      <c r="O139" s="120" t="s">
        <v>545</v>
      </c>
      <c r="P139" s="586" t="s">
        <v>64</v>
      </c>
      <c r="Q139" s="586"/>
      <c r="R139" s="387" t="s">
        <v>67</v>
      </c>
      <c r="S139" s="593"/>
      <c r="T139" s="435" t="s">
        <v>66</v>
      </c>
      <c r="U139" s="389" t="s">
        <v>64</v>
      </c>
      <c r="V139" s="594" t="s">
        <v>66</v>
      </c>
      <c r="W139" s="389" t="s">
        <v>69</v>
      </c>
      <c r="X139" s="436" t="s">
        <v>68</v>
      </c>
      <c r="Y139" s="589" t="s">
        <v>64</v>
      </c>
      <c r="Z139" s="386" t="s">
        <v>64</v>
      </c>
      <c r="AA139" s="386" t="s">
        <v>64</v>
      </c>
      <c r="AB139" s="386" t="s">
        <v>546</v>
      </c>
      <c r="AC139" s="564">
        <v>0.0074</v>
      </c>
      <c r="AD139" s="526" t="s">
        <v>64</v>
      </c>
      <c r="AE139" s="491"/>
      <c r="AF139" s="491"/>
      <c r="AG139" s="491"/>
      <c r="AH139" s="626"/>
      <c r="AI139" s="464"/>
      <c r="AJ139" s="464"/>
      <c r="AK139" s="490"/>
      <c r="AL139" s="490"/>
      <c r="AM139" s="627"/>
      <c r="AN139" s="627"/>
      <c r="AO139" s="416"/>
      <c r="AP139" s="389"/>
      <c r="AQ139" s="593" t="s">
        <v>111</v>
      </c>
      <c r="AR139" s="631" t="s">
        <v>111</v>
      </c>
      <c r="AS139" s="593" t="s">
        <v>111</v>
      </c>
      <c r="AT139" s="593" t="s">
        <v>111</v>
      </c>
      <c r="AU139" s="593" t="s">
        <v>111</v>
      </c>
    </row>
    <row r="140" s="357" customFormat="1" ht="45" customHeight="1" spans="1:47">
      <c r="A140" s="386">
        <f t="shared" si="27"/>
        <v>131</v>
      </c>
      <c r="B140" s="386"/>
      <c r="C140" s="386"/>
      <c r="D140" s="386">
        <v>2</v>
      </c>
      <c r="E140" s="386"/>
      <c r="F140" s="390"/>
      <c r="G140" s="388"/>
      <c r="H140" s="388"/>
      <c r="I140" s="388"/>
      <c r="J140" s="388"/>
      <c r="K140" s="414"/>
      <c r="L140" s="387" t="s">
        <v>534</v>
      </c>
      <c r="M140" s="251"/>
      <c r="N140" s="120" t="s">
        <v>547</v>
      </c>
      <c r="O140" s="120" t="s">
        <v>548</v>
      </c>
      <c r="P140" s="586" t="s">
        <v>64</v>
      </c>
      <c r="Q140" s="586"/>
      <c r="R140" s="387" t="s">
        <v>67</v>
      </c>
      <c r="S140" s="593"/>
      <c r="T140" s="435" t="s">
        <v>66</v>
      </c>
      <c r="U140" s="389" t="s">
        <v>64</v>
      </c>
      <c r="V140" s="594" t="s">
        <v>66</v>
      </c>
      <c r="W140" s="389" t="s">
        <v>69</v>
      </c>
      <c r="X140" s="436" t="s">
        <v>68</v>
      </c>
      <c r="Y140" s="589" t="s">
        <v>64</v>
      </c>
      <c r="Z140" s="386" t="s">
        <v>64</v>
      </c>
      <c r="AA140" s="386" t="s">
        <v>64</v>
      </c>
      <c r="AB140" s="386" t="s">
        <v>549</v>
      </c>
      <c r="AC140" s="564">
        <v>0.1004</v>
      </c>
      <c r="AD140" s="526" t="s">
        <v>64</v>
      </c>
      <c r="AE140" s="491"/>
      <c r="AF140" s="491"/>
      <c r="AG140" s="491"/>
      <c r="AH140" s="626"/>
      <c r="AI140" s="464"/>
      <c r="AJ140" s="464"/>
      <c r="AK140" s="490"/>
      <c r="AL140" s="490"/>
      <c r="AM140" s="627"/>
      <c r="AN140" s="627"/>
      <c r="AO140" s="416"/>
      <c r="AP140" s="389"/>
      <c r="AQ140" s="593" t="s">
        <v>111</v>
      </c>
      <c r="AR140" s="631" t="s">
        <v>111</v>
      </c>
      <c r="AS140" s="593" t="s">
        <v>111</v>
      </c>
      <c r="AT140" s="593" t="s">
        <v>111</v>
      </c>
      <c r="AU140" s="593" t="s">
        <v>111</v>
      </c>
    </row>
    <row r="141" s="357" customFormat="1" ht="45" customHeight="1" spans="1:47">
      <c r="A141" s="386">
        <f t="shared" si="27"/>
        <v>132</v>
      </c>
      <c r="B141" s="386"/>
      <c r="C141" s="386"/>
      <c r="D141" s="386">
        <v>2</v>
      </c>
      <c r="E141" s="386"/>
      <c r="F141" s="390"/>
      <c r="G141" s="388"/>
      <c r="H141" s="388"/>
      <c r="I141" s="388"/>
      <c r="J141" s="388"/>
      <c r="K141" s="414"/>
      <c r="L141" s="387" t="s">
        <v>534</v>
      </c>
      <c r="M141" s="251"/>
      <c r="N141" s="120" t="s">
        <v>550</v>
      </c>
      <c r="O141" s="120" t="s">
        <v>551</v>
      </c>
      <c r="P141" s="586" t="s">
        <v>64</v>
      </c>
      <c r="Q141" s="586"/>
      <c r="R141" s="387" t="s">
        <v>67</v>
      </c>
      <c r="S141" s="593"/>
      <c r="T141" s="435" t="s">
        <v>66</v>
      </c>
      <c r="U141" s="389" t="s">
        <v>64</v>
      </c>
      <c r="V141" s="594" t="s">
        <v>66</v>
      </c>
      <c r="W141" s="389" t="s">
        <v>69</v>
      </c>
      <c r="X141" s="436" t="s">
        <v>68</v>
      </c>
      <c r="Y141" s="589" t="s">
        <v>169</v>
      </c>
      <c r="Z141" s="386" t="s">
        <v>552</v>
      </c>
      <c r="AA141" s="386" t="s">
        <v>64</v>
      </c>
      <c r="AB141" s="386" t="s">
        <v>553</v>
      </c>
      <c r="AC141" s="386">
        <v>1.937</v>
      </c>
      <c r="AD141" s="37" t="s">
        <v>64</v>
      </c>
      <c r="AE141" s="615"/>
      <c r="AF141" s="615"/>
      <c r="AG141" s="615"/>
      <c r="AH141" s="626"/>
      <c r="AI141" s="464"/>
      <c r="AJ141" s="464"/>
      <c r="AK141" s="490"/>
      <c r="AL141" s="490"/>
      <c r="AM141" s="627"/>
      <c r="AN141" s="627"/>
      <c r="AO141" s="416"/>
      <c r="AP141" s="389"/>
      <c r="AQ141" s="593" t="s">
        <v>111</v>
      </c>
      <c r="AR141" s="631" t="s">
        <v>111</v>
      </c>
      <c r="AS141" s="593" t="s">
        <v>111</v>
      </c>
      <c r="AT141" s="593" t="s">
        <v>111</v>
      </c>
      <c r="AU141" s="593" t="s">
        <v>111</v>
      </c>
    </row>
    <row r="142" s="362" customFormat="1" ht="45" customHeight="1" spans="1:47">
      <c r="A142" s="386">
        <f t="shared" si="27"/>
        <v>133</v>
      </c>
      <c r="B142" s="62"/>
      <c r="C142" s="536">
        <v>1</v>
      </c>
      <c r="D142" s="535"/>
      <c r="E142" s="535"/>
      <c r="F142" s="62"/>
      <c r="G142" s="62"/>
      <c r="H142" s="62"/>
      <c r="I142" s="62"/>
      <c r="J142" s="62"/>
      <c r="K142" s="62"/>
      <c r="L142" s="421" t="s">
        <v>64</v>
      </c>
      <c r="M142" s="536" t="s">
        <v>352</v>
      </c>
      <c r="N142" s="536" t="s">
        <v>352</v>
      </c>
      <c r="O142" s="538" t="s">
        <v>554</v>
      </c>
      <c r="P142" s="536" t="s">
        <v>351</v>
      </c>
      <c r="Q142" s="536"/>
      <c r="R142" s="421" t="s">
        <v>67</v>
      </c>
      <c r="S142" s="536"/>
      <c r="T142" s="550" t="s">
        <v>66</v>
      </c>
      <c r="U142" s="421" t="s">
        <v>64</v>
      </c>
      <c r="V142" s="536" t="s">
        <v>66</v>
      </c>
      <c r="W142" s="533" t="s">
        <v>69</v>
      </c>
      <c r="X142" s="551" t="s">
        <v>68</v>
      </c>
      <c r="Y142" s="536" t="s">
        <v>64</v>
      </c>
      <c r="Z142" s="536" t="s">
        <v>71</v>
      </c>
      <c r="AA142" s="424" t="s">
        <v>64</v>
      </c>
      <c r="AB142" s="557" t="s">
        <v>64</v>
      </c>
      <c r="AC142" s="616" t="s">
        <v>64</v>
      </c>
      <c r="AD142" s="536" t="s">
        <v>64</v>
      </c>
      <c r="AE142" s="559"/>
      <c r="AF142" s="559"/>
      <c r="AG142" s="559"/>
      <c r="AH142" s="559"/>
      <c r="AI142" s="559"/>
      <c r="AJ142" s="559"/>
      <c r="AK142" s="559"/>
      <c r="AL142" s="559"/>
      <c r="AM142" s="568" t="s">
        <v>100</v>
      </c>
      <c r="AN142" s="568" t="s">
        <v>174</v>
      </c>
      <c r="AO142" s="536"/>
      <c r="AP142" s="536"/>
      <c r="AQ142" s="536">
        <v>1</v>
      </c>
      <c r="AR142" s="531">
        <v>0</v>
      </c>
      <c r="AS142" s="536">
        <v>0</v>
      </c>
      <c r="AT142" s="536">
        <v>0</v>
      </c>
      <c r="AU142" s="536">
        <v>1</v>
      </c>
    </row>
    <row r="143" s="362" customFormat="1" ht="45" customHeight="1" spans="1:47">
      <c r="A143" s="386">
        <f t="shared" si="27"/>
        <v>134</v>
      </c>
      <c r="B143" s="62"/>
      <c r="C143" s="536">
        <v>1</v>
      </c>
      <c r="D143" s="62"/>
      <c r="E143" s="62"/>
      <c r="F143" s="536"/>
      <c r="G143" s="536"/>
      <c r="H143" s="536"/>
      <c r="I143" s="536"/>
      <c r="J143" s="536"/>
      <c r="K143" s="536"/>
      <c r="L143" s="421" t="s">
        <v>555</v>
      </c>
      <c r="M143" s="536" t="s">
        <v>556</v>
      </c>
      <c r="N143" s="536" t="s">
        <v>556</v>
      </c>
      <c r="O143" s="536" t="s">
        <v>557</v>
      </c>
      <c r="P143" s="536" t="s">
        <v>558</v>
      </c>
      <c r="Q143" s="536"/>
      <c r="R143" s="421" t="s">
        <v>67</v>
      </c>
      <c r="S143" s="536"/>
      <c r="T143" s="536" t="s">
        <v>66</v>
      </c>
      <c r="U143" s="421" t="s">
        <v>64</v>
      </c>
      <c r="V143" s="536" t="s">
        <v>66</v>
      </c>
      <c r="W143" s="533" t="s">
        <v>69</v>
      </c>
      <c r="X143" s="551" t="s">
        <v>68</v>
      </c>
      <c r="Y143" s="536" t="s">
        <v>360</v>
      </c>
      <c r="Z143" s="536" t="s">
        <v>71</v>
      </c>
      <c r="AA143" s="424" t="s">
        <v>64</v>
      </c>
      <c r="AB143" s="557" t="s">
        <v>64</v>
      </c>
      <c r="AC143" s="616" t="s">
        <v>64</v>
      </c>
      <c r="AD143" s="536" t="s">
        <v>64</v>
      </c>
      <c r="AE143" s="559"/>
      <c r="AF143" s="559"/>
      <c r="AG143" s="559"/>
      <c r="AH143" s="559"/>
      <c r="AI143" s="559"/>
      <c r="AJ143" s="559"/>
      <c r="AK143" s="559"/>
      <c r="AL143" s="559"/>
      <c r="AM143" s="568" t="s">
        <v>100</v>
      </c>
      <c r="AN143" s="510" t="s">
        <v>362</v>
      </c>
      <c r="AO143" s="536"/>
      <c r="AP143" s="536"/>
      <c r="AQ143" s="536">
        <v>1</v>
      </c>
      <c r="AR143" s="531">
        <v>0</v>
      </c>
      <c r="AS143" s="536">
        <v>0</v>
      </c>
      <c r="AT143" s="536">
        <v>0</v>
      </c>
      <c r="AU143" s="536">
        <v>1</v>
      </c>
    </row>
    <row r="144" ht="45" customHeight="1" spans="1:47">
      <c r="A144" s="386">
        <f t="shared" si="27"/>
        <v>135</v>
      </c>
      <c r="B144" s="517"/>
      <c r="C144" s="251">
        <v>1</v>
      </c>
      <c r="D144" s="413"/>
      <c r="E144" s="413"/>
      <c r="F144" s="413"/>
      <c r="G144" s="413"/>
      <c r="H144" s="413"/>
      <c r="I144" s="413"/>
      <c r="J144" s="413"/>
      <c r="K144" s="413"/>
      <c r="L144" s="251"/>
      <c r="M144" s="251" t="s">
        <v>366</v>
      </c>
      <c r="N144" s="413" t="s">
        <v>366</v>
      </c>
      <c r="O144" s="413" t="s">
        <v>367</v>
      </c>
      <c r="P144" s="413"/>
      <c r="Q144" s="413" t="s">
        <v>66</v>
      </c>
      <c r="R144" s="251" t="s">
        <v>368</v>
      </c>
      <c r="S144" s="413"/>
      <c r="T144" s="413" t="s">
        <v>66</v>
      </c>
      <c r="U144" s="413" t="s">
        <v>366</v>
      </c>
      <c r="V144" s="413" t="s">
        <v>66</v>
      </c>
      <c r="W144" s="309" t="s">
        <v>68</v>
      </c>
      <c r="X144" s="549" t="s">
        <v>69</v>
      </c>
      <c r="Y144" s="413" t="s">
        <v>94</v>
      </c>
      <c r="Z144" s="413" t="s">
        <v>369</v>
      </c>
      <c r="AA144" s="383" t="s">
        <v>64</v>
      </c>
      <c r="AB144" s="383" t="s">
        <v>370</v>
      </c>
      <c r="AC144" s="413">
        <v>0.015</v>
      </c>
      <c r="AD144" s="413" t="s">
        <v>64</v>
      </c>
      <c r="AE144" s="477"/>
      <c r="AF144" s="477"/>
      <c r="AG144" s="477"/>
      <c r="AH144" s="477"/>
      <c r="AI144" s="477"/>
      <c r="AJ144" s="477"/>
      <c r="AK144" s="477"/>
      <c r="AL144" s="477"/>
      <c r="AM144" s="510" t="s">
        <v>100</v>
      </c>
      <c r="AN144" s="510" t="s">
        <v>371</v>
      </c>
      <c r="AO144" s="413"/>
      <c r="AP144" s="413"/>
      <c r="AQ144" s="413">
        <v>3</v>
      </c>
      <c r="AR144" s="420">
        <v>0</v>
      </c>
      <c r="AS144" s="413">
        <v>0</v>
      </c>
      <c r="AT144" s="413">
        <v>0</v>
      </c>
      <c r="AU144" s="413">
        <v>3</v>
      </c>
    </row>
    <row r="145" ht="45" customHeight="1" spans="1:47">
      <c r="A145" s="386">
        <f t="shared" si="27"/>
        <v>136</v>
      </c>
      <c r="B145" s="517"/>
      <c r="C145" s="413">
        <v>1</v>
      </c>
      <c r="D145" s="413"/>
      <c r="E145" s="413"/>
      <c r="F145" s="413"/>
      <c r="G145" s="413"/>
      <c r="H145" s="413"/>
      <c r="I145" s="413"/>
      <c r="J145" s="413"/>
      <c r="K145" s="413"/>
      <c r="L145" s="251" t="s">
        <v>64</v>
      </c>
      <c r="M145" s="413" t="s">
        <v>559</v>
      </c>
      <c r="N145" s="413" t="s">
        <v>559</v>
      </c>
      <c r="O145" s="413" t="s">
        <v>560</v>
      </c>
      <c r="P145" s="413" t="s">
        <v>360</v>
      </c>
      <c r="Q145" s="413"/>
      <c r="R145" s="251" t="s">
        <v>67</v>
      </c>
      <c r="S145" s="413"/>
      <c r="T145" s="413" t="s">
        <v>66</v>
      </c>
      <c r="U145" s="251" t="s">
        <v>64</v>
      </c>
      <c r="V145" s="413" t="s">
        <v>66</v>
      </c>
      <c r="W145" s="309" t="s">
        <v>68</v>
      </c>
      <c r="X145" s="549" t="s">
        <v>69</v>
      </c>
      <c r="Y145" s="413" t="s">
        <v>360</v>
      </c>
      <c r="Z145" s="413" t="s">
        <v>71</v>
      </c>
      <c r="AA145" s="120" t="s">
        <v>64</v>
      </c>
      <c r="AB145" s="413" t="s">
        <v>561</v>
      </c>
      <c r="AC145" s="413">
        <v>0.064</v>
      </c>
      <c r="AD145" s="413" t="s">
        <v>64</v>
      </c>
      <c r="AE145" s="477"/>
      <c r="AF145" s="477"/>
      <c r="AG145" s="477"/>
      <c r="AH145" s="477"/>
      <c r="AI145" s="477"/>
      <c r="AJ145" s="477"/>
      <c r="AK145" s="477"/>
      <c r="AL145" s="477"/>
      <c r="AM145" s="510" t="s">
        <v>100</v>
      </c>
      <c r="AN145" s="510" t="s">
        <v>362</v>
      </c>
      <c r="AO145" s="413"/>
      <c r="AP145" s="413"/>
      <c r="AQ145" s="413">
        <v>1</v>
      </c>
      <c r="AR145" s="420">
        <v>0</v>
      </c>
      <c r="AS145" s="413">
        <v>0</v>
      </c>
      <c r="AT145" s="413">
        <v>1</v>
      </c>
      <c r="AU145" s="413">
        <v>0</v>
      </c>
    </row>
    <row r="146" ht="45" customHeight="1" spans="1:47">
      <c r="A146" s="386">
        <f t="shared" si="27"/>
        <v>137</v>
      </c>
      <c r="B146" s="517"/>
      <c r="C146" s="251">
        <v>1</v>
      </c>
      <c r="D146" s="413"/>
      <c r="E146" s="413"/>
      <c r="F146" s="413"/>
      <c r="G146" s="413"/>
      <c r="H146" s="413"/>
      <c r="I146" s="413"/>
      <c r="J146" s="413"/>
      <c r="K146" s="413"/>
      <c r="L146" s="251" t="s">
        <v>64</v>
      </c>
      <c r="M146" s="413" t="s">
        <v>562</v>
      </c>
      <c r="N146" s="413" t="s">
        <v>562</v>
      </c>
      <c r="O146" s="413" t="s">
        <v>563</v>
      </c>
      <c r="P146" s="413" t="s">
        <v>360</v>
      </c>
      <c r="Q146" s="413"/>
      <c r="R146" s="251" t="s">
        <v>67</v>
      </c>
      <c r="S146" s="413"/>
      <c r="T146" s="413" t="s">
        <v>66</v>
      </c>
      <c r="U146" s="251" t="s">
        <v>64</v>
      </c>
      <c r="V146" s="413" t="s">
        <v>66</v>
      </c>
      <c r="W146" s="309" t="s">
        <v>69</v>
      </c>
      <c r="X146" s="549" t="s">
        <v>68</v>
      </c>
      <c r="Y146" s="413" t="s">
        <v>360</v>
      </c>
      <c r="Z146" s="413" t="s">
        <v>71</v>
      </c>
      <c r="AA146" s="120" t="s">
        <v>64</v>
      </c>
      <c r="AB146" s="413" t="s">
        <v>564</v>
      </c>
      <c r="AC146" s="413">
        <v>0.023</v>
      </c>
      <c r="AD146" s="413" t="s">
        <v>64</v>
      </c>
      <c r="AE146" s="477"/>
      <c r="AF146" s="477"/>
      <c r="AG146" s="477"/>
      <c r="AH146" s="477"/>
      <c r="AI146" s="477"/>
      <c r="AJ146" s="477"/>
      <c r="AK146" s="477"/>
      <c r="AL146" s="477"/>
      <c r="AM146" s="510" t="s">
        <v>100</v>
      </c>
      <c r="AN146" s="510" t="s">
        <v>362</v>
      </c>
      <c r="AO146" s="413"/>
      <c r="AP146" s="413"/>
      <c r="AQ146" s="413">
        <v>1</v>
      </c>
      <c r="AR146" s="420">
        <v>0</v>
      </c>
      <c r="AS146" s="413">
        <v>0</v>
      </c>
      <c r="AT146" s="413">
        <v>0</v>
      </c>
      <c r="AU146" s="413">
        <v>0</v>
      </c>
    </row>
    <row r="147" ht="45" customHeight="1" spans="1:47">
      <c r="A147" s="386">
        <f t="shared" si="27"/>
        <v>138</v>
      </c>
      <c r="B147" s="517"/>
      <c r="C147" s="251">
        <v>1</v>
      </c>
      <c r="D147" s="413"/>
      <c r="E147" s="413"/>
      <c r="F147" s="413"/>
      <c r="G147" s="413"/>
      <c r="H147" s="413"/>
      <c r="I147" s="413"/>
      <c r="J147" s="413"/>
      <c r="K147" s="413"/>
      <c r="L147" s="251" t="s">
        <v>64</v>
      </c>
      <c r="M147" s="413" t="s">
        <v>565</v>
      </c>
      <c r="N147" s="413" t="s">
        <v>565</v>
      </c>
      <c r="O147" s="413" t="s">
        <v>566</v>
      </c>
      <c r="P147" s="413" t="s">
        <v>360</v>
      </c>
      <c r="Q147" s="413"/>
      <c r="R147" s="251" t="s">
        <v>67</v>
      </c>
      <c r="S147" s="413" t="s">
        <v>64</v>
      </c>
      <c r="T147" s="413" t="s">
        <v>66</v>
      </c>
      <c r="U147" s="251" t="s">
        <v>64</v>
      </c>
      <c r="V147" s="413" t="s">
        <v>66</v>
      </c>
      <c r="W147" s="309" t="s">
        <v>68</v>
      </c>
      <c r="X147" s="549" t="s">
        <v>68</v>
      </c>
      <c r="Y147" s="413" t="s">
        <v>360</v>
      </c>
      <c r="Z147" s="413" t="s">
        <v>71</v>
      </c>
      <c r="AA147" s="120" t="s">
        <v>64</v>
      </c>
      <c r="AB147" s="413" t="s">
        <v>64</v>
      </c>
      <c r="AC147" s="413">
        <v>0.145</v>
      </c>
      <c r="AD147" s="413" t="s">
        <v>64</v>
      </c>
      <c r="AE147" s="477"/>
      <c r="AF147" s="477"/>
      <c r="AG147" s="477"/>
      <c r="AH147" s="477"/>
      <c r="AI147" s="477"/>
      <c r="AJ147" s="477"/>
      <c r="AK147" s="477"/>
      <c r="AL147" s="477"/>
      <c r="AM147" s="510" t="s">
        <v>100</v>
      </c>
      <c r="AN147" s="510" t="s">
        <v>362</v>
      </c>
      <c r="AO147" s="413"/>
      <c r="AP147" s="413"/>
      <c r="AQ147" s="413">
        <v>1</v>
      </c>
      <c r="AR147" s="420">
        <v>0</v>
      </c>
      <c r="AS147" s="413">
        <v>0</v>
      </c>
      <c r="AT147" s="413">
        <v>0</v>
      </c>
      <c r="AU147" s="413">
        <v>0</v>
      </c>
    </row>
    <row r="148" s="11" customFormat="1" ht="45" customHeight="1" spans="1:47">
      <c r="A148" s="386">
        <f t="shared" si="27"/>
        <v>139</v>
      </c>
      <c r="B148" s="309"/>
      <c r="C148" s="251">
        <v>1</v>
      </c>
      <c r="D148" s="120"/>
      <c r="E148" s="413"/>
      <c r="F148" s="120"/>
      <c r="G148" s="120"/>
      <c r="H148" s="120"/>
      <c r="I148" s="120"/>
      <c r="J148" s="120"/>
      <c r="K148" s="405"/>
      <c r="L148" s="251" t="s">
        <v>131</v>
      </c>
      <c r="M148" s="120" t="s">
        <v>567</v>
      </c>
      <c r="N148" s="120" t="s">
        <v>567</v>
      </c>
      <c r="O148" s="120" t="s">
        <v>568</v>
      </c>
      <c r="P148" s="251" t="s">
        <v>569</v>
      </c>
      <c r="Q148" s="251" t="s">
        <v>66</v>
      </c>
      <c r="R148" s="251" t="s">
        <v>67</v>
      </c>
      <c r="S148" s="89"/>
      <c r="T148" s="548" t="s">
        <v>66</v>
      </c>
      <c r="U148" s="251" t="s">
        <v>570</v>
      </c>
      <c r="V148" s="548" t="s">
        <v>66</v>
      </c>
      <c r="W148" s="309" t="s">
        <v>68</v>
      </c>
      <c r="X148" s="549" t="s">
        <v>69</v>
      </c>
      <c r="Y148" s="120" t="s">
        <v>70</v>
      </c>
      <c r="Z148" s="120" t="s">
        <v>64</v>
      </c>
      <c r="AA148" s="120" t="s">
        <v>64</v>
      </c>
      <c r="AB148" s="417" t="s">
        <v>571</v>
      </c>
      <c r="AC148" s="417">
        <v>17.4756</v>
      </c>
      <c r="AD148" s="537" t="s">
        <v>64</v>
      </c>
      <c r="AE148" s="506"/>
      <c r="AF148" s="506"/>
      <c r="AG148" s="506"/>
      <c r="AH148" s="457"/>
      <c r="AI148" s="123"/>
      <c r="AJ148" s="123"/>
      <c r="AK148" s="162"/>
      <c r="AL148" s="162">
        <v>1</v>
      </c>
      <c r="AM148" s="487" t="s">
        <v>74</v>
      </c>
      <c r="AN148" s="487" t="s">
        <v>572</v>
      </c>
      <c r="AO148" s="583"/>
      <c r="AP148" s="309"/>
      <c r="AQ148" s="632">
        <v>1</v>
      </c>
      <c r="AR148" s="633">
        <v>1</v>
      </c>
      <c r="AS148" s="632">
        <v>1</v>
      </c>
      <c r="AT148" s="405">
        <v>1</v>
      </c>
      <c r="AU148" s="405">
        <v>1</v>
      </c>
    </row>
    <row r="149" s="11" customFormat="1" ht="45" customHeight="1" spans="1:47">
      <c r="A149" s="386">
        <f t="shared" si="27"/>
        <v>140</v>
      </c>
      <c r="B149" s="309"/>
      <c r="C149" s="537">
        <v>1</v>
      </c>
      <c r="D149" s="120"/>
      <c r="E149" s="120"/>
      <c r="F149" s="120"/>
      <c r="G149" s="405"/>
      <c r="H149" s="120"/>
      <c r="I149" s="120"/>
      <c r="J149" s="120"/>
      <c r="K149" s="120"/>
      <c r="L149" s="251" t="s">
        <v>573</v>
      </c>
      <c r="M149" s="120" t="s">
        <v>574</v>
      </c>
      <c r="N149" s="120" t="s">
        <v>574</v>
      </c>
      <c r="O149" s="120" t="s">
        <v>575</v>
      </c>
      <c r="P149" s="120" t="s">
        <v>569</v>
      </c>
      <c r="Q149" s="554" t="s">
        <v>225</v>
      </c>
      <c r="R149" s="251" t="s">
        <v>67</v>
      </c>
      <c r="S149" s="120"/>
      <c r="T149" s="548" t="s">
        <v>66</v>
      </c>
      <c r="U149" s="120" t="s">
        <v>576</v>
      </c>
      <c r="V149" s="548" t="s">
        <v>66</v>
      </c>
      <c r="W149" s="309" t="s">
        <v>69</v>
      </c>
      <c r="X149" s="549" t="s">
        <v>68</v>
      </c>
      <c r="Y149" s="120" t="s">
        <v>70</v>
      </c>
      <c r="Z149" s="413" t="s">
        <v>71</v>
      </c>
      <c r="AA149" s="537" t="s">
        <v>64</v>
      </c>
      <c r="AB149" s="537" t="s">
        <v>577</v>
      </c>
      <c r="AC149" s="617" t="s">
        <v>64</v>
      </c>
      <c r="AD149" s="537" t="s">
        <v>97</v>
      </c>
      <c r="AE149" s="506"/>
      <c r="AF149" s="506"/>
      <c r="AG149" s="506"/>
      <c r="AH149" s="628"/>
      <c r="AI149" s="577"/>
      <c r="AJ149" s="577"/>
      <c r="AK149" s="577"/>
      <c r="AL149" s="577"/>
      <c r="AM149" s="487" t="s">
        <v>100</v>
      </c>
      <c r="AN149" s="487" t="s">
        <v>362</v>
      </c>
      <c r="AO149" s="583"/>
      <c r="AP149" s="309"/>
      <c r="AQ149" s="584">
        <v>1</v>
      </c>
      <c r="AR149" s="582">
        <v>1</v>
      </c>
      <c r="AS149" s="584">
        <v>1</v>
      </c>
      <c r="AT149" s="584">
        <v>1</v>
      </c>
      <c r="AU149" s="584">
        <v>1</v>
      </c>
    </row>
    <row r="150" s="11" customFormat="1" ht="45" customHeight="1" spans="1:47">
      <c r="A150" s="386">
        <f t="shared" si="27"/>
        <v>141</v>
      </c>
      <c r="B150" s="309"/>
      <c r="C150" s="537">
        <v>1</v>
      </c>
      <c r="D150" s="405"/>
      <c r="E150" s="120"/>
      <c r="F150" s="120"/>
      <c r="G150" s="120"/>
      <c r="H150" s="120"/>
      <c r="I150" s="120"/>
      <c r="J150" s="120"/>
      <c r="K150" s="120"/>
      <c r="L150" s="309" t="s">
        <v>534</v>
      </c>
      <c r="M150" s="251" t="s">
        <v>578</v>
      </c>
      <c r="N150" s="251" t="s">
        <v>578</v>
      </c>
      <c r="O150" s="413" t="s">
        <v>579</v>
      </c>
      <c r="P150" s="587" t="s">
        <v>580</v>
      </c>
      <c r="Q150" s="554" t="s">
        <v>225</v>
      </c>
      <c r="R150" s="251" t="s">
        <v>67</v>
      </c>
      <c r="S150" s="89"/>
      <c r="T150" s="548" t="s">
        <v>66</v>
      </c>
      <c r="U150" s="251" t="s">
        <v>578</v>
      </c>
      <c r="V150" s="548" t="s">
        <v>66</v>
      </c>
      <c r="W150" s="309" t="s">
        <v>93</v>
      </c>
      <c r="X150" s="549" t="s">
        <v>393</v>
      </c>
      <c r="Y150" s="587" t="s">
        <v>580</v>
      </c>
      <c r="Z150" s="120" t="s">
        <v>581</v>
      </c>
      <c r="AA150" s="537" t="s">
        <v>582</v>
      </c>
      <c r="AB150" s="383" t="s">
        <v>583</v>
      </c>
      <c r="AC150" s="413">
        <v>0.0025</v>
      </c>
      <c r="AD150" s="405" t="s">
        <v>64</v>
      </c>
      <c r="AE150" s="464"/>
      <c r="AF150" s="464"/>
      <c r="AG150" s="464"/>
      <c r="AH150" s="628"/>
      <c r="AI150" s="577"/>
      <c r="AJ150" s="577"/>
      <c r="AK150" s="577"/>
      <c r="AL150" s="577"/>
      <c r="AM150" s="487" t="s">
        <v>100</v>
      </c>
      <c r="AN150" s="487" t="s">
        <v>584</v>
      </c>
      <c r="AO150" s="583"/>
      <c r="AP150" s="309"/>
      <c r="AQ150" s="584">
        <v>1</v>
      </c>
      <c r="AR150" s="582">
        <v>1</v>
      </c>
      <c r="AS150" s="584">
        <v>1</v>
      </c>
      <c r="AT150" s="584">
        <v>1</v>
      </c>
      <c r="AU150" s="584">
        <v>1</v>
      </c>
    </row>
    <row r="151" s="11" customFormat="1" ht="45" customHeight="1" spans="1:47">
      <c r="A151" s="386">
        <f t="shared" si="27"/>
        <v>142</v>
      </c>
      <c r="B151" s="309"/>
      <c r="C151" s="537">
        <v>1</v>
      </c>
      <c r="D151" s="405"/>
      <c r="E151" s="120"/>
      <c r="F151" s="120"/>
      <c r="G151" s="120"/>
      <c r="H151" s="120"/>
      <c r="I151" s="120"/>
      <c r="J151" s="120"/>
      <c r="K151" s="120"/>
      <c r="L151" s="251" t="s">
        <v>534</v>
      </c>
      <c r="M151" s="536" t="s">
        <v>585</v>
      </c>
      <c r="N151" s="536" t="s">
        <v>585</v>
      </c>
      <c r="O151" s="536" t="s">
        <v>586</v>
      </c>
      <c r="P151" s="120" t="s">
        <v>587</v>
      </c>
      <c r="Q151" s="554" t="s">
        <v>92</v>
      </c>
      <c r="R151" s="251" t="s">
        <v>67</v>
      </c>
      <c r="S151" s="89"/>
      <c r="T151" s="548" t="s">
        <v>66</v>
      </c>
      <c r="U151" s="251" t="s">
        <v>64</v>
      </c>
      <c r="V151" s="548" t="s">
        <v>64</v>
      </c>
      <c r="W151" s="309" t="s">
        <v>69</v>
      </c>
      <c r="X151" s="549" t="s">
        <v>68</v>
      </c>
      <c r="Y151" s="120" t="s">
        <v>117</v>
      </c>
      <c r="Z151" s="413" t="s">
        <v>588</v>
      </c>
      <c r="AA151" s="537" t="s">
        <v>64</v>
      </c>
      <c r="AB151" s="383" t="s">
        <v>64</v>
      </c>
      <c r="AC151" s="413">
        <v>0.0015</v>
      </c>
      <c r="AD151" s="537" t="s">
        <v>64</v>
      </c>
      <c r="AE151" s="506"/>
      <c r="AF151" s="506"/>
      <c r="AG151" s="506"/>
      <c r="AH151" s="628"/>
      <c r="AI151" s="577"/>
      <c r="AJ151" s="577"/>
      <c r="AK151" s="577"/>
      <c r="AL151" s="577"/>
      <c r="AM151" s="487" t="s">
        <v>100</v>
      </c>
      <c r="AN151" s="487" t="s">
        <v>120</v>
      </c>
      <c r="AO151" s="583"/>
      <c r="AP151" s="309"/>
      <c r="AQ151" s="584">
        <v>1</v>
      </c>
      <c r="AR151" s="582">
        <v>1</v>
      </c>
      <c r="AS151" s="584">
        <v>1</v>
      </c>
      <c r="AT151" s="584">
        <v>1</v>
      </c>
      <c r="AU151" s="584">
        <v>1</v>
      </c>
    </row>
    <row r="152" s="357" customFormat="1" ht="45" customHeight="1" spans="1:47">
      <c r="A152" s="386">
        <f t="shared" si="27"/>
        <v>143</v>
      </c>
      <c r="B152" s="389"/>
      <c r="C152" s="386">
        <v>1</v>
      </c>
      <c r="D152" s="390"/>
      <c r="E152" s="425"/>
      <c r="F152" s="425"/>
      <c r="G152" s="425"/>
      <c r="H152" s="425"/>
      <c r="I152" s="425"/>
      <c r="J152" s="425"/>
      <c r="K152" s="425"/>
      <c r="L152" s="389" t="s">
        <v>87</v>
      </c>
      <c r="M152" s="309" t="s">
        <v>589</v>
      </c>
      <c r="N152" s="588" t="s">
        <v>590</v>
      </c>
      <c r="O152" s="588" t="s">
        <v>591</v>
      </c>
      <c r="P152" s="589" t="s">
        <v>482</v>
      </c>
      <c r="Q152" s="444"/>
      <c r="R152" s="387" t="s">
        <v>67</v>
      </c>
      <c r="S152" s="434"/>
      <c r="T152" s="435" t="s">
        <v>66</v>
      </c>
      <c r="U152" s="589" t="s">
        <v>592</v>
      </c>
      <c r="V152" s="594" t="s">
        <v>66</v>
      </c>
      <c r="W152" s="389" t="s">
        <v>69</v>
      </c>
      <c r="X152" s="436" t="s">
        <v>68</v>
      </c>
      <c r="Y152" s="589" t="s">
        <v>482</v>
      </c>
      <c r="Z152" s="618" t="s">
        <v>95</v>
      </c>
      <c r="AA152" s="386" t="s">
        <v>64</v>
      </c>
      <c r="AB152" s="589" t="s">
        <v>593</v>
      </c>
      <c r="AC152" s="619">
        <v>0.0203</v>
      </c>
      <c r="AD152" s="589" t="s">
        <v>64</v>
      </c>
      <c r="AE152" s="457" t="s">
        <v>98</v>
      </c>
      <c r="AF152" s="457" t="s">
        <v>99</v>
      </c>
      <c r="AG152" s="457"/>
      <c r="AH152" s="490"/>
      <c r="AI152" s="492">
        <f>AC152*1.04</f>
        <v>0.021112</v>
      </c>
      <c r="AJ152" s="489">
        <f>AC152/AI152</f>
        <v>0.961538461538462</v>
      </c>
      <c r="AK152" s="577"/>
      <c r="AL152" s="577"/>
      <c r="AM152" s="487" t="s">
        <v>74</v>
      </c>
      <c r="AN152" s="487" t="s">
        <v>390</v>
      </c>
      <c r="AO152" s="525"/>
      <c r="AP152" s="389"/>
      <c r="AQ152" s="581">
        <v>1</v>
      </c>
      <c r="AR152" s="582">
        <v>1</v>
      </c>
      <c r="AS152" s="581">
        <v>1</v>
      </c>
      <c r="AT152" s="581">
        <v>1</v>
      </c>
      <c r="AU152" s="581">
        <v>1</v>
      </c>
    </row>
    <row r="153" s="357" customFormat="1" ht="45" customHeight="1" spans="1:47">
      <c r="A153" s="386">
        <f t="shared" si="27"/>
        <v>144</v>
      </c>
      <c r="B153" s="389"/>
      <c r="C153" s="386">
        <v>1</v>
      </c>
      <c r="D153" s="390"/>
      <c r="E153" s="425"/>
      <c r="F153" s="425"/>
      <c r="G153" s="425"/>
      <c r="H153" s="425"/>
      <c r="I153" s="425"/>
      <c r="J153" s="425"/>
      <c r="K153" s="425"/>
      <c r="L153" s="389" t="s">
        <v>87</v>
      </c>
      <c r="M153" s="309" t="s">
        <v>594</v>
      </c>
      <c r="N153" s="588" t="s">
        <v>595</v>
      </c>
      <c r="O153" s="588" t="s">
        <v>596</v>
      </c>
      <c r="P153" s="590" t="s">
        <v>117</v>
      </c>
      <c r="Q153" s="595" t="s">
        <v>92</v>
      </c>
      <c r="R153" s="527" t="s">
        <v>67</v>
      </c>
      <c r="S153" s="596"/>
      <c r="T153" s="597" t="s">
        <v>66</v>
      </c>
      <c r="U153" s="590" t="s">
        <v>595</v>
      </c>
      <c r="V153" s="598" t="s">
        <v>66</v>
      </c>
      <c r="W153" s="599" t="s">
        <v>69</v>
      </c>
      <c r="X153" s="600" t="s">
        <v>68</v>
      </c>
      <c r="Y153" s="590" t="s">
        <v>117</v>
      </c>
      <c r="Z153" s="620"/>
      <c r="AA153" s="621"/>
      <c r="AB153" s="590"/>
      <c r="AC153" s="622"/>
      <c r="AD153" s="590"/>
      <c r="AE153" s="623"/>
      <c r="AF153" s="623"/>
      <c r="AG153" s="623"/>
      <c r="AH153" s="623"/>
      <c r="AI153" s="577"/>
      <c r="AJ153" s="577"/>
      <c r="AK153" s="577"/>
      <c r="AL153" s="577"/>
      <c r="AM153" s="487" t="s">
        <v>100</v>
      </c>
      <c r="AN153" s="487" t="s">
        <v>597</v>
      </c>
      <c r="AO153" s="525"/>
      <c r="AP153" s="389"/>
      <c r="AQ153" s="581">
        <v>3</v>
      </c>
      <c r="AR153" s="582">
        <v>3</v>
      </c>
      <c r="AS153" s="581">
        <v>3</v>
      </c>
      <c r="AT153" s="581">
        <v>3</v>
      </c>
      <c r="AU153" s="581">
        <v>3</v>
      </c>
    </row>
    <row r="154" s="11" customFormat="1" ht="45" customHeight="1" spans="1:47">
      <c r="A154" s="386">
        <f t="shared" si="27"/>
        <v>145</v>
      </c>
      <c r="B154" s="309"/>
      <c r="C154" s="537">
        <v>1</v>
      </c>
      <c r="D154" s="405"/>
      <c r="E154" s="120"/>
      <c r="F154" s="120"/>
      <c r="G154" s="120"/>
      <c r="H154" s="120"/>
      <c r="I154" s="120"/>
      <c r="J154" s="120"/>
      <c r="K154" s="120"/>
      <c r="L154" s="251" t="s">
        <v>573</v>
      </c>
      <c r="M154" s="413" t="s">
        <v>598</v>
      </c>
      <c r="N154" s="413" t="s">
        <v>598</v>
      </c>
      <c r="O154" s="413" t="s">
        <v>599</v>
      </c>
      <c r="P154" s="120" t="s">
        <v>482</v>
      </c>
      <c r="Q154" s="554" t="s">
        <v>225</v>
      </c>
      <c r="R154" s="251" t="s">
        <v>67</v>
      </c>
      <c r="S154" s="120"/>
      <c r="T154" s="548" t="s">
        <v>66</v>
      </c>
      <c r="U154" s="413" t="s">
        <v>598</v>
      </c>
      <c r="V154" s="548" t="s">
        <v>66</v>
      </c>
      <c r="W154" s="309" t="s">
        <v>69</v>
      </c>
      <c r="X154" s="549" t="s">
        <v>68</v>
      </c>
      <c r="Y154" s="120" t="s">
        <v>482</v>
      </c>
      <c r="Z154" s="413" t="s">
        <v>600</v>
      </c>
      <c r="AA154" s="537" t="s">
        <v>64</v>
      </c>
      <c r="AB154" s="251" t="s">
        <v>601</v>
      </c>
      <c r="AC154" s="624">
        <v>0.335</v>
      </c>
      <c r="AD154" s="537" t="s">
        <v>97</v>
      </c>
      <c r="AE154" s="457" t="s">
        <v>98</v>
      </c>
      <c r="AF154" s="457" t="s">
        <v>99</v>
      </c>
      <c r="AG154" s="457"/>
      <c r="AH154" s="490"/>
      <c r="AI154" s="492">
        <f t="shared" ref="AI153:AI161" si="28">AC154*1.04</f>
        <v>0.3484</v>
      </c>
      <c r="AJ154" s="489">
        <f t="shared" ref="AJ153:AJ161" si="29">AC154/AI154</f>
        <v>0.961538461538461</v>
      </c>
      <c r="AK154" s="577"/>
      <c r="AL154" s="577"/>
      <c r="AM154" s="487" t="s">
        <v>74</v>
      </c>
      <c r="AN154" s="487" t="s">
        <v>390</v>
      </c>
      <c r="AO154" s="583"/>
      <c r="AP154" s="309"/>
      <c r="AQ154" s="584">
        <v>0</v>
      </c>
      <c r="AR154" s="582">
        <v>1</v>
      </c>
      <c r="AS154" s="584">
        <v>1</v>
      </c>
      <c r="AT154" s="405">
        <v>0</v>
      </c>
      <c r="AU154" s="405">
        <v>0</v>
      </c>
    </row>
    <row r="155" s="11" customFormat="1" ht="45" customHeight="1" spans="1:47">
      <c r="A155" s="386">
        <f t="shared" si="27"/>
        <v>146</v>
      </c>
      <c r="B155" s="309"/>
      <c r="C155" s="537">
        <v>1</v>
      </c>
      <c r="D155" s="405"/>
      <c r="E155" s="120"/>
      <c r="F155" s="120"/>
      <c r="G155" s="120"/>
      <c r="H155" s="120"/>
      <c r="I155" s="120"/>
      <c r="J155" s="120"/>
      <c r="K155" s="120"/>
      <c r="L155" s="251" t="s">
        <v>573</v>
      </c>
      <c r="M155" s="413" t="s">
        <v>602</v>
      </c>
      <c r="N155" s="413" t="s">
        <v>602</v>
      </c>
      <c r="O155" s="413" t="s">
        <v>599</v>
      </c>
      <c r="P155" s="120" t="s">
        <v>603</v>
      </c>
      <c r="Q155" s="554" t="s">
        <v>225</v>
      </c>
      <c r="R155" s="251" t="s">
        <v>67</v>
      </c>
      <c r="S155" s="120"/>
      <c r="T155" s="548" t="s">
        <v>66</v>
      </c>
      <c r="U155" s="413" t="s">
        <v>602</v>
      </c>
      <c r="V155" s="548" t="s">
        <v>66</v>
      </c>
      <c r="W155" s="309" t="s">
        <v>69</v>
      </c>
      <c r="X155" s="549" t="s">
        <v>68</v>
      </c>
      <c r="Y155" s="120" t="s">
        <v>482</v>
      </c>
      <c r="Z155" s="413" t="s">
        <v>600</v>
      </c>
      <c r="AA155" s="537" t="s">
        <v>64</v>
      </c>
      <c r="AB155" s="251" t="s">
        <v>601</v>
      </c>
      <c r="AC155" s="624">
        <v>0.32</v>
      </c>
      <c r="AD155" s="537" t="s">
        <v>97</v>
      </c>
      <c r="AE155" s="457" t="s">
        <v>98</v>
      </c>
      <c r="AF155" s="457" t="s">
        <v>99</v>
      </c>
      <c r="AG155" s="457"/>
      <c r="AH155" s="490"/>
      <c r="AI155" s="492">
        <f t="shared" si="28"/>
        <v>0.3328</v>
      </c>
      <c r="AJ155" s="489">
        <f t="shared" si="29"/>
        <v>0.961538461538461</v>
      </c>
      <c r="AK155" s="577"/>
      <c r="AL155" s="577"/>
      <c r="AM155" s="487" t="s">
        <v>74</v>
      </c>
      <c r="AN155" s="487" t="s">
        <v>390</v>
      </c>
      <c r="AO155" s="583"/>
      <c r="AP155" s="309"/>
      <c r="AQ155" s="584">
        <v>1</v>
      </c>
      <c r="AR155" s="582">
        <v>0</v>
      </c>
      <c r="AS155" s="584">
        <v>0</v>
      </c>
      <c r="AT155" s="405">
        <v>1</v>
      </c>
      <c r="AU155" s="405">
        <v>1</v>
      </c>
    </row>
    <row r="156" s="357" customFormat="1" ht="45" customHeight="1" spans="1:47">
      <c r="A156" s="386">
        <f t="shared" si="27"/>
        <v>147</v>
      </c>
      <c r="B156" s="389"/>
      <c r="C156" s="386">
        <v>1</v>
      </c>
      <c r="D156" s="390"/>
      <c r="E156" s="425"/>
      <c r="F156" s="425"/>
      <c r="G156" s="425"/>
      <c r="H156" s="425"/>
      <c r="I156" s="425"/>
      <c r="J156" s="425"/>
      <c r="K156" s="425"/>
      <c r="L156" s="387" t="s">
        <v>573</v>
      </c>
      <c r="M156" s="413" t="s">
        <v>604</v>
      </c>
      <c r="N156" s="413" t="s">
        <v>604</v>
      </c>
      <c r="O156" s="413" t="s">
        <v>605</v>
      </c>
      <c r="P156" s="425" t="s">
        <v>482</v>
      </c>
      <c r="Q156" s="444" t="s">
        <v>225</v>
      </c>
      <c r="R156" s="387" t="s">
        <v>67</v>
      </c>
      <c r="S156" s="425"/>
      <c r="T156" s="435" t="s">
        <v>66</v>
      </c>
      <c r="U156" s="395" t="s">
        <v>604</v>
      </c>
      <c r="V156" s="435" t="s">
        <v>66</v>
      </c>
      <c r="W156" s="389" t="s">
        <v>69</v>
      </c>
      <c r="X156" s="436" t="s">
        <v>68</v>
      </c>
      <c r="Y156" s="425" t="s">
        <v>482</v>
      </c>
      <c r="Z156" s="395" t="s">
        <v>600</v>
      </c>
      <c r="AA156" s="386" t="s">
        <v>64</v>
      </c>
      <c r="AB156" s="387" t="s">
        <v>606</v>
      </c>
      <c r="AC156" s="619">
        <v>0.337</v>
      </c>
      <c r="AD156" s="386" t="s">
        <v>97</v>
      </c>
      <c r="AE156" s="457" t="s">
        <v>98</v>
      </c>
      <c r="AF156" s="457" t="s">
        <v>99</v>
      </c>
      <c r="AG156" s="457"/>
      <c r="AH156" s="490"/>
      <c r="AI156" s="492">
        <f t="shared" si="28"/>
        <v>0.35048</v>
      </c>
      <c r="AJ156" s="489">
        <f t="shared" si="29"/>
        <v>0.961538461538462</v>
      </c>
      <c r="AK156" s="577"/>
      <c r="AL156" s="577"/>
      <c r="AM156" s="487" t="s">
        <v>74</v>
      </c>
      <c r="AN156" s="487" t="s">
        <v>390</v>
      </c>
      <c r="AO156" s="525"/>
      <c r="AP156" s="389"/>
      <c r="AQ156" s="581">
        <v>1</v>
      </c>
      <c r="AR156" s="582">
        <v>1</v>
      </c>
      <c r="AS156" s="581">
        <v>1</v>
      </c>
      <c r="AT156" s="581">
        <v>1</v>
      </c>
      <c r="AU156" s="581">
        <v>1</v>
      </c>
    </row>
    <row r="157" s="357" customFormat="1" ht="45" customHeight="1" spans="1:47">
      <c r="A157" s="386">
        <f t="shared" si="27"/>
        <v>148</v>
      </c>
      <c r="B157" s="389"/>
      <c r="C157" s="425">
        <v>1</v>
      </c>
      <c r="D157" s="390"/>
      <c r="E157" s="425"/>
      <c r="F157" s="386"/>
      <c r="G157" s="425"/>
      <c r="H157" s="425"/>
      <c r="I157" s="425"/>
      <c r="J157" s="425"/>
      <c r="K157" s="425"/>
      <c r="L157" s="387" t="s">
        <v>573</v>
      </c>
      <c r="M157" s="413" t="s">
        <v>607</v>
      </c>
      <c r="N157" s="413" t="s">
        <v>607</v>
      </c>
      <c r="O157" s="413" t="s">
        <v>608</v>
      </c>
      <c r="P157" s="425" t="s">
        <v>482</v>
      </c>
      <c r="Q157" s="444" t="s">
        <v>225</v>
      </c>
      <c r="R157" s="387" t="s">
        <v>67</v>
      </c>
      <c r="S157" s="387"/>
      <c r="T157" s="435" t="s">
        <v>66</v>
      </c>
      <c r="U157" s="395" t="s">
        <v>607</v>
      </c>
      <c r="V157" s="435" t="s">
        <v>66</v>
      </c>
      <c r="W157" s="389" t="s">
        <v>69</v>
      </c>
      <c r="X157" s="436" t="s">
        <v>68</v>
      </c>
      <c r="Y157" s="425" t="s">
        <v>482</v>
      </c>
      <c r="Z157" s="395" t="s">
        <v>600</v>
      </c>
      <c r="AA157" s="386" t="s">
        <v>64</v>
      </c>
      <c r="AB157" s="387" t="s">
        <v>609</v>
      </c>
      <c r="AC157" s="619">
        <v>0.126</v>
      </c>
      <c r="AD157" s="386" t="s">
        <v>97</v>
      </c>
      <c r="AE157" s="457" t="s">
        <v>98</v>
      </c>
      <c r="AF157" s="457" t="s">
        <v>99</v>
      </c>
      <c r="AG157" s="457"/>
      <c r="AH157" s="490"/>
      <c r="AI157" s="492">
        <f t="shared" si="28"/>
        <v>0.13104</v>
      </c>
      <c r="AJ157" s="489">
        <f t="shared" si="29"/>
        <v>0.961538461538461</v>
      </c>
      <c r="AK157" s="577"/>
      <c r="AL157" s="577"/>
      <c r="AM157" s="487" t="s">
        <v>74</v>
      </c>
      <c r="AN157" s="487" t="s">
        <v>390</v>
      </c>
      <c r="AO157" s="525"/>
      <c r="AP157" s="389"/>
      <c r="AQ157" s="581">
        <v>1</v>
      </c>
      <c r="AR157" s="582">
        <v>1</v>
      </c>
      <c r="AS157" s="581">
        <v>1</v>
      </c>
      <c r="AT157" s="581">
        <v>1</v>
      </c>
      <c r="AU157" s="581">
        <v>1</v>
      </c>
    </row>
    <row r="158" s="357" customFormat="1" ht="45" customHeight="1" spans="1:47">
      <c r="A158" s="386">
        <f t="shared" ref="A158:A167" si="30">ROW()-9</f>
        <v>149</v>
      </c>
      <c r="B158" s="389"/>
      <c r="C158" s="425">
        <v>1</v>
      </c>
      <c r="D158" s="390"/>
      <c r="E158" s="386"/>
      <c r="F158" s="386"/>
      <c r="G158" s="425"/>
      <c r="H158" s="425"/>
      <c r="I158" s="425"/>
      <c r="J158" s="425"/>
      <c r="K158" s="425"/>
      <c r="L158" s="387" t="s">
        <v>573</v>
      </c>
      <c r="M158" s="413" t="s">
        <v>610</v>
      </c>
      <c r="N158" s="413" t="s">
        <v>610</v>
      </c>
      <c r="O158" s="413" t="s">
        <v>611</v>
      </c>
      <c r="P158" s="425" t="s">
        <v>482</v>
      </c>
      <c r="Q158" s="444"/>
      <c r="R158" s="387" t="s">
        <v>67</v>
      </c>
      <c r="S158" s="387"/>
      <c r="T158" s="435" t="s">
        <v>66</v>
      </c>
      <c r="U158" s="395" t="str">
        <f>N158</f>
        <v>SHT0011963</v>
      </c>
      <c r="V158" s="435" t="s">
        <v>66</v>
      </c>
      <c r="W158" s="389" t="s">
        <v>69</v>
      </c>
      <c r="X158" s="436" t="s">
        <v>68</v>
      </c>
      <c r="Y158" s="425" t="s">
        <v>482</v>
      </c>
      <c r="Z158" s="395" t="s">
        <v>600</v>
      </c>
      <c r="AA158" s="386" t="s">
        <v>64</v>
      </c>
      <c r="AB158" s="387" t="s">
        <v>612</v>
      </c>
      <c r="AC158" s="619">
        <v>0.153</v>
      </c>
      <c r="AD158" s="386" t="s">
        <v>97</v>
      </c>
      <c r="AE158" s="457" t="s">
        <v>98</v>
      </c>
      <c r="AF158" s="457" t="s">
        <v>99</v>
      </c>
      <c r="AG158" s="457"/>
      <c r="AH158" s="490"/>
      <c r="AI158" s="492">
        <f t="shared" si="28"/>
        <v>0.15912</v>
      </c>
      <c r="AJ158" s="489">
        <f t="shared" si="29"/>
        <v>0.961538461538461</v>
      </c>
      <c r="AK158" s="577"/>
      <c r="AL158" s="577"/>
      <c r="AM158" s="487" t="s">
        <v>74</v>
      </c>
      <c r="AN158" s="487" t="s">
        <v>390</v>
      </c>
      <c r="AO158" s="525"/>
      <c r="AP158" s="389"/>
      <c r="AQ158" s="581">
        <v>1</v>
      </c>
      <c r="AR158" s="582">
        <v>1</v>
      </c>
      <c r="AS158" s="581">
        <v>1</v>
      </c>
      <c r="AT158" s="581">
        <v>1</v>
      </c>
      <c r="AU158" s="581">
        <v>1</v>
      </c>
    </row>
    <row r="159" s="357" customFormat="1" ht="45" customHeight="1" spans="1:47">
      <c r="A159" s="386">
        <f t="shared" si="30"/>
        <v>150</v>
      </c>
      <c r="B159" s="389"/>
      <c r="C159" s="386">
        <v>1</v>
      </c>
      <c r="D159" s="390"/>
      <c r="E159" s="386"/>
      <c r="F159" s="425"/>
      <c r="G159" s="425"/>
      <c r="H159" s="425"/>
      <c r="I159" s="425"/>
      <c r="J159" s="425"/>
      <c r="K159" s="425"/>
      <c r="L159" s="387" t="s">
        <v>573</v>
      </c>
      <c r="M159" s="413" t="s">
        <v>613</v>
      </c>
      <c r="N159" s="413" t="s">
        <v>613</v>
      </c>
      <c r="O159" s="413" t="s">
        <v>614</v>
      </c>
      <c r="P159" s="425" t="s">
        <v>482</v>
      </c>
      <c r="Q159" s="444" t="s">
        <v>225</v>
      </c>
      <c r="R159" s="387" t="s">
        <v>67</v>
      </c>
      <c r="S159" s="601"/>
      <c r="T159" s="435" t="s">
        <v>66</v>
      </c>
      <c r="U159" s="395" t="s">
        <v>613</v>
      </c>
      <c r="V159" s="435" t="s">
        <v>66</v>
      </c>
      <c r="W159" s="389" t="s">
        <v>69</v>
      </c>
      <c r="X159" s="436" t="s">
        <v>68</v>
      </c>
      <c r="Y159" s="425" t="s">
        <v>482</v>
      </c>
      <c r="Z159" s="436" t="s">
        <v>615</v>
      </c>
      <c r="AA159" s="386" t="s">
        <v>64</v>
      </c>
      <c r="AB159" s="387" t="s">
        <v>616</v>
      </c>
      <c r="AC159" s="619">
        <v>0.045</v>
      </c>
      <c r="AD159" s="386" t="s">
        <v>97</v>
      </c>
      <c r="AE159" s="457" t="s">
        <v>98</v>
      </c>
      <c r="AF159" s="457" t="s">
        <v>99</v>
      </c>
      <c r="AG159" s="457"/>
      <c r="AH159" s="490"/>
      <c r="AI159" s="492">
        <f t="shared" si="28"/>
        <v>0.0468</v>
      </c>
      <c r="AJ159" s="489">
        <f t="shared" si="29"/>
        <v>0.961538461538461</v>
      </c>
      <c r="AK159" s="577"/>
      <c r="AL159" s="577"/>
      <c r="AM159" s="502" t="s">
        <v>100</v>
      </c>
      <c r="AN159" s="502" t="s">
        <v>617</v>
      </c>
      <c r="AO159" s="525"/>
      <c r="AP159" s="389"/>
      <c r="AQ159" s="581">
        <v>1</v>
      </c>
      <c r="AR159" s="582">
        <v>1</v>
      </c>
      <c r="AS159" s="581">
        <v>1</v>
      </c>
      <c r="AT159" s="581">
        <v>1</v>
      </c>
      <c r="AU159" s="581">
        <v>1</v>
      </c>
    </row>
    <row r="160" s="357" customFormat="1" ht="45" customHeight="1" spans="1:47">
      <c r="A160" s="386">
        <f t="shared" si="30"/>
        <v>151</v>
      </c>
      <c r="B160" s="389"/>
      <c r="C160" s="386">
        <v>1</v>
      </c>
      <c r="D160" s="390"/>
      <c r="E160" s="425"/>
      <c r="F160" s="425"/>
      <c r="G160" s="425"/>
      <c r="H160" s="425"/>
      <c r="I160" s="425"/>
      <c r="J160" s="425"/>
      <c r="K160" s="425"/>
      <c r="L160" s="387" t="s">
        <v>573</v>
      </c>
      <c r="M160" s="413" t="s">
        <v>618</v>
      </c>
      <c r="N160" s="413" t="s">
        <v>618</v>
      </c>
      <c r="O160" s="415" t="s">
        <v>619</v>
      </c>
      <c r="P160" s="591" t="s">
        <v>482</v>
      </c>
      <c r="Q160" s="602" t="s">
        <v>225</v>
      </c>
      <c r="R160" s="387" t="s">
        <v>67</v>
      </c>
      <c r="S160" s="591"/>
      <c r="T160" s="435" t="s">
        <v>66</v>
      </c>
      <c r="U160" s="395" t="s">
        <v>618</v>
      </c>
      <c r="V160" s="603" t="s">
        <v>66</v>
      </c>
      <c r="W160" s="389" t="s">
        <v>69</v>
      </c>
      <c r="X160" s="436" t="s">
        <v>68</v>
      </c>
      <c r="Y160" s="591" t="s">
        <v>482</v>
      </c>
      <c r="Z160" s="625" t="s">
        <v>615</v>
      </c>
      <c r="AA160" s="386" t="s">
        <v>64</v>
      </c>
      <c r="AB160" s="387" t="s">
        <v>620</v>
      </c>
      <c r="AC160" s="619">
        <v>0.06</v>
      </c>
      <c r="AD160" s="386" t="s">
        <v>97</v>
      </c>
      <c r="AE160" s="457" t="s">
        <v>98</v>
      </c>
      <c r="AF160" s="457" t="s">
        <v>99</v>
      </c>
      <c r="AG160" s="457"/>
      <c r="AH160" s="490"/>
      <c r="AI160" s="492">
        <f t="shared" si="28"/>
        <v>0.0624</v>
      </c>
      <c r="AJ160" s="489">
        <f t="shared" si="29"/>
        <v>0.961538461538462</v>
      </c>
      <c r="AK160" s="577"/>
      <c r="AL160" s="577"/>
      <c r="AM160" s="502" t="s">
        <v>100</v>
      </c>
      <c r="AN160" s="502" t="s">
        <v>617</v>
      </c>
      <c r="AO160" s="525"/>
      <c r="AP160" s="389"/>
      <c r="AQ160" s="581">
        <v>1</v>
      </c>
      <c r="AR160" s="582">
        <v>1</v>
      </c>
      <c r="AS160" s="581">
        <v>1</v>
      </c>
      <c r="AT160" s="581">
        <v>1</v>
      </c>
      <c r="AU160" s="581">
        <v>1</v>
      </c>
    </row>
    <row r="161" s="357" customFormat="1" ht="45" customHeight="1" spans="1:47">
      <c r="A161" s="386">
        <f t="shared" si="30"/>
        <v>152</v>
      </c>
      <c r="B161" s="389"/>
      <c r="C161" s="386">
        <v>1</v>
      </c>
      <c r="D161" s="390"/>
      <c r="E161" s="425"/>
      <c r="F161" s="425"/>
      <c r="G161" s="425"/>
      <c r="H161" s="425"/>
      <c r="I161" s="425"/>
      <c r="J161" s="425"/>
      <c r="K161" s="425"/>
      <c r="L161" s="387" t="s">
        <v>573</v>
      </c>
      <c r="M161" s="413" t="s">
        <v>621</v>
      </c>
      <c r="N161" s="413" t="s">
        <v>621</v>
      </c>
      <c r="O161" s="415" t="s">
        <v>622</v>
      </c>
      <c r="P161" s="591" t="s">
        <v>482</v>
      </c>
      <c r="Q161" s="602"/>
      <c r="R161" s="387" t="s">
        <v>67</v>
      </c>
      <c r="S161" s="591"/>
      <c r="T161" s="435" t="s">
        <v>66</v>
      </c>
      <c r="U161" s="395" t="s">
        <v>621</v>
      </c>
      <c r="V161" s="603" t="s">
        <v>66</v>
      </c>
      <c r="W161" s="389" t="s">
        <v>69</v>
      </c>
      <c r="X161" s="436" t="s">
        <v>68</v>
      </c>
      <c r="Y161" s="591" t="s">
        <v>482</v>
      </c>
      <c r="Z161" s="625" t="s">
        <v>623</v>
      </c>
      <c r="AA161" s="386" t="s">
        <v>64</v>
      </c>
      <c r="AB161" s="387" t="s">
        <v>624</v>
      </c>
      <c r="AC161" s="619">
        <v>0.0226</v>
      </c>
      <c r="AD161" s="386" t="s">
        <v>97</v>
      </c>
      <c r="AE161" s="457" t="s">
        <v>98</v>
      </c>
      <c r="AF161" s="457" t="s">
        <v>99</v>
      </c>
      <c r="AG161" s="457"/>
      <c r="AH161" s="490"/>
      <c r="AI161" s="492">
        <f t="shared" si="28"/>
        <v>0.023504</v>
      </c>
      <c r="AJ161" s="489">
        <f t="shared" si="29"/>
        <v>0.961538461538461</v>
      </c>
      <c r="AK161" s="577"/>
      <c r="AL161" s="577"/>
      <c r="AM161" s="487" t="s">
        <v>74</v>
      </c>
      <c r="AN161" s="487" t="s">
        <v>390</v>
      </c>
      <c r="AO161" s="525"/>
      <c r="AP161" s="389"/>
      <c r="AQ161" s="581">
        <v>1</v>
      </c>
      <c r="AR161" s="582">
        <v>0</v>
      </c>
      <c r="AS161" s="581">
        <v>0</v>
      </c>
      <c r="AT161" s="390">
        <v>1</v>
      </c>
      <c r="AU161" s="390">
        <v>1</v>
      </c>
    </row>
    <row r="162" s="11" customFormat="1" ht="45" customHeight="1" spans="1:47">
      <c r="A162" s="386">
        <f t="shared" si="30"/>
        <v>153</v>
      </c>
      <c r="B162" s="309"/>
      <c r="C162" s="537">
        <v>1</v>
      </c>
      <c r="D162" s="405"/>
      <c r="E162" s="120"/>
      <c r="F162" s="120"/>
      <c r="G162" s="120"/>
      <c r="H162" s="120"/>
      <c r="I162" s="120"/>
      <c r="J162" s="120"/>
      <c r="K162" s="120"/>
      <c r="L162" s="251" t="s">
        <v>573</v>
      </c>
      <c r="M162" s="413" t="s">
        <v>625</v>
      </c>
      <c r="N162" s="413" t="s">
        <v>625</v>
      </c>
      <c r="O162" s="413" t="s">
        <v>626</v>
      </c>
      <c r="P162" s="120" t="s">
        <v>65</v>
      </c>
      <c r="Q162" s="554" t="s">
        <v>225</v>
      </c>
      <c r="R162" s="251" t="s">
        <v>67</v>
      </c>
      <c r="S162" s="604"/>
      <c r="T162" s="548" t="s">
        <v>66</v>
      </c>
      <c r="U162" s="413" t="s">
        <v>625</v>
      </c>
      <c r="V162" s="548" t="s">
        <v>66</v>
      </c>
      <c r="W162" s="309" t="s">
        <v>69</v>
      </c>
      <c r="X162" s="549" t="s">
        <v>68</v>
      </c>
      <c r="Y162" s="120" t="s">
        <v>70</v>
      </c>
      <c r="Z162" s="251" t="s">
        <v>71</v>
      </c>
      <c r="AA162" s="537" t="s">
        <v>64</v>
      </c>
      <c r="AB162" s="537" t="s">
        <v>64</v>
      </c>
      <c r="AC162" s="537" t="s">
        <v>64</v>
      </c>
      <c r="AD162" s="537" t="s">
        <v>97</v>
      </c>
      <c r="AE162" s="506"/>
      <c r="AF162" s="506"/>
      <c r="AG162" s="506"/>
      <c r="AH162" s="628"/>
      <c r="AI162" s="577"/>
      <c r="AJ162" s="577"/>
      <c r="AK162" s="577"/>
      <c r="AL162" s="577"/>
      <c r="AM162" s="487" t="s">
        <v>100</v>
      </c>
      <c r="AN162" s="487" t="s">
        <v>362</v>
      </c>
      <c r="AO162" s="583"/>
      <c r="AP162" s="309"/>
      <c r="AQ162" s="634">
        <v>1</v>
      </c>
      <c r="AR162" s="635">
        <v>1</v>
      </c>
      <c r="AS162" s="634">
        <v>1</v>
      </c>
      <c r="AT162" s="634">
        <v>1</v>
      </c>
      <c r="AU162" s="634">
        <v>1</v>
      </c>
    </row>
    <row r="163" s="11" customFormat="1" ht="45" customHeight="1" spans="1:47">
      <c r="A163" s="386">
        <f t="shared" si="30"/>
        <v>154</v>
      </c>
      <c r="B163" s="309"/>
      <c r="C163" s="537">
        <v>1</v>
      </c>
      <c r="D163" s="405"/>
      <c r="E163" s="120"/>
      <c r="F163" s="120"/>
      <c r="G163" s="120"/>
      <c r="H163" s="120"/>
      <c r="I163" s="120"/>
      <c r="J163" s="120"/>
      <c r="K163" s="120"/>
      <c r="L163" s="251" t="s">
        <v>573</v>
      </c>
      <c r="M163" s="413" t="s">
        <v>627</v>
      </c>
      <c r="N163" s="413" t="s">
        <v>627</v>
      </c>
      <c r="O163" s="413" t="s">
        <v>628</v>
      </c>
      <c r="P163" s="120" t="s">
        <v>65</v>
      </c>
      <c r="Q163" s="554"/>
      <c r="R163" s="251" t="s">
        <v>67</v>
      </c>
      <c r="S163" s="604"/>
      <c r="T163" s="548" t="s">
        <v>66</v>
      </c>
      <c r="U163" s="413" t="s">
        <v>627</v>
      </c>
      <c r="V163" s="548" t="s">
        <v>66</v>
      </c>
      <c r="W163" s="309" t="s">
        <v>69</v>
      </c>
      <c r="X163" s="549" t="s">
        <v>68</v>
      </c>
      <c r="Y163" s="120" t="s">
        <v>64</v>
      </c>
      <c r="Z163" s="251" t="s">
        <v>71</v>
      </c>
      <c r="AA163" s="537" t="s">
        <v>629</v>
      </c>
      <c r="AB163" s="537">
        <v>0.04347</v>
      </c>
      <c r="AC163" s="537" t="s">
        <v>64</v>
      </c>
      <c r="AD163" s="537" t="s">
        <v>97</v>
      </c>
      <c r="AE163" s="506"/>
      <c r="AF163" s="506"/>
      <c r="AG163" s="506"/>
      <c r="AH163" s="628"/>
      <c r="AI163" s="577"/>
      <c r="AJ163" s="577"/>
      <c r="AK163" s="577"/>
      <c r="AL163" s="577"/>
      <c r="AM163" s="487" t="s">
        <v>100</v>
      </c>
      <c r="AN163" s="487" t="s">
        <v>362</v>
      </c>
      <c r="AO163" s="583"/>
      <c r="AP163" s="309"/>
      <c r="AQ163" s="634">
        <v>1</v>
      </c>
      <c r="AR163" s="635">
        <v>1</v>
      </c>
      <c r="AS163" s="634">
        <v>1</v>
      </c>
      <c r="AT163" s="634">
        <v>1</v>
      </c>
      <c r="AU163" s="634">
        <v>1</v>
      </c>
    </row>
    <row r="164" s="11" customFormat="1" ht="45" customHeight="1" spans="1:47">
      <c r="A164" s="386">
        <f t="shared" si="30"/>
        <v>155</v>
      </c>
      <c r="B164" s="309"/>
      <c r="C164" s="537">
        <v>1</v>
      </c>
      <c r="D164" s="405"/>
      <c r="E164" s="120"/>
      <c r="F164" s="537"/>
      <c r="G164" s="537"/>
      <c r="H164" s="537"/>
      <c r="I164" s="537"/>
      <c r="J164" s="537"/>
      <c r="K164" s="537"/>
      <c r="L164" s="251" t="s">
        <v>87</v>
      </c>
      <c r="M164" s="536" t="s">
        <v>585</v>
      </c>
      <c r="N164" s="536" t="s">
        <v>585</v>
      </c>
      <c r="O164" s="536" t="s">
        <v>586</v>
      </c>
      <c r="P164" s="120" t="s">
        <v>630</v>
      </c>
      <c r="Q164" s="554" t="s">
        <v>92</v>
      </c>
      <c r="R164" s="251" t="s">
        <v>67</v>
      </c>
      <c r="S164" s="89"/>
      <c r="T164" s="548" t="s">
        <v>66</v>
      </c>
      <c r="U164" s="605" t="s">
        <v>64</v>
      </c>
      <c r="V164" s="548" t="s">
        <v>64</v>
      </c>
      <c r="W164" s="309" t="s">
        <v>69</v>
      </c>
      <c r="X164" s="549" t="s">
        <v>68</v>
      </c>
      <c r="Y164" s="120" t="s">
        <v>117</v>
      </c>
      <c r="Z164" s="413" t="s">
        <v>631</v>
      </c>
      <c r="AA164" s="537" t="s">
        <v>64</v>
      </c>
      <c r="AB164" s="383" t="s">
        <v>64</v>
      </c>
      <c r="AC164" s="413">
        <v>0.0015</v>
      </c>
      <c r="AD164" s="537" t="s">
        <v>64</v>
      </c>
      <c r="AE164" s="506"/>
      <c r="AF164" s="506"/>
      <c r="AG164" s="506"/>
      <c r="AH164" s="628"/>
      <c r="AI164" s="577"/>
      <c r="AJ164" s="577"/>
      <c r="AK164" s="577"/>
      <c r="AL164" s="577"/>
      <c r="AM164" s="487" t="s">
        <v>100</v>
      </c>
      <c r="AN164" s="494" t="s">
        <v>120</v>
      </c>
      <c r="AO164" s="309"/>
      <c r="AP164" s="413"/>
      <c r="AQ164" s="584">
        <v>2</v>
      </c>
      <c r="AR164" s="582">
        <v>2</v>
      </c>
      <c r="AS164" s="584">
        <v>2</v>
      </c>
      <c r="AT164" s="405">
        <v>2</v>
      </c>
      <c r="AU164" s="405">
        <v>2</v>
      </c>
    </row>
    <row r="165" s="11" customFormat="1" ht="45" customHeight="1" spans="1:47">
      <c r="A165" s="386">
        <f t="shared" si="30"/>
        <v>156</v>
      </c>
      <c r="B165" s="309"/>
      <c r="C165" s="537">
        <v>1</v>
      </c>
      <c r="D165" s="405"/>
      <c r="E165" s="537"/>
      <c r="F165" s="120"/>
      <c r="G165" s="120"/>
      <c r="H165" s="120"/>
      <c r="I165" s="120"/>
      <c r="J165" s="120"/>
      <c r="K165" s="120"/>
      <c r="L165" s="251" t="s">
        <v>202</v>
      </c>
      <c r="M165" s="413" t="s">
        <v>632</v>
      </c>
      <c r="N165" s="413" t="s">
        <v>632</v>
      </c>
      <c r="O165" s="413" t="s">
        <v>633</v>
      </c>
      <c r="P165" s="120" t="s">
        <v>569</v>
      </c>
      <c r="Q165" s="554" t="s">
        <v>225</v>
      </c>
      <c r="R165" s="251" t="s">
        <v>67</v>
      </c>
      <c r="S165" s="604"/>
      <c r="T165" s="548" t="s">
        <v>66</v>
      </c>
      <c r="U165" s="605" t="s">
        <v>64</v>
      </c>
      <c r="V165" s="587" t="s">
        <v>64</v>
      </c>
      <c r="W165" s="309" t="s">
        <v>69</v>
      </c>
      <c r="X165" s="549" t="s">
        <v>68</v>
      </c>
      <c r="Y165" s="251" t="s">
        <v>569</v>
      </c>
      <c r="Z165" s="413" t="s">
        <v>71</v>
      </c>
      <c r="AA165" s="537" t="s">
        <v>64</v>
      </c>
      <c r="AB165" s="537" t="s">
        <v>64</v>
      </c>
      <c r="AC165" s="120" t="s">
        <v>64</v>
      </c>
      <c r="AD165" s="537" t="s">
        <v>97</v>
      </c>
      <c r="AE165" s="506"/>
      <c r="AF165" s="506"/>
      <c r="AG165" s="506"/>
      <c r="AH165" s="628"/>
      <c r="AI165" s="577"/>
      <c r="AJ165" s="577"/>
      <c r="AK165" s="577"/>
      <c r="AL165" s="577"/>
      <c r="AM165" s="487" t="s">
        <v>100</v>
      </c>
      <c r="AN165" s="487" t="s">
        <v>362</v>
      </c>
      <c r="AO165" s="583"/>
      <c r="AP165" s="309"/>
      <c r="AQ165" s="634">
        <v>1</v>
      </c>
      <c r="AR165" s="635">
        <v>1</v>
      </c>
      <c r="AS165" s="634">
        <v>1</v>
      </c>
      <c r="AT165" s="634">
        <v>1</v>
      </c>
      <c r="AU165" s="634">
        <v>1</v>
      </c>
    </row>
    <row r="166" s="11" customFormat="1" ht="45" customHeight="1" spans="1:47">
      <c r="A166" s="386">
        <f t="shared" si="30"/>
        <v>157</v>
      </c>
      <c r="B166" s="309"/>
      <c r="C166" s="537">
        <v>1</v>
      </c>
      <c r="D166" s="405"/>
      <c r="E166" s="537"/>
      <c r="F166" s="120"/>
      <c r="G166" s="120"/>
      <c r="H166" s="120"/>
      <c r="I166" s="120"/>
      <c r="J166" s="120"/>
      <c r="K166" s="120"/>
      <c r="L166" s="251"/>
      <c r="M166" s="413" t="s">
        <v>634</v>
      </c>
      <c r="N166" s="413" t="s">
        <v>634</v>
      </c>
      <c r="O166" s="413" t="s">
        <v>635</v>
      </c>
      <c r="P166" s="120" t="s">
        <v>636</v>
      </c>
      <c r="Q166" s="554" t="s">
        <v>66</v>
      </c>
      <c r="R166" s="251" t="s">
        <v>368</v>
      </c>
      <c r="S166" s="604"/>
      <c r="T166" s="548" t="s">
        <v>66</v>
      </c>
      <c r="U166" s="605" t="s">
        <v>634</v>
      </c>
      <c r="V166" s="587"/>
      <c r="W166" s="309" t="s">
        <v>69</v>
      </c>
      <c r="X166" s="549" t="s">
        <v>68</v>
      </c>
      <c r="Y166" s="251" t="s">
        <v>117</v>
      </c>
      <c r="Z166" s="413" t="s">
        <v>64</v>
      </c>
      <c r="AA166" s="537" t="s">
        <v>64</v>
      </c>
      <c r="AB166" s="537" t="s">
        <v>637</v>
      </c>
      <c r="AC166" s="120">
        <v>0.0026</v>
      </c>
      <c r="AD166" s="537" t="s">
        <v>638</v>
      </c>
      <c r="AE166" s="506"/>
      <c r="AF166" s="506"/>
      <c r="AG166" s="506"/>
      <c r="AH166" s="628"/>
      <c r="AI166" s="577"/>
      <c r="AJ166" s="577"/>
      <c r="AK166" s="577"/>
      <c r="AL166" s="577"/>
      <c r="AM166" s="487" t="s">
        <v>100</v>
      </c>
      <c r="AN166" s="487" t="s">
        <v>597</v>
      </c>
      <c r="AO166" s="583"/>
      <c r="AP166" s="309"/>
      <c r="AQ166" s="634">
        <v>4</v>
      </c>
      <c r="AR166" s="635">
        <v>2</v>
      </c>
      <c r="AS166" s="634">
        <v>2</v>
      </c>
      <c r="AT166" s="634">
        <v>4</v>
      </c>
      <c r="AU166" s="634">
        <v>4</v>
      </c>
    </row>
    <row r="167" s="11" customFormat="1" ht="45" customHeight="1" spans="1:47">
      <c r="A167" s="386">
        <f t="shared" si="30"/>
        <v>158</v>
      </c>
      <c r="B167" s="309"/>
      <c r="C167" s="537">
        <v>1</v>
      </c>
      <c r="D167" s="405"/>
      <c r="E167" s="537"/>
      <c r="F167" s="120"/>
      <c r="G167" s="120"/>
      <c r="H167" s="120"/>
      <c r="I167" s="120"/>
      <c r="J167" s="120"/>
      <c r="K167" s="120"/>
      <c r="L167" s="251"/>
      <c r="M167" s="413" t="s">
        <v>639</v>
      </c>
      <c r="N167" s="413" t="s">
        <v>639</v>
      </c>
      <c r="O167" s="413" t="s">
        <v>640</v>
      </c>
      <c r="P167" s="592" t="s">
        <v>641</v>
      </c>
      <c r="Q167" s="554" t="s">
        <v>225</v>
      </c>
      <c r="R167" s="251" t="s">
        <v>67</v>
      </c>
      <c r="S167" s="604"/>
      <c r="T167" s="548" t="s">
        <v>66</v>
      </c>
      <c r="U167" s="605"/>
      <c r="V167" s="587"/>
      <c r="W167" s="309" t="s">
        <v>69</v>
      </c>
      <c r="X167" s="549" t="s">
        <v>68</v>
      </c>
      <c r="Y167" s="251"/>
      <c r="Z167" s="413"/>
      <c r="AA167" s="537"/>
      <c r="AB167" s="537"/>
      <c r="AC167" s="120"/>
      <c r="AD167" s="537"/>
      <c r="AE167" s="506"/>
      <c r="AF167" s="506"/>
      <c r="AG167" s="506"/>
      <c r="AH167" s="628"/>
      <c r="AI167" s="577"/>
      <c r="AJ167" s="577"/>
      <c r="AK167" s="577"/>
      <c r="AL167" s="577"/>
      <c r="AM167" s="487" t="s">
        <v>100</v>
      </c>
      <c r="AN167" s="487" t="s">
        <v>642</v>
      </c>
      <c r="AO167" s="583"/>
      <c r="AP167" s="309"/>
      <c r="AQ167" s="634">
        <v>1</v>
      </c>
      <c r="AR167" s="635">
        <v>1</v>
      </c>
      <c r="AS167" s="634">
        <v>1</v>
      </c>
      <c r="AT167" s="634">
        <v>1</v>
      </c>
      <c r="AU167" s="634">
        <v>1</v>
      </c>
    </row>
    <row r="168" s="11" customFormat="1" ht="45" customHeight="1" spans="1:47">
      <c r="A168" s="386">
        <f t="shared" ref="A168:A179" si="31">ROW()-9</f>
        <v>159</v>
      </c>
      <c r="B168" s="309"/>
      <c r="C168" s="537">
        <v>1</v>
      </c>
      <c r="D168" s="405"/>
      <c r="E168" s="537"/>
      <c r="F168" s="120"/>
      <c r="G168" s="120"/>
      <c r="H168" s="120"/>
      <c r="I168" s="120"/>
      <c r="J168" s="120"/>
      <c r="K168" s="120"/>
      <c r="L168" s="251"/>
      <c r="M168" s="413" t="s">
        <v>643</v>
      </c>
      <c r="N168" s="413" t="s">
        <v>643</v>
      </c>
      <c r="O168" s="413" t="s">
        <v>644</v>
      </c>
      <c r="P168" s="592" t="s">
        <v>641</v>
      </c>
      <c r="Q168" s="554" t="s">
        <v>225</v>
      </c>
      <c r="R168" s="251" t="s">
        <v>67</v>
      </c>
      <c r="S168" s="604"/>
      <c r="T168" s="548" t="s">
        <v>66</v>
      </c>
      <c r="U168" s="605"/>
      <c r="V168" s="587"/>
      <c r="W168" s="309" t="s">
        <v>69</v>
      </c>
      <c r="X168" s="549" t="s">
        <v>68</v>
      </c>
      <c r="Y168" s="251"/>
      <c r="Z168" s="413"/>
      <c r="AA168" s="537"/>
      <c r="AB168" s="537"/>
      <c r="AC168" s="120"/>
      <c r="AD168" s="537"/>
      <c r="AE168" s="506"/>
      <c r="AF168" s="506"/>
      <c r="AG168" s="506"/>
      <c r="AH168" s="628"/>
      <c r="AI168" s="577"/>
      <c r="AJ168" s="577"/>
      <c r="AK168" s="577"/>
      <c r="AL168" s="577"/>
      <c r="AM168" s="487" t="s">
        <v>100</v>
      </c>
      <c r="AN168" s="487" t="s">
        <v>101</v>
      </c>
      <c r="AO168" s="583"/>
      <c r="AP168" s="309"/>
      <c r="AQ168" s="634">
        <v>1</v>
      </c>
      <c r="AR168" s="635">
        <v>1</v>
      </c>
      <c r="AS168" s="634">
        <v>1</v>
      </c>
      <c r="AT168" s="634">
        <v>1</v>
      </c>
      <c r="AU168" s="634">
        <v>1</v>
      </c>
    </row>
    <row r="169" s="11" customFormat="1" ht="45" customHeight="1" spans="1:47">
      <c r="A169" s="386">
        <f t="shared" si="31"/>
        <v>160</v>
      </c>
      <c r="B169" s="309"/>
      <c r="C169" s="537">
        <v>1</v>
      </c>
      <c r="D169" s="405"/>
      <c r="E169" s="537"/>
      <c r="F169" s="120"/>
      <c r="G169" s="120"/>
      <c r="H169" s="120"/>
      <c r="I169" s="120"/>
      <c r="J169" s="120"/>
      <c r="K169" s="120"/>
      <c r="L169" s="251"/>
      <c r="M169" s="413" t="s">
        <v>645</v>
      </c>
      <c r="N169" s="413" t="s">
        <v>645</v>
      </c>
      <c r="O169" s="413" t="s">
        <v>646</v>
      </c>
      <c r="P169" s="592" t="s">
        <v>647</v>
      </c>
      <c r="Q169" s="595" t="s">
        <v>225</v>
      </c>
      <c r="R169" s="527" t="s">
        <v>67</v>
      </c>
      <c r="S169" s="606"/>
      <c r="T169" s="597" t="s">
        <v>66</v>
      </c>
      <c r="U169" s="607"/>
      <c r="V169" s="608"/>
      <c r="W169" s="599" t="s">
        <v>69</v>
      </c>
      <c r="X169" s="600" t="s">
        <v>68</v>
      </c>
      <c r="Y169" s="527"/>
      <c r="Z169" s="420" t="s">
        <v>648</v>
      </c>
      <c r="AA169" s="621"/>
      <c r="AB169" s="621"/>
      <c r="AC169" s="592"/>
      <c r="AD169" s="621"/>
      <c r="AE169" s="506"/>
      <c r="AF169" s="506"/>
      <c r="AG169" s="506"/>
      <c r="AH169" s="628"/>
      <c r="AI169" s="577"/>
      <c r="AJ169" s="577"/>
      <c r="AK169" s="577"/>
      <c r="AL169" s="577"/>
      <c r="AM169" s="487" t="s">
        <v>100</v>
      </c>
      <c r="AN169" s="502" t="s">
        <v>649</v>
      </c>
      <c r="AO169" s="583"/>
      <c r="AP169" s="309"/>
      <c r="AQ169" s="634">
        <v>2</v>
      </c>
      <c r="AR169" s="635">
        <v>2</v>
      </c>
      <c r="AS169" s="634">
        <v>2</v>
      </c>
      <c r="AT169" s="634">
        <v>2</v>
      </c>
      <c r="AU169" s="634">
        <v>2</v>
      </c>
    </row>
    <row r="170" s="11" customFormat="1" ht="45" customHeight="1" spans="1:47">
      <c r="A170" s="386">
        <f t="shared" si="31"/>
        <v>161</v>
      </c>
      <c r="B170" s="309"/>
      <c r="C170" s="537">
        <v>1</v>
      </c>
      <c r="D170" s="405"/>
      <c r="E170" s="537"/>
      <c r="F170" s="120"/>
      <c r="G170" s="120"/>
      <c r="H170" s="120"/>
      <c r="I170" s="120"/>
      <c r="J170" s="120"/>
      <c r="K170" s="120"/>
      <c r="L170" s="251" t="s">
        <v>87</v>
      </c>
      <c r="M170" s="413" t="s">
        <v>650</v>
      </c>
      <c r="N170" s="413" t="s">
        <v>650</v>
      </c>
      <c r="O170" s="413" t="s">
        <v>646</v>
      </c>
      <c r="P170" s="592" t="s">
        <v>651</v>
      </c>
      <c r="Q170" s="595" t="s">
        <v>225</v>
      </c>
      <c r="R170" s="527" t="s">
        <v>67</v>
      </c>
      <c r="S170" s="606"/>
      <c r="T170" s="597" t="s">
        <v>66</v>
      </c>
      <c r="U170" s="607"/>
      <c r="V170" s="608"/>
      <c r="W170" s="599" t="s">
        <v>69</v>
      </c>
      <c r="X170" s="600" t="s">
        <v>68</v>
      </c>
      <c r="Y170" s="527"/>
      <c r="Z170" s="420" t="s">
        <v>652</v>
      </c>
      <c r="AA170" s="621"/>
      <c r="AB170" s="621"/>
      <c r="AC170" s="592"/>
      <c r="AD170" s="621"/>
      <c r="AE170" s="506"/>
      <c r="AF170" s="506"/>
      <c r="AG170" s="506"/>
      <c r="AH170" s="628"/>
      <c r="AI170" s="577"/>
      <c r="AJ170" s="577"/>
      <c r="AK170" s="577"/>
      <c r="AL170" s="577"/>
      <c r="AM170" s="487" t="s">
        <v>100</v>
      </c>
      <c r="AN170" s="502" t="s">
        <v>649</v>
      </c>
      <c r="AO170" s="583"/>
      <c r="AP170" s="309"/>
      <c r="AQ170" s="634">
        <v>1</v>
      </c>
      <c r="AR170" s="635">
        <v>1</v>
      </c>
      <c r="AS170" s="634">
        <v>1</v>
      </c>
      <c r="AT170" s="634">
        <v>1</v>
      </c>
      <c r="AU170" s="634">
        <v>1</v>
      </c>
    </row>
    <row r="171" s="11" customFormat="1" ht="45" customHeight="1" spans="1:47">
      <c r="A171" s="386">
        <f t="shared" si="31"/>
        <v>162</v>
      </c>
      <c r="B171" s="309"/>
      <c r="C171" s="537">
        <v>1</v>
      </c>
      <c r="D171" s="405"/>
      <c r="E171" s="537"/>
      <c r="F171" s="120"/>
      <c r="G171" s="120"/>
      <c r="H171" s="120"/>
      <c r="I171" s="120"/>
      <c r="J171" s="120"/>
      <c r="K171" s="120"/>
      <c r="L171" s="251"/>
      <c r="M171" s="413" t="s">
        <v>653</v>
      </c>
      <c r="N171" s="413" t="s">
        <v>653</v>
      </c>
      <c r="O171" s="413" t="s">
        <v>654</v>
      </c>
      <c r="P171" s="592" t="s">
        <v>655</v>
      </c>
      <c r="Q171" s="595" t="s">
        <v>225</v>
      </c>
      <c r="R171" s="527" t="s">
        <v>67</v>
      </c>
      <c r="S171" s="606"/>
      <c r="T171" s="597" t="s">
        <v>66</v>
      </c>
      <c r="U171" s="607"/>
      <c r="V171" s="608"/>
      <c r="W171" s="599" t="s">
        <v>69</v>
      </c>
      <c r="X171" s="600" t="s">
        <v>68</v>
      </c>
      <c r="Y171" s="527"/>
      <c r="Z171" s="420" t="s">
        <v>656</v>
      </c>
      <c r="AA171" s="621"/>
      <c r="AB171" s="621"/>
      <c r="AC171" s="592"/>
      <c r="AD171" s="621"/>
      <c r="AE171" s="506"/>
      <c r="AF171" s="506"/>
      <c r="AG171" s="506"/>
      <c r="AH171" s="628"/>
      <c r="AI171" s="577"/>
      <c r="AJ171" s="577"/>
      <c r="AK171" s="577"/>
      <c r="AL171" s="577"/>
      <c r="AM171" s="487" t="s">
        <v>100</v>
      </c>
      <c r="AN171" s="487" t="s">
        <v>371</v>
      </c>
      <c r="AO171" s="583"/>
      <c r="AP171" s="309"/>
      <c r="AQ171" s="634">
        <v>3</v>
      </c>
      <c r="AR171" s="635">
        <v>3</v>
      </c>
      <c r="AS171" s="634">
        <v>3</v>
      </c>
      <c r="AT171" s="634">
        <v>3</v>
      </c>
      <c r="AU171" s="634">
        <v>3</v>
      </c>
    </row>
    <row r="172" s="363" customFormat="1" ht="45" customHeight="1" spans="1:47">
      <c r="A172" s="386">
        <f t="shared" si="31"/>
        <v>163</v>
      </c>
      <c r="B172" s="533"/>
      <c r="C172" s="557">
        <v>1</v>
      </c>
      <c r="D172" s="585"/>
      <c r="E172" s="424"/>
      <c r="F172" s="557"/>
      <c r="G172" s="557"/>
      <c r="H172" s="557"/>
      <c r="I172" s="557"/>
      <c r="J172" s="557"/>
      <c r="K172" s="557"/>
      <c r="L172" s="421" t="s">
        <v>657</v>
      </c>
      <c r="M172" s="421" t="s">
        <v>658</v>
      </c>
      <c r="N172" s="536" t="s">
        <v>659</v>
      </c>
      <c r="O172" s="536" t="s">
        <v>660</v>
      </c>
      <c r="P172" s="424" t="s">
        <v>661</v>
      </c>
      <c r="Q172" s="609" t="s">
        <v>225</v>
      </c>
      <c r="R172" s="421" t="s">
        <v>67</v>
      </c>
      <c r="S172" s="533"/>
      <c r="T172" s="550" t="s">
        <v>66</v>
      </c>
      <c r="U172" s="424" t="s">
        <v>64</v>
      </c>
      <c r="V172" s="424" t="s">
        <v>64</v>
      </c>
      <c r="W172" s="533" t="s">
        <v>69</v>
      </c>
      <c r="X172" s="551" t="s">
        <v>68</v>
      </c>
      <c r="Y172" s="424" t="s">
        <v>117</v>
      </c>
      <c r="Z172" s="551" t="s">
        <v>662</v>
      </c>
      <c r="AA172" s="533" t="s">
        <v>663</v>
      </c>
      <c r="AB172" s="424" t="s">
        <v>64</v>
      </c>
      <c r="AC172" s="424" t="s">
        <v>64</v>
      </c>
      <c r="AD172" s="557" t="s">
        <v>64</v>
      </c>
      <c r="AE172" s="558"/>
      <c r="AF172" s="558"/>
      <c r="AG172" s="558"/>
      <c r="AH172" s="629"/>
      <c r="AI172" s="630"/>
      <c r="AJ172" s="630"/>
      <c r="AK172" s="630"/>
      <c r="AL172" s="630"/>
      <c r="AM172" s="502" t="s">
        <v>100</v>
      </c>
      <c r="AN172" s="502" t="s">
        <v>120</v>
      </c>
      <c r="AO172" s="636"/>
      <c r="AP172" s="533"/>
      <c r="AQ172" s="637">
        <v>14</v>
      </c>
      <c r="AR172" s="638">
        <v>12</v>
      </c>
      <c r="AS172" s="637">
        <v>12</v>
      </c>
      <c r="AT172" s="637">
        <v>14</v>
      </c>
      <c r="AU172" s="637">
        <v>14</v>
      </c>
    </row>
    <row r="173" s="363" customFormat="1" ht="45" customHeight="1" spans="1:47">
      <c r="A173" s="386">
        <f t="shared" si="31"/>
        <v>164</v>
      </c>
      <c r="B173" s="533"/>
      <c r="C173" s="557">
        <v>1</v>
      </c>
      <c r="D173" s="585"/>
      <c r="E173" s="424"/>
      <c r="F173" s="557"/>
      <c r="G173" s="557"/>
      <c r="H173" s="557"/>
      <c r="I173" s="557"/>
      <c r="J173" s="557"/>
      <c r="K173" s="557"/>
      <c r="L173" s="421"/>
      <c r="M173" s="422" t="s">
        <v>664</v>
      </c>
      <c r="N173" s="422" t="s">
        <v>664</v>
      </c>
      <c r="O173" s="422" t="s">
        <v>665</v>
      </c>
      <c r="P173" s="424" t="s">
        <v>666</v>
      </c>
      <c r="Q173" s="424" t="s">
        <v>225</v>
      </c>
      <c r="R173" s="421" t="s">
        <v>67</v>
      </c>
      <c r="S173" s="533"/>
      <c r="T173" s="538" t="s">
        <v>66</v>
      </c>
      <c r="U173" s="424" t="s">
        <v>64</v>
      </c>
      <c r="V173" s="424" t="s">
        <v>64</v>
      </c>
      <c r="W173" s="533" t="s">
        <v>68</v>
      </c>
      <c r="X173" s="551" t="s">
        <v>69</v>
      </c>
      <c r="Y173" s="424"/>
      <c r="Z173" s="551"/>
      <c r="AA173" s="533"/>
      <c r="AB173" s="424"/>
      <c r="AC173" s="424"/>
      <c r="AD173" s="557"/>
      <c r="AE173" s="558"/>
      <c r="AF173" s="558"/>
      <c r="AG173" s="558"/>
      <c r="AH173" s="629"/>
      <c r="AI173" s="630"/>
      <c r="AJ173" s="630"/>
      <c r="AK173" s="630"/>
      <c r="AL173" s="630"/>
      <c r="AM173" s="502" t="s">
        <v>100</v>
      </c>
      <c r="AN173" s="502" t="s">
        <v>667</v>
      </c>
      <c r="AO173" s="636"/>
      <c r="AP173" s="533"/>
      <c r="AQ173" s="637">
        <v>0</v>
      </c>
      <c r="AR173" s="638">
        <v>1</v>
      </c>
      <c r="AS173" s="637">
        <v>0</v>
      </c>
      <c r="AT173" s="637"/>
      <c r="AU173" s="637"/>
    </row>
    <row r="174" s="363" customFormat="1" ht="45" customHeight="1" spans="1:47">
      <c r="A174" s="386">
        <f t="shared" si="31"/>
        <v>165</v>
      </c>
      <c r="B174" s="533"/>
      <c r="C174" s="557">
        <v>1</v>
      </c>
      <c r="D174" s="585"/>
      <c r="E174" s="585"/>
      <c r="F174" s="585"/>
      <c r="G174" s="585"/>
      <c r="H174" s="585"/>
      <c r="I174" s="585"/>
      <c r="J174" s="585"/>
      <c r="K174" s="585"/>
      <c r="L174" s="421" t="s">
        <v>87</v>
      </c>
      <c r="M174" s="421" t="s">
        <v>668</v>
      </c>
      <c r="N174" s="536" t="s">
        <v>669</v>
      </c>
      <c r="O174" s="536" t="s">
        <v>670</v>
      </c>
      <c r="P174" s="424" t="s">
        <v>64</v>
      </c>
      <c r="Q174" s="610" t="s">
        <v>92</v>
      </c>
      <c r="R174" s="421" t="s">
        <v>67</v>
      </c>
      <c r="S174" s="611" t="s">
        <v>64</v>
      </c>
      <c r="T174" s="550" t="s">
        <v>66</v>
      </c>
      <c r="U174" s="424" t="s">
        <v>64</v>
      </c>
      <c r="V174" s="424" t="s">
        <v>64</v>
      </c>
      <c r="W174" s="533" t="s">
        <v>69</v>
      </c>
      <c r="X174" s="551" t="s">
        <v>68</v>
      </c>
      <c r="Y174" s="424" t="s">
        <v>64</v>
      </c>
      <c r="Z174" s="424" t="s">
        <v>64</v>
      </c>
      <c r="AA174" s="424" t="s">
        <v>64</v>
      </c>
      <c r="AB174" s="424" t="s">
        <v>64</v>
      </c>
      <c r="AC174" s="424" t="s">
        <v>64</v>
      </c>
      <c r="AD174" s="557" t="s">
        <v>64</v>
      </c>
      <c r="AE174" s="558"/>
      <c r="AF174" s="558"/>
      <c r="AG174" s="558"/>
      <c r="AH174" s="629"/>
      <c r="AI174" s="630"/>
      <c r="AJ174" s="630"/>
      <c r="AK174" s="630"/>
      <c r="AL174" s="630"/>
      <c r="AM174" s="502" t="s">
        <v>100</v>
      </c>
      <c r="AN174" s="502" t="s">
        <v>671</v>
      </c>
      <c r="AO174" s="636"/>
      <c r="AP174" s="533"/>
      <c r="AQ174" s="611" t="s">
        <v>215</v>
      </c>
      <c r="AR174" s="639" t="s">
        <v>241</v>
      </c>
      <c r="AS174" s="611" t="s">
        <v>241</v>
      </c>
      <c r="AT174" s="611" t="s">
        <v>672</v>
      </c>
      <c r="AU174" s="611" t="s">
        <v>672</v>
      </c>
    </row>
    <row r="175" s="11" customFormat="1" ht="45" customHeight="1" spans="1:47">
      <c r="A175" s="386">
        <f t="shared" si="31"/>
        <v>166</v>
      </c>
      <c r="B175" s="309"/>
      <c r="C175" s="537">
        <v>1</v>
      </c>
      <c r="D175" s="405"/>
      <c r="E175" s="405"/>
      <c r="F175" s="405"/>
      <c r="G175" s="405"/>
      <c r="H175" s="405"/>
      <c r="I175" s="405"/>
      <c r="J175" s="405"/>
      <c r="K175" s="405"/>
      <c r="L175" s="251" t="s">
        <v>87</v>
      </c>
      <c r="M175" s="413" t="s">
        <v>673</v>
      </c>
      <c r="N175" s="413" t="s">
        <v>673</v>
      </c>
      <c r="O175" s="413" t="s">
        <v>674</v>
      </c>
      <c r="P175" s="120" t="s">
        <v>482</v>
      </c>
      <c r="Q175" s="612" t="s">
        <v>92</v>
      </c>
      <c r="R175" s="251" t="s">
        <v>67</v>
      </c>
      <c r="S175" s="604" t="s">
        <v>64</v>
      </c>
      <c r="T175" s="548" t="s">
        <v>66</v>
      </c>
      <c r="U175" s="120" t="s">
        <v>64</v>
      </c>
      <c r="V175" s="548" t="s">
        <v>66</v>
      </c>
      <c r="W175" s="309" t="s">
        <v>69</v>
      </c>
      <c r="X175" s="549" t="s">
        <v>68</v>
      </c>
      <c r="Y175" s="537" t="s">
        <v>675</v>
      </c>
      <c r="Z175" s="537" t="s">
        <v>675</v>
      </c>
      <c r="AA175" s="537" t="s">
        <v>64</v>
      </c>
      <c r="AB175" s="537" t="s">
        <v>64</v>
      </c>
      <c r="AC175" s="567" t="s">
        <v>64</v>
      </c>
      <c r="AD175" s="537" t="s">
        <v>64</v>
      </c>
      <c r="AE175" s="506"/>
      <c r="AF175" s="506"/>
      <c r="AG175" s="506"/>
      <c r="AH175" s="628"/>
      <c r="AI175" s="464"/>
      <c r="AJ175" s="464"/>
      <c r="AK175" s="577"/>
      <c r="AL175" s="577"/>
      <c r="AM175" s="487" t="s">
        <v>100</v>
      </c>
      <c r="AN175" s="487" t="s">
        <v>676</v>
      </c>
      <c r="AO175" s="583"/>
      <c r="AP175" s="309"/>
      <c r="AQ175" s="604" t="s">
        <v>111</v>
      </c>
      <c r="AR175" s="606" t="s">
        <v>111</v>
      </c>
      <c r="AS175" s="604" t="s">
        <v>111</v>
      </c>
      <c r="AT175" s="405">
        <v>1</v>
      </c>
      <c r="AU175" s="405">
        <v>1</v>
      </c>
    </row>
    <row r="176" s="11" customFormat="1" ht="45" customHeight="1" spans="1:47">
      <c r="A176" s="386">
        <f t="shared" si="31"/>
        <v>167</v>
      </c>
      <c r="B176" s="309"/>
      <c r="C176" s="537">
        <v>1</v>
      </c>
      <c r="D176" s="405"/>
      <c r="E176" s="405"/>
      <c r="F176" s="405"/>
      <c r="G176" s="405"/>
      <c r="H176" s="405"/>
      <c r="I176" s="405"/>
      <c r="J176" s="405"/>
      <c r="K176" s="405"/>
      <c r="L176" s="251" t="s">
        <v>87</v>
      </c>
      <c r="M176" s="413" t="s">
        <v>677</v>
      </c>
      <c r="N176" s="413" t="s">
        <v>677</v>
      </c>
      <c r="O176" s="413" t="s">
        <v>678</v>
      </c>
      <c r="P176" s="120" t="s">
        <v>482</v>
      </c>
      <c r="Q176" s="612" t="s">
        <v>92</v>
      </c>
      <c r="R176" s="251" t="s">
        <v>67</v>
      </c>
      <c r="S176" s="604" t="s">
        <v>64</v>
      </c>
      <c r="T176" s="548" t="s">
        <v>66</v>
      </c>
      <c r="U176" s="120" t="s">
        <v>64</v>
      </c>
      <c r="V176" s="548" t="s">
        <v>66</v>
      </c>
      <c r="W176" s="309" t="s">
        <v>69</v>
      </c>
      <c r="X176" s="549" t="s">
        <v>68</v>
      </c>
      <c r="Y176" s="537" t="s">
        <v>675</v>
      </c>
      <c r="Z176" s="537" t="s">
        <v>675</v>
      </c>
      <c r="AA176" s="537" t="s">
        <v>64</v>
      </c>
      <c r="AB176" s="537" t="s">
        <v>64</v>
      </c>
      <c r="AC176" s="567" t="s">
        <v>64</v>
      </c>
      <c r="AD176" s="537" t="s">
        <v>64</v>
      </c>
      <c r="AE176" s="506"/>
      <c r="AF176" s="506"/>
      <c r="AG176" s="506"/>
      <c r="AH176" s="628"/>
      <c r="AI176" s="464"/>
      <c r="AJ176" s="464"/>
      <c r="AK176" s="577"/>
      <c r="AL176" s="577"/>
      <c r="AM176" s="487" t="s">
        <v>100</v>
      </c>
      <c r="AN176" s="487" t="s">
        <v>676</v>
      </c>
      <c r="AO176" s="583"/>
      <c r="AP176" s="309"/>
      <c r="AQ176" s="604" t="s">
        <v>111</v>
      </c>
      <c r="AR176" s="606" t="s">
        <v>111</v>
      </c>
      <c r="AS176" s="604" t="s">
        <v>111</v>
      </c>
      <c r="AT176" s="405">
        <v>1</v>
      </c>
      <c r="AU176" s="405">
        <v>1</v>
      </c>
    </row>
    <row r="177" ht="45" customHeight="1" spans="1:47">
      <c r="A177" s="386">
        <f t="shared" si="31"/>
        <v>168</v>
      </c>
      <c r="B177" s="517"/>
      <c r="C177" s="413">
        <v>1</v>
      </c>
      <c r="D177" s="413"/>
      <c r="E177" s="413"/>
      <c r="F177" s="413"/>
      <c r="G177" s="413"/>
      <c r="H177" s="413"/>
      <c r="I177" s="413"/>
      <c r="J177" s="413"/>
      <c r="K177" s="413"/>
      <c r="L177" s="413" t="s">
        <v>131</v>
      </c>
      <c r="M177" s="413" t="s">
        <v>679</v>
      </c>
      <c r="N177" s="413" t="s">
        <v>679</v>
      </c>
      <c r="O177" s="413" t="s">
        <v>680</v>
      </c>
      <c r="P177" s="413" t="s">
        <v>681</v>
      </c>
      <c r="Q177" s="413" t="s">
        <v>66</v>
      </c>
      <c r="R177" s="251" t="s">
        <v>67</v>
      </c>
      <c r="S177" s="413"/>
      <c r="T177" s="548" t="s">
        <v>66</v>
      </c>
      <c r="U177" s="413" t="s">
        <v>64</v>
      </c>
      <c r="V177" s="413" t="s">
        <v>66</v>
      </c>
      <c r="W177" s="413" t="s">
        <v>69</v>
      </c>
      <c r="X177" s="413" t="s">
        <v>68</v>
      </c>
      <c r="Y177" s="413" t="s">
        <v>64</v>
      </c>
      <c r="Z177" s="413" t="s">
        <v>64</v>
      </c>
      <c r="AA177" s="413" t="s">
        <v>64</v>
      </c>
      <c r="AB177" s="413" t="s">
        <v>64</v>
      </c>
      <c r="AC177" s="413" t="s">
        <v>64</v>
      </c>
      <c r="AD177" s="413" t="s">
        <v>64</v>
      </c>
      <c r="AE177" s="477"/>
      <c r="AF177" s="477"/>
      <c r="AG177" s="477"/>
      <c r="AH177" s="477"/>
      <c r="AI177" s="477"/>
      <c r="AJ177" s="477"/>
      <c r="AK177" s="477"/>
      <c r="AL177" s="477"/>
      <c r="AM177" s="487" t="s">
        <v>100</v>
      </c>
      <c r="AN177" s="487" t="s">
        <v>362</v>
      </c>
      <c r="AO177" s="413"/>
      <c r="AP177" s="413"/>
      <c r="AQ177" s="413">
        <v>1</v>
      </c>
      <c r="AR177" s="420">
        <v>1</v>
      </c>
      <c r="AS177" s="413">
        <v>1</v>
      </c>
      <c r="AT177" s="517">
        <v>1</v>
      </c>
      <c r="AU177" s="517">
        <v>1</v>
      </c>
    </row>
    <row r="178" customFormat="1" ht="45" customHeight="1" spans="1:47">
      <c r="A178" s="386">
        <f t="shared" si="31"/>
        <v>169</v>
      </c>
      <c r="B178" s="517"/>
      <c r="C178" s="413">
        <v>1</v>
      </c>
      <c r="D178" s="413"/>
      <c r="E178" s="413"/>
      <c r="F178" s="413"/>
      <c r="G178" s="413"/>
      <c r="H178" s="413"/>
      <c r="I178" s="413"/>
      <c r="J178" s="413"/>
      <c r="K178" s="413"/>
      <c r="L178" s="413"/>
      <c r="M178" s="413" t="s">
        <v>682</v>
      </c>
      <c r="N178" s="413" t="s">
        <v>682</v>
      </c>
      <c r="O178" s="413" t="s">
        <v>683</v>
      </c>
      <c r="P178" s="413"/>
      <c r="Q178" s="413"/>
      <c r="R178" s="251" t="s">
        <v>67</v>
      </c>
      <c r="S178" s="413"/>
      <c r="T178" s="548" t="s">
        <v>66</v>
      </c>
      <c r="U178" s="413"/>
      <c r="V178" s="413"/>
      <c r="W178" s="413" t="s">
        <v>69</v>
      </c>
      <c r="X178" s="413" t="s">
        <v>68</v>
      </c>
      <c r="Y178" s="413"/>
      <c r="Z178" s="413"/>
      <c r="AA178" s="413"/>
      <c r="AB178" s="413"/>
      <c r="AC178" s="413"/>
      <c r="AD178" s="413"/>
      <c r="AE178" s="477"/>
      <c r="AF178" s="477"/>
      <c r="AG178" s="477"/>
      <c r="AH178" s="477"/>
      <c r="AI178" s="477"/>
      <c r="AJ178" s="477"/>
      <c r="AK178" s="477"/>
      <c r="AL178" s="477"/>
      <c r="AM178" s="487" t="s">
        <v>100</v>
      </c>
      <c r="AN178" s="487" t="s">
        <v>684</v>
      </c>
      <c r="AO178" s="413"/>
      <c r="AP178" s="413"/>
      <c r="AQ178" s="413">
        <v>1</v>
      </c>
      <c r="AR178" s="420">
        <v>1</v>
      </c>
      <c r="AS178" s="413">
        <v>1</v>
      </c>
      <c r="AT178" s="517"/>
      <c r="AU178" s="517"/>
    </row>
    <row r="179" s="364" customFormat="1" ht="45" customHeight="1" spans="1:47">
      <c r="A179" s="386">
        <f t="shared" si="31"/>
        <v>170</v>
      </c>
      <c r="B179" s="309">
        <v>0</v>
      </c>
      <c r="C179" s="537"/>
      <c r="D179" s="405"/>
      <c r="E179" s="405"/>
      <c r="F179" s="405"/>
      <c r="G179" s="405"/>
      <c r="H179" s="405"/>
      <c r="I179" s="405"/>
      <c r="J179" s="405"/>
      <c r="K179" s="405"/>
      <c r="L179" s="251"/>
      <c r="M179" s="413" t="s">
        <v>685</v>
      </c>
      <c r="N179" s="413" t="s">
        <v>686</v>
      </c>
      <c r="O179" s="413" t="s">
        <v>687</v>
      </c>
      <c r="P179"/>
      <c r="Q179" s="613"/>
      <c r="R179" s="527" t="s">
        <v>67</v>
      </c>
      <c r="S179" s="606" t="s">
        <v>64</v>
      </c>
      <c r="T179" s="597" t="s">
        <v>66</v>
      </c>
      <c r="U179" s="592" t="s">
        <v>64</v>
      </c>
      <c r="V179" s="548" t="s">
        <v>66</v>
      </c>
      <c r="W179" s="309" t="s">
        <v>69</v>
      </c>
      <c r="X179" s="549" t="s">
        <v>68</v>
      </c>
      <c r="Y179" s="537"/>
      <c r="Z179" s="537"/>
      <c r="AA179" s="537"/>
      <c r="AB179" s="537"/>
      <c r="AC179" s="567"/>
      <c r="AD179" s="537"/>
      <c r="AE179" s="506"/>
      <c r="AF179" s="506"/>
      <c r="AG179" s="506"/>
      <c r="AH179" s="628"/>
      <c r="AI179" s="464"/>
      <c r="AJ179" s="464"/>
      <c r="AK179" s="577"/>
      <c r="AL179" s="577"/>
      <c r="AM179" s="487" t="s">
        <v>100</v>
      </c>
      <c r="AN179" s="487" t="s">
        <v>688</v>
      </c>
      <c r="AO179" s="583"/>
      <c r="AP179" s="309"/>
      <c r="AQ179" s="604" t="s">
        <v>111</v>
      </c>
      <c r="AR179" s="606" t="s">
        <v>111</v>
      </c>
      <c r="AS179" s="604" t="s">
        <v>111</v>
      </c>
      <c r="AT179" s="405">
        <v>1</v>
      </c>
      <c r="AU179" s="405">
        <v>1</v>
      </c>
    </row>
    <row r="180" spans="44:44">
      <c r="AR180" s="365"/>
    </row>
    <row r="181" spans="44:44">
      <c r="AR181" s="365"/>
    </row>
    <row r="182" spans="44:44">
      <c r="AR182" s="365"/>
    </row>
    <row r="183" spans="44:44">
      <c r="AR183" s="365"/>
    </row>
    <row r="184" spans="44:44">
      <c r="AR184" s="365"/>
    </row>
    <row r="185" spans="44:44">
      <c r="AR185" s="365"/>
    </row>
  </sheetData>
  <autoFilter ref="A9:AU179">
    <extLst/>
  </autoFilter>
  <mergeCells count="46">
    <mergeCell ref="A1:AQ1"/>
    <mergeCell ref="A4:O4"/>
    <mergeCell ref="A5:L5"/>
    <mergeCell ref="N5:O5"/>
    <mergeCell ref="A6:O6"/>
    <mergeCell ref="A7:O7"/>
    <mergeCell ref="B8:K8"/>
    <mergeCell ref="AF8:AH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2:E3"/>
    <mergeCell ref="F2:K3"/>
    <mergeCell ref="L2:O3"/>
    <mergeCell ref="P2:AO7"/>
  </mergeCells>
  <dataValidations count="5">
    <dataValidation type="list" allowBlank="1" showInputMessage="1" showErrorMessage="1" sqref="Y87">
      <formula1>"装配总成件,焊接总成件,面料,塑料件,冷镦,钣金件,机加工件,标准件,非标件,线材件,管材件,圆钢"</formula1>
    </dataValidation>
    <dataValidation type="list" allowBlank="1" showInputMessage="1" showErrorMessage="1" sqref="X76">
      <formula1>"Y,N"</formula1>
    </dataValidation>
    <dataValidation allowBlank="1" showInputMessage="1" showErrorMessage="1" promptTitle="包括4种填写情况：" prompt="具体数字；&#10;RF--参考图、表格图或原理图；&#10;AR--零件用量按需；&#10;RP--零件为维修专用。" sqref="AQ91:AR91 AQ104:AU104 AQ89:AU90 AQ92:AU94"/>
    <dataValidation allowBlank="1" showErrorMessage="1" sqref="Z93 Z98 Z109 Z114 Z101:Z104"/>
    <dataValidation allowBlank="1" showErrorMessage="1" promptTitle="提示" prompt="该字段按需填写" sqref="P21:P22 P90:P93 P98:P105 P115:P116"/>
  </dataValidations>
  <hyperlinks>
    <hyperlink ref="N137:O137" location="座盆总成!A1" display="SQX3000-6801100"/>
  </hyperlinks>
  <printOptions horizontalCentered="1"/>
  <pageMargins left="0.236220472440945" right="0.236220472440945" top="0.748031496062992" bottom="0.748031496062992" header="0.31496062992126" footer="0.31496062992126"/>
  <pageSetup paperSize="9" scale="44" orientation="portrait"/>
  <headerFooter>
    <oddFooter>&amp;C第 &amp;P 页，共 &amp;N 页</oddFooter>
  </headerFooter>
  <rowBreaks count="3" manualBreakCount="3">
    <brk id="107" max="44" man="1"/>
    <brk id="141" max="16383" man="1"/>
    <brk id="150" max="16383" man="1"/>
  </rowBreaks>
  <colBreaks count="2" manualBreakCount="2">
    <brk id="21" max="1048575" man="1"/>
    <brk id="28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48"/>
  <sheetViews>
    <sheetView tabSelected="1" view="pageBreakPreview" zoomScale="90" zoomScaleNormal="90" topLeftCell="A135" workbookViewId="0">
      <selection activeCell="A143" sqref="$A143:$XFD144"/>
    </sheetView>
  </sheetViews>
  <sheetFormatPr defaultColWidth="9" defaultRowHeight="13.5"/>
  <cols>
    <col min="1" max="1" width="5.875" customWidth="1"/>
    <col min="2" max="11" width="2.625" customWidth="1"/>
    <col min="12" max="12" width="6" customWidth="1"/>
    <col min="13" max="13" width="20.125" customWidth="1"/>
    <col min="14" max="14" width="22.125" customWidth="1"/>
    <col min="15" max="15" width="26.625" style="12" customWidth="1"/>
    <col min="16" max="18" width="9" customWidth="1" outlineLevel="1"/>
    <col min="20" max="20" width="9" customWidth="1" outlineLevel="1"/>
    <col min="21" max="21" width="11.375" customWidth="1" outlineLevel="1"/>
    <col min="22" max="26" width="9" customWidth="1" outlineLevel="1"/>
    <col min="27" max="27" width="14.625" customWidth="1" outlineLevel="1"/>
    <col min="28" max="31" width="9" customWidth="1" outlineLevel="1"/>
    <col min="32" max="32" width="11.875" customWidth="1" outlineLevel="1"/>
    <col min="33" max="38" width="9" customWidth="1" outlineLevel="1"/>
    <col min="39" max="39" width="9" customWidth="1"/>
    <col min="40" max="40" width="19.4333333333333" customWidth="1"/>
    <col min="41" max="41" width="9" customWidth="1"/>
    <col min="43" max="43" width="14.625" customWidth="1"/>
    <col min="44" max="44" width="16.125" style="10" customWidth="1"/>
  </cols>
  <sheetData>
    <row r="1" ht="15" spans="1:4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92"/>
    </row>
    <row r="2" spans="1:44">
      <c r="A2" s="14" t="s">
        <v>689</v>
      </c>
      <c r="B2" s="15"/>
      <c r="C2" s="15"/>
      <c r="D2" s="15"/>
      <c r="E2" s="16"/>
      <c r="F2" s="17" t="s">
        <v>1</v>
      </c>
      <c r="G2" s="18"/>
      <c r="H2" s="18"/>
      <c r="I2" s="18"/>
      <c r="J2" s="18"/>
      <c r="K2" s="48"/>
      <c r="L2" s="49" t="s">
        <v>2</v>
      </c>
      <c r="M2" s="50"/>
      <c r="N2" s="50"/>
      <c r="O2" s="51"/>
      <c r="P2" s="52" t="s">
        <v>690</v>
      </c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193"/>
      <c r="AP2" s="194" t="s">
        <v>4</v>
      </c>
      <c r="AQ2" s="195" t="s">
        <v>691</v>
      </c>
      <c r="AR2" s="196" t="s">
        <v>692</v>
      </c>
    </row>
    <row r="3" spans="1:44">
      <c r="A3" s="19"/>
      <c r="B3" s="20"/>
      <c r="C3" s="20"/>
      <c r="D3" s="20"/>
      <c r="E3" s="21"/>
      <c r="F3" s="22"/>
      <c r="G3" s="23"/>
      <c r="H3" s="23"/>
      <c r="I3" s="23"/>
      <c r="J3" s="23"/>
      <c r="K3" s="53"/>
      <c r="L3" s="54"/>
      <c r="M3" s="55"/>
      <c r="N3" s="55"/>
      <c r="O3" s="56"/>
      <c r="P3" s="5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197"/>
      <c r="AP3" s="33" t="s">
        <v>9</v>
      </c>
      <c r="AQ3" s="198" t="s">
        <v>693</v>
      </c>
      <c r="AR3" s="199" t="s">
        <v>694</v>
      </c>
    </row>
    <row r="4" ht="18.75" spans="1:44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57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197"/>
      <c r="AP4" s="33" t="s">
        <v>16</v>
      </c>
      <c r="AQ4" s="198" t="s">
        <v>695</v>
      </c>
      <c r="AR4" s="199" t="s">
        <v>695</v>
      </c>
    </row>
    <row r="5" ht="18.75" spans="1:44">
      <c r="A5" s="26" t="s">
        <v>696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 t="s">
        <v>19</v>
      </c>
      <c r="O5" s="27"/>
      <c r="P5" s="57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197"/>
      <c r="AP5" s="33" t="s">
        <v>20</v>
      </c>
      <c r="AQ5" s="200"/>
      <c r="AR5" s="199"/>
    </row>
    <row r="6" ht="18.75" spans="1:44">
      <c r="A6" s="28" t="s">
        <v>697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57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197"/>
      <c r="AP6" s="33" t="s">
        <v>26</v>
      </c>
      <c r="AQ6" s="201" t="s">
        <v>28</v>
      </c>
      <c r="AR6" s="199" t="s">
        <v>27</v>
      </c>
    </row>
    <row r="7" ht="18.75" spans="1:44">
      <c r="A7" s="30" t="s">
        <v>29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58"/>
      <c r="P7" s="57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197"/>
      <c r="AP7" s="202" t="s">
        <v>30</v>
      </c>
      <c r="AQ7" s="203"/>
      <c r="AR7" s="204"/>
    </row>
    <row r="8" ht="24.95" customHeight="1" spans="1:44">
      <c r="A8" s="32" t="s">
        <v>31</v>
      </c>
      <c r="B8" s="33" t="s">
        <v>32</v>
      </c>
      <c r="C8" s="33"/>
      <c r="D8" s="33"/>
      <c r="E8" s="33"/>
      <c r="F8" s="33"/>
      <c r="G8" s="33"/>
      <c r="H8" s="33"/>
      <c r="I8" s="33"/>
      <c r="J8" s="33"/>
      <c r="K8" s="33"/>
      <c r="L8" s="59" t="s">
        <v>33</v>
      </c>
      <c r="M8" s="59" t="s">
        <v>34</v>
      </c>
      <c r="N8" s="60" t="s">
        <v>4</v>
      </c>
      <c r="O8" s="33" t="s">
        <v>698</v>
      </c>
      <c r="P8" s="33" t="s">
        <v>699</v>
      </c>
      <c r="Q8" s="33" t="s">
        <v>36</v>
      </c>
      <c r="R8" s="33" t="s">
        <v>37</v>
      </c>
      <c r="S8" s="33" t="s">
        <v>38</v>
      </c>
      <c r="T8" s="60" t="s">
        <v>39</v>
      </c>
      <c r="U8" s="62" t="s">
        <v>700</v>
      </c>
      <c r="V8" s="87" t="s">
        <v>701</v>
      </c>
      <c r="W8" s="60" t="s">
        <v>42</v>
      </c>
      <c r="X8" s="88" t="s">
        <v>702</v>
      </c>
      <c r="Y8" s="88" t="s">
        <v>703</v>
      </c>
      <c r="Z8" s="115" t="s">
        <v>45</v>
      </c>
      <c r="AA8" s="115" t="s">
        <v>46</v>
      </c>
      <c r="AB8" s="33" t="s">
        <v>47</v>
      </c>
      <c r="AC8" s="33" t="s">
        <v>704</v>
      </c>
      <c r="AD8" s="59" t="s">
        <v>49</v>
      </c>
      <c r="AE8" s="116" t="s">
        <v>50</v>
      </c>
      <c r="AF8" s="117" t="s">
        <v>51</v>
      </c>
      <c r="AG8" s="154"/>
      <c r="AH8" s="155"/>
      <c r="AI8" s="156" t="s">
        <v>52</v>
      </c>
      <c r="AJ8" s="157" t="s">
        <v>53</v>
      </c>
      <c r="AK8" s="156" t="s">
        <v>54</v>
      </c>
      <c r="AL8" s="156" t="s">
        <v>705</v>
      </c>
      <c r="AM8" s="158" t="s">
        <v>56</v>
      </c>
      <c r="AN8" s="158" t="s">
        <v>57</v>
      </c>
      <c r="AO8" s="205" t="s">
        <v>58</v>
      </c>
      <c r="AP8" s="206" t="s">
        <v>706</v>
      </c>
      <c r="AQ8" s="59" t="s">
        <v>60</v>
      </c>
      <c r="AR8" s="207" t="s">
        <v>60</v>
      </c>
    </row>
    <row r="9" ht="24.95" customHeight="1" spans="1:44">
      <c r="A9" s="32"/>
      <c r="B9" s="34">
        <v>0</v>
      </c>
      <c r="C9" s="34">
        <v>1</v>
      </c>
      <c r="D9" s="34">
        <v>2</v>
      </c>
      <c r="E9" s="34">
        <v>3</v>
      </c>
      <c r="F9" s="34">
        <v>4</v>
      </c>
      <c r="G9" s="34">
        <v>5</v>
      </c>
      <c r="H9" s="34">
        <v>6</v>
      </c>
      <c r="I9" s="34">
        <v>7</v>
      </c>
      <c r="J9" s="34">
        <v>8</v>
      </c>
      <c r="K9" s="45">
        <v>9</v>
      </c>
      <c r="L9" s="61"/>
      <c r="M9" s="61"/>
      <c r="N9" s="60"/>
      <c r="O9" s="62"/>
      <c r="P9" s="33"/>
      <c r="Q9" s="33"/>
      <c r="R9" s="33"/>
      <c r="S9" s="33"/>
      <c r="T9" s="60"/>
      <c r="U9" s="62"/>
      <c r="V9" s="87"/>
      <c r="W9" s="60"/>
      <c r="X9" s="88"/>
      <c r="Y9" s="88"/>
      <c r="Z9" s="115"/>
      <c r="AA9" s="115"/>
      <c r="AB9" s="33"/>
      <c r="AC9" s="33"/>
      <c r="AD9" s="61"/>
      <c r="AE9" s="118"/>
      <c r="AF9" s="116" t="s">
        <v>61</v>
      </c>
      <c r="AG9" s="116" t="s">
        <v>62</v>
      </c>
      <c r="AH9" s="157" t="s">
        <v>63</v>
      </c>
      <c r="AI9" s="157"/>
      <c r="AJ9" s="159"/>
      <c r="AK9" s="157"/>
      <c r="AL9" s="157"/>
      <c r="AM9" s="160"/>
      <c r="AN9" s="161"/>
      <c r="AO9" s="208"/>
      <c r="AP9" s="209"/>
      <c r="AQ9" s="61"/>
      <c r="AR9" s="210"/>
    </row>
    <row r="10" ht="39.95" customHeight="1" spans="1:44">
      <c r="A10" s="35">
        <f>ROW()-9</f>
        <v>1</v>
      </c>
      <c r="B10" s="34">
        <v>0</v>
      </c>
      <c r="C10" s="34"/>
      <c r="D10" s="34"/>
      <c r="E10" s="34"/>
      <c r="F10" s="34"/>
      <c r="G10" s="34"/>
      <c r="H10" s="34"/>
      <c r="I10" s="34"/>
      <c r="J10" s="34"/>
      <c r="K10" s="45"/>
      <c r="L10" s="63" t="s">
        <v>131</v>
      </c>
      <c r="M10" s="63" t="s">
        <v>693</v>
      </c>
      <c r="N10" s="60" t="s">
        <v>693</v>
      </c>
      <c r="O10" s="47" t="s">
        <v>695</v>
      </c>
      <c r="P10" s="33"/>
      <c r="Q10" s="33" t="s">
        <v>66</v>
      </c>
      <c r="R10" s="67" t="s">
        <v>67</v>
      </c>
      <c r="S10" s="89"/>
      <c r="T10" s="66" t="s">
        <v>481</v>
      </c>
      <c r="U10" s="60" t="s">
        <v>693</v>
      </c>
      <c r="V10" s="90" t="s">
        <v>480</v>
      </c>
      <c r="W10" s="66" t="s">
        <v>393</v>
      </c>
      <c r="X10" s="91" t="s">
        <v>93</v>
      </c>
      <c r="Y10" s="119" t="s">
        <v>707</v>
      </c>
      <c r="Z10" s="120"/>
      <c r="AA10" s="120"/>
      <c r="AB10" s="67" t="s">
        <v>708</v>
      </c>
      <c r="AC10" s="121">
        <v>22.9</v>
      </c>
      <c r="AD10" s="61"/>
      <c r="AE10" s="122" t="s">
        <v>73</v>
      </c>
      <c r="AF10" s="123"/>
      <c r="AG10" s="123"/>
      <c r="AH10" s="123"/>
      <c r="AI10" s="162"/>
      <c r="AJ10" s="162"/>
      <c r="AK10" s="162"/>
      <c r="AL10" s="163"/>
      <c r="AM10" s="164" t="s">
        <v>74</v>
      </c>
      <c r="AN10" s="164" t="s">
        <v>75</v>
      </c>
      <c r="AO10" s="208"/>
      <c r="AP10" s="209"/>
      <c r="AQ10" s="61">
        <v>1</v>
      </c>
      <c r="AR10" s="211">
        <v>0</v>
      </c>
    </row>
    <row r="11" ht="39.95" customHeight="1" spans="1:44">
      <c r="A11" s="35">
        <f t="shared" ref="A11:A20" si="0">ROW()-9</f>
        <v>2</v>
      </c>
      <c r="B11" s="34">
        <v>0</v>
      </c>
      <c r="C11" s="34"/>
      <c r="D11" s="34"/>
      <c r="E11" s="34"/>
      <c r="F11" s="34"/>
      <c r="G11" s="34"/>
      <c r="H11" s="34"/>
      <c r="I11" s="34"/>
      <c r="J11" s="34"/>
      <c r="K11" s="45"/>
      <c r="L11" s="63" t="s">
        <v>131</v>
      </c>
      <c r="M11" s="64" t="s">
        <v>694</v>
      </c>
      <c r="N11" s="64" t="s">
        <v>694</v>
      </c>
      <c r="O11" s="65" t="s">
        <v>695</v>
      </c>
      <c r="P11" s="33"/>
      <c r="Q11" s="33" t="s">
        <v>66</v>
      </c>
      <c r="R11" s="67" t="s">
        <v>67</v>
      </c>
      <c r="S11" s="89"/>
      <c r="T11" s="66" t="s">
        <v>481</v>
      </c>
      <c r="U11" s="60" t="s">
        <v>694</v>
      </c>
      <c r="V11" s="90" t="s">
        <v>480</v>
      </c>
      <c r="W11" s="66" t="s">
        <v>393</v>
      </c>
      <c r="X11" s="91" t="s">
        <v>93</v>
      </c>
      <c r="Y11" s="119" t="s">
        <v>707</v>
      </c>
      <c r="Z11" s="120"/>
      <c r="AA11" s="120"/>
      <c r="AB11" s="67" t="s">
        <v>708</v>
      </c>
      <c r="AC11" s="121">
        <v>22.9</v>
      </c>
      <c r="AD11" s="61"/>
      <c r="AE11" s="122" t="s">
        <v>73</v>
      </c>
      <c r="AF11" s="123"/>
      <c r="AG11" s="123"/>
      <c r="AH11" s="123"/>
      <c r="AI11" s="162"/>
      <c r="AJ11" s="162"/>
      <c r="AK11" s="162"/>
      <c r="AL11" s="163"/>
      <c r="AM11" s="164" t="s">
        <v>74</v>
      </c>
      <c r="AN11" s="164" t="s">
        <v>75</v>
      </c>
      <c r="AO11" s="208"/>
      <c r="AP11" s="209"/>
      <c r="AQ11" s="61">
        <v>0</v>
      </c>
      <c r="AR11" s="211">
        <v>1</v>
      </c>
    </row>
    <row r="12" s="1" customFormat="1" ht="39.95" customHeight="1" spans="1:44">
      <c r="A12" s="35">
        <f t="shared" si="0"/>
        <v>3</v>
      </c>
      <c r="B12" s="36"/>
      <c r="C12" s="37"/>
      <c r="D12" s="36"/>
      <c r="E12" s="36"/>
      <c r="F12" s="36"/>
      <c r="G12" s="36"/>
      <c r="H12" s="36"/>
      <c r="I12" s="36"/>
      <c r="J12" s="36"/>
      <c r="K12" s="46"/>
      <c r="L12" s="63" t="s">
        <v>131</v>
      </c>
      <c r="M12" s="63"/>
      <c r="N12" s="66" t="s">
        <v>709</v>
      </c>
      <c r="O12" s="47" t="s">
        <v>710</v>
      </c>
      <c r="P12" s="67"/>
      <c r="Q12" s="67" t="s">
        <v>225</v>
      </c>
      <c r="R12" s="67" t="s">
        <v>67</v>
      </c>
      <c r="S12" s="67"/>
      <c r="T12" s="66" t="s">
        <v>481</v>
      </c>
      <c r="U12" s="66" t="s">
        <v>709</v>
      </c>
      <c r="V12" s="90" t="s">
        <v>480</v>
      </c>
      <c r="W12" s="66" t="s">
        <v>393</v>
      </c>
      <c r="X12" s="91" t="s">
        <v>93</v>
      </c>
      <c r="Y12" s="119" t="s">
        <v>79</v>
      </c>
      <c r="Z12" s="119" t="s">
        <v>71</v>
      </c>
      <c r="AA12" s="119" t="s">
        <v>64</v>
      </c>
      <c r="AB12" s="67" t="s">
        <v>711</v>
      </c>
      <c r="AC12" s="119" t="s">
        <v>64</v>
      </c>
      <c r="AD12" s="124" t="s">
        <v>64</v>
      </c>
      <c r="AE12" s="125"/>
      <c r="AF12" s="125"/>
      <c r="AG12" s="125"/>
      <c r="AH12" s="125"/>
      <c r="AI12" s="125"/>
      <c r="AJ12" s="125"/>
      <c r="AK12" s="125"/>
      <c r="AL12" s="125"/>
      <c r="AM12" s="165" t="s">
        <v>80</v>
      </c>
      <c r="AN12" s="164"/>
      <c r="AO12" s="212"/>
      <c r="AP12" s="213"/>
      <c r="AQ12" s="124">
        <v>1</v>
      </c>
      <c r="AR12" s="211">
        <v>0</v>
      </c>
    </row>
    <row r="13" s="1" customFormat="1" ht="39.95" customHeight="1" spans="1:44">
      <c r="A13" s="35">
        <f t="shared" si="0"/>
        <v>4</v>
      </c>
      <c r="B13" s="36"/>
      <c r="C13" s="37"/>
      <c r="D13" s="36"/>
      <c r="E13" s="36"/>
      <c r="F13" s="36"/>
      <c r="G13" s="36"/>
      <c r="H13" s="36"/>
      <c r="I13" s="36"/>
      <c r="J13" s="36"/>
      <c r="K13" s="46"/>
      <c r="L13" s="63" t="s">
        <v>131</v>
      </c>
      <c r="M13" s="68"/>
      <c r="N13" s="64" t="s">
        <v>712</v>
      </c>
      <c r="O13" s="65" t="s">
        <v>710</v>
      </c>
      <c r="P13" s="67"/>
      <c r="Q13" s="67" t="s">
        <v>225</v>
      </c>
      <c r="R13" s="67" t="s">
        <v>67</v>
      </c>
      <c r="S13" s="67"/>
      <c r="T13" s="66" t="s">
        <v>481</v>
      </c>
      <c r="U13" s="66" t="s">
        <v>712</v>
      </c>
      <c r="V13" s="90" t="s">
        <v>480</v>
      </c>
      <c r="W13" s="66" t="s">
        <v>393</v>
      </c>
      <c r="X13" s="91" t="s">
        <v>93</v>
      </c>
      <c r="Y13" s="119" t="s">
        <v>79</v>
      </c>
      <c r="Z13" s="119" t="s">
        <v>71</v>
      </c>
      <c r="AA13" s="119" t="s">
        <v>64</v>
      </c>
      <c r="AB13" s="67" t="s">
        <v>713</v>
      </c>
      <c r="AC13" s="119" t="s">
        <v>64</v>
      </c>
      <c r="AD13" s="124"/>
      <c r="AE13" s="126"/>
      <c r="AF13" s="126"/>
      <c r="AG13" s="126"/>
      <c r="AH13" s="126"/>
      <c r="AI13" s="126"/>
      <c r="AJ13" s="126"/>
      <c r="AK13" s="126"/>
      <c r="AL13" s="126"/>
      <c r="AM13" s="165" t="s">
        <v>80</v>
      </c>
      <c r="AN13" s="164"/>
      <c r="AO13" s="212"/>
      <c r="AP13" s="213"/>
      <c r="AQ13" s="124">
        <v>0</v>
      </c>
      <c r="AR13" s="211">
        <v>1</v>
      </c>
    </row>
    <row r="14" s="1" customFormat="1" ht="39.95" customHeight="1" spans="1:44">
      <c r="A14" s="35">
        <f t="shared" si="0"/>
        <v>5</v>
      </c>
      <c r="B14" s="36"/>
      <c r="C14" s="37">
        <v>1</v>
      </c>
      <c r="D14" s="36"/>
      <c r="E14" s="36"/>
      <c r="F14" s="36"/>
      <c r="G14" s="36"/>
      <c r="H14" s="36"/>
      <c r="I14" s="36"/>
      <c r="J14" s="36"/>
      <c r="K14" s="46"/>
      <c r="L14" s="63"/>
      <c r="M14" s="69" t="s">
        <v>175</v>
      </c>
      <c r="N14" s="41" t="s">
        <v>176</v>
      </c>
      <c r="O14" s="41" t="s">
        <v>177</v>
      </c>
      <c r="P14" s="67" t="s">
        <v>178</v>
      </c>
      <c r="Q14" s="92"/>
      <c r="R14" s="67" t="s">
        <v>67</v>
      </c>
      <c r="S14" s="47"/>
      <c r="T14" s="66" t="s">
        <v>66</v>
      </c>
      <c r="U14" s="40"/>
      <c r="V14" s="90" t="s">
        <v>66</v>
      </c>
      <c r="W14" s="66" t="s">
        <v>69</v>
      </c>
      <c r="X14" s="91" t="s">
        <v>68</v>
      </c>
      <c r="Y14" s="92" t="s">
        <v>117</v>
      </c>
      <c r="Z14" s="47"/>
      <c r="AA14" s="127"/>
      <c r="AB14" s="127"/>
      <c r="AC14" s="127" t="s">
        <v>714</v>
      </c>
      <c r="AD14" s="124"/>
      <c r="AE14" s="126"/>
      <c r="AF14" s="126"/>
      <c r="AG14" s="126"/>
      <c r="AH14" s="126"/>
      <c r="AI14" s="126"/>
      <c r="AJ14" s="126"/>
      <c r="AK14" s="126"/>
      <c r="AL14" s="126"/>
      <c r="AM14" s="166" t="s">
        <v>100</v>
      </c>
      <c r="AN14" s="165" t="s">
        <v>533</v>
      </c>
      <c r="AO14" s="212"/>
      <c r="AP14" s="213"/>
      <c r="AQ14" s="124">
        <v>26</v>
      </c>
      <c r="AR14" s="211">
        <v>26</v>
      </c>
    </row>
    <row r="15" ht="39.95" customHeight="1" spans="1:44">
      <c r="A15" s="35">
        <f t="shared" si="0"/>
        <v>6</v>
      </c>
      <c r="B15" s="34"/>
      <c r="C15" s="34">
        <v>1</v>
      </c>
      <c r="D15" s="34"/>
      <c r="E15" s="34"/>
      <c r="F15" s="34"/>
      <c r="G15" s="38"/>
      <c r="H15" s="38"/>
      <c r="I15" s="38"/>
      <c r="J15" s="38"/>
      <c r="K15" s="41"/>
      <c r="L15" s="41"/>
      <c r="M15" s="41" t="s">
        <v>715</v>
      </c>
      <c r="N15" s="41" t="s">
        <v>716</v>
      </c>
      <c r="O15" s="47" t="s">
        <v>717</v>
      </c>
      <c r="P15" s="41"/>
      <c r="Q15" s="93" t="s">
        <v>480</v>
      </c>
      <c r="R15" s="67" t="s">
        <v>67</v>
      </c>
      <c r="S15" s="41"/>
      <c r="T15" s="60" t="s">
        <v>481</v>
      </c>
      <c r="U15" s="38" t="str">
        <f>N15</f>
        <v>H4681020800A0</v>
      </c>
      <c r="V15" s="87" t="s">
        <v>480</v>
      </c>
      <c r="W15" s="60" t="s">
        <v>393</v>
      </c>
      <c r="X15" s="88" t="s">
        <v>93</v>
      </c>
      <c r="Y15" s="34" t="s">
        <v>718</v>
      </c>
      <c r="Z15" s="41"/>
      <c r="AA15" s="41" t="s">
        <v>64</v>
      </c>
      <c r="AB15" s="41" t="s">
        <v>64</v>
      </c>
      <c r="AC15" s="41"/>
      <c r="AD15" s="128"/>
      <c r="AE15" s="129"/>
      <c r="AF15" s="129"/>
      <c r="AG15" s="129"/>
      <c r="AH15" s="129"/>
      <c r="AI15" s="129"/>
      <c r="AJ15" s="129"/>
      <c r="AK15" s="129"/>
      <c r="AL15" s="129"/>
      <c r="AM15" s="166" t="s">
        <v>100</v>
      </c>
      <c r="AN15" s="166" t="s">
        <v>719</v>
      </c>
      <c r="AO15" s="214"/>
      <c r="AP15" s="38"/>
      <c r="AQ15" s="41">
        <v>1</v>
      </c>
      <c r="AR15" s="215">
        <v>1</v>
      </c>
    </row>
    <row r="16" s="1" customFormat="1" ht="39.95" customHeight="1" spans="1:44">
      <c r="A16" s="35">
        <f t="shared" si="0"/>
        <v>7</v>
      </c>
      <c r="B16" s="39"/>
      <c r="C16" s="36">
        <v>1</v>
      </c>
      <c r="D16" s="39"/>
      <c r="E16" s="39"/>
      <c r="F16" s="39"/>
      <c r="G16" s="39"/>
      <c r="H16" s="39"/>
      <c r="I16" s="39"/>
      <c r="J16" s="39"/>
      <c r="K16" s="63"/>
      <c r="L16" s="63" t="s">
        <v>131</v>
      </c>
      <c r="M16" s="47" t="s">
        <v>720</v>
      </c>
      <c r="N16" s="47" t="s">
        <v>720</v>
      </c>
      <c r="O16" s="47" t="s">
        <v>721</v>
      </c>
      <c r="P16" s="67"/>
      <c r="Q16" s="92" t="s">
        <v>92</v>
      </c>
      <c r="R16" s="67" t="s">
        <v>67</v>
      </c>
      <c r="S16" s="47"/>
      <c r="T16" s="66" t="s">
        <v>481</v>
      </c>
      <c r="U16" s="40" t="str">
        <f>N16</f>
        <v>SHT0014026</v>
      </c>
      <c r="V16" s="90" t="s">
        <v>480</v>
      </c>
      <c r="W16" s="66" t="s">
        <v>393</v>
      </c>
      <c r="X16" s="91" t="s">
        <v>93</v>
      </c>
      <c r="Y16" s="36" t="s">
        <v>181</v>
      </c>
      <c r="Z16" s="47" t="s">
        <v>64</v>
      </c>
      <c r="AA16" s="47" t="s">
        <v>64</v>
      </c>
      <c r="AB16" s="47" t="s">
        <v>64</v>
      </c>
      <c r="AC16" s="47"/>
      <c r="AD16" s="127"/>
      <c r="AE16" s="129" t="s">
        <v>183</v>
      </c>
      <c r="AF16" s="129"/>
      <c r="AG16" s="129"/>
      <c r="AH16" s="129"/>
      <c r="AI16" s="129"/>
      <c r="AJ16" s="129"/>
      <c r="AK16" s="129"/>
      <c r="AL16" s="129"/>
      <c r="AM16" s="166" t="s">
        <v>74</v>
      </c>
      <c r="AN16" s="166" t="s">
        <v>184</v>
      </c>
      <c r="AO16" s="216"/>
      <c r="AP16" s="40"/>
      <c r="AQ16" s="47">
        <v>1</v>
      </c>
      <c r="AR16" s="215">
        <v>0</v>
      </c>
    </row>
    <row r="17" s="1" customFormat="1" ht="39.95" customHeight="1" spans="1:44">
      <c r="A17" s="35">
        <f t="shared" si="0"/>
        <v>8</v>
      </c>
      <c r="B17" s="39"/>
      <c r="C17" s="36">
        <v>1</v>
      </c>
      <c r="D17" s="39"/>
      <c r="E17" s="39"/>
      <c r="F17" s="39"/>
      <c r="G17" s="39"/>
      <c r="H17" s="39"/>
      <c r="I17" s="39"/>
      <c r="J17" s="39"/>
      <c r="K17" s="63"/>
      <c r="L17" s="63" t="s">
        <v>131</v>
      </c>
      <c r="M17" s="65" t="s">
        <v>722</v>
      </c>
      <c r="N17" s="65" t="s">
        <v>722</v>
      </c>
      <c r="O17" s="65" t="s">
        <v>721</v>
      </c>
      <c r="P17" s="67"/>
      <c r="Q17" s="92" t="s">
        <v>92</v>
      </c>
      <c r="R17" s="67" t="s">
        <v>67</v>
      </c>
      <c r="S17" s="47"/>
      <c r="T17" s="66" t="s">
        <v>481</v>
      </c>
      <c r="U17" s="40" t="s">
        <v>722</v>
      </c>
      <c r="V17" s="90" t="s">
        <v>480</v>
      </c>
      <c r="W17" s="66" t="s">
        <v>393</v>
      </c>
      <c r="X17" s="91" t="s">
        <v>93</v>
      </c>
      <c r="Y17" s="36" t="s">
        <v>181</v>
      </c>
      <c r="Z17" s="47" t="s">
        <v>64</v>
      </c>
      <c r="AA17" s="47" t="s">
        <v>64</v>
      </c>
      <c r="AB17" s="47" t="s">
        <v>64</v>
      </c>
      <c r="AC17" s="47"/>
      <c r="AD17" s="127"/>
      <c r="AE17" s="129"/>
      <c r="AF17" s="129"/>
      <c r="AG17" s="129"/>
      <c r="AH17" s="129"/>
      <c r="AI17" s="129"/>
      <c r="AJ17" s="129"/>
      <c r="AK17" s="129"/>
      <c r="AL17" s="129"/>
      <c r="AM17" s="166" t="s">
        <v>74</v>
      </c>
      <c r="AN17" s="166" t="s">
        <v>184</v>
      </c>
      <c r="AO17" s="216"/>
      <c r="AP17" s="40"/>
      <c r="AQ17" s="47">
        <v>0</v>
      </c>
      <c r="AR17" s="215">
        <v>1</v>
      </c>
    </row>
    <row r="18" s="1" customFormat="1" ht="39.95" customHeight="1" spans="1:44">
      <c r="A18" s="35">
        <f t="shared" si="0"/>
        <v>9</v>
      </c>
      <c r="B18" s="36"/>
      <c r="C18" s="36">
        <v>1</v>
      </c>
      <c r="D18" s="36"/>
      <c r="E18" s="36"/>
      <c r="F18" s="36"/>
      <c r="G18" s="40"/>
      <c r="H18" s="40"/>
      <c r="I18" s="40"/>
      <c r="J18" s="40"/>
      <c r="K18" s="63"/>
      <c r="L18" s="63" t="s">
        <v>131</v>
      </c>
      <c r="M18" s="47" t="s">
        <v>723</v>
      </c>
      <c r="N18" s="47" t="s">
        <v>723</v>
      </c>
      <c r="O18" s="47" t="s">
        <v>724</v>
      </c>
      <c r="P18" s="47"/>
      <c r="Q18" s="92" t="s">
        <v>92</v>
      </c>
      <c r="R18" s="67" t="s">
        <v>67</v>
      </c>
      <c r="S18" s="47"/>
      <c r="T18" s="66" t="s">
        <v>481</v>
      </c>
      <c r="U18" s="40" t="str">
        <f t="shared" ref="U18:U23" si="1">N18</f>
        <v>SHT0011062</v>
      </c>
      <c r="V18" s="90" t="s">
        <v>480</v>
      </c>
      <c r="W18" s="66" t="s">
        <v>393</v>
      </c>
      <c r="X18" s="91" t="s">
        <v>93</v>
      </c>
      <c r="Y18" s="36" t="s">
        <v>725</v>
      </c>
      <c r="Z18" s="47" t="s">
        <v>64</v>
      </c>
      <c r="AA18" s="47" t="s">
        <v>64</v>
      </c>
      <c r="AB18" s="127" t="s">
        <v>64</v>
      </c>
      <c r="AC18" s="47"/>
      <c r="AD18" s="127"/>
      <c r="AE18" s="129" t="s">
        <v>135</v>
      </c>
      <c r="AF18" s="129"/>
      <c r="AG18" s="129"/>
      <c r="AH18" s="129"/>
      <c r="AI18" s="129"/>
      <c r="AJ18" s="129"/>
      <c r="AK18" s="129"/>
      <c r="AL18" s="129"/>
      <c r="AM18" s="166" t="s">
        <v>74</v>
      </c>
      <c r="AN18" s="166" t="s">
        <v>136</v>
      </c>
      <c r="AO18" s="216"/>
      <c r="AP18" s="40"/>
      <c r="AQ18" s="47">
        <v>1</v>
      </c>
      <c r="AR18" s="215">
        <v>1</v>
      </c>
    </row>
    <row r="19" ht="39.95" customHeight="1" spans="1:44">
      <c r="A19" s="35">
        <f t="shared" si="0"/>
        <v>10</v>
      </c>
      <c r="B19" s="34"/>
      <c r="C19" s="34"/>
      <c r="D19" s="34">
        <v>2</v>
      </c>
      <c r="E19" s="34"/>
      <c r="F19" s="34"/>
      <c r="G19" s="38"/>
      <c r="H19" s="38"/>
      <c r="I19" s="38"/>
      <c r="J19" s="38"/>
      <c r="K19" s="69"/>
      <c r="L19" s="69"/>
      <c r="M19" s="69"/>
      <c r="N19" s="41" t="s">
        <v>726</v>
      </c>
      <c r="O19" s="47" t="s">
        <v>727</v>
      </c>
      <c r="P19" s="41"/>
      <c r="Q19" s="93" t="s">
        <v>92</v>
      </c>
      <c r="R19" s="67" t="s">
        <v>67</v>
      </c>
      <c r="S19" s="41"/>
      <c r="T19" s="60" t="s">
        <v>481</v>
      </c>
      <c r="U19" s="38" t="str">
        <f t="shared" si="1"/>
        <v>SHT0011063</v>
      </c>
      <c r="V19" s="87" t="s">
        <v>480</v>
      </c>
      <c r="W19" s="60" t="s">
        <v>393</v>
      </c>
      <c r="X19" s="88" t="s">
        <v>93</v>
      </c>
      <c r="Y19" s="41" t="s">
        <v>64</v>
      </c>
      <c r="Z19" s="41"/>
      <c r="AA19" s="41"/>
      <c r="AB19" s="130"/>
      <c r="AC19" s="41"/>
      <c r="AD19" s="128"/>
      <c r="AE19" s="129"/>
      <c r="AF19" s="131" t="s">
        <v>143</v>
      </c>
      <c r="AG19" s="131"/>
      <c r="AH19" s="131"/>
      <c r="AI19" s="167" t="e">
        <f>#REF!*1.08</f>
        <v>#REF!</v>
      </c>
      <c r="AJ19" s="168" t="e">
        <f>#REF!/AI19</f>
        <v>#REF!</v>
      </c>
      <c r="AK19" s="129"/>
      <c r="AL19" s="129"/>
      <c r="AM19" s="166" t="s">
        <v>80</v>
      </c>
      <c r="AN19" s="166"/>
      <c r="AO19" s="214"/>
      <c r="AP19" s="38"/>
      <c r="AQ19" s="41">
        <v>1</v>
      </c>
      <c r="AR19" s="215">
        <v>1</v>
      </c>
    </row>
    <row r="20" ht="39.95" customHeight="1" spans="1:44">
      <c r="A20" s="35">
        <f t="shared" si="0"/>
        <v>11</v>
      </c>
      <c r="B20" s="34"/>
      <c r="C20" s="34"/>
      <c r="D20" s="34">
        <v>2</v>
      </c>
      <c r="E20" s="34"/>
      <c r="F20" s="34"/>
      <c r="G20" s="38"/>
      <c r="H20" s="38"/>
      <c r="I20" s="38"/>
      <c r="J20" s="38"/>
      <c r="K20" s="70"/>
      <c r="L20" s="70"/>
      <c r="M20" s="71" t="s">
        <v>728</v>
      </c>
      <c r="N20" s="65" t="s">
        <v>729</v>
      </c>
      <c r="O20" s="65" t="s">
        <v>730</v>
      </c>
      <c r="P20" s="41"/>
      <c r="Q20" s="93" t="s">
        <v>92</v>
      </c>
      <c r="R20" s="67" t="s">
        <v>67</v>
      </c>
      <c r="S20" s="83"/>
      <c r="T20" s="60" t="s">
        <v>481</v>
      </c>
      <c r="U20" s="38" t="str">
        <f t="shared" si="1"/>
        <v>H4681020024A0</v>
      </c>
      <c r="V20" s="87" t="s">
        <v>480</v>
      </c>
      <c r="W20" s="60" t="s">
        <v>393</v>
      </c>
      <c r="X20" s="88" t="s">
        <v>93</v>
      </c>
      <c r="Y20" s="34" t="s">
        <v>169</v>
      </c>
      <c r="Z20" s="41" t="s">
        <v>170</v>
      </c>
      <c r="AA20" s="130" t="s">
        <v>107</v>
      </c>
      <c r="AB20" s="130" t="s">
        <v>731</v>
      </c>
      <c r="AC20" s="41">
        <v>0.033</v>
      </c>
      <c r="AD20" s="128" t="s">
        <v>109</v>
      </c>
      <c r="AE20" s="132" t="s">
        <v>110</v>
      </c>
      <c r="AF20" s="132">
        <f>149+5</f>
        <v>154</v>
      </c>
      <c r="AG20" s="132">
        <f>53+2</f>
        <v>55</v>
      </c>
      <c r="AH20" s="169" t="s">
        <v>111</v>
      </c>
      <c r="AI20" s="170">
        <f>AF20*AG20*AH20*7860/1000000000</f>
        <v>0.0665742</v>
      </c>
      <c r="AJ20" s="171">
        <f t="shared" ref="AJ20:AJ27" si="2">AC20/AI20</f>
        <v>0.495687518588282</v>
      </c>
      <c r="AK20" s="147"/>
      <c r="AL20" s="147"/>
      <c r="AM20" s="172" t="s">
        <v>100</v>
      </c>
      <c r="AN20" s="172" t="s">
        <v>732</v>
      </c>
      <c r="AO20" s="214"/>
      <c r="AP20" s="38"/>
      <c r="AQ20" s="41">
        <v>1</v>
      </c>
      <c r="AR20" s="215">
        <v>1</v>
      </c>
    </row>
    <row r="21" ht="39.95" customHeight="1" spans="1:44">
      <c r="A21" s="35">
        <f t="shared" ref="A21:A30" si="3">ROW()-9</f>
        <v>12</v>
      </c>
      <c r="B21" s="34"/>
      <c r="C21" s="34"/>
      <c r="D21" s="34">
        <v>2</v>
      </c>
      <c r="E21" s="34"/>
      <c r="F21" s="34"/>
      <c r="G21" s="38"/>
      <c r="H21" s="38"/>
      <c r="I21" s="38"/>
      <c r="J21" s="38"/>
      <c r="K21" s="70"/>
      <c r="L21" s="70"/>
      <c r="M21" s="70" t="s">
        <v>733</v>
      </c>
      <c r="N21" s="41" t="s">
        <v>733</v>
      </c>
      <c r="O21" s="47" t="s">
        <v>734</v>
      </c>
      <c r="P21" s="41"/>
      <c r="Q21" s="93" t="s">
        <v>92</v>
      </c>
      <c r="R21" s="67" t="s">
        <v>67</v>
      </c>
      <c r="S21" s="83"/>
      <c r="T21" s="60" t="s">
        <v>481</v>
      </c>
      <c r="U21" s="38" t="str">
        <f t="shared" si="1"/>
        <v>SHT0011512</v>
      </c>
      <c r="V21" s="87" t="s">
        <v>480</v>
      </c>
      <c r="W21" s="60" t="s">
        <v>393</v>
      </c>
      <c r="X21" s="88" t="s">
        <v>93</v>
      </c>
      <c r="Y21" s="34" t="s">
        <v>149</v>
      </c>
      <c r="Z21" s="41" t="s">
        <v>522</v>
      </c>
      <c r="AA21" s="133" t="s">
        <v>735</v>
      </c>
      <c r="AB21" s="133" t="s">
        <v>736</v>
      </c>
      <c r="AC21" s="134">
        <v>0.0187</v>
      </c>
      <c r="AD21" s="128"/>
      <c r="AE21" s="135" t="s">
        <v>153</v>
      </c>
      <c r="AF21" s="136">
        <f t="shared" ref="AF21:AF25" si="4">AC21/0.025*1000</f>
        <v>748</v>
      </c>
      <c r="AG21" s="136">
        <v>2</v>
      </c>
      <c r="AH21" s="136"/>
      <c r="AI21" s="173">
        <f t="shared" ref="AI21:AI25" si="5">AF21*0.025/1000</f>
        <v>0.0187</v>
      </c>
      <c r="AJ21" s="174">
        <f t="shared" si="2"/>
        <v>1</v>
      </c>
      <c r="AK21" s="147"/>
      <c r="AL21" s="147"/>
      <c r="AM21" s="172" t="s">
        <v>100</v>
      </c>
      <c r="AN21" s="172"/>
      <c r="AO21" s="214"/>
      <c r="AP21" s="38"/>
      <c r="AQ21" s="41">
        <v>1</v>
      </c>
      <c r="AR21" s="215">
        <v>1</v>
      </c>
    </row>
    <row r="22" ht="39.95" customHeight="1" spans="1:44">
      <c r="A22" s="35">
        <f t="shared" si="3"/>
        <v>13</v>
      </c>
      <c r="B22" s="34"/>
      <c r="C22" s="34"/>
      <c r="D22" s="34">
        <v>2</v>
      </c>
      <c r="E22" s="34"/>
      <c r="F22" s="34"/>
      <c r="G22" s="38"/>
      <c r="H22" s="38"/>
      <c r="I22" s="72"/>
      <c r="J22" s="72"/>
      <c r="K22" s="73"/>
      <c r="L22" s="73"/>
      <c r="M22" s="73" t="s">
        <v>154</v>
      </c>
      <c r="N22" s="74" t="s">
        <v>154</v>
      </c>
      <c r="O22" s="74" t="s">
        <v>737</v>
      </c>
      <c r="P22" s="74"/>
      <c r="Q22" s="94" t="s">
        <v>92</v>
      </c>
      <c r="R22" s="67" t="s">
        <v>67</v>
      </c>
      <c r="S22" s="95"/>
      <c r="T22" s="96" t="s">
        <v>481</v>
      </c>
      <c r="U22" s="72" t="str">
        <f t="shared" si="1"/>
        <v>SHT0011066</v>
      </c>
      <c r="V22" s="97" t="s">
        <v>480</v>
      </c>
      <c r="W22" s="96" t="s">
        <v>393</v>
      </c>
      <c r="X22" s="98" t="s">
        <v>93</v>
      </c>
      <c r="Y22" s="137" t="s">
        <v>149</v>
      </c>
      <c r="Z22" s="74" t="s">
        <v>522</v>
      </c>
      <c r="AA22" s="138" t="s">
        <v>735</v>
      </c>
      <c r="AB22" s="138" t="s">
        <v>738</v>
      </c>
      <c r="AC22" s="138">
        <v>0.0062</v>
      </c>
      <c r="AD22" s="139"/>
      <c r="AE22" s="135" t="s">
        <v>153</v>
      </c>
      <c r="AF22" s="136">
        <f t="shared" si="4"/>
        <v>248</v>
      </c>
      <c r="AG22" s="136">
        <v>2</v>
      </c>
      <c r="AH22" s="136"/>
      <c r="AI22" s="173">
        <f t="shared" si="5"/>
        <v>0.0062</v>
      </c>
      <c r="AJ22" s="174">
        <f t="shared" si="2"/>
        <v>1</v>
      </c>
      <c r="AK22" s="175"/>
      <c r="AL22" s="175"/>
      <c r="AM22" s="172" t="s">
        <v>100</v>
      </c>
      <c r="AN22" s="176"/>
      <c r="AO22" s="217"/>
      <c r="AP22" s="72"/>
      <c r="AQ22" s="74">
        <v>1</v>
      </c>
      <c r="AR22" s="218">
        <v>1</v>
      </c>
    </row>
    <row r="23" s="2" customFormat="1" ht="39.95" customHeight="1" spans="1:44">
      <c r="A23" s="35">
        <f t="shared" si="3"/>
        <v>14</v>
      </c>
      <c r="B23" s="41"/>
      <c r="C23" s="41"/>
      <c r="D23" s="34">
        <v>2</v>
      </c>
      <c r="E23" s="34"/>
      <c r="F23" s="41"/>
      <c r="G23" s="41"/>
      <c r="H23" s="41"/>
      <c r="I23" s="41"/>
      <c r="J23" s="41"/>
      <c r="K23" s="41"/>
      <c r="L23" s="41"/>
      <c r="M23" s="41" t="s">
        <v>157</v>
      </c>
      <c r="N23" s="41" t="s">
        <v>157</v>
      </c>
      <c r="O23" s="41" t="s">
        <v>739</v>
      </c>
      <c r="P23" s="41"/>
      <c r="Q23" s="93" t="s">
        <v>92</v>
      </c>
      <c r="R23" s="67" t="s">
        <v>67</v>
      </c>
      <c r="S23" s="41"/>
      <c r="T23" s="60" t="s">
        <v>481</v>
      </c>
      <c r="U23" s="41" t="str">
        <f t="shared" si="1"/>
        <v>SHT0011067</v>
      </c>
      <c r="V23" s="87" t="s">
        <v>480</v>
      </c>
      <c r="W23" s="60" t="s">
        <v>393</v>
      </c>
      <c r="X23" s="88" t="s">
        <v>93</v>
      </c>
      <c r="Y23" s="34" t="s">
        <v>149</v>
      </c>
      <c r="Z23" s="41" t="s">
        <v>740</v>
      </c>
      <c r="AA23" s="133" t="s">
        <v>741</v>
      </c>
      <c r="AB23" s="133" t="s">
        <v>738</v>
      </c>
      <c r="AC23" s="133">
        <v>0.0062</v>
      </c>
      <c r="AD23" s="41"/>
      <c r="AE23" s="135" t="s">
        <v>153</v>
      </c>
      <c r="AF23" s="136">
        <f t="shared" si="4"/>
        <v>248</v>
      </c>
      <c r="AG23" s="136">
        <v>2</v>
      </c>
      <c r="AH23" s="136"/>
      <c r="AI23" s="173">
        <f t="shared" si="5"/>
        <v>0.0062</v>
      </c>
      <c r="AJ23" s="174">
        <f t="shared" si="2"/>
        <v>1</v>
      </c>
      <c r="AK23" s="177"/>
      <c r="AL23" s="177"/>
      <c r="AM23" s="172" t="s">
        <v>100</v>
      </c>
      <c r="AN23" s="178"/>
      <c r="AO23" s="41"/>
      <c r="AP23" s="41"/>
      <c r="AQ23" s="41">
        <v>1</v>
      </c>
      <c r="AR23" s="219">
        <v>1</v>
      </c>
    </row>
    <row r="24" s="2" customFormat="1" ht="39.95" customHeight="1" spans="1:44">
      <c r="A24" s="35">
        <f t="shared" si="3"/>
        <v>15</v>
      </c>
      <c r="B24" s="41"/>
      <c r="C24" s="41"/>
      <c r="D24" s="34">
        <v>2</v>
      </c>
      <c r="E24" s="34"/>
      <c r="F24" s="41"/>
      <c r="G24" s="41"/>
      <c r="H24" s="41"/>
      <c r="I24" s="41"/>
      <c r="J24" s="41"/>
      <c r="K24" s="41"/>
      <c r="L24" s="41"/>
      <c r="M24" s="41" t="s">
        <v>160</v>
      </c>
      <c r="N24" s="41" t="s">
        <v>160</v>
      </c>
      <c r="O24" s="41" t="s">
        <v>161</v>
      </c>
      <c r="P24" s="41"/>
      <c r="Q24" s="93" t="s">
        <v>92</v>
      </c>
      <c r="R24" s="99" t="s">
        <v>67</v>
      </c>
      <c r="S24" s="100"/>
      <c r="T24" s="101" t="s">
        <v>66</v>
      </c>
      <c r="U24" s="100" t="s">
        <v>64</v>
      </c>
      <c r="V24" s="100" t="s">
        <v>66</v>
      </c>
      <c r="W24" s="102" t="s">
        <v>68</v>
      </c>
      <c r="X24" s="103" t="s">
        <v>69</v>
      </c>
      <c r="Y24" s="100" t="s">
        <v>149</v>
      </c>
      <c r="Z24" s="100" t="s">
        <v>150</v>
      </c>
      <c r="AA24" s="100" t="s">
        <v>151</v>
      </c>
      <c r="AB24" s="100" t="s">
        <v>162</v>
      </c>
      <c r="AC24" s="100">
        <v>0.0116</v>
      </c>
      <c r="AD24" s="41"/>
      <c r="AE24" s="135" t="s">
        <v>153</v>
      </c>
      <c r="AF24" s="136">
        <f t="shared" si="4"/>
        <v>464</v>
      </c>
      <c r="AG24" s="136">
        <v>2</v>
      </c>
      <c r="AH24" s="136"/>
      <c r="AI24" s="173">
        <f t="shared" si="5"/>
        <v>0.0116</v>
      </c>
      <c r="AJ24" s="174">
        <f t="shared" si="2"/>
        <v>1</v>
      </c>
      <c r="AK24" s="177"/>
      <c r="AL24" s="177"/>
      <c r="AM24" s="172" t="s">
        <v>100</v>
      </c>
      <c r="AN24" s="178"/>
      <c r="AO24" s="41"/>
      <c r="AP24" s="41"/>
      <c r="AQ24" s="41">
        <v>1</v>
      </c>
      <c r="AR24" s="219">
        <v>1</v>
      </c>
    </row>
    <row r="25" s="2" customFormat="1" ht="39.95" customHeight="1" spans="1:44">
      <c r="A25" s="35">
        <f t="shared" si="3"/>
        <v>16</v>
      </c>
      <c r="B25" s="41"/>
      <c r="C25" s="41"/>
      <c r="D25" s="34">
        <v>2</v>
      </c>
      <c r="E25" s="34"/>
      <c r="F25" s="41"/>
      <c r="G25" s="41"/>
      <c r="H25" s="41"/>
      <c r="I25" s="41"/>
      <c r="J25" s="41"/>
      <c r="K25" s="41"/>
      <c r="L25" s="41"/>
      <c r="M25" s="41" t="s">
        <v>163</v>
      </c>
      <c r="N25" s="41" t="s">
        <v>163</v>
      </c>
      <c r="O25" s="41" t="s">
        <v>164</v>
      </c>
      <c r="P25" s="41"/>
      <c r="Q25" s="93" t="s">
        <v>92</v>
      </c>
      <c r="R25" s="99" t="s">
        <v>67</v>
      </c>
      <c r="S25" s="100"/>
      <c r="T25" s="101" t="s">
        <v>66</v>
      </c>
      <c r="U25" s="100" t="s">
        <v>64</v>
      </c>
      <c r="V25" s="100" t="s">
        <v>66</v>
      </c>
      <c r="W25" s="102" t="s">
        <v>68</v>
      </c>
      <c r="X25" s="103" t="s">
        <v>69</v>
      </c>
      <c r="Y25" s="100" t="s">
        <v>149</v>
      </c>
      <c r="Z25" s="100" t="s">
        <v>150</v>
      </c>
      <c r="AA25" s="100" t="s">
        <v>151</v>
      </c>
      <c r="AB25" s="100" t="s">
        <v>165</v>
      </c>
      <c r="AC25" s="100">
        <v>0.0116</v>
      </c>
      <c r="AD25" s="41"/>
      <c r="AE25" s="135" t="s">
        <v>153</v>
      </c>
      <c r="AF25" s="136">
        <f t="shared" si="4"/>
        <v>464</v>
      </c>
      <c r="AG25" s="136">
        <v>2</v>
      </c>
      <c r="AH25" s="136"/>
      <c r="AI25" s="173">
        <f t="shared" si="5"/>
        <v>0.0116</v>
      </c>
      <c r="AJ25" s="174">
        <f t="shared" si="2"/>
        <v>1</v>
      </c>
      <c r="AK25" s="177"/>
      <c r="AL25" s="177"/>
      <c r="AM25" s="172" t="s">
        <v>100</v>
      </c>
      <c r="AN25" s="178"/>
      <c r="AO25" s="41"/>
      <c r="AP25" s="41"/>
      <c r="AQ25" s="41">
        <v>1</v>
      </c>
      <c r="AR25" s="219">
        <v>1</v>
      </c>
    </row>
    <row r="26" ht="39.95" customHeight="1" spans="1:44">
      <c r="A26" s="35">
        <f t="shared" si="3"/>
        <v>17</v>
      </c>
      <c r="B26" s="42"/>
      <c r="C26" s="42">
        <v>1</v>
      </c>
      <c r="D26" s="42"/>
      <c r="E26" s="42"/>
      <c r="F26" s="42"/>
      <c r="G26" s="43"/>
      <c r="H26" s="43"/>
      <c r="I26" s="43"/>
      <c r="J26" s="43"/>
      <c r="K26" s="75"/>
      <c r="L26" s="75"/>
      <c r="M26" s="76" t="s">
        <v>88</v>
      </c>
      <c r="N26" s="76" t="s">
        <v>89</v>
      </c>
      <c r="O26" s="76" t="s">
        <v>90</v>
      </c>
      <c r="P26" s="77" t="s">
        <v>91</v>
      </c>
      <c r="Q26" s="104" t="s">
        <v>92</v>
      </c>
      <c r="R26" s="67" t="s">
        <v>67</v>
      </c>
      <c r="S26" s="105"/>
      <c r="T26" s="106" t="s">
        <v>481</v>
      </c>
      <c r="U26" s="107" t="str">
        <f t="shared" ref="U26:U32" si="6">N26</f>
        <v>H4681010091A0</v>
      </c>
      <c r="V26" s="108" t="s">
        <v>66</v>
      </c>
      <c r="W26" s="108" t="s">
        <v>93</v>
      </c>
      <c r="X26" s="109" t="s">
        <v>68</v>
      </c>
      <c r="Y26" s="140" t="s">
        <v>94</v>
      </c>
      <c r="Z26" s="77" t="s">
        <v>95</v>
      </c>
      <c r="AA26" s="141" t="s">
        <v>64</v>
      </c>
      <c r="AB26" s="140" t="s">
        <v>742</v>
      </c>
      <c r="AC26" s="142">
        <v>0.0172</v>
      </c>
      <c r="AD26" s="109" t="s">
        <v>97</v>
      </c>
      <c r="AE26" s="143" t="s">
        <v>98</v>
      </c>
      <c r="AF26" s="131" t="s">
        <v>99</v>
      </c>
      <c r="AG26" s="179"/>
      <c r="AH26" s="179"/>
      <c r="AI26" s="180">
        <f>AC26*1.04</f>
        <v>0.017888</v>
      </c>
      <c r="AJ26" s="171">
        <f t="shared" si="2"/>
        <v>0.961538461538461</v>
      </c>
      <c r="AK26" s="181"/>
      <c r="AL26" s="181"/>
      <c r="AM26" s="182" t="s">
        <v>100</v>
      </c>
      <c r="AN26" s="182" t="s">
        <v>101</v>
      </c>
      <c r="AO26" s="220"/>
      <c r="AP26" s="43"/>
      <c r="AQ26" s="75">
        <v>1</v>
      </c>
      <c r="AR26" s="221">
        <v>1</v>
      </c>
    </row>
    <row r="27" ht="39.95" customHeight="1" spans="1:44">
      <c r="A27" s="35">
        <f t="shared" si="3"/>
        <v>18</v>
      </c>
      <c r="B27" s="34"/>
      <c r="C27" s="34">
        <v>1</v>
      </c>
      <c r="D27" s="34"/>
      <c r="E27" s="34"/>
      <c r="F27" s="34"/>
      <c r="G27" s="38"/>
      <c r="H27" s="38"/>
      <c r="I27" s="38"/>
      <c r="J27" s="38"/>
      <c r="K27" s="70"/>
      <c r="L27" s="70"/>
      <c r="M27" s="71" t="s">
        <v>102</v>
      </c>
      <c r="N27" s="78" t="s">
        <v>103</v>
      </c>
      <c r="O27" s="78" t="s">
        <v>104</v>
      </c>
      <c r="P27" s="79" t="s">
        <v>64</v>
      </c>
      <c r="Q27" s="110" t="s">
        <v>92</v>
      </c>
      <c r="R27" s="67" t="s">
        <v>67</v>
      </c>
      <c r="S27" s="111"/>
      <c r="T27" s="60" t="s">
        <v>481</v>
      </c>
      <c r="U27" s="112" t="str">
        <f t="shared" si="6"/>
        <v>H4681010096A0</v>
      </c>
      <c r="V27" s="113" t="s">
        <v>66</v>
      </c>
      <c r="W27" s="113" t="s">
        <v>93</v>
      </c>
      <c r="X27" s="114" t="s">
        <v>68</v>
      </c>
      <c r="Y27" s="144" t="s">
        <v>105</v>
      </c>
      <c r="Z27" s="145" t="s">
        <v>106</v>
      </c>
      <c r="AA27" s="144" t="s">
        <v>107</v>
      </c>
      <c r="AB27" s="79" t="s">
        <v>64</v>
      </c>
      <c r="AC27" s="146">
        <v>0.0076</v>
      </c>
      <c r="AD27" s="112" t="s">
        <v>109</v>
      </c>
      <c r="AE27" s="132" t="s">
        <v>110</v>
      </c>
      <c r="AF27" s="132">
        <f>88+5</f>
        <v>93</v>
      </c>
      <c r="AG27" s="132">
        <f>50+2</f>
        <v>52</v>
      </c>
      <c r="AH27" s="169" t="s">
        <v>111</v>
      </c>
      <c r="AI27" s="170">
        <f t="shared" ref="AI27:AI32" si="7">AF27*AG27*AH27*7860/1000000000</f>
        <v>0.03801096</v>
      </c>
      <c r="AJ27" s="171">
        <f t="shared" si="2"/>
        <v>0.199942332422017</v>
      </c>
      <c r="AK27" s="183"/>
      <c r="AL27" s="183"/>
      <c r="AM27" s="172" t="s">
        <v>100</v>
      </c>
      <c r="AN27" s="172" t="s">
        <v>743</v>
      </c>
      <c r="AO27" s="214"/>
      <c r="AP27" s="38"/>
      <c r="AQ27" s="41">
        <v>1</v>
      </c>
      <c r="AR27" s="215">
        <v>1</v>
      </c>
    </row>
    <row r="28" ht="39.95" customHeight="1" spans="1:44">
      <c r="A28" s="35">
        <f t="shared" si="3"/>
        <v>19</v>
      </c>
      <c r="B28" s="34"/>
      <c r="C28" s="34">
        <v>1</v>
      </c>
      <c r="D28" s="34"/>
      <c r="E28" s="34"/>
      <c r="F28" s="34"/>
      <c r="G28" s="38"/>
      <c r="H28" s="38"/>
      <c r="I28" s="38"/>
      <c r="J28" s="38"/>
      <c r="K28" s="70"/>
      <c r="L28" s="70"/>
      <c r="M28" s="70" t="s">
        <v>113</v>
      </c>
      <c r="N28" s="41" t="s">
        <v>114</v>
      </c>
      <c r="O28" s="41" t="s">
        <v>744</v>
      </c>
      <c r="P28" s="80"/>
      <c r="Q28" s="93" t="s">
        <v>92</v>
      </c>
      <c r="R28" s="67" t="s">
        <v>67</v>
      </c>
      <c r="S28" s="83"/>
      <c r="T28" s="60" t="s">
        <v>481</v>
      </c>
      <c r="U28" s="38" t="str">
        <f t="shared" si="6"/>
        <v>H4681010095A0</v>
      </c>
      <c r="V28" s="87" t="s">
        <v>480</v>
      </c>
      <c r="W28" s="60" t="s">
        <v>393</v>
      </c>
      <c r="X28" s="88" t="s">
        <v>93</v>
      </c>
      <c r="Y28" s="34" t="s">
        <v>117</v>
      </c>
      <c r="Z28" s="41" t="s">
        <v>745</v>
      </c>
      <c r="AA28" s="41" t="s">
        <v>64</v>
      </c>
      <c r="AB28" s="41" t="s">
        <v>64</v>
      </c>
      <c r="AC28" s="41">
        <v>0.01</v>
      </c>
      <c r="AD28" s="128"/>
      <c r="AE28" s="147"/>
      <c r="AF28" s="147"/>
      <c r="AG28" s="147"/>
      <c r="AH28" s="147"/>
      <c r="AI28" s="147"/>
      <c r="AJ28" s="147"/>
      <c r="AK28" s="147"/>
      <c r="AL28" s="147"/>
      <c r="AM28" s="172" t="s">
        <v>100</v>
      </c>
      <c r="AN28" s="172" t="s">
        <v>120</v>
      </c>
      <c r="AO28" s="214"/>
      <c r="AP28" s="38"/>
      <c r="AQ28" s="41">
        <v>6</v>
      </c>
      <c r="AR28" s="215">
        <v>6</v>
      </c>
    </row>
    <row r="29" ht="39.95" customHeight="1" spans="1:44">
      <c r="A29" s="35">
        <f t="shared" si="3"/>
        <v>20</v>
      </c>
      <c r="B29" s="44"/>
      <c r="C29" s="34">
        <v>1</v>
      </c>
      <c r="D29" s="34"/>
      <c r="E29" s="45"/>
      <c r="F29" s="45"/>
      <c r="G29" s="45"/>
      <c r="H29" s="45"/>
      <c r="I29" s="45"/>
      <c r="J29" s="45"/>
      <c r="K29" s="69"/>
      <c r="L29" s="69"/>
      <c r="M29" s="60" t="s">
        <v>746</v>
      </c>
      <c r="N29" s="60" t="s">
        <v>746</v>
      </c>
      <c r="O29" s="33" t="s">
        <v>747</v>
      </c>
      <c r="P29" s="41"/>
      <c r="Q29" s="33" t="s">
        <v>66</v>
      </c>
      <c r="R29" s="67" t="s">
        <v>67</v>
      </c>
      <c r="S29" s="41"/>
      <c r="T29" s="60" t="s">
        <v>481</v>
      </c>
      <c r="U29" s="87" t="str">
        <f t="shared" si="6"/>
        <v>SHT0010244</v>
      </c>
      <c r="V29" s="87" t="s">
        <v>480</v>
      </c>
      <c r="W29" s="60" t="s">
        <v>393</v>
      </c>
      <c r="X29" s="88" t="s">
        <v>93</v>
      </c>
      <c r="Y29" s="115" t="s">
        <v>748</v>
      </c>
      <c r="Z29" s="115" t="s">
        <v>71</v>
      </c>
      <c r="AA29" s="115" t="s">
        <v>64</v>
      </c>
      <c r="AB29" s="41" t="s">
        <v>749</v>
      </c>
      <c r="AC29" s="115"/>
      <c r="AD29" s="61" t="s">
        <v>64</v>
      </c>
      <c r="AE29" s="148" t="s">
        <v>200</v>
      </c>
      <c r="AF29" s="148"/>
      <c r="AG29" s="148"/>
      <c r="AH29" s="148"/>
      <c r="AI29" s="148"/>
      <c r="AJ29" s="148"/>
      <c r="AK29" s="148"/>
      <c r="AL29" s="148"/>
      <c r="AM29" s="182" t="s">
        <v>74</v>
      </c>
      <c r="AN29" s="182" t="s">
        <v>201</v>
      </c>
      <c r="AO29" s="214"/>
      <c r="AP29" s="38"/>
      <c r="AQ29" s="41">
        <v>1</v>
      </c>
      <c r="AR29" s="215">
        <v>1</v>
      </c>
    </row>
    <row r="30" ht="39.95" customHeight="1" spans="1:44">
      <c r="A30" s="35">
        <f t="shared" si="3"/>
        <v>21</v>
      </c>
      <c r="B30" s="44"/>
      <c r="C30" s="44"/>
      <c r="D30" s="45">
        <v>2</v>
      </c>
      <c r="E30" s="45"/>
      <c r="F30" s="45"/>
      <c r="G30" s="45"/>
      <c r="H30" s="45"/>
      <c r="I30" s="45"/>
      <c r="J30" s="45"/>
      <c r="K30" s="69"/>
      <c r="L30" s="69"/>
      <c r="M30" s="69" t="s">
        <v>227</v>
      </c>
      <c r="N30" s="41" t="s">
        <v>228</v>
      </c>
      <c r="O30" s="41" t="s">
        <v>229</v>
      </c>
      <c r="P30" s="41"/>
      <c r="Q30" s="44" t="s">
        <v>92</v>
      </c>
      <c r="R30" s="67" t="s">
        <v>67</v>
      </c>
      <c r="S30" s="83"/>
      <c r="T30" s="60" t="s">
        <v>481</v>
      </c>
      <c r="U30" s="38" t="str">
        <f t="shared" si="6"/>
        <v>H5-6802108</v>
      </c>
      <c r="V30" s="87" t="s">
        <v>480</v>
      </c>
      <c r="W30" s="60" t="s">
        <v>393</v>
      </c>
      <c r="X30" s="88" t="s">
        <v>93</v>
      </c>
      <c r="Y30" s="34" t="s">
        <v>750</v>
      </c>
      <c r="Z30" s="41" t="s">
        <v>751</v>
      </c>
      <c r="AA30" s="149" t="s">
        <v>752</v>
      </c>
      <c r="AB30" s="33" t="s">
        <v>64</v>
      </c>
      <c r="AC30" s="41">
        <v>0.547</v>
      </c>
      <c r="AD30" s="61" t="s">
        <v>64</v>
      </c>
      <c r="AE30" s="150" t="s">
        <v>233</v>
      </c>
      <c r="AF30" s="151">
        <f>AC30/0.888*1000+10</f>
        <v>625.990990990991</v>
      </c>
      <c r="AG30" s="151">
        <v>25</v>
      </c>
      <c r="AH30" s="151">
        <v>1.5</v>
      </c>
      <c r="AI30" s="184">
        <f>AF30*0.869/1000</f>
        <v>0.543986171171171</v>
      </c>
      <c r="AJ30" s="185">
        <f t="shared" ref="AJ30:AJ32" si="8">AC30/AI30</f>
        <v>1.00554026736073</v>
      </c>
      <c r="AK30" s="148"/>
      <c r="AL30" s="148"/>
      <c r="AM30" s="172" t="s">
        <v>74</v>
      </c>
      <c r="AN30" s="172" t="s">
        <v>234</v>
      </c>
      <c r="AO30" s="214"/>
      <c r="AP30" s="38"/>
      <c r="AQ30" s="41">
        <v>1</v>
      </c>
      <c r="AR30" s="215">
        <v>1</v>
      </c>
    </row>
    <row r="31" ht="39.95" customHeight="1" spans="1:44">
      <c r="A31" s="35">
        <f t="shared" ref="A31:A40" si="9">ROW()-9</f>
        <v>22</v>
      </c>
      <c r="B31" s="44"/>
      <c r="C31" s="44"/>
      <c r="D31" s="45">
        <v>2</v>
      </c>
      <c r="E31" s="45"/>
      <c r="F31" s="45"/>
      <c r="G31" s="45"/>
      <c r="H31" s="45"/>
      <c r="I31" s="45"/>
      <c r="J31" s="45"/>
      <c r="K31" s="69"/>
      <c r="L31" s="69"/>
      <c r="M31" s="69" t="s">
        <v>235</v>
      </c>
      <c r="N31" s="41" t="s">
        <v>236</v>
      </c>
      <c r="O31" s="41" t="s">
        <v>237</v>
      </c>
      <c r="P31" s="41"/>
      <c r="Q31" s="44" t="s">
        <v>92</v>
      </c>
      <c r="R31" s="67" t="s">
        <v>67</v>
      </c>
      <c r="S31" s="83"/>
      <c r="T31" s="60" t="s">
        <v>481</v>
      </c>
      <c r="U31" s="38" t="str">
        <f t="shared" si="6"/>
        <v>H4A-6802106</v>
      </c>
      <c r="V31" s="87" t="s">
        <v>480</v>
      </c>
      <c r="W31" s="60" t="s">
        <v>393</v>
      </c>
      <c r="X31" s="88" t="s">
        <v>93</v>
      </c>
      <c r="Y31" s="34" t="s">
        <v>238</v>
      </c>
      <c r="Z31" s="41" t="s">
        <v>753</v>
      </c>
      <c r="AA31" s="133" t="s">
        <v>754</v>
      </c>
      <c r="AB31" s="33" t="s">
        <v>64</v>
      </c>
      <c r="AC31" s="134">
        <v>0.0431</v>
      </c>
      <c r="AD31" s="61" t="s">
        <v>64</v>
      </c>
      <c r="AE31" s="132" t="s">
        <v>110</v>
      </c>
      <c r="AF31" s="132">
        <f>275+6</f>
        <v>281</v>
      </c>
      <c r="AG31" s="132">
        <v>12.5</v>
      </c>
      <c r="AH31" s="169" t="s">
        <v>241</v>
      </c>
      <c r="AI31" s="170">
        <f t="shared" si="7"/>
        <v>0.0552165</v>
      </c>
      <c r="AJ31" s="171">
        <f t="shared" si="8"/>
        <v>0.780563780753941</v>
      </c>
      <c r="AK31" s="148"/>
      <c r="AL31" s="148"/>
      <c r="AM31" s="172" t="s">
        <v>74</v>
      </c>
      <c r="AN31" s="172" t="s">
        <v>242</v>
      </c>
      <c r="AO31" s="214"/>
      <c r="AP31" s="38"/>
      <c r="AQ31" s="41">
        <v>1</v>
      </c>
      <c r="AR31" s="215">
        <v>1</v>
      </c>
    </row>
    <row r="32" ht="39.95" customHeight="1" spans="1:44">
      <c r="A32" s="35">
        <f t="shared" si="9"/>
        <v>23</v>
      </c>
      <c r="B32" s="44"/>
      <c r="C32" s="44"/>
      <c r="D32" s="45">
        <v>2</v>
      </c>
      <c r="E32" s="45"/>
      <c r="F32" s="45"/>
      <c r="G32" s="45"/>
      <c r="H32" s="45"/>
      <c r="I32" s="45"/>
      <c r="J32" s="45"/>
      <c r="K32" s="69"/>
      <c r="L32" s="69"/>
      <c r="M32" s="69" t="s">
        <v>243</v>
      </c>
      <c r="N32" s="41" t="s">
        <v>244</v>
      </c>
      <c r="O32" s="41" t="s">
        <v>245</v>
      </c>
      <c r="P32" s="41"/>
      <c r="Q32" s="44" t="s">
        <v>92</v>
      </c>
      <c r="R32" s="67" t="s">
        <v>67</v>
      </c>
      <c r="S32" s="83"/>
      <c r="T32" s="60" t="s">
        <v>481</v>
      </c>
      <c r="U32" s="38" t="str">
        <f t="shared" si="6"/>
        <v>H4A-6802107</v>
      </c>
      <c r="V32" s="87" t="s">
        <v>480</v>
      </c>
      <c r="W32" s="60" t="s">
        <v>393</v>
      </c>
      <c r="X32" s="88" t="s">
        <v>93</v>
      </c>
      <c r="Y32" s="34" t="s">
        <v>238</v>
      </c>
      <c r="Z32" s="41" t="s">
        <v>753</v>
      </c>
      <c r="AA32" s="133" t="s">
        <v>754</v>
      </c>
      <c r="AB32" s="33" t="s">
        <v>64</v>
      </c>
      <c r="AC32" s="134">
        <v>0.0231</v>
      </c>
      <c r="AD32" s="61" t="s">
        <v>64</v>
      </c>
      <c r="AE32" s="132" t="s">
        <v>110</v>
      </c>
      <c r="AF32" s="132">
        <f>148+5</f>
        <v>153</v>
      </c>
      <c r="AG32" s="132">
        <v>12</v>
      </c>
      <c r="AH32" s="169" t="s">
        <v>241</v>
      </c>
      <c r="AI32" s="170">
        <f t="shared" si="7"/>
        <v>0.02886192</v>
      </c>
      <c r="AJ32" s="171">
        <f t="shared" si="8"/>
        <v>0.800362553842572</v>
      </c>
      <c r="AK32" s="148"/>
      <c r="AL32" s="148"/>
      <c r="AM32" s="172" t="s">
        <v>74</v>
      </c>
      <c r="AN32" s="172" t="s">
        <v>242</v>
      </c>
      <c r="AO32" s="214"/>
      <c r="AP32" s="38"/>
      <c r="AQ32" s="41">
        <v>2</v>
      </c>
      <c r="AR32" s="215">
        <v>2</v>
      </c>
    </row>
    <row r="33" s="3" customFormat="1" ht="39.95" customHeight="1" spans="1:44">
      <c r="A33" s="35">
        <f t="shared" si="9"/>
        <v>24</v>
      </c>
      <c r="B33" s="44"/>
      <c r="C33" s="44"/>
      <c r="D33" s="45">
        <v>2</v>
      </c>
      <c r="E33" s="45"/>
      <c r="F33" s="45"/>
      <c r="G33" s="45"/>
      <c r="H33" s="45"/>
      <c r="I33" s="45"/>
      <c r="J33" s="45"/>
      <c r="K33" s="69"/>
      <c r="L33" s="69"/>
      <c r="M33" s="69" t="s">
        <v>755</v>
      </c>
      <c r="N33" s="34" t="s">
        <v>755</v>
      </c>
      <c r="O33" s="34" t="s">
        <v>756</v>
      </c>
      <c r="P33" s="34" t="s">
        <v>280</v>
      </c>
      <c r="Q33" s="34" t="s">
        <v>225</v>
      </c>
      <c r="R33" s="33" t="s">
        <v>67</v>
      </c>
      <c r="S33" s="34"/>
      <c r="T33" s="34" t="s">
        <v>66</v>
      </c>
      <c r="U33" s="34" t="s">
        <v>757</v>
      </c>
      <c r="V33" s="34" t="s">
        <v>66</v>
      </c>
      <c r="W33" s="34" t="s">
        <v>69</v>
      </c>
      <c r="X33" s="34" t="s">
        <v>68</v>
      </c>
      <c r="Y33" s="34" t="s">
        <v>194</v>
      </c>
      <c r="Z33" s="34" t="s">
        <v>71</v>
      </c>
      <c r="AA33" s="34" t="s">
        <v>64</v>
      </c>
      <c r="AB33" s="34" t="s">
        <v>64</v>
      </c>
      <c r="AC33" s="134">
        <f>AC34+AC35</f>
        <v>0.4339</v>
      </c>
      <c r="AD33" s="61"/>
      <c r="AE33" s="148" t="s">
        <v>200</v>
      </c>
      <c r="AF33" s="148"/>
      <c r="AG33" s="148"/>
      <c r="AH33" s="148"/>
      <c r="AI33" s="148"/>
      <c r="AJ33" s="148"/>
      <c r="AK33" s="148"/>
      <c r="AL33" s="148"/>
      <c r="AM33" s="172" t="s">
        <v>100</v>
      </c>
      <c r="AN33" s="172" t="s">
        <v>282</v>
      </c>
      <c r="AO33" s="214"/>
      <c r="AP33" s="38"/>
      <c r="AQ33" s="41">
        <v>1</v>
      </c>
      <c r="AR33" s="215">
        <v>1</v>
      </c>
    </row>
    <row r="34" s="3" customFormat="1" ht="39.95" customHeight="1" spans="1:44">
      <c r="A34" s="35">
        <f t="shared" si="9"/>
        <v>25</v>
      </c>
      <c r="B34" s="44"/>
      <c r="C34" s="44"/>
      <c r="D34" s="45"/>
      <c r="E34" s="45">
        <v>3</v>
      </c>
      <c r="F34" s="45"/>
      <c r="G34" s="45"/>
      <c r="H34" s="45"/>
      <c r="I34" s="45"/>
      <c r="J34" s="45"/>
      <c r="K34" s="69"/>
      <c r="L34" s="69"/>
      <c r="M34" s="34"/>
      <c r="N34" s="34" t="s">
        <v>758</v>
      </c>
      <c r="O34" s="34" t="s">
        <v>759</v>
      </c>
      <c r="P34" s="34" t="s">
        <v>264</v>
      </c>
      <c r="Q34" s="34" t="s">
        <v>225</v>
      </c>
      <c r="R34" s="33" t="s">
        <v>67</v>
      </c>
      <c r="S34" s="34"/>
      <c r="T34" s="34" t="s">
        <v>66</v>
      </c>
      <c r="U34" s="34" t="s">
        <v>760</v>
      </c>
      <c r="V34" s="34" t="s">
        <v>66</v>
      </c>
      <c r="W34" s="34" t="s">
        <v>69</v>
      </c>
      <c r="X34" s="34" t="s">
        <v>68</v>
      </c>
      <c r="Y34" s="34" t="s">
        <v>169</v>
      </c>
      <c r="Z34" s="34" t="s">
        <v>761</v>
      </c>
      <c r="AA34" s="34" t="s">
        <v>762</v>
      </c>
      <c r="AB34" s="34" t="s">
        <v>763</v>
      </c>
      <c r="AC34" s="134">
        <v>0.4235</v>
      </c>
      <c r="AD34" s="61"/>
      <c r="AE34" s="132" t="s">
        <v>110</v>
      </c>
      <c r="AF34" s="132">
        <f>200+5</f>
        <v>205</v>
      </c>
      <c r="AG34" s="132">
        <f>143+2</f>
        <v>145</v>
      </c>
      <c r="AH34" s="169" t="s">
        <v>215</v>
      </c>
      <c r="AI34" s="170">
        <f>AF34*AG34*AH34*7860/1000000000</f>
        <v>0.7009155</v>
      </c>
      <c r="AJ34" s="171">
        <f t="shared" ref="AJ34:AJ37" si="10">AC34/AI34</f>
        <v>0.604209779923543</v>
      </c>
      <c r="AK34" s="148"/>
      <c r="AL34" s="148"/>
      <c r="AM34" s="186"/>
      <c r="AN34" s="186"/>
      <c r="AO34" s="214"/>
      <c r="AP34" s="38"/>
      <c r="AQ34" s="41">
        <v>1</v>
      </c>
      <c r="AR34" s="215">
        <v>1</v>
      </c>
    </row>
    <row r="35" ht="39.95" customHeight="1" spans="1:44">
      <c r="A35" s="35">
        <f t="shared" si="9"/>
        <v>26</v>
      </c>
      <c r="B35" s="44"/>
      <c r="C35" s="44"/>
      <c r="D35" s="45"/>
      <c r="E35" s="45">
        <v>3</v>
      </c>
      <c r="F35" s="45"/>
      <c r="G35" s="45"/>
      <c r="H35" s="45"/>
      <c r="I35" s="45"/>
      <c r="J35" s="45"/>
      <c r="K35" s="69"/>
      <c r="L35" s="69"/>
      <c r="M35" s="69"/>
      <c r="N35" s="34" t="s">
        <v>283</v>
      </c>
      <c r="O35" s="34" t="s">
        <v>764</v>
      </c>
      <c r="P35" s="34" t="s">
        <v>117</v>
      </c>
      <c r="Q35" s="34" t="s">
        <v>225</v>
      </c>
      <c r="R35" s="67" t="s">
        <v>67</v>
      </c>
      <c r="S35" s="34"/>
      <c r="T35" s="34" t="s">
        <v>66</v>
      </c>
      <c r="U35" s="34" t="s">
        <v>765</v>
      </c>
      <c r="V35" s="34" t="s">
        <v>66</v>
      </c>
      <c r="W35" s="34" t="s">
        <v>69</v>
      </c>
      <c r="X35" s="34" t="s">
        <v>68</v>
      </c>
      <c r="Y35" s="34" t="s">
        <v>271</v>
      </c>
      <c r="Z35" s="34" t="s">
        <v>64</v>
      </c>
      <c r="AA35" s="34" t="s">
        <v>285</v>
      </c>
      <c r="AB35" s="34" t="s">
        <v>64</v>
      </c>
      <c r="AC35" s="134">
        <v>0.0104</v>
      </c>
      <c r="AD35" s="61"/>
      <c r="AE35" s="148"/>
      <c r="AF35" s="148"/>
      <c r="AG35" s="148"/>
      <c r="AH35" s="148"/>
      <c r="AI35" s="148"/>
      <c r="AJ35" s="148"/>
      <c r="AK35" s="148"/>
      <c r="AL35" s="148"/>
      <c r="AM35" s="186"/>
      <c r="AN35" s="186"/>
      <c r="AO35" s="214"/>
      <c r="AP35" s="38"/>
      <c r="AQ35" s="41">
        <v>1</v>
      </c>
      <c r="AR35" s="215">
        <v>1</v>
      </c>
    </row>
    <row r="36" ht="39.95" customHeight="1" spans="1:44">
      <c r="A36" s="35">
        <f t="shared" si="9"/>
        <v>27</v>
      </c>
      <c r="B36" s="44"/>
      <c r="C36" s="44"/>
      <c r="D36" s="45">
        <v>2</v>
      </c>
      <c r="E36" s="45"/>
      <c r="F36" s="45"/>
      <c r="G36" s="45"/>
      <c r="H36" s="45"/>
      <c r="I36" s="45"/>
      <c r="J36" s="45"/>
      <c r="K36" s="69"/>
      <c r="L36" s="69"/>
      <c r="M36" s="60" t="s">
        <v>766</v>
      </c>
      <c r="N36" s="60" t="s">
        <v>766</v>
      </c>
      <c r="O36" s="33" t="s">
        <v>316</v>
      </c>
      <c r="P36" s="41"/>
      <c r="Q36" s="33" t="s">
        <v>92</v>
      </c>
      <c r="R36" s="67" t="s">
        <v>67</v>
      </c>
      <c r="S36" s="83"/>
      <c r="T36" s="60" t="s">
        <v>481</v>
      </c>
      <c r="U36" s="60" t="s">
        <v>767</v>
      </c>
      <c r="V36" s="87" t="s">
        <v>480</v>
      </c>
      <c r="W36" s="60" t="s">
        <v>393</v>
      </c>
      <c r="X36" s="88" t="s">
        <v>93</v>
      </c>
      <c r="Y36" s="115" t="s">
        <v>750</v>
      </c>
      <c r="Z36" s="41" t="s">
        <v>768</v>
      </c>
      <c r="AA36" s="133" t="s">
        <v>769</v>
      </c>
      <c r="AB36" s="115" t="s">
        <v>64</v>
      </c>
      <c r="AC36" s="41">
        <v>1.789</v>
      </c>
      <c r="AD36" s="61" t="s">
        <v>64</v>
      </c>
      <c r="AE36" s="150" t="s">
        <v>233</v>
      </c>
      <c r="AF36" s="151">
        <f>AC36/1.134*1000+10</f>
        <v>1587.60141093474</v>
      </c>
      <c r="AG36" s="151">
        <v>25</v>
      </c>
      <c r="AH36" s="151">
        <v>2</v>
      </c>
      <c r="AI36" s="184">
        <f>AF36*1.134/1000</f>
        <v>1.80034</v>
      </c>
      <c r="AJ36" s="185">
        <f t="shared" si="10"/>
        <v>0.993701189775265</v>
      </c>
      <c r="AK36" s="148"/>
      <c r="AL36" s="148"/>
      <c r="AM36" s="172" t="s">
        <v>74</v>
      </c>
      <c r="AN36" s="172" t="s">
        <v>234</v>
      </c>
      <c r="AO36" s="214"/>
      <c r="AP36" s="38"/>
      <c r="AQ36" s="41">
        <v>1</v>
      </c>
      <c r="AR36" s="215">
        <v>1</v>
      </c>
    </row>
    <row r="37" ht="39.95" customHeight="1" spans="1:44">
      <c r="A37" s="35">
        <f t="shared" si="9"/>
        <v>28</v>
      </c>
      <c r="B37" s="44"/>
      <c r="C37" s="44"/>
      <c r="D37" s="45">
        <v>2</v>
      </c>
      <c r="E37" s="45"/>
      <c r="F37" s="45"/>
      <c r="G37" s="45"/>
      <c r="H37" s="45"/>
      <c r="I37" s="45"/>
      <c r="J37" s="45"/>
      <c r="K37" s="69"/>
      <c r="L37" s="69"/>
      <c r="M37" s="69" t="s">
        <v>247</v>
      </c>
      <c r="N37" s="60" t="s">
        <v>248</v>
      </c>
      <c r="O37" s="33" t="s">
        <v>249</v>
      </c>
      <c r="P37" s="41"/>
      <c r="Q37" s="44" t="s">
        <v>92</v>
      </c>
      <c r="R37" s="67" t="s">
        <v>67</v>
      </c>
      <c r="S37" s="41"/>
      <c r="T37" s="60" t="s">
        <v>481</v>
      </c>
      <c r="U37" s="60" t="s">
        <v>770</v>
      </c>
      <c r="V37" s="87" t="s">
        <v>480</v>
      </c>
      <c r="W37" s="60" t="s">
        <v>393</v>
      </c>
      <c r="X37" s="88" t="s">
        <v>93</v>
      </c>
      <c r="Y37" s="115" t="s">
        <v>750</v>
      </c>
      <c r="Z37" s="41" t="s">
        <v>768</v>
      </c>
      <c r="AA37" s="133" t="s">
        <v>769</v>
      </c>
      <c r="AB37" s="45" t="s">
        <v>771</v>
      </c>
      <c r="AC37" s="152">
        <v>0.492</v>
      </c>
      <c r="AD37" s="61" t="s">
        <v>64</v>
      </c>
      <c r="AE37" s="150" t="s">
        <v>233</v>
      </c>
      <c r="AF37" s="151">
        <f>AC37/1.134*1000+10</f>
        <v>443.862433862434</v>
      </c>
      <c r="AG37" s="151">
        <v>25</v>
      </c>
      <c r="AH37" s="151">
        <v>2</v>
      </c>
      <c r="AI37" s="184">
        <f>AF37*1.134/1000</f>
        <v>0.50334</v>
      </c>
      <c r="AJ37" s="185">
        <f t="shared" si="10"/>
        <v>0.977470497079509</v>
      </c>
      <c r="AK37" s="187"/>
      <c r="AL37" s="187"/>
      <c r="AM37" s="166" t="s">
        <v>74</v>
      </c>
      <c r="AN37" s="166" t="s">
        <v>234</v>
      </c>
      <c r="AO37" s="214"/>
      <c r="AP37" s="38"/>
      <c r="AQ37" s="41">
        <v>1</v>
      </c>
      <c r="AR37" s="215">
        <v>1</v>
      </c>
    </row>
    <row r="38" s="4" customFormat="1" ht="39.95" customHeight="1" spans="1:44">
      <c r="A38" s="35">
        <f t="shared" si="9"/>
        <v>29</v>
      </c>
      <c r="B38" s="44"/>
      <c r="C38" s="44"/>
      <c r="D38" s="45">
        <v>2</v>
      </c>
      <c r="E38" s="45"/>
      <c r="F38" s="45"/>
      <c r="G38" s="45"/>
      <c r="H38" s="45"/>
      <c r="I38" s="45"/>
      <c r="J38" s="45"/>
      <c r="K38" s="69"/>
      <c r="L38" s="69"/>
      <c r="M38" s="68" t="s">
        <v>772</v>
      </c>
      <c r="N38" s="64"/>
      <c r="O38" s="81" t="s">
        <v>773</v>
      </c>
      <c r="P38" s="67" t="s">
        <v>271</v>
      </c>
      <c r="Q38" s="67" t="s">
        <v>225</v>
      </c>
      <c r="R38" s="67" t="s">
        <v>67</v>
      </c>
      <c r="S38" s="67"/>
      <c r="T38" s="66" t="s">
        <v>481</v>
      </c>
      <c r="U38" s="66" t="s">
        <v>774</v>
      </c>
      <c r="V38" s="66" t="s">
        <v>66</v>
      </c>
      <c r="W38" s="66" t="s">
        <v>68</v>
      </c>
      <c r="X38" s="66" t="s">
        <v>69</v>
      </c>
      <c r="Y38" s="66" t="s">
        <v>149</v>
      </c>
      <c r="Z38" s="66" t="s">
        <v>321</v>
      </c>
      <c r="AA38" s="66" t="s">
        <v>775</v>
      </c>
      <c r="AB38" s="66" t="s">
        <v>776</v>
      </c>
      <c r="AC38" s="66" t="s">
        <v>777</v>
      </c>
      <c r="AD38" s="153" t="s">
        <v>109</v>
      </c>
      <c r="AE38" s="135" t="s">
        <v>109</v>
      </c>
      <c r="AF38" s="136"/>
      <c r="AG38" s="136"/>
      <c r="AH38" s="136"/>
      <c r="AI38" s="173"/>
      <c r="AJ38" s="174"/>
      <c r="AK38" s="188"/>
      <c r="AL38" s="188">
        <v>0.0121</v>
      </c>
      <c r="AM38" s="166" t="s">
        <v>74</v>
      </c>
      <c r="AN38" s="166" t="s">
        <v>196</v>
      </c>
      <c r="AO38" s="216"/>
      <c r="AP38" s="40"/>
      <c r="AQ38" s="47">
        <v>1</v>
      </c>
      <c r="AR38" s="215">
        <v>1</v>
      </c>
    </row>
    <row r="39" s="5" customFormat="1" ht="39.95" customHeight="1" spans="1:44">
      <c r="A39" s="35">
        <f t="shared" si="9"/>
        <v>30</v>
      </c>
      <c r="B39" s="39"/>
      <c r="C39" s="39"/>
      <c r="D39" s="46"/>
      <c r="E39" s="39">
        <v>3</v>
      </c>
      <c r="F39" s="39"/>
      <c r="G39" s="39"/>
      <c r="H39" s="39"/>
      <c r="I39" s="39"/>
      <c r="J39" s="39"/>
      <c r="K39" s="63"/>
      <c r="L39" s="63"/>
      <c r="M39" s="67" t="s">
        <v>774</v>
      </c>
      <c r="N39" s="67" t="s">
        <v>774</v>
      </c>
      <c r="O39" s="67" t="s">
        <v>778</v>
      </c>
      <c r="P39" s="67" t="s">
        <v>271</v>
      </c>
      <c r="Q39" s="67" t="s">
        <v>225</v>
      </c>
      <c r="R39" s="67" t="s">
        <v>67</v>
      </c>
      <c r="S39" s="67"/>
      <c r="T39" s="66" t="s">
        <v>481</v>
      </c>
      <c r="U39" s="66" t="s">
        <v>774</v>
      </c>
      <c r="V39" s="66" t="s">
        <v>66</v>
      </c>
      <c r="W39" s="66" t="s">
        <v>68</v>
      </c>
      <c r="X39" s="66" t="s">
        <v>69</v>
      </c>
      <c r="Y39" s="66" t="s">
        <v>149</v>
      </c>
      <c r="Z39" s="66" t="s">
        <v>321</v>
      </c>
      <c r="AA39" s="66" t="s">
        <v>775</v>
      </c>
      <c r="AB39" s="66" t="s">
        <v>776</v>
      </c>
      <c r="AC39" s="66" t="s">
        <v>777</v>
      </c>
      <c r="AD39" s="153" t="s">
        <v>109</v>
      </c>
      <c r="AE39" s="135" t="s">
        <v>153</v>
      </c>
      <c r="AF39" s="136">
        <f t="shared" ref="AF39:AF45" si="11">AC39/0.2219*1000</f>
        <v>264.533573681839</v>
      </c>
      <c r="AG39" s="136">
        <v>6</v>
      </c>
      <c r="AH39" s="136"/>
      <c r="AI39" s="173">
        <f t="shared" ref="AI39:AI45" si="12">AF39*0.2219/1000</f>
        <v>0.0587</v>
      </c>
      <c r="AJ39" s="174">
        <f t="shared" ref="AJ39:AJ45" si="13">AC39/AI39</f>
        <v>1</v>
      </c>
      <c r="AK39" s="188"/>
      <c r="AL39" s="188"/>
      <c r="AM39" s="166" t="s">
        <v>100</v>
      </c>
      <c r="AN39" s="166" t="s">
        <v>273</v>
      </c>
      <c r="AO39" s="216"/>
      <c r="AP39" s="40"/>
      <c r="AQ39" s="47">
        <v>1</v>
      </c>
      <c r="AR39" s="215">
        <v>1</v>
      </c>
    </row>
    <row r="40" ht="39.95" customHeight="1" spans="1:44">
      <c r="A40" s="35">
        <f t="shared" si="9"/>
        <v>31</v>
      </c>
      <c r="B40" s="44"/>
      <c r="C40" s="44"/>
      <c r="D40" s="45">
        <v>2</v>
      </c>
      <c r="E40" s="44"/>
      <c r="F40" s="44"/>
      <c r="G40" s="44"/>
      <c r="H40" s="44"/>
      <c r="I40" s="44"/>
      <c r="J40" s="44"/>
      <c r="K40" s="69"/>
      <c r="L40" s="69"/>
      <c r="M40" s="69" t="s">
        <v>252</v>
      </c>
      <c r="N40" s="41" t="s">
        <v>253</v>
      </c>
      <c r="O40" s="41" t="s">
        <v>254</v>
      </c>
      <c r="P40" s="41"/>
      <c r="Q40" s="44" t="s">
        <v>92</v>
      </c>
      <c r="R40" s="67" t="s">
        <v>67</v>
      </c>
      <c r="S40" s="41"/>
      <c r="T40" s="60" t="s">
        <v>481</v>
      </c>
      <c r="U40" s="38" t="str">
        <f>N40</f>
        <v>H5-6802137</v>
      </c>
      <c r="V40" s="87" t="s">
        <v>480</v>
      </c>
      <c r="W40" s="60" t="s">
        <v>393</v>
      </c>
      <c r="X40" s="88" t="s">
        <v>93</v>
      </c>
      <c r="Y40" s="34" t="s">
        <v>238</v>
      </c>
      <c r="Z40" s="41" t="s">
        <v>753</v>
      </c>
      <c r="AA40" s="133" t="s">
        <v>754</v>
      </c>
      <c r="AB40" s="45" t="s">
        <v>779</v>
      </c>
      <c r="AC40" s="152">
        <v>0.048</v>
      </c>
      <c r="AD40" s="61" t="s">
        <v>64</v>
      </c>
      <c r="AE40" s="132" t="s">
        <v>110</v>
      </c>
      <c r="AF40" s="132">
        <f>309+5</f>
        <v>314</v>
      </c>
      <c r="AG40" s="132">
        <f>15+2.5</f>
        <v>17.5</v>
      </c>
      <c r="AH40" s="169" t="s">
        <v>241</v>
      </c>
      <c r="AI40" s="170">
        <f>AF40*AG40*AH40*7860/1000000000</f>
        <v>0.0863814</v>
      </c>
      <c r="AJ40" s="171">
        <f t="shared" si="13"/>
        <v>0.555675180073488</v>
      </c>
      <c r="AK40" s="187"/>
      <c r="AL40" s="187"/>
      <c r="AM40" s="166" t="s">
        <v>74</v>
      </c>
      <c r="AN40" s="166" t="s">
        <v>242</v>
      </c>
      <c r="AO40" s="214"/>
      <c r="AP40" s="38"/>
      <c r="AQ40" s="41">
        <v>2</v>
      </c>
      <c r="AR40" s="215">
        <v>2</v>
      </c>
    </row>
    <row r="41" ht="39.95" customHeight="1" spans="1:44">
      <c r="A41" s="35">
        <f t="shared" ref="A41:A50" si="14">ROW()-9</f>
        <v>32</v>
      </c>
      <c r="B41" s="44"/>
      <c r="C41" s="44"/>
      <c r="D41" s="45">
        <v>2</v>
      </c>
      <c r="E41" s="44"/>
      <c r="F41" s="44"/>
      <c r="G41" s="44"/>
      <c r="H41" s="44"/>
      <c r="I41" s="44"/>
      <c r="J41" s="44"/>
      <c r="K41" s="69"/>
      <c r="L41" s="69"/>
      <c r="M41" s="69" t="s">
        <v>335</v>
      </c>
      <c r="N41" s="41" t="s">
        <v>336</v>
      </c>
      <c r="O41" s="41" t="s">
        <v>780</v>
      </c>
      <c r="P41" s="41"/>
      <c r="Q41" s="44" t="s">
        <v>92</v>
      </c>
      <c r="R41" s="67" t="s">
        <v>67</v>
      </c>
      <c r="S41" s="41"/>
      <c r="T41" s="60" t="s">
        <v>481</v>
      </c>
      <c r="U41" s="38" t="str">
        <f>N41</f>
        <v>H5-6802115</v>
      </c>
      <c r="V41" s="87" t="s">
        <v>480</v>
      </c>
      <c r="W41" s="60" t="s">
        <v>393</v>
      </c>
      <c r="X41" s="88" t="s">
        <v>93</v>
      </c>
      <c r="Y41" s="115" t="s">
        <v>750</v>
      </c>
      <c r="Z41" s="41" t="s">
        <v>781</v>
      </c>
      <c r="AA41" s="133" t="s">
        <v>769</v>
      </c>
      <c r="AB41" s="45" t="s">
        <v>782</v>
      </c>
      <c r="AC41" s="152">
        <v>0.414</v>
      </c>
      <c r="AD41" s="61" t="s">
        <v>64</v>
      </c>
      <c r="AE41" s="150" t="s">
        <v>233</v>
      </c>
      <c r="AF41" s="151">
        <f>AC41/1.134*1000+10</f>
        <v>375.079365079365</v>
      </c>
      <c r="AG41" s="151">
        <v>25</v>
      </c>
      <c r="AH41" s="151">
        <v>2</v>
      </c>
      <c r="AI41" s="184">
        <f>AF41*1.134/1000</f>
        <v>0.42534</v>
      </c>
      <c r="AJ41" s="185">
        <f t="shared" si="13"/>
        <v>0.973338975878121</v>
      </c>
      <c r="AK41" s="187"/>
      <c r="AL41" s="187"/>
      <c r="AM41" s="166" t="s">
        <v>74</v>
      </c>
      <c r="AN41" s="166" t="s">
        <v>234</v>
      </c>
      <c r="AO41" s="214"/>
      <c r="AP41" s="38"/>
      <c r="AQ41" s="41">
        <v>1</v>
      </c>
      <c r="AR41" s="215">
        <v>1</v>
      </c>
    </row>
    <row r="42" ht="39.95" customHeight="1" spans="1:44">
      <c r="A42" s="35">
        <f t="shared" si="14"/>
        <v>33</v>
      </c>
      <c r="B42" s="45"/>
      <c r="C42" s="45"/>
      <c r="D42" s="45">
        <v>2</v>
      </c>
      <c r="E42" s="45"/>
      <c r="F42" s="45"/>
      <c r="G42" s="45"/>
      <c r="H42" s="45"/>
      <c r="I42" s="45"/>
      <c r="J42" s="45"/>
      <c r="K42" s="69"/>
      <c r="L42" s="69"/>
      <c r="M42" s="69" t="s">
        <v>340</v>
      </c>
      <c r="N42" s="41" t="s">
        <v>341</v>
      </c>
      <c r="O42" s="41" t="s">
        <v>342</v>
      </c>
      <c r="P42" s="41" t="s">
        <v>420</v>
      </c>
      <c r="Q42" s="41" t="s">
        <v>225</v>
      </c>
      <c r="R42" s="67" t="s">
        <v>67</v>
      </c>
      <c r="S42" s="41"/>
      <c r="T42" s="41" t="s">
        <v>225</v>
      </c>
      <c r="U42" s="41" t="s">
        <v>341</v>
      </c>
      <c r="V42" s="41" t="s">
        <v>225</v>
      </c>
      <c r="W42" s="41" t="s">
        <v>93</v>
      </c>
      <c r="X42" s="41" t="s">
        <v>393</v>
      </c>
      <c r="Y42" s="41" t="s">
        <v>783</v>
      </c>
      <c r="Z42" s="41" t="s">
        <v>784</v>
      </c>
      <c r="AA42" s="41" t="s">
        <v>776</v>
      </c>
      <c r="AB42" s="41" t="s">
        <v>64</v>
      </c>
      <c r="AC42" s="41">
        <v>0.0661</v>
      </c>
      <c r="AD42" s="61"/>
      <c r="AE42" s="132" t="s">
        <v>110</v>
      </c>
      <c r="AF42" s="132">
        <f>265+6</f>
        <v>271</v>
      </c>
      <c r="AG42" s="132">
        <f>15+2.5</f>
        <v>17.5</v>
      </c>
      <c r="AH42" s="169" t="s">
        <v>241</v>
      </c>
      <c r="AI42" s="170">
        <f>AF42*AG42*AH42*7860/1000000000</f>
        <v>0.0745521</v>
      </c>
      <c r="AJ42" s="171">
        <f t="shared" si="13"/>
        <v>0.886628277406002</v>
      </c>
      <c r="AK42" s="148"/>
      <c r="AL42" s="148"/>
      <c r="AM42" s="189" t="s">
        <v>74</v>
      </c>
      <c r="AN42" s="189" t="s">
        <v>242</v>
      </c>
      <c r="AO42" s="214"/>
      <c r="AP42" s="38"/>
      <c r="AQ42" s="83">
        <v>3</v>
      </c>
      <c r="AR42" s="215">
        <v>3</v>
      </c>
    </row>
    <row r="43" s="5" customFormat="1" ht="39.95" customHeight="1" spans="1:44">
      <c r="A43" s="35">
        <f t="shared" si="14"/>
        <v>34</v>
      </c>
      <c r="B43" s="46"/>
      <c r="C43" s="46"/>
      <c r="D43" s="46">
        <v>2</v>
      </c>
      <c r="E43" s="46"/>
      <c r="F43" s="46"/>
      <c r="G43" s="46"/>
      <c r="H43" s="46"/>
      <c r="I43" s="46"/>
      <c r="J43" s="46"/>
      <c r="K43" s="63"/>
      <c r="L43" s="63"/>
      <c r="M43" s="63" t="s">
        <v>785</v>
      </c>
      <c r="N43" s="47" t="s">
        <v>786</v>
      </c>
      <c r="O43" s="47" t="s">
        <v>787</v>
      </c>
      <c r="P43" s="47" t="s">
        <v>788</v>
      </c>
      <c r="Q43" s="47" t="s">
        <v>225</v>
      </c>
      <c r="R43" s="67" t="s">
        <v>67</v>
      </c>
      <c r="S43" s="47"/>
      <c r="T43" s="47" t="s">
        <v>66</v>
      </c>
      <c r="U43" s="47" t="s">
        <v>786</v>
      </c>
      <c r="V43" s="47" t="s">
        <v>66</v>
      </c>
      <c r="W43" s="47" t="s">
        <v>93</v>
      </c>
      <c r="X43" s="47" t="s">
        <v>393</v>
      </c>
      <c r="Y43" s="47" t="s">
        <v>783</v>
      </c>
      <c r="Z43" s="47" t="s">
        <v>321</v>
      </c>
      <c r="AA43" s="47" t="s">
        <v>776</v>
      </c>
      <c r="AB43" s="47" t="s">
        <v>64</v>
      </c>
      <c r="AC43" s="47">
        <v>0.0587</v>
      </c>
      <c r="AD43" s="124"/>
      <c r="AE43" s="135" t="s">
        <v>153</v>
      </c>
      <c r="AF43" s="136">
        <f t="shared" si="11"/>
        <v>264.533573681839</v>
      </c>
      <c r="AG43" s="136">
        <v>6</v>
      </c>
      <c r="AH43" s="136"/>
      <c r="AI43" s="173">
        <f t="shared" si="12"/>
        <v>0.0587</v>
      </c>
      <c r="AJ43" s="174">
        <f t="shared" si="13"/>
        <v>1</v>
      </c>
      <c r="AK43" s="148"/>
      <c r="AL43" s="148"/>
      <c r="AM43" s="189" t="s">
        <v>100</v>
      </c>
      <c r="AN43" s="189" t="s">
        <v>273</v>
      </c>
      <c r="AO43" s="216"/>
      <c r="AP43" s="40"/>
      <c r="AQ43" s="222">
        <v>1</v>
      </c>
      <c r="AR43" s="215">
        <v>1</v>
      </c>
    </row>
    <row r="44" s="5" customFormat="1" ht="39.95" customHeight="1" spans="1:44">
      <c r="A44" s="35">
        <f t="shared" si="14"/>
        <v>35</v>
      </c>
      <c r="B44" s="46"/>
      <c r="C44" s="46"/>
      <c r="D44" s="46">
        <v>2</v>
      </c>
      <c r="E44" s="46"/>
      <c r="F44" s="46"/>
      <c r="G44" s="46"/>
      <c r="H44" s="46"/>
      <c r="I44" s="46"/>
      <c r="J44" s="46"/>
      <c r="K44" s="63"/>
      <c r="L44" s="63"/>
      <c r="M44" s="68" t="s">
        <v>789</v>
      </c>
      <c r="N44" s="65"/>
      <c r="O44" s="65" t="s">
        <v>790</v>
      </c>
      <c r="P44" s="47" t="s">
        <v>271</v>
      </c>
      <c r="Q44" s="47" t="s">
        <v>225</v>
      </c>
      <c r="R44" s="67" t="s">
        <v>67</v>
      </c>
      <c r="S44" s="47"/>
      <c r="T44" s="47" t="s">
        <v>66</v>
      </c>
      <c r="U44" s="47" t="s">
        <v>791</v>
      </c>
      <c r="V44" s="47" t="s">
        <v>66</v>
      </c>
      <c r="W44" s="47" t="s">
        <v>68</v>
      </c>
      <c r="X44" s="47" t="s">
        <v>69</v>
      </c>
      <c r="Y44" s="47" t="s">
        <v>149</v>
      </c>
      <c r="Z44" s="47" t="s">
        <v>321</v>
      </c>
      <c r="AA44" s="47" t="s">
        <v>792</v>
      </c>
      <c r="AB44" s="47" t="s">
        <v>793</v>
      </c>
      <c r="AC44" s="47">
        <v>0.0587</v>
      </c>
      <c r="AD44" s="124"/>
      <c r="AE44" s="135" t="s">
        <v>109</v>
      </c>
      <c r="AF44" s="136"/>
      <c r="AG44" s="136"/>
      <c r="AH44" s="136"/>
      <c r="AI44" s="173"/>
      <c r="AJ44" s="174"/>
      <c r="AK44" s="187"/>
      <c r="AL44" s="187">
        <v>0.0078</v>
      </c>
      <c r="AM44" s="166" t="s">
        <v>74</v>
      </c>
      <c r="AN44" s="166" t="s">
        <v>196</v>
      </c>
      <c r="AO44" s="216"/>
      <c r="AP44" s="40"/>
      <c r="AQ44" s="222">
        <v>1</v>
      </c>
      <c r="AR44" s="215">
        <v>1</v>
      </c>
    </row>
    <row r="45" s="5" customFormat="1" ht="39.95" customHeight="1" spans="1:44">
      <c r="A45" s="35">
        <f t="shared" si="14"/>
        <v>36</v>
      </c>
      <c r="B45" s="46"/>
      <c r="C45" s="46"/>
      <c r="D45" s="46"/>
      <c r="E45" s="46">
        <v>3</v>
      </c>
      <c r="F45" s="46"/>
      <c r="G45" s="47"/>
      <c r="H45" s="47"/>
      <c r="I45" s="47"/>
      <c r="J45" s="47"/>
      <c r="K45" s="47"/>
      <c r="L45" s="47"/>
      <c r="M45" s="47" t="s">
        <v>791</v>
      </c>
      <c r="N45" s="47" t="s">
        <v>791</v>
      </c>
      <c r="O45" s="47" t="s">
        <v>794</v>
      </c>
      <c r="P45" s="47" t="s">
        <v>271</v>
      </c>
      <c r="Q45" s="47" t="s">
        <v>225</v>
      </c>
      <c r="R45" s="67" t="s">
        <v>67</v>
      </c>
      <c r="S45" s="47"/>
      <c r="T45" s="47" t="s">
        <v>66</v>
      </c>
      <c r="U45" s="47" t="s">
        <v>791</v>
      </c>
      <c r="V45" s="47" t="s">
        <v>66</v>
      </c>
      <c r="W45" s="47" t="s">
        <v>68</v>
      </c>
      <c r="X45" s="47" t="s">
        <v>69</v>
      </c>
      <c r="Y45" s="47" t="s">
        <v>149</v>
      </c>
      <c r="Z45" s="47" t="s">
        <v>321</v>
      </c>
      <c r="AA45" s="47" t="s">
        <v>792</v>
      </c>
      <c r="AB45" s="47" t="s">
        <v>793</v>
      </c>
      <c r="AC45" s="47">
        <v>0.0587</v>
      </c>
      <c r="AD45" s="124"/>
      <c r="AE45" s="135" t="s">
        <v>153</v>
      </c>
      <c r="AF45" s="136">
        <f t="shared" si="11"/>
        <v>264.533573681839</v>
      </c>
      <c r="AG45" s="136">
        <v>6</v>
      </c>
      <c r="AH45" s="136"/>
      <c r="AI45" s="173">
        <f t="shared" si="12"/>
        <v>0.0587</v>
      </c>
      <c r="AJ45" s="174">
        <f t="shared" si="13"/>
        <v>1</v>
      </c>
      <c r="AK45" s="187"/>
      <c r="AL45" s="187"/>
      <c r="AM45" s="166" t="s">
        <v>100</v>
      </c>
      <c r="AN45" s="166" t="s">
        <v>273</v>
      </c>
      <c r="AO45" s="216"/>
      <c r="AP45" s="40"/>
      <c r="AQ45" s="222">
        <v>1</v>
      </c>
      <c r="AR45" s="215">
        <v>1</v>
      </c>
    </row>
    <row r="46" ht="39.95" customHeight="1" spans="1:44">
      <c r="A46" s="35">
        <f t="shared" si="14"/>
        <v>37</v>
      </c>
      <c r="B46" s="45"/>
      <c r="C46" s="45"/>
      <c r="D46" s="45">
        <v>2</v>
      </c>
      <c r="E46" s="45"/>
      <c r="F46" s="45"/>
      <c r="G46" s="45"/>
      <c r="H46" s="45"/>
      <c r="I46" s="45"/>
      <c r="J46" s="45"/>
      <c r="K46" s="69"/>
      <c r="L46" s="69"/>
      <c r="M46" s="69" t="s">
        <v>292</v>
      </c>
      <c r="N46" s="41" t="s">
        <v>293</v>
      </c>
      <c r="O46" s="41" t="s">
        <v>795</v>
      </c>
      <c r="P46" s="41" t="s">
        <v>280</v>
      </c>
      <c r="Q46" s="41" t="s">
        <v>225</v>
      </c>
      <c r="R46" s="67" t="s">
        <v>67</v>
      </c>
      <c r="S46" s="41"/>
      <c r="T46" s="41" t="s">
        <v>66</v>
      </c>
      <c r="U46" s="41" t="str">
        <f t="shared" ref="U46:U51" si="15">N46</f>
        <v>H5-6802109</v>
      </c>
      <c r="V46" s="41" t="s">
        <v>66</v>
      </c>
      <c r="W46" s="41" t="s">
        <v>93</v>
      </c>
      <c r="X46" s="41" t="s">
        <v>393</v>
      </c>
      <c r="Y46" s="41" t="s">
        <v>194</v>
      </c>
      <c r="Z46" s="41" t="s">
        <v>71</v>
      </c>
      <c r="AA46" s="41" t="s">
        <v>64</v>
      </c>
      <c r="AB46" s="41" t="s">
        <v>64</v>
      </c>
      <c r="AC46" s="41">
        <f>AC47+AC48*2</f>
        <v>0.5358</v>
      </c>
      <c r="AD46" s="61" t="s">
        <v>64</v>
      </c>
      <c r="AE46" s="148" t="s">
        <v>200</v>
      </c>
      <c r="AF46" s="148"/>
      <c r="AG46" s="148"/>
      <c r="AH46" s="148"/>
      <c r="AI46" s="148"/>
      <c r="AJ46" s="148"/>
      <c r="AK46" s="148"/>
      <c r="AL46" s="148"/>
      <c r="AM46" s="189" t="s">
        <v>100</v>
      </c>
      <c r="AN46" s="189" t="s">
        <v>297</v>
      </c>
      <c r="AO46" s="214"/>
      <c r="AP46" s="38"/>
      <c r="AQ46" s="83">
        <v>1</v>
      </c>
      <c r="AR46" s="215">
        <v>1</v>
      </c>
    </row>
    <row r="47" ht="39.95" customHeight="1" spans="1:44">
      <c r="A47" s="35">
        <f t="shared" si="14"/>
        <v>38</v>
      </c>
      <c r="B47" s="45"/>
      <c r="C47" s="45"/>
      <c r="D47" s="45"/>
      <c r="E47" s="45">
        <v>3</v>
      </c>
      <c r="F47" s="45"/>
      <c r="G47" s="45"/>
      <c r="H47" s="45"/>
      <c r="I47" s="45"/>
      <c r="J47" s="45"/>
      <c r="K47" s="69"/>
      <c r="L47" s="69"/>
      <c r="M47" s="69"/>
      <c r="N47" s="41" t="s">
        <v>298</v>
      </c>
      <c r="O47" s="41" t="s">
        <v>299</v>
      </c>
      <c r="P47" s="41" t="s">
        <v>264</v>
      </c>
      <c r="Q47" s="41" t="s">
        <v>225</v>
      </c>
      <c r="R47" s="67" t="s">
        <v>67</v>
      </c>
      <c r="S47" s="41"/>
      <c r="T47" s="41" t="s">
        <v>66</v>
      </c>
      <c r="U47" s="41" t="str">
        <f t="shared" si="15"/>
        <v>H5-6802110</v>
      </c>
      <c r="V47" s="41" t="s">
        <v>66</v>
      </c>
      <c r="W47" s="41" t="s">
        <v>93</v>
      </c>
      <c r="X47" s="41" t="s">
        <v>393</v>
      </c>
      <c r="Y47" s="41" t="s">
        <v>169</v>
      </c>
      <c r="Z47" s="41" t="s">
        <v>796</v>
      </c>
      <c r="AA47" s="41" t="s">
        <v>797</v>
      </c>
      <c r="AB47" s="41" t="s">
        <v>763</v>
      </c>
      <c r="AC47" s="41">
        <v>0.5164</v>
      </c>
      <c r="AD47" s="61"/>
      <c r="AE47" s="132" t="s">
        <v>110</v>
      </c>
      <c r="AF47" s="132">
        <f>394+6</f>
        <v>400</v>
      </c>
      <c r="AG47" s="132">
        <f>124+2.5</f>
        <v>126.5</v>
      </c>
      <c r="AH47" s="169" t="s">
        <v>241</v>
      </c>
      <c r="AI47" s="170">
        <f>AF47*AG47*AH47*7860/1000000000</f>
        <v>0.795432</v>
      </c>
      <c r="AJ47" s="171">
        <f t="shared" ref="AJ47:AJ53" si="16">AC47/AI47</f>
        <v>0.64920697180903</v>
      </c>
      <c r="AK47" s="148"/>
      <c r="AL47" s="148"/>
      <c r="AM47" s="190"/>
      <c r="AN47" s="190"/>
      <c r="AO47" s="214"/>
      <c r="AP47" s="38"/>
      <c r="AQ47" s="83">
        <v>1</v>
      </c>
      <c r="AR47" s="215">
        <v>1</v>
      </c>
    </row>
    <row r="48" ht="39.95" customHeight="1" spans="1:44">
      <c r="A48" s="35">
        <f t="shared" si="14"/>
        <v>39</v>
      </c>
      <c r="B48" s="45"/>
      <c r="C48" s="45"/>
      <c r="D48" s="45"/>
      <c r="E48" s="45">
        <v>3</v>
      </c>
      <c r="F48" s="45"/>
      <c r="G48" s="45"/>
      <c r="H48" s="45"/>
      <c r="I48" s="45"/>
      <c r="J48" s="45"/>
      <c r="K48" s="69"/>
      <c r="L48" s="69"/>
      <c r="M48" s="69"/>
      <c r="N48" s="41" t="s">
        <v>300</v>
      </c>
      <c r="O48" s="41" t="s">
        <v>798</v>
      </c>
      <c r="P48" s="41" t="s">
        <v>117</v>
      </c>
      <c r="Q48" s="41" t="s">
        <v>225</v>
      </c>
      <c r="R48" s="67" t="s">
        <v>67</v>
      </c>
      <c r="S48" s="41"/>
      <c r="T48" s="41" t="s">
        <v>66</v>
      </c>
      <c r="U48" s="41" t="str">
        <f t="shared" si="15"/>
        <v>Q370C10</v>
      </c>
      <c r="V48" s="41" t="s">
        <v>66</v>
      </c>
      <c r="W48" s="41" t="s">
        <v>93</v>
      </c>
      <c r="X48" s="41" t="s">
        <v>393</v>
      </c>
      <c r="Y48" s="41" t="s">
        <v>117</v>
      </c>
      <c r="Z48" s="41" t="s">
        <v>64</v>
      </c>
      <c r="AA48" s="41" t="s">
        <v>267</v>
      </c>
      <c r="AB48" s="41" t="s">
        <v>64</v>
      </c>
      <c r="AC48" s="41">
        <v>0.0097</v>
      </c>
      <c r="AD48" s="61"/>
      <c r="AE48" s="148"/>
      <c r="AF48" s="148"/>
      <c r="AG48" s="148"/>
      <c r="AH48" s="148"/>
      <c r="AI48" s="148"/>
      <c r="AJ48" s="148"/>
      <c r="AK48" s="148"/>
      <c r="AL48" s="148"/>
      <c r="AM48" s="190"/>
      <c r="AN48" s="190"/>
      <c r="AO48" s="214"/>
      <c r="AP48" s="38"/>
      <c r="AQ48" s="223">
        <v>2</v>
      </c>
      <c r="AR48" s="221">
        <v>2</v>
      </c>
    </row>
    <row r="49" ht="39.95" customHeight="1" spans="1:44">
      <c r="A49" s="35">
        <f t="shared" si="14"/>
        <v>40</v>
      </c>
      <c r="B49" s="45"/>
      <c r="C49" s="45"/>
      <c r="D49" s="45">
        <v>2</v>
      </c>
      <c r="E49" s="45"/>
      <c r="F49" s="45"/>
      <c r="G49" s="45"/>
      <c r="H49" s="45"/>
      <c r="I49" s="45"/>
      <c r="J49" s="45"/>
      <c r="K49" s="69"/>
      <c r="L49" s="69"/>
      <c r="M49" s="69" t="s">
        <v>310</v>
      </c>
      <c r="N49" s="41" t="s">
        <v>311</v>
      </c>
      <c r="O49" s="41" t="s">
        <v>799</v>
      </c>
      <c r="P49" s="41" t="s">
        <v>280</v>
      </c>
      <c r="Q49" s="41" t="s">
        <v>225</v>
      </c>
      <c r="R49" s="67" t="s">
        <v>67</v>
      </c>
      <c r="S49" s="41"/>
      <c r="T49" s="41" t="s">
        <v>66</v>
      </c>
      <c r="U49" s="41" t="str">
        <f t="shared" si="15"/>
        <v>H5-6802111</v>
      </c>
      <c r="V49" s="41" t="s">
        <v>66</v>
      </c>
      <c r="W49" s="41" t="s">
        <v>93</v>
      </c>
      <c r="X49" s="41" t="s">
        <v>393</v>
      </c>
      <c r="Y49" s="41" t="s">
        <v>194</v>
      </c>
      <c r="Z49" s="41" t="s">
        <v>71</v>
      </c>
      <c r="AA49" s="41" t="s">
        <v>64</v>
      </c>
      <c r="AB49" s="41" t="s">
        <v>64</v>
      </c>
      <c r="AC49" s="41">
        <f>AC50+AC51*2</f>
        <v>0.5358</v>
      </c>
      <c r="AD49" s="61" t="s">
        <v>64</v>
      </c>
      <c r="AE49" s="148" t="s">
        <v>200</v>
      </c>
      <c r="AF49" s="148"/>
      <c r="AG49" s="148"/>
      <c r="AH49" s="148"/>
      <c r="AI49" s="148"/>
      <c r="AJ49" s="148"/>
      <c r="AK49" s="148"/>
      <c r="AL49" s="148"/>
      <c r="AM49" s="189" t="s">
        <v>100</v>
      </c>
      <c r="AN49" s="189" t="s">
        <v>297</v>
      </c>
      <c r="AO49" s="214"/>
      <c r="AP49" s="38"/>
      <c r="AQ49" s="83">
        <v>1</v>
      </c>
      <c r="AR49" s="215">
        <v>1</v>
      </c>
    </row>
    <row r="50" ht="39.95" customHeight="1" spans="1:44">
      <c r="A50" s="35">
        <f t="shared" si="14"/>
        <v>41</v>
      </c>
      <c r="B50" s="45"/>
      <c r="C50" s="45"/>
      <c r="D50" s="45"/>
      <c r="E50" s="45">
        <v>3</v>
      </c>
      <c r="F50" s="45"/>
      <c r="G50" s="45"/>
      <c r="H50" s="45"/>
      <c r="I50" s="45"/>
      <c r="J50" s="45"/>
      <c r="K50" s="69"/>
      <c r="L50" s="69"/>
      <c r="M50" s="69"/>
      <c r="N50" s="41" t="s">
        <v>313</v>
      </c>
      <c r="O50" s="41" t="s">
        <v>314</v>
      </c>
      <c r="P50" s="41" t="s">
        <v>264</v>
      </c>
      <c r="Q50" s="41" t="s">
        <v>225</v>
      </c>
      <c r="R50" s="67" t="s">
        <v>67</v>
      </c>
      <c r="S50" s="41"/>
      <c r="T50" s="41" t="s">
        <v>66</v>
      </c>
      <c r="U50" s="41" t="str">
        <f t="shared" si="15"/>
        <v>H5-6802112</v>
      </c>
      <c r="V50" s="41" t="s">
        <v>66</v>
      </c>
      <c r="W50" s="41" t="s">
        <v>93</v>
      </c>
      <c r="X50" s="41" t="s">
        <v>393</v>
      </c>
      <c r="Y50" s="41" t="s">
        <v>169</v>
      </c>
      <c r="Z50" s="41" t="s">
        <v>800</v>
      </c>
      <c r="AA50" s="41" t="s">
        <v>801</v>
      </c>
      <c r="AB50" s="41" t="s">
        <v>763</v>
      </c>
      <c r="AC50" s="41">
        <v>0.5164</v>
      </c>
      <c r="AD50" s="61"/>
      <c r="AE50" s="132" t="s">
        <v>110</v>
      </c>
      <c r="AF50" s="132">
        <f>394+6</f>
        <v>400</v>
      </c>
      <c r="AG50" s="132">
        <f>124+2.5</f>
        <v>126.5</v>
      </c>
      <c r="AH50" s="169" t="s">
        <v>241</v>
      </c>
      <c r="AI50" s="170">
        <f>AF50*AG50*AH50*7860/1000000000</f>
        <v>0.795432</v>
      </c>
      <c r="AJ50" s="171">
        <f t="shared" si="16"/>
        <v>0.64920697180903</v>
      </c>
      <c r="AK50" s="148"/>
      <c r="AL50" s="148"/>
      <c r="AM50" s="190"/>
      <c r="AN50" s="190"/>
      <c r="AO50" s="214"/>
      <c r="AP50" s="38"/>
      <c r="AQ50" s="83">
        <v>1</v>
      </c>
      <c r="AR50" s="215">
        <v>1</v>
      </c>
    </row>
    <row r="51" ht="39.95" customHeight="1" spans="1:44">
      <c r="A51" s="35">
        <f t="shared" ref="A51:A60" si="17">ROW()-9</f>
        <v>42</v>
      </c>
      <c r="B51" s="45"/>
      <c r="C51" s="45"/>
      <c r="D51" s="45"/>
      <c r="E51" s="45">
        <v>3</v>
      </c>
      <c r="F51" s="45"/>
      <c r="G51" s="45"/>
      <c r="H51" s="45"/>
      <c r="I51" s="45"/>
      <c r="J51" s="45"/>
      <c r="K51" s="69"/>
      <c r="L51" s="69"/>
      <c r="M51" s="69"/>
      <c r="N51" s="41" t="s">
        <v>300</v>
      </c>
      <c r="O51" s="41" t="s">
        <v>802</v>
      </c>
      <c r="P51" s="41" t="s">
        <v>117</v>
      </c>
      <c r="Q51" s="41" t="s">
        <v>225</v>
      </c>
      <c r="R51" s="67" t="s">
        <v>67</v>
      </c>
      <c r="S51" s="41"/>
      <c r="T51" s="41" t="s">
        <v>66</v>
      </c>
      <c r="U51" s="41" t="str">
        <f t="shared" si="15"/>
        <v>Q370C10</v>
      </c>
      <c r="V51" s="41" t="s">
        <v>66</v>
      </c>
      <c r="W51" s="41" t="s">
        <v>93</v>
      </c>
      <c r="X51" s="41" t="s">
        <v>393</v>
      </c>
      <c r="Y51" s="41" t="s">
        <v>117</v>
      </c>
      <c r="Z51" s="41" t="s">
        <v>64</v>
      </c>
      <c r="AA51" s="41" t="s">
        <v>267</v>
      </c>
      <c r="AB51" s="41" t="s">
        <v>64</v>
      </c>
      <c r="AC51" s="41">
        <v>0.0097</v>
      </c>
      <c r="AD51" s="61" t="s">
        <v>64</v>
      </c>
      <c r="AE51" s="148"/>
      <c r="AF51" s="148"/>
      <c r="AG51" s="148"/>
      <c r="AH51" s="148"/>
      <c r="AI51" s="148"/>
      <c r="AJ51" s="148"/>
      <c r="AK51" s="148"/>
      <c r="AL51" s="148"/>
      <c r="AM51" s="190"/>
      <c r="AN51" s="190"/>
      <c r="AO51" s="214"/>
      <c r="AP51" s="38"/>
      <c r="AQ51" s="223">
        <v>2</v>
      </c>
      <c r="AR51" s="221">
        <v>2</v>
      </c>
    </row>
    <row r="52" s="4" customFormat="1" ht="39.95" customHeight="1" spans="1:44">
      <c r="A52" s="35">
        <f t="shared" si="17"/>
        <v>43</v>
      </c>
      <c r="B52" s="45"/>
      <c r="C52" s="45"/>
      <c r="D52" s="45">
        <v>2</v>
      </c>
      <c r="E52" s="45"/>
      <c r="F52" s="45"/>
      <c r="G52" s="45"/>
      <c r="H52" s="45"/>
      <c r="I52" s="45"/>
      <c r="J52" s="45"/>
      <c r="K52" s="69"/>
      <c r="L52" s="69"/>
      <c r="M52" s="68" t="s">
        <v>803</v>
      </c>
      <c r="N52" s="65"/>
      <c r="O52" s="82" t="s">
        <v>804</v>
      </c>
      <c r="P52" s="83" t="s">
        <v>271</v>
      </c>
      <c r="Q52" s="83" t="s">
        <v>225</v>
      </c>
      <c r="R52" s="67" t="s">
        <v>67</v>
      </c>
      <c r="S52" s="83"/>
      <c r="T52" s="60" t="s">
        <v>481</v>
      </c>
      <c r="U52" s="83" t="s">
        <v>805</v>
      </c>
      <c r="V52" s="83" t="s">
        <v>66</v>
      </c>
      <c r="W52" s="83" t="s">
        <v>68</v>
      </c>
      <c r="X52" s="83" t="s">
        <v>69</v>
      </c>
      <c r="Y52" s="83" t="s">
        <v>149</v>
      </c>
      <c r="Z52" s="83" t="s">
        <v>321</v>
      </c>
      <c r="AA52" s="83" t="s">
        <v>806</v>
      </c>
      <c r="AB52" s="83" t="s">
        <v>776</v>
      </c>
      <c r="AC52" s="83">
        <v>0.0587</v>
      </c>
      <c r="AD52" s="61" t="s">
        <v>109</v>
      </c>
      <c r="AE52" s="135" t="s">
        <v>109</v>
      </c>
      <c r="AF52" s="136"/>
      <c r="AG52" s="136"/>
      <c r="AH52" s="136"/>
      <c r="AI52" s="173"/>
      <c r="AJ52" s="174"/>
      <c r="AK52" s="148"/>
      <c r="AL52" s="148">
        <v>0.0146</v>
      </c>
      <c r="AM52" s="166" t="s">
        <v>74</v>
      </c>
      <c r="AN52" s="166" t="s">
        <v>196</v>
      </c>
      <c r="AO52" s="214"/>
      <c r="AP52" s="38"/>
      <c r="AQ52" s="83">
        <v>1</v>
      </c>
      <c r="AR52" s="215">
        <v>1</v>
      </c>
    </row>
    <row r="53" s="4" customFormat="1" ht="39.95" customHeight="1" spans="1:44">
      <c r="A53" s="35">
        <f t="shared" si="17"/>
        <v>44</v>
      </c>
      <c r="B53" s="34"/>
      <c r="C53" s="34"/>
      <c r="D53" s="45"/>
      <c r="E53" s="34">
        <v>3</v>
      </c>
      <c r="F53" s="34"/>
      <c r="G53" s="38"/>
      <c r="H53" s="38"/>
      <c r="I53" s="38"/>
      <c r="J53" s="38"/>
      <c r="K53" s="69"/>
      <c r="L53" s="69"/>
      <c r="M53" s="69" t="s">
        <v>807</v>
      </c>
      <c r="N53" s="83" t="s">
        <v>808</v>
      </c>
      <c r="O53" s="83" t="s">
        <v>809</v>
      </c>
      <c r="P53" s="83" t="s">
        <v>271</v>
      </c>
      <c r="Q53" s="83" t="s">
        <v>225</v>
      </c>
      <c r="R53" s="67" t="s">
        <v>67</v>
      </c>
      <c r="S53" s="83"/>
      <c r="T53" s="60" t="s">
        <v>481</v>
      </c>
      <c r="U53" s="83" t="s">
        <v>805</v>
      </c>
      <c r="V53" s="83" t="s">
        <v>66</v>
      </c>
      <c r="W53" s="83" t="s">
        <v>68</v>
      </c>
      <c r="X53" s="83" t="s">
        <v>69</v>
      </c>
      <c r="Y53" s="83" t="s">
        <v>149</v>
      </c>
      <c r="Z53" s="83" t="s">
        <v>321</v>
      </c>
      <c r="AA53" s="83" t="s">
        <v>806</v>
      </c>
      <c r="AB53" s="83" t="s">
        <v>776</v>
      </c>
      <c r="AC53" s="83">
        <v>0.0587</v>
      </c>
      <c r="AD53" s="61" t="s">
        <v>109</v>
      </c>
      <c r="AE53" s="135" t="s">
        <v>153</v>
      </c>
      <c r="AF53" s="136">
        <f>AC53/0.395*1000</f>
        <v>148.607594936709</v>
      </c>
      <c r="AG53" s="136">
        <v>8</v>
      </c>
      <c r="AH53" s="136"/>
      <c r="AI53" s="173">
        <f>AF53*0.395/1000</f>
        <v>0.0587</v>
      </c>
      <c r="AJ53" s="174">
        <f t="shared" si="16"/>
        <v>1</v>
      </c>
      <c r="AK53" s="148"/>
      <c r="AL53" s="148"/>
      <c r="AM53" s="189" t="s">
        <v>100</v>
      </c>
      <c r="AN53" s="189" t="s">
        <v>273</v>
      </c>
      <c r="AO53" s="214"/>
      <c r="AP53" s="38"/>
      <c r="AQ53" s="83">
        <v>1</v>
      </c>
      <c r="AR53" s="215">
        <v>1</v>
      </c>
    </row>
    <row r="54" s="1" customFormat="1" ht="39.95" customHeight="1" spans="1:44">
      <c r="A54" s="35">
        <f t="shared" si="17"/>
        <v>45</v>
      </c>
      <c r="B54" s="46"/>
      <c r="C54" s="46"/>
      <c r="D54" s="46"/>
      <c r="E54" s="46"/>
      <c r="F54" s="46"/>
      <c r="G54" s="46"/>
      <c r="H54" s="46"/>
      <c r="I54" s="46"/>
      <c r="J54" s="46"/>
      <c r="K54" s="63"/>
      <c r="L54" s="63" t="s">
        <v>131</v>
      </c>
      <c r="M54" s="63"/>
      <c r="N54" s="47" t="s">
        <v>810</v>
      </c>
      <c r="O54" s="47" t="s">
        <v>811</v>
      </c>
      <c r="P54" s="67"/>
      <c r="Q54" s="92" t="s">
        <v>225</v>
      </c>
      <c r="R54" s="67" t="s">
        <v>67</v>
      </c>
      <c r="S54" s="47"/>
      <c r="T54" s="66" t="s">
        <v>481</v>
      </c>
      <c r="U54" s="40" t="str">
        <f>N54</f>
        <v>SHT0014016</v>
      </c>
      <c r="V54" s="90" t="s">
        <v>480</v>
      </c>
      <c r="W54" s="66" t="s">
        <v>393</v>
      </c>
      <c r="X54" s="91" t="s">
        <v>93</v>
      </c>
      <c r="Y54" s="92" t="s">
        <v>79</v>
      </c>
      <c r="Z54" s="47" t="s">
        <v>71</v>
      </c>
      <c r="AA54" s="127" t="s">
        <v>64</v>
      </c>
      <c r="AB54" s="127" t="s">
        <v>64</v>
      </c>
      <c r="AC54" s="127" t="s">
        <v>64</v>
      </c>
      <c r="AD54" s="124" t="s">
        <v>64</v>
      </c>
      <c r="AE54" s="125"/>
      <c r="AF54" s="125"/>
      <c r="AG54" s="125"/>
      <c r="AH54" s="125"/>
      <c r="AI54" s="125"/>
      <c r="AJ54" s="125"/>
      <c r="AK54" s="125"/>
      <c r="AL54" s="125"/>
      <c r="AM54" s="191" t="s">
        <v>80</v>
      </c>
      <c r="AN54" s="191"/>
      <c r="AO54" s="216"/>
      <c r="AP54" s="40"/>
      <c r="AQ54" s="224">
        <v>1</v>
      </c>
      <c r="AR54" s="218">
        <v>0</v>
      </c>
    </row>
    <row r="55" s="1" customFormat="1" ht="39.95" customHeight="1" spans="1:44">
      <c r="A55" s="35">
        <f t="shared" si="17"/>
        <v>46</v>
      </c>
      <c r="B55" s="46"/>
      <c r="C55" s="46"/>
      <c r="D55" s="46"/>
      <c r="E55" s="46"/>
      <c r="F55" s="46"/>
      <c r="G55" s="46"/>
      <c r="H55" s="46"/>
      <c r="I55" s="46"/>
      <c r="J55" s="46"/>
      <c r="K55" s="63"/>
      <c r="L55" s="63" t="s">
        <v>131</v>
      </c>
      <c r="M55" s="68"/>
      <c r="N55" s="65" t="s">
        <v>812</v>
      </c>
      <c r="O55" s="65" t="s">
        <v>811</v>
      </c>
      <c r="P55" s="67"/>
      <c r="Q55" s="92" t="s">
        <v>225</v>
      </c>
      <c r="R55" s="67" t="s">
        <v>67</v>
      </c>
      <c r="S55" s="47"/>
      <c r="T55" s="66" t="s">
        <v>481</v>
      </c>
      <c r="U55" s="40" t="s">
        <v>812</v>
      </c>
      <c r="V55" s="90" t="s">
        <v>480</v>
      </c>
      <c r="W55" s="66" t="s">
        <v>393</v>
      </c>
      <c r="X55" s="91" t="s">
        <v>93</v>
      </c>
      <c r="Y55" s="92" t="s">
        <v>79</v>
      </c>
      <c r="Z55" s="47" t="s">
        <v>71</v>
      </c>
      <c r="AA55" s="127" t="s">
        <v>64</v>
      </c>
      <c r="AB55" s="127"/>
      <c r="AC55" s="127"/>
      <c r="AD55" s="124"/>
      <c r="AE55" s="125"/>
      <c r="AF55" s="125"/>
      <c r="AG55" s="125"/>
      <c r="AH55" s="125"/>
      <c r="AI55" s="125"/>
      <c r="AJ55" s="125"/>
      <c r="AK55" s="125"/>
      <c r="AL55" s="125"/>
      <c r="AM55" s="191" t="s">
        <v>80</v>
      </c>
      <c r="AN55" s="191"/>
      <c r="AO55" s="216"/>
      <c r="AP55" s="40"/>
      <c r="AQ55" s="224">
        <v>0</v>
      </c>
      <c r="AR55" s="218">
        <v>1</v>
      </c>
    </row>
    <row r="56" s="1" customFormat="1" ht="39.95" customHeight="1" spans="1:44">
      <c r="A56" s="35">
        <f t="shared" si="17"/>
        <v>47</v>
      </c>
      <c r="B56" s="46"/>
      <c r="C56" s="46">
        <v>1</v>
      </c>
      <c r="D56" s="46"/>
      <c r="E56" s="46"/>
      <c r="F56" s="46"/>
      <c r="G56" s="46"/>
      <c r="H56" s="46"/>
      <c r="I56" s="46"/>
      <c r="J56" s="46"/>
      <c r="K56" s="63"/>
      <c r="L56" s="63"/>
      <c r="M56" s="69" t="s">
        <v>175</v>
      </c>
      <c r="N56" s="41" t="s">
        <v>176</v>
      </c>
      <c r="O56" s="41" t="s">
        <v>177</v>
      </c>
      <c r="P56" s="67" t="s">
        <v>178</v>
      </c>
      <c r="Q56" s="92"/>
      <c r="R56" s="67" t="s">
        <v>67</v>
      </c>
      <c r="S56" s="47"/>
      <c r="T56" s="66" t="s">
        <v>66</v>
      </c>
      <c r="U56" s="40"/>
      <c r="V56" s="90" t="s">
        <v>66</v>
      </c>
      <c r="W56" s="66" t="s">
        <v>69</v>
      </c>
      <c r="X56" s="91" t="s">
        <v>68</v>
      </c>
      <c r="Y56" s="92" t="s">
        <v>117</v>
      </c>
      <c r="Z56" s="47"/>
      <c r="AA56" s="127"/>
      <c r="AB56" s="127"/>
      <c r="AC56" s="127" t="s">
        <v>714</v>
      </c>
      <c r="AD56" s="124"/>
      <c r="AE56" s="126"/>
      <c r="AF56" s="126"/>
      <c r="AG56" s="126"/>
      <c r="AH56" s="126"/>
      <c r="AI56" s="126"/>
      <c r="AJ56" s="126"/>
      <c r="AK56" s="126"/>
      <c r="AL56" s="126"/>
      <c r="AM56" s="189" t="s">
        <v>100</v>
      </c>
      <c r="AN56" s="165" t="s">
        <v>533</v>
      </c>
      <c r="AO56" s="216"/>
      <c r="AP56" s="40"/>
      <c r="AQ56" s="224">
        <v>17</v>
      </c>
      <c r="AR56" s="218">
        <v>17</v>
      </c>
    </row>
    <row r="57" s="1" customFormat="1" ht="39.95" customHeight="1" spans="1:44">
      <c r="A57" s="35">
        <f t="shared" si="17"/>
        <v>48</v>
      </c>
      <c r="B57" s="36"/>
      <c r="C57" s="36">
        <v>1</v>
      </c>
      <c r="D57" s="46"/>
      <c r="E57" s="36"/>
      <c r="F57" s="36"/>
      <c r="G57" s="40"/>
      <c r="H57" s="40"/>
      <c r="I57" s="40"/>
      <c r="J57" s="40"/>
      <c r="K57" s="63"/>
      <c r="L57" s="63" t="s">
        <v>131</v>
      </c>
      <c r="M57" s="47" t="s">
        <v>813</v>
      </c>
      <c r="N57" s="47" t="s">
        <v>813</v>
      </c>
      <c r="O57" s="47" t="s">
        <v>814</v>
      </c>
      <c r="P57" s="67"/>
      <c r="Q57" s="92" t="s">
        <v>92</v>
      </c>
      <c r="R57" s="67" t="s">
        <v>67</v>
      </c>
      <c r="S57" s="47"/>
      <c r="T57" s="66" t="s">
        <v>481</v>
      </c>
      <c r="U57" s="40" t="str">
        <f>N57</f>
        <v>SHT0014027</v>
      </c>
      <c r="V57" s="90" t="s">
        <v>480</v>
      </c>
      <c r="W57" s="66" t="s">
        <v>393</v>
      </c>
      <c r="X57" s="91" t="s">
        <v>93</v>
      </c>
      <c r="Y57" s="36" t="s">
        <v>181</v>
      </c>
      <c r="Z57" s="47"/>
      <c r="AA57" s="47" t="s">
        <v>64</v>
      </c>
      <c r="AB57" s="47" t="s">
        <v>64</v>
      </c>
      <c r="AC57" s="47"/>
      <c r="AD57" s="127"/>
      <c r="AE57" s="129"/>
      <c r="AF57" s="129"/>
      <c r="AG57" s="129"/>
      <c r="AH57" s="129"/>
      <c r="AI57" s="129"/>
      <c r="AJ57" s="129"/>
      <c r="AK57" s="129"/>
      <c r="AL57" s="129"/>
      <c r="AM57" s="166" t="s">
        <v>74</v>
      </c>
      <c r="AN57" s="166" t="s">
        <v>184</v>
      </c>
      <c r="AO57" s="216"/>
      <c r="AP57" s="40"/>
      <c r="AQ57" s="47">
        <v>1</v>
      </c>
      <c r="AR57" s="215">
        <v>0</v>
      </c>
    </row>
    <row r="58" s="1" customFormat="1" ht="39.95" customHeight="1" spans="1:44">
      <c r="A58" s="35">
        <f t="shared" si="17"/>
        <v>49</v>
      </c>
      <c r="B58" s="36"/>
      <c r="C58" s="36">
        <v>1</v>
      </c>
      <c r="D58" s="46"/>
      <c r="E58" s="36"/>
      <c r="F58" s="36"/>
      <c r="G58" s="40"/>
      <c r="H58" s="40"/>
      <c r="I58" s="40"/>
      <c r="J58" s="40"/>
      <c r="K58" s="63"/>
      <c r="L58" s="63" t="s">
        <v>131</v>
      </c>
      <c r="M58" s="65" t="s">
        <v>815</v>
      </c>
      <c r="N58" s="65" t="s">
        <v>815</v>
      </c>
      <c r="O58" s="65" t="s">
        <v>814</v>
      </c>
      <c r="P58" s="67"/>
      <c r="Q58" s="92" t="s">
        <v>92</v>
      </c>
      <c r="R58" s="67" t="s">
        <v>67</v>
      </c>
      <c r="S58" s="47"/>
      <c r="T58" s="66" t="s">
        <v>481</v>
      </c>
      <c r="U58" s="40" t="s">
        <v>815</v>
      </c>
      <c r="V58" s="90" t="s">
        <v>480</v>
      </c>
      <c r="W58" s="66" t="s">
        <v>393</v>
      </c>
      <c r="X58" s="91" t="s">
        <v>93</v>
      </c>
      <c r="Y58" s="36" t="s">
        <v>181</v>
      </c>
      <c r="Z58" s="47"/>
      <c r="AA58" s="47" t="s">
        <v>64</v>
      </c>
      <c r="AB58" s="47" t="s">
        <v>64</v>
      </c>
      <c r="AC58" s="47"/>
      <c r="AD58" s="127"/>
      <c r="AE58" s="129"/>
      <c r="AF58" s="129"/>
      <c r="AG58" s="129"/>
      <c r="AH58" s="129"/>
      <c r="AI58" s="129"/>
      <c r="AJ58" s="129"/>
      <c r="AK58" s="129"/>
      <c r="AL58" s="129"/>
      <c r="AM58" s="166" t="s">
        <v>74</v>
      </c>
      <c r="AN58" s="166" t="s">
        <v>184</v>
      </c>
      <c r="AO58" s="216"/>
      <c r="AP58" s="40"/>
      <c r="AQ58" s="47">
        <v>0</v>
      </c>
      <c r="AR58" s="215">
        <v>1</v>
      </c>
    </row>
    <row r="59" s="1" customFormat="1" ht="39.95" customHeight="1" spans="1:44">
      <c r="A59" s="35">
        <f t="shared" si="17"/>
        <v>50</v>
      </c>
      <c r="B59" s="36"/>
      <c r="C59" s="36">
        <v>1</v>
      </c>
      <c r="D59" s="46"/>
      <c r="E59" s="36"/>
      <c r="F59" s="36"/>
      <c r="G59" s="40"/>
      <c r="H59" s="40"/>
      <c r="I59" s="40"/>
      <c r="J59" s="40"/>
      <c r="K59" s="63"/>
      <c r="L59" s="63" t="s">
        <v>131</v>
      </c>
      <c r="M59" s="47" t="s">
        <v>816</v>
      </c>
      <c r="N59" s="47" t="s">
        <v>816</v>
      </c>
      <c r="O59" s="47" t="s">
        <v>817</v>
      </c>
      <c r="P59" s="84"/>
      <c r="Q59" s="92" t="s">
        <v>92</v>
      </c>
      <c r="R59" s="67" t="s">
        <v>67</v>
      </c>
      <c r="S59" s="47"/>
      <c r="T59" s="66" t="s">
        <v>481</v>
      </c>
      <c r="U59" s="40" t="str">
        <f>N59</f>
        <v>SHT0011060</v>
      </c>
      <c r="V59" s="90" t="s">
        <v>480</v>
      </c>
      <c r="W59" s="66" t="s">
        <v>393</v>
      </c>
      <c r="X59" s="91" t="s">
        <v>93</v>
      </c>
      <c r="Y59" s="36" t="s">
        <v>818</v>
      </c>
      <c r="Z59" s="47" t="s">
        <v>64</v>
      </c>
      <c r="AA59" s="47" t="s">
        <v>64</v>
      </c>
      <c r="AB59" s="47" t="s">
        <v>64</v>
      </c>
      <c r="AC59" s="47"/>
      <c r="AD59" s="127"/>
      <c r="AE59" s="129" t="s">
        <v>135</v>
      </c>
      <c r="AF59" s="129"/>
      <c r="AG59" s="129"/>
      <c r="AH59" s="129"/>
      <c r="AI59" s="129"/>
      <c r="AJ59" s="129"/>
      <c r="AK59" s="129"/>
      <c r="AL59" s="129"/>
      <c r="AM59" s="166" t="s">
        <v>74</v>
      </c>
      <c r="AN59" s="166" t="s">
        <v>136</v>
      </c>
      <c r="AO59" s="216"/>
      <c r="AP59" s="40"/>
      <c r="AQ59" s="47">
        <v>1</v>
      </c>
      <c r="AR59" s="215">
        <v>1</v>
      </c>
    </row>
    <row r="60" ht="39.95" customHeight="1" spans="1:44">
      <c r="A60" s="35">
        <f t="shared" si="17"/>
        <v>51</v>
      </c>
      <c r="B60" s="34"/>
      <c r="C60" s="34"/>
      <c r="D60" s="34">
        <v>2</v>
      </c>
      <c r="E60" s="34"/>
      <c r="F60" s="34"/>
      <c r="G60" s="38"/>
      <c r="H60" s="38"/>
      <c r="I60" s="38"/>
      <c r="J60" s="38"/>
      <c r="K60" s="69"/>
      <c r="L60" s="69"/>
      <c r="M60" s="69"/>
      <c r="N60" s="41" t="s">
        <v>819</v>
      </c>
      <c r="O60" s="41" t="s">
        <v>820</v>
      </c>
      <c r="P60" s="41"/>
      <c r="Q60" s="93" t="s">
        <v>92</v>
      </c>
      <c r="R60" s="67" t="s">
        <v>67</v>
      </c>
      <c r="S60" s="41"/>
      <c r="T60" s="60" t="s">
        <v>481</v>
      </c>
      <c r="U60" s="38" t="str">
        <f>N60</f>
        <v>SHT0011061</v>
      </c>
      <c r="V60" s="87" t="s">
        <v>480</v>
      </c>
      <c r="W60" s="60" t="s">
        <v>393</v>
      </c>
      <c r="X60" s="88" t="s">
        <v>93</v>
      </c>
      <c r="Y60" s="41" t="s">
        <v>64</v>
      </c>
      <c r="Z60" s="41"/>
      <c r="AA60" s="41"/>
      <c r="AB60" s="41"/>
      <c r="AC60" s="41"/>
      <c r="AD60" s="128"/>
      <c r="AE60" s="129"/>
      <c r="AF60" s="129"/>
      <c r="AG60" s="129"/>
      <c r="AH60" s="129"/>
      <c r="AI60" s="129"/>
      <c r="AJ60" s="129"/>
      <c r="AK60" s="129"/>
      <c r="AL60" s="129"/>
      <c r="AM60" s="166" t="s">
        <v>80</v>
      </c>
      <c r="AN60" s="166"/>
      <c r="AO60" s="214"/>
      <c r="AP60" s="38"/>
      <c r="AQ60" s="41">
        <v>1</v>
      </c>
      <c r="AR60" s="215">
        <v>1</v>
      </c>
    </row>
    <row r="61" ht="39.95" customHeight="1" spans="1:44">
      <c r="A61" s="35">
        <f t="shared" ref="A61:A70" si="18">ROW()-9</f>
        <v>52</v>
      </c>
      <c r="B61" s="34"/>
      <c r="C61" s="34"/>
      <c r="D61" s="34">
        <v>2</v>
      </c>
      <c r="E61" s="34"/>
      <c r="F61" s="34"/>
      <c r="G61" s="38"/>
      <c r="H61" s="38"/>
      <c r="I61" s="38"/>
      <c r="J61" s="38"/>
      <c r="K61" s="70"/>
      <c r="L61" s="70"/>
      <c r="M61" s="41" t="s">
        <v>520</v>
      </c>
      <c r="N61" s="41" t="s">
        <v>520</v>
      </c>
      <c r="O61" s="41" t="s">
        <v>821</v>
      </c>
      <c r="P61" s="41"/>
      <c r="Q61" s="93" t="s">
        <v>92</v>
      </c>
      <c r="R61" s="67" t="s">
        <v>67</v>
      </c>
      <c r="S61" s="83"/>
      <c r="T61" s="60" t="s">
        <v>481</v>
      </c>
      <c r="U61" s="38" t="str">
        <f>N61</f>
        <v>SHT0011070</v>
      </c>
      <c r="V61" s="87" t="s">
        <v>480</v>
      </c>
      <c r="W61" s="60" t="s">
        <v>393</v>
      </c>
      <c r="X61" s="88" t="s">
        <v>93</v>
      </c>
      <c r="Y61" s="34" t="s">
        <v>149</v>
      </c>
      <c r="Z61" s="41" t="s">
        <v>522</v>
      </c>
      <c r="AA61" s="133" t="s">
        <v>735</v>
      </c>
      <c r="AB61" s="133" t="s">
        <v>822</v>
      </c>
      <c r="AC61" s="134">
        <v>0.0107</v>
      </c>
      <c r="AD61" s="128"/>
      <c r="AE61" s="135" t="s">
        <v>153</v>
      </c>
      <c r="AF61" s="136">
        <f t="shared" ref="AF61:AF64" si="19">AC61/0.025*1000</f>
        <v>428</v>
      </c>
      <c r="AG61" s="136">
        <v>2</v>
      </c>
      <c r="AH61" s="136"/>
      <c r="AI61" s="173">
        <f t="shared" ref="AI61:AI64" si="20">AF61*0.025/1000</f>
        <v>0.0107</v>
      </c>
      <c r="AJ61" s="174">
        <f t="shared" ref="AJ61:AJ64" si="21">AC61/AI61</f>
        <v>1</v>
      </c>
      <c r="AK61" s="147"/>
      <c r="AL61" s="147"/>
      <c r="AM61" s="189" t="s">
        <v>100</v>
      </c>
      <c r="AN61" s="172"/>
      <c r="AO61" s="214"/>
      <c r="AP61" s="38"/>
      <c r="AQ61" s="41">
        <v>1</v>
      </c>
      <c r="AR61" s="215">
        <v>1</v>
      </c>
    </row>
    <row r="62" ht="39.95" customHeight="1" spans="1:44">
      <c r="A62" s="35">
        <f t="shared" si="18"/>
        <v>53</v>
      </c>
      <c r="B62" s="34"/>
      <c r="C62" s="34"/>
      <c r="D62" s="34">
        <v>2</v>
      </c>
      <c r="E62" s="34"/>
      <c r="F62" s="34"/>
      <c r="G62" s="38"/>
      <c r="H62" s="38"/>
      <c r="I62" s="38"/>
      <c r="J62" s="38"/>
      <c r="K62" s="70"/>
      <c r="L62" s="70"/>
      <c r="M62" s="41" t="s">
        <v>524</v>
      </c>
      <c r="N62" s="41" t="s">
        <v>524</v>
      </c>
      <c r="O62" s="41" t="s">
        <v>823</v>
      </c>
      <c r="P62" s="41"/>
      <c r="Q62" s="93" t="s">
        <v>92</v>
      </c>
      <c r="R62" s="67" t="s">
        <v>67</v>
      </c>
      <c r="S62" s="83"/>
      <c r="T62" s="60" t="s">
        <v>481</v>
      </c>
      <c r="U62" s="38" t="str">
        <f>N62</f>
        <v>SHT0011071</v>
      </c>
      <c r="V62" s="87" t="s">
        <v>480</v>
      </c>
      <c r="W62" s="60" t="s">
        <v>393</v>
      </c>
      <c r="X62" s="88" t="s">
        <v>93</v>
      </c>
      <c r="Y62" s="34" t="s">
        <v>149</v>
      </c>
      <c r="Z62" s="41" t="s">
        <v>522</v>
      </c>
      <c r="AA62" s="133" t="s">
        <v>735</v>
      </c>
      <c r="AB62" s="133" t="s">
        <v>824</v>
      </c>
      <c r="AC62" s="134">
        <v>0.0062</v>
      </c>
      <c r="AD62" s="128"/>
      <c r="AE62" s="135" t="s">
        <v>153</v>
      </c>
      <c r="AF62" s="136">
        <f t="shared" si="19"/>
        <v>248</v>
      </c>
      <c r="AG62" s="136">
        <v>2</v>
      </c>
      <c r="AH62" s="136"/>
      <c r="AI62" s="173">
        <f t="shared" si="20"/>
        <v>0.0062</v>
      </c>
      <c r="AJ62" s="174">
        <f t="shared" si="21"/>
        <v>1</v>
      </c>
      <c r="AK62" s="147"/>
      <c r="AL62" s="147"/>
      <c r="AM62" s="189" t="s">
        <v>100</v>
      </c>
      <c r="AN62" s="172"/>
      <c r="AO62" s="214"/>
      <c r="AP62" s="38"/>
      <c r="AQ62" s="41">
        <v>1</v>
      </c>
      <c r="AR62" s="215">
        <v>1</v>
      </c>
    </row>
    <row r="63" ht="39.95" customHeight="1" spans="1:44">
      <c r="A63" s="35">
        <f t="shared" si="18"/>
        <v>54</v>
      </c>
      <c r="B63" s="34"/>
      <c r="C63" s="34"/>
      <c r="D63" s="34">
        <v>2</v>
      </c>
      <c r="E63" s="34"/>
      <c r="F63" s="34"/>
      <c r="G63" s="38"/>
      <c r="H63" s="38"/>
      <c r="I63" s="38"/>
      <c r="J63" s="38"/>
      <c r="K63" s="70"/>
      <c r="L63" s="70"/>
      <c r="M63" s="41" t="s">
        <v>825</v>
      </c>
      <c r="N63" s="41" t="s">
        <v>825</v>
      </c>
      <c r="O63" s="41" t="s">
        <v>826</v>
      </c>
      <c r="P63" s="41"/>
      <c r="Q63" s="93" t="s">
        <v>92</v>
      </c>
      <c r="R63" s="67" t="s">
        <v>67</v>
      </c>
      <c r="S63" s="83"/>
      <c r="T63" s="60" t="s">
        <v>827</v>
      </c>
      <c r="U63" s="38" t="s">
        <v>825</v>
      </c>
      <c r="V63" s="87" t="s">
        <v>480</v>
      </c>
      <c r="W63" s="60" t="s">
        <v>393</v>
      </c>
      <c r="X63" s="88" t="s">
        <v>93</v>
      </c>
      <c r="Y63" s="34" t="s">
        <v>149</v>
      </c>
      <c r="Z63" s="41" t="s">
        <v>522</v>
      </c>
      <c r="AA63" s="133" t="s">
        <v>741</v>
      </c>
      <c r="AB63" s="133" t="s">
        <v>828</v>
      </c>
      <c r="AC63" s="134">
        <v>0.012</v>
      </c>
      <c r="AD63" s="128"/>
      <c r="AE63" s="135" t="s">
        <v>153</v>
      </c>
      <c r="AF63" s="136">
        <f t="shared" si="19"/>
        <v>480</v>
      </c>
      <c r="AG63" s="136">
        <v>2</v>
      </c>
      <c r="AH63" s="136"/>
      <c r="AI63" s="173">
        <f t="shared" si="20"/>
        <v>0.012</v>
      </c>
      <c r="AJ63" s="174">
        <f t="shared" si="21"/>
        <v>1</v>
      </c>
      <c r="AK63" s="147"/>
      <c r="AL63" s="147"/>
      <c r="AM63" s="189" t="s">
        <v>100</v>
      </c>
      <c r="AN63" s="172"/>
      <c r="AO63" s="214"/>
      <c r="AP63" s="38"/>
      <c r="AQ63" s="41">
        <v>1</v>
      </c>
      <c r="AR63" s="215">
        <v>1</v>
      </c>
    </row>
    <row r="64" ht="39.95" customHeight="1" spans="1:44">
      <c r="A64" s="35">
        <f t="shared" si="18"/>
        <v>55</v>
      </c>
      <c r="B64" s="34"/>
      <c r="C64" s="34"/>
      <c r="D64" s="34">
        <v>2</v>
      </c>
      <c r="E64" s="34"/>
      <c r="F64" s="34"/>
      <c r="G64" s="38"/>
      <c r="H64" s="38"/>
      <c r="I64" s="38"/>
      <c r="J64" s="38"/>
      <c r="K64" s="70"/>
      <c r="L64" s="70"/>
      <c r="M64" s="41" t="s">
        <v>829</v>
      </c>
      <c r="N64" s="41" t="s">
        <v>829</v>
      </c>
      <c r="O64" s="41" t="s">
        <v>830</v>
      </c>
      <c r="P64" s="41"/>
      <c r="Q64" s="93" t="s">
        <v>92</v>
      </c>
      <c r="R64" s="67" t="s">
        <v>67</v>
      </c>
      <c r="S64" s="83"/>
      <c r="T64" s="60" t="s">
        <v>831</v>
      </c>
      <c r="U64" s="38" t="s">
        <v>829</v>
      </c>
      <c r="V64" s="87" t="s">
        <v>480</v>
      </c>
      <c r="W64" s="60" t="s">
        <v>393</v>
      </c>
      <c r="X64" s="88" t="s">
        <v>93</v>
      </c>
      <c r="Y64" s="34" t="s">
        <v>149</v>
      </c>
      <c r="Z64" s="41" t="s">
        <v>522</v>
      </c>
      <c r="AA64" s="133" t="s">
        <v>832</v>
      </c>
      <c r="AB64" s="133" t="s">
        <v>833</v>
      </c>
      <c r="AC64" s="134">
        <v>0.012</v>
      </c>
      <c r="AD64" s="128"/>
      <c r="AE64" s="135" t="s">
        <v>153</v>
      </c>
      <c r="AF64" s="136">
        <f t="shared" si="19"/>
        <v>480</v>
      </c>
      <c r="AG64" s="136">
        <v>2</v>
      </c>
      <c r="AH64" s="136"/>
      <c r="AI64" s="173">
        <f t="shared" si="20"/>
        <v>0.012</v>
      </c>
      <c r="AJ64" s="174">
        <f t="shared" si="21"/>
        <v>1</v>
      </c>
      <c r="AK64" s="147"/>
      <c r="AL64" s="147"/>
      <c r="AM64" s="189" t="s">
        <v>100</v>
      </c>
      <c r="AN64" s="172"/>
      <c r="AO64" s="214"/>
      <c r="AP64" s="38"/>
      <c r="AQ64" s="41">
        <v>1</v>
      </c>
      <c r="AR64" s="215">
        <v>1</v>
      </c>
    </row>
    <row r="65" ht="39.95" customHeight="1" spans="1:44">
      <c r="A65" s="35">
        <f t="shared" si="18"/>
        <v>56</v>
      </c>
      <c r="B65" s="45"/>
      <c r="C65" s="45">
        <v>1</v>
      </c>
      <c r="D65" s="45"/>
      <c r="E65" s="45"/>
      <c r="F65" s="45"/>
      <c r="G65" s="45"/>
      <c r="H65" s="45"/>
      <c r="I65" s="45"/>
      <c r="J65" s="45"/>
      <c r="K65" s="69"/>
      <c r="L65" s="69"/>
      <c r="M65" s="69" t="s">
        <v>834</v>
      </c>
      <c r="N65" s="83" t="s">
        <v>835</v>
      </c>
      <c r="O65" s="41" t="s">
        <v>836</v>
      </c>
      <c r="P65" s="41"/>
      <c r="Q65" s="93" t="s">
        <v>225</v>
      </c>
      <c r="R65" s="67" t="s">
        <v>67</v>
      </c>
      <c r="S65" s="41"/>
      <c r="T65" s="60" t="s">
        <v>481</v>
      </c>
      <c r="U65" s="38" t="str">
        <f t="shared" ref="U65:U73" si="22">N65</f>
        <v>H4691010650A0</v>
      </c>
      <c r="V65" s="87" t="s">
        <v>480</v>
      </c>
      <c r="W65" s="60" t="s">
        <v>393</v>
      </c>
      <c r="X65" s="88" t="s">
        <v>93</v>
      </c>
      <c r="Y65" s="93" t="s">
        <v>748</v>
      </c>
      <c r="Z65" s="41" t="s">
        <v>71</v>
      </c>
      <c r="AA65" s="128" t="s">
        <v>64</v>
      </c>
      <c r="AB65" s="128" t="s">
        <v>64</v>
      </c>
      <c r="AC65" s="270" t="s">
        <v>64</v>
      </c>
      <c r="AD65" s="214" t="s">
        <v>109</v>
      </c>
      <c r="AE65" s="271" t="s">
        <v>200</v>
      </c>
      <c r="AF65" s="271"/>
      <c r="AG65" s="271"/>
      <c r="AH65" s="271"/>
      <c r="AI65" s="271"/>
      <c r="AJ65" s="271"/>
      <c r="AK65" s="271"/>
      <c r="AL65" s="271"/>
      <c r="AM65" s="178" t="s">
        <v>100</v>
      </c>
      <c r="AN65" s="178" t="s">
        <v>540</v>
      </c>
      <c r="AO65" s="214"/>
      <c r="AP65" s="38"/>
      <c r="AQ65" s="41">
        <v>1</v>
      </c>
      <c r="AR65" s="215">
        <v>1</v>
      </c>
    </row>
    <row r="66" ht="39.95" customHeight="1" spans="1:44">
      <c r="A66" s="35">
        <f t="shared" si="18"/>
        <v>57</v>
      </c>
      <c r="B66" s="44"/>
      <c r="C66" s="44"/>
      <c r="D66" s="44">
        <v>2</v>
      </c>
      <c r="E66" s="44"/>
      <c r="F66" s="44"/>
      <c r="G66" s="44"/>
      <c r="H66" s="44"/>
      <c r="I66" s="44"/>
      <c r="J66" s="44"/>
      <c r="K66" s="69"/>
      <c r="L66" s="69"/>
      <c r="M66" s="69"/>
      <c r="N66" s="83" t="s">
        <v>837</v>
      </c>
      <c r="O66" s="83" t="s">
        <v>838</v>
      </c>
      <c r="P66" s="41"/>
      <c r="Q66" s="93" t="s">
        <v>225</v>
      </c>
      <c r="R66" s="67" t="s">
        <v>67</v>
      </c>
      <c r="S66" s="41"/>
      <c r="T66" s="60" t="s">
        <v>481</v>
      </c>
      <c r="U66" s="38" t="str">
        <f t="shared" si="22"/>
        <v>H4691010651A0</v>
      </c>
      <c r="V66" s="87" t="s">
        <v>480</v>
      </c>
      <c r="W66" s="60" t="s">
        <v>393</v>
      </c>
      <c r="X66" s="88" t="s">
        <v>93</v>
      </c>
      <c r="Y66" s="34" t="s">
        <v>169</v>
      </c>
      <c r="Z66" s="272" t="s">
        <v>839</v>
      </c>
      <c r="AA66" s="272" t="s">
        <v>840</v>
      </c>
      <c r="AB66" s="128" t="s">
        <v>64</v>
      </c>
      <c r="AC66" s="270" t="s">
        <v>841</v>
      </c>
      <c r="AD66" s="214" t="s">
        <v>109</v>
      </c>
      <c r="AE66" s="271"/>
      <c r="AF66" s="271"/>
      <c r="AG66" s="271"/>
      <c r="AH66" s="271"/>
      <c r="AI66" s="271"/>
      <c r="AJ66" s="271"/>
      <c r="AK66" s="271"/>
      <c r="AL66" s="271"/>
      <c r="AM66" s="288"/>
      <c r="AN66" s="288"/>
      <c r="AO66" s="214"/>
      <c r="AP66" s="38"/>
      <c r="AQ66" s="41">
        <v>1</v>
      </c>
      <c r="AR66" s="215">
        <v>1</v>
      </c>
    </row>
    <row r="67" ht="39.95" customHeight="1" spans="1:44">
      <c r="A67" s="35">
        <f t="shared" si="18"/>
        <v>58</v>
      </c>
      <c r="B67" s="45"/>
      <c r="C67" s="45"/>
      <c r="D67" s="44">
        <v>2</v>
      </c>
      <c r="E67" s="44"/>
      <c r="F67" s="44"/>
      <c r="G67" s="45"/>
      <c r="H67" s="45"/>
      <c r="I67" s="45"/>
      <c r="J67" s="45"/>
      <c r="K67" s="69"/>
      <c r="L67" s="69"/>
      <c r="M67" s="69"/>
      <c r="N67" s="83" t="s">
        <v>842</v>
      </c>
      <c r="O67" s="83" t="s">
        <v>843</v>
      </c>
      <c r="P67" s="41"/>
      <c r="Q67" s="93" t="s">
        <v>92</v>
      </c>
      <c r="R67" s="67" t="s">
        <v>67</v>
      </c>
      <c r="S67" s="41"/>
      <c r="T67" s="60" t="s">
        <v>481</v>
      </c>
      <c r="U67" s="38" t="str">
        <f t="shared" si="22"/>
        <v>Q37106</v>
      </c>
      <c r="V67" s="87" t="s">
        <v>480</v>
      </c>
      <c r="W67" s="60" t="s">
        <v>393</v>
      </c>
      <c r="X67" s="88" t="s">
        <v>93</v>
      </c>
      <c r="Y67" s="45" t="s">
        <v>117</v>
      </c>
      <c r="Z67" s="41" t="s">
        <v>844</v>
      </c>
      <c r="AA67" s="128" t="s">
        <v>64</v>
      </c>
      <c r="AB67" s="128" t="s">
        <v>64</v>
      </c>
      <c r="AC67" s="133"/>
      <c r="AD67" s="214" t="s">
        <v>109</v>
      </c>
      <c r="AE67" s="271"/>
      <c r="AF67" s="271"/>
      <c r="AG67" s="271"/>
      <c r="AH67" s="271"/>
      <c r="AI67" s="271"/>
      <c r="AJ67" s="271"/>
      <c r="AK67" s="271"/>
      <c r="AL67" s="271"/>
      <c r="AM67" s="288"/>
      <c r="AN67" s="288"/>
      <c r="AO67" s="214"/>
      <c r="AP67" s="38"/>
      <c r="AQ67" s="41">
        <v>2</v>
      </c>
      <c r="AR67" s="215">
        <v>2</v>
      </c>
    </row>
    <row r="68" ht="39.95" customHeight="1" spans="1:44">
      <c r="A68" s="35">
        <f t="shared" si="18"/>
        <v>59</v>
      </c>
      <c r="B68" s="45"/>
      <c r="C68" s="45">
        <v>1</v>
      </c>
      <c r="D68" s="45"/>
      <c r="E68" s="45"/>
      <c r="F68" s="45"/>
      <c r="G68" s="45"/>
      <c r="H68" s="45"/>
      <c r="I68" s="45"/>
      <c r="J68" s="45"/>
      <c r="K68" s="83"/>
      <c r="L68" s="83"/>
      <c r="M68" s="83" t="s">
        <v>845</v>
      </c>
      <c r="N68" s="83" t="s">
        <v>846</v>
      </c>
      <c r="O68" s="83" t="s">
        <v>847</v>
      </c>
      <c r="P68" s="83"/>
      <c r="Q68" s="93" t="s">
        <v>66</v>
      </c>
      <c r="R68" s="67" t="s">
        <v>67</v>
      </c>
      <c r="S68" s="41"/>
      <c r="T68" s="60" t="s">
        <v>481</v>
      </c>
      <c r="U68" s="38" t="str">
        <f t="shared" si="22"/>
        <v>H4A-6901100</v>
      </c>
      <c r="V68" s="87" t="s">
        <v>480</v>
      </c>
      <c r="W68" s="60" t="s">
        <v>393</v>
      </c>
      <c r="X68" s="88" t="s">
        <v>93</v>
      </c>
      <c r="Y68" s="45" t="s">
        <v>748</v>
      </c>
      <c r="Z68" s="128" t="s">
        <v>64</v>
      </c>
      <c r="AA68" s="128" t="s">
        <v>64</v>
      </c>
      <c r="AB68" s="128" t="s">
        <v>64</v>
      </c>
      <c r="AC68" s="273">
        <v>2.73</v>
      </c>
      <c r="AD68" s="128" t="s">
        <v>64</v>
      </c>
      <c r="AE68" s="274" t="s">
        <v>200</v>
      </c>
      <c r="AF68" s="274"/>
      <c r="AG68" s="274"/>
      <c r="AH68" s="274"/>
      <c r="AI68" s="274"/>
      <c r="AJ68" s="274"/>
      <c r="AK68" s="274"/>
      <c r="AL68" s="274"/>
      <c r="AM68" s="289" t="s">
        <v>100</v>
      </c>
      <c r="AN68" s="290" t="s">
        <v>848</v>
      </c>
      <c r="AO68" s="214"/>
      <c r="AP68" s="38"/>
      <c r="AQ68" s="301">
        <v>1</v>
      </c>
      <c r="AR68" s="221">
        <v>1</v>
      </c>
    </row>
    <row r="69" ht="39.95" customHeight="1" spans="1:44">
      <c r="A69" s="35">
        <f t="shared" si="18"/>
        <v>60</v>
      </c>
      <c r="B69" s="45"/>
      <c r="C69" s="45"/>
      <c r="D69" s="45">
        <v>2</v>
      </c>
      <c r="E69" s="45"/>
      <c r="F69" s="45"/>
      <c r="G69" s="45"/>
      <c r="H69" s="45"/>
      <c r="I69" s="45"/>
      <c r="J69" s="45"/>
      <c r="K69" s="83"/>
      <c r="L69" s="83"/>
      <c r="M69" s="83"/>
      <c r="N69" s="83" t="s">
        <v>849</v>
      </c>
      <c r="O69" s="83" t="s">
        <v>850</v>
      </c>
      <c r="P69" s="83"/>
      <c r="Q69" s="45" t="s">
        <v>92</v>
      </c>
      <c r="R69" s="67" t="s">
        <v>67</v>
      </c>
      <c r="S69" s="83"/>
      <c r="T69" s="60" t="s">
        <v>481</v>
      </c>
      <c r="U69" s="38" t="str">
        <f t="shared" si="22"/>
        <v>H4681020061A0</v>
      </c>
      <c r="V69" s="87" t="s">
        <v>480</v>
      </c>
      <c r="W69" s="60" t="s">
        <v>393</v>
      </c>
      <c r="X69" s="88" t="s">
        <v>93</v>
      </c>
      <c r="Y69" s="45" t="s">
        <v>851</v>
      </c>
      <c r="Z69" s="41" t="s">
        <v>852</v>
      </c>
      <c r="AA69" s="133" t="s">
        <v>853</v>
      </c>
      <c r="AB69" s="128" t="s">
        <v>64</v>
      </c>
      <c r="AC69" s="273">
        <v>0.475</v>
      </c>
      <c r="AD69" s="214" t="s">
        <v>109</v>
      </c>
      <c r="AE69" s="150" t="s">
        <v>233</v>
      </c>
      <c r="AF69" s="151">
        <f>AC69/1.09*1000+10</f>
        <v>445.779816513761</v>
      </c>
      <c r="AG69" s="151">
        <v>20</v>
      </c>
      <c r="AH69" s="151">
        <v>2</v>
      </c>
      <c r="AI69" s="184">
        <f>AF69*1.09/1000</f>
        <v>0.4859</v>
      </c>
      <c r="AJ69" s="185">
        <f>AC69/AI69</f>
        <v>0.977567400699732</v>
      </c>
      <c r="AK69" s="277"/>
      <c r="AL69" s="277"/>
      <c r="AM69" s="291"/>
      <c r="AN69" s="292"/>
      <c r="AO69" s="214"/>
      <c r="AP69" s="38"/>
      <c r="AQ69" s="301">
        <v>2</v>
      </c>
      <c r="AR69" s="221">
        <v>2</v>
      </c>
    </row>
    <row r="70" s="3" customFormat="1" ht="39.95" customHeight="1" spans="1:44">
      <c r="A70" s="35">
        <f t="shared" si="18"/>
        <v>61</v>
      </c>
      <c r="B70" s="45"/>
      <c r="C70" s="45"/>
      <c r="D70" s="45">
        <v>2</v>
      </c>
      <c r="E70" s="45"/>
      <c r="F70" s="45"/>
      <c r="G70" s="45"/>
      <c r="H70" s="45"/>
      <c r="I70" s="45"/>
      <c r="J70" s="45"/>
      <c r="K70" s="83"/>
      <c r="L70" s="83"/>
      <c r="M70" s="83"/>
      <c r="N70" s="83" t="s">
        <v>854</v>
      </c>
      <c r="O70" s="83" t="s">
        <v>855</v>
      </c>
      <c r="P70" s="83"/>
      <c r="Q70" s="45" t="s">
        <v>92</v>
      </c>
      <c r="R70" s="251" t="s">
        <v>67</v>
      </c>
      <c r="S70" s="83"/>
      <c r="T70" s="60" t="s">
        <v>481</v>
      </c>
      <c r="U70" s="38" t="str">
        <f t="shared" si="22"/>
        <v>H4A-6901103</v>
      </c>
      <c r="V70" s="87" t="s">
        <v>480</v>
      </c>
      <c r="W70" s="60" t="s">
        <v>393</v>
      </c>
      <c r="X70" s="88" t="s">
        <v>93</v>
      </c>
      <c r="Y70" s="45" t="s">
        <v>851</v>
      </c>
      <c r="Z70" s="41" t="s">
        <v>856</v>
      </c>
      <c r="AA70" s="133" t="s">
        <v>857</v>
      </c>
      <c r="AB70" s="128"/>
      <c r="AC70" s="273">
        <f>0.218*2</f>
        <v>0.436</v>
      </c>
      <c r="AD70" s="214"/>
      <c r="AE70" s="150" t="s">
        <v>233</v>
      </c>
      <c r="AF70" s="151">
        <f>AC70/1.09*1000+10</f>
        <v>410</v>
      </c>
      <c r="AG70" s="151">
        <v>20</v>
      </c>
      <c r="AH70" s="151">
        <v>2</v>
      </c>
      <c r="AI70" s="184">
        <f>AF70*1.09/1000</f>
        <v>0.4469</v>
      </c>
      <c r="AJ70" s="185">
        <f>AC70/AI70</f>
        <v>0.975609756097561</v>
      </c>
      <c r="AK70" s="277"/>
      <c r="AL70" s="277"/>
      <c r="AM70" s="291"/>
      <c r="AN70" s="292"/>
      <c r="AO70" s="214"/>
      <c r="AP70" s="38"/>
      <c r="AQ70" s="301">
        <v>2</v>
      </c>
      <c r="AR70" s="221">
        <v>2</v>
      </c>
    </row>
    <row r="71" ht="39.95" customHeight="1" spans="1:44">
      <c r="A71" s="35">
        <f t="shared" ref="A71:A80" si="23">ROW()-9</f>
        <v>62</v>
      </c>
      <c r="B71" s="34"/>
      <c r="C71" s="34"/>
      <c r="D71" s="45">
        <v>2</v>
      </c>
      <c r="E71" s="45"/>
      <c r="F71" s="34"/>
      <c r="G71" s="38"/>
      <c r="H71" s="38"/>
      <c r="I71" s="38"/>
      <c r="J71" s="38"/>
      <c r="K71" s="83"/>
      <c r="L71" s="83"/>
      <c r="M71" s="83"/>
      <c r="N71" s="83" t="s">
        <v>858</v>
      </c>
      <c r="O71" s="83" t="s">
        <v>859</v>
      </c>
      <c r="P71" s="41"/>
      <c r="Q71" s="93" t="s">
        <v>66</v>
      </c>
      <c r="R71" s="67" t="s">
        <v>67</v>
      </c>
      <c r="S71" s="83"/>
      <c r="T71" s="60" t="s">
        <v>481</v>
      </c>
      <c r="U71" s="38" t="str">
        <f t="shared" si="22"/>
        <v>H4A-6901101</v>
      </c>
      <c r="V71" s="87" t="s">
        <v>480</v>
      </c>
      <c r="W71" s="60" t="s">
        <v>393</v>
      </c>
      <c r="X71" s="88" t="s">
        <v>93</v>
      </c>
      <c r="Y71" s="34" t="s">
        <v>169</v>
      </c>
      <c r="Z71" s="41" t="s">
        <v>860</v>
      </c>
      <c r="AA71" s="275" t="s">
        <v>861</v>
      </c>
      <c r="AB71" s="128" t="s">
        <v>64</v>
      </c>
      <c r="AC71" s="83">
        <v>0.346</v>
      </c>
      <c r="AD71" s="214" t="s">
        <v>109</v>
      </c>
      <c r="AE71" s="132" t="s">
        <v>110</v>
      </c>
      <c r="AF71" s="132">
        <f>170+8</f>
        <v>178</v>
      </c>
      <c r="AG71" s="132">
        <f>159+3</f>
        <v>162</v>
      </c>
      <c r="AH71" s="169" t="s">
        <v>215</v>
      </c>
      <c r="AI71" s="170">
        <f>AF71*AG71*AH71*7860/1000000000</f>
        <v>0.67995288</v>
      </c>
      <c r="AJ71" s="171">
        <f>AC71/AI71</f>
        <v>0.508858790332648</v>
      </c>
      <c r="AK71" s="277"/>
      <c r="AL71" s="277"/>
      <c r="AM71" s="291"/>
      <c r="AN71" s="292"/>
      <c r="AO71" s="214"/>
      <c r="AP71" s="38"/>
      <c r="AQ71" s="301">
        <v>1</v>
      </c>
      <c r="AR71" s="221">
        <v>1</v>
      </c>
    </row>
    <row r="72" ht="39.95" customHeight="1" spans="1:44">
      <c r="A72" s="35">
        <f t="shared" si="23"/>
        <v>63</v>
      </c>
      <c r="B72" s="34"/>
      <c r="C72" s="34"/>
      <c r="D72" s="45">
        <v>2</v>
      </c>
      <c r="E72" s="45"/>
      <c r="F72" s="34"/>
      <c r="G72" s="38"/>
      <c r="H72" s="38"/>
      <c r="I72" s="38"/>
      <c r="J72" s="38"/>
      <c r="K72" s="83"/>
      <c r="L72" s="83"/>
      <c r="M72" s="83"/>
      <c r="N72" s="83" t="s">
        <v>862</v>
      </c>
      <c r="O72" s="83" t="s">
        <v>863</v>
      </c>
      <c r="P72" s="83"/>
      <c r="Q72" s="252" t="s">
        <v>92</v>
      </c>
      <c r="R72" s="67" t="s">
        <v>67</v>
      </c>
      <c r="S72" s="83"/>
      <c r="T72" s="60" t="s">
        <v>481</v>
      </c>
      <c r="U72" s="38" t="str">
        <f t="shared" si="22"/>
        <v>H4A-6901102</v>
      </c>
      <c r="V72" s="87" t="s">
        <v>480</v>
      </c>
      <c r="W72" s="60" t="s">
        <v>393</v>
      </c>
      <c r="X72" s="88" t="s">
        <v>93</v>
      </c>
      <c r="Y72" s="34" t="s">
        <v>169</v>
      </c>
      <c r="Z72" s="41" t="s">
        <v>860</v>
      </c>
      <c r="AA72" s="275" t="s">
        <v>861</v>
      </c>
      <c r="AB72" s="128" t="s">
        <v>64</v>
      </c>
      <c r="AC72" s="273">
        <v>0.212</v>
      </c>
      <c r="AD72" s="214" t="s">
        <v>109</v>
      </c>
      <c r="AE72" s="132" t="s">
        <v>110</v>
      </c>
      <c r="AF72" s="132">
        <f>166+8</f>
        <v>174</v>
      </c>
      <c r="AG72" s="132">
        <f>98+12+3</f>
        <v>113</v>
      </c>
      <c r="AH72" s="169" t="s">
        <v>215</v>
      </c>
      <c r="AI72" s="170">
        <f>AF72*AG72*AH72*7860/1000000000</f>
        <v>0.46362996</v>
      </c>
      <c r="AJ72" s="171">
        <f>AC72/AI72</f>
        <v>0.45726121754513</v>
      </c>
      <c r="AK72" s="277"/>
      <c r="AL72" s="277"/>
      <c r="AM72" s="293"/>
      <c r="AN72" s="292"/>
      <c r="AO72" s="214"/>
      <c r="AP72" s="38"/>
      <c r="AQ72" s="301">
        <v>1</v>
      </c>
      <c r="AR72" s="221">
        <v>1</v>
      </c>
    </row>
    <row r="73" ht="39.95" customHeight="1" spans="1:44">
      <c r="A73" s="35">
        <f t="shared" si="23"/>
        <v>64</v>
      </c>
      <c r="B73" s="34"/>
      <c r="C73" s="34"/>
      <c r="D73" s="45">
        <v>2</v>
      </c>
      <c r="E73" s="45"/>
      <c r="F73" s="34"/>
      <c r="G73" s="38"/>
      <c r="H73" s="38"/>
      <c r="I73" s="38"/>
      <c r="J73" s="38"/>
      <c r="K73" s="83"/>
      <c r="L73" s="83"/>
      <c r="M73" s="83"/>
      <c r="N73" s="231" t="s">
        <v>864</v>
      </c>
      <c r="O73" s="231" t="s">
        <v>843</v>
      </c>
      <c r="P73" s="83"/>
      <c r="Q73" s="252" t="s">
        <v>92</v>
      </c>
      <c r="R73" s="33" t="s">
        <v>67</v>
      </c>
      <c r="S73" s="83"/>
      <c r="T73" s="38"/>
      <c r="U73" s="38" t="str">
        <f t="shared" si="22"/>
        <v>GB/T 13680-1992</v>
      </c>
      <c r="V73" s="87" t="s">
        <v>480</v>
      </c>
      <c r="W73" s="60" t="s">
        <v>393</v>
      </c>
      <c r="X73" s="88" t="s">
        <v>93</v>
      </c>
      <c r="Y73" s="34" t="s">
        <v>117</v>
      </c>
      <c r="Z73" s="41"/>
      <c r="AA73" s="275"/>
      <c r="AB73" s="128"/>
      <c r="AC73" s="273"/>
      <c r="AD73" s="214"/>
      <c r="AE73" s="276"/>
      <c r="AF73" s="276"/>
      <c r="AG73" s="276"/>
      <c r="AH73" s="294"/>
      <c r="AI73" s="295"/>
      <c r="AJ73" s="296"/>
      <c r="AK73" s="277"/>
      <c r="AL73" s="277"/>
      <c r="AM73" s="291"/>
      <c r="AN73" s="292"/>
      <c r="AO73" s="214"/>
      <c r="AP73" s="38"/>
      <c r="AQ73" s="301">
        <v>2</v>
      </c>
      <c r="AR73" s="221">
        <v>2</v>
      </c>
    </row>
    <row r="74" ht="39.95" customHeight="1" spans="1:44">
      <c r="A74" s="35">
        <f t="shared" si="23"/>
        <v>65</v>
      </c>
      <c r="B74" s="34"/>
      <c r="C74" s="34"/>
      <c r="D74" s="45">
        <v>2</v>
      </c>
      <c r="E74" s="45"/>
      <c r="F74" s="34"/>
      <c r="G74" s="38"/>
      <c r="H74" s="38"/>
      <c r="I74" s="38"/>
      <c r="J74" s="38"/>
      <c r="K74" s="83"/>
      <c r="L74" s="83"/>
      <c r="M74" s="232"/>
      <c r="N74" s="231" t="s">
        <v>865</v>
      </c>
      <c r="O74" s="231" t="s">
        <v>866</v>
      </c>
      <c r="P74" s="83"/>
      <c r="Q74" s="252" t="s">
        <v>92</v>
      </c>
      <c r="R74" s="33" t="s">
        <v>67</v>
      </c>
      <c r="S74" s="83"/>
      <c r="T74" s="38"/>
      <c r="U74" s="38" t="s">
        <v>867</v>
      </c>
      <c r="V74" s="87" t="s">
        <v>480</v>
      </c>
      <c r="W74" s="60" t="s">
        <v>393</v>
      </c>
      <c r="X74" s="88" t="s">
        <v>93</v>
      </c>
      <c r="Y74" s="34"/>
      <c r="Z74" s="41"/>
      <c r="AA74" s="275"/>
      <c r="AB74" s="128"/>
      <c r="AC74" s="273"/>
      <c r="AD74" s="214"/>
      <c r="AE74" s="276"/>
      <c r="AF74" s="276"/>
      <c r="AG74" s="276"/>
      <c r="AH74" s="294"/>
      <c r="AI74" s="295"/>
      <c r="AJ74" s="296"/>
      <c r="AK74" s="277"/>
      <c r="AL74" s="277"/>
      <c r="AM74" s="293"/>
      <c r="AN74" s="292"/>
      <c r="AO74" s="214"/>
      <c r="AP74" s="38"/>
      <c r="AQ74" s="301">
        <v>2</v>
      </c>
      <c r="AR74" s="221">
        <v>2</v>
      </c>
    </row>
    <row r="75" ht="39.95" customHeight="1" spans="1:44">
      <c r="A75" s="35">
        <f t="shared" si="23"/>
        <v>66</v>
      </c>
      <c r="B75" s="34"/>
      <c r="C75" s="34">
        <v>1</v>
      </c>
      <c r="D75" s="34"/>
      <c r="E75" s="34"/>
      <c r="F75" s="34"/>
      <c r="G75" s="38"/>
      <c r="H75" s="38"/>
      <c r="I75" s="38"/>
      <c r="J75" s="38"/>
      <c r="K75" s="83"/>
      <c r="L75" s="83"/>
      <c r="M75" s="232" t="s">
        <v>868</v>
      </c>
      <c r="N75" s="83" t="s">
        <v>867</v>
      </c>
      <c r="O75" s="83" t="s">
        <v>869</v>
      </c>
      <c r="P75" s="83"/>
      <c r="Q75" s="252" t="s">
        <v>92</v>
      </c>
      <c r="R75" s="67" t="s">
        <v>67</v>
      </c>
      <c r="S75" s="83"/>
      <c r="T75" s="60" t="s">
        <v>481</v>
      </c>
      <c r="U75" s="38" t="str">
        <f t="shared" ref="U75:U85" si="24">N75</f>
        <v>H4681020087A0</v>
      </c>
      <c r="V75" s="87" t="s">
        <v>480</v>
      </c>
      <c r="W75" s="60" t="s">
        <v>393</v>
      </c>
      <c r="X75" s="88" t="s">
        <v>93</v>
      </c>
      <c r="Y75" s="128" t="s">
        <v>64</v>
      </c>
      <c r="Z75" s="83" t="s">
        <v>870</v>
      </c>
      <c r="AA75" s="128" t="s">
        <v>64</v>
      </c>
      <c r="AB75" s="128" t="s">
        <v>64</v>
      </c>
      <c r="AC75" s="273">
        <v>0.02</v>
      </c>
      <c r="AD75" s="128" t="s">
        <v>64</v>
      </c>
      <c r="AE75" s="274"/>
      <c r="AF75" s="274"/>
      <c r="AG75" s="274"/>
      <c r="AH75" s="274"/>
      <c r="AI75" s="274"/>
      <c r="AJ75" s="274"/>
      <c r="AK75" s="274"/>
      <c r="AL75" s="274"/>
      <c r="AM75" s="289" t="s">
        <v>100</v>
      </c>
      <c r="AN75" s="290" t="s">
        <v>871</v>
      </c>
      <c r="AO75" s="214"/>
      <c r="AP75" s="38"/>
      <c r="AQ75" s="301">
        <v>2</v>
      </c>
      <c r="AR75" s="221">
        <v>2</v>
      </c>
    </row>
    <row r="76" ht="39.95" customHeight="1" spans="1:44">
      <c r="A76" s="35">
        <f t="shared" si="23"/>
        <v>67</v>
      </c>
      <c r="B76" s="34"/>
      <c r="C76" s="34">
        <v>1</v>
      </c>
      <c r="D76" s="34"/>
      <c r="E76" s="34"/>
      <c r="F76" s="34"/>
      <c r="G76" s="38"/>
      <c r="H76" s="38"/>
      <c r="I76" s="38"/>
      <c r="J76" s="38"/>
      <c r="K76" s="83"/>
      <c r="L76" s="83"/>
      <c r="M76" s="83" t="s">
        <v>872</v>
      </c>
      <c r="N76" s="83" t="s">
        <v>873</v>
      </c>
      <c r="O76" s="83" t="s">
        <v>874</v>
      </c>
      <c r="P76" s="83"/>
      <c r="Q76" s="93" t="s">
        <v>66</v>
      </c>
      <c r="R76" s="67" t="s">
        <v>67</v>
      </c>
      <c r="S76" s="83"/>
      <c r="T76" s="60" t="s">
        <v>481</v>
      </c>
      <c r="U76" s="38" t="str">
        <f t="shared" si="24"/>
        <v>H4A-6901200</v>
      </c>
      <c r="V76" s="87" t="s">
        <v>480</v>
      </c>
      <c r="W76" s="60" t="s">
        <v>393</v>
      </c>
      <c r="X76" s="88" t="s">
        <v>93</v>
      </c>
      <c r="Y76" s="34" t="s">
        <v>748</v>
      </c>
      <c r="Z76" s="83" t="s">
        <v>71</v>
      </c>
      <c r="AA76" s="128" t="s">
        <v>64</v>
      </c>
      <c r="AB76" s="128" t="s">
        <v>64</v>
      </c>
      <c r="AC76" s="270" t="s">
        <v>64</v>
      </c>
      <c r="AD76" s="214" t="s">
        <v>109</v>
      </c>
      <c r="AE76" s="277" t="s">
        <v>200</v>
      </c>
      <c r="AF76" s="277"/>
      <c r="AG76" s="277"/>
      <c r="AH76" s="277"/>
      <c r="AI76" s="277"/>
      <c r="AJ76" s="277"/>
      <c r="AK76" s="277"/>
      <c r="AL76" s="277"/>
      <c r="AM76" s="289" t="s">
        <v>100</v>
      </c>
      <c r="AN76" s="290" t="s">
        <v>540</v>
      </c>
      <c r="AO76" s="214"/>
      <c r="AP76" s="38"/>
      <c r="AQ76" s="301">
        <v>1</v>
      </c>
      <c r="AR76" s="221">
        <v>1</v>
      </c>
    </row>
    <row r="77" ht="39.95" customHeight="1" spans="1:44">
      <c r="A77" s="35">
        <f t="shared" si="23"/>
        <v>68</v>
      </c>
      <c r="B77" s="34"/>
      <c r="C77" s="34"/>
      <c r="D77" s="34">
        <v>2</v>
      </c>
      <c r="E77" s="34"/>
      <c r="F77" s="34"/>
      <c r="G77" s="38"/>
      <c r="H77" s="38"/>
      <c r="I77" s="38"/>
      <c r="J77" s="38"/>
      <c r="K77" s="83"/>
      <c r="L77" s="83"/>
      <c r="M77" s="83"/>
      <c r="N77" s="83" t="s">
        <v>875</v>
      </c>
      <c r="O77" s="41" t="s">
        <v>876</v>
      </c>
      <c r="P77" s="83"/>
      <c r="Q77" s="93" t="s">
        <v>92</v>
      </c>
      <c r="R77" s="67" t="s">
        <v>67</v>
      </c>
      <c r="S77" s="41"/>
      <c r="T77" s="60" t="s">
        <v>481</v>
      </c>
      <c r="U77" s="38" t="str">
        <f t="shared" si="24"/>
        <v>H4A-6901201</v>
      </c>
      <c r="V77" s="87" t="s">
        <v>480</v>
      </c>
      <c r="W77" s="60" t="s">
        <v>393</v>
      </c>
      <c r="X77" s="88" t="s">
        <v>93</v>
      </c>
      <c r="Y77" s="34" t="s">
        <v>169</v>
      </c>
      <c r="Z77" s="41" t="s">
        <v>877</v>
      </c>
      <c r="AA77" s="275" t="s">
        <v>878</v>
      </c>
      <c r="AB77" s="128" t="s">
        <v>64</v>
      </c>
      <c r="AC77" s="133">
        <v>1.12</v>
      </c>
      <c r="AD77" s="214" t="s">
        <v>109</v>
      </c>
      <c r="AE77" s="132" t="s">
        <v>110</v>
      </c>
      <c r="AF77" s="132">
        <f>345+6</f>
        <v>351</v>
      </c>
      <c r="AG77" s="132">
        <f>266+2.5</f>
        <v>268.5</v>
      </c>
      <c r="AH77" s="169" t="s">
        <v>241</v>
      </c>
      <c r="AI77" s="170">
        <f t="shared" ref="AI77:AI80" si="25">AF77*AG77*AH77*7860/1000000000</f>
        <v>1.48150782</v>
      </c>
      <c r="AJ77" s="171">
        <f t="shared" ref="AJ77:AJ82" si="26">AC77/AI77</f>
        <v>0.755986559692949</v>
      </c>
      <c r="AK77" s="271"/>
      <c r="AL77" s="271"/>
      <c r="AM77" s="288"/>
      <c r="AN77" s="297"/>
      <c r="AO77" s="214"/>
      <c r="AP77" s="38"/>
      <c r="AQ77" s="41">
        <v>1</v>
      </c>
      <c r="AR77" s="215">
        <v>1</v>
      </c>
    </row>
    <row r="78" ht="39.95" customHeight="1" spans="1:44">
      <c r="A78" s="35">
        <f t="shared" si="23"/>
        <v>69</v>
      </c>
      <c r="B78" s="34"/>
      <c r="C78" s="34"/>
      <c r="D78" s="34">
        <v>2</v>
      </c>
      <c r="E78" s="34"/>
      <c r="F78" s="34"/>
      <c r="G78" s="38"/>
      <c r="H78" s="38"/>
      <c r="I78" s="38"/>
      <c r="J78" s="38"/>
      <c r="K78" s="83"/>
      <c r="L78" s="83"/>
      <c r="M78" s="83"/>
      <c r="N78" s="83" t="s">
        <v>879</v>
      </c>
      <c r="O78" s="41" t="s">
        <v>880</v>
      </c>
      <c r="P78" s="41"/>
      <c r="Q78" s="93" t="s">
        <v>92</v>
      </c>
      <c r="R78" s="67" t="s">
        <v>67</v>
      </c>
      <c r="S78" s="41"/>
      <c r="T78" s="60" t="s">
        <v>481</v>
      </c>
      <c r="U78" s="38" t="str">
        <f t="shared" si="24"/>
        <v>H4A-6901202</v>
      </c>
      <c r="V78" s="87" t="s">
        <v>480</v>
      </c>
      <c r="W78" s="60" t="s">
        <v>393</v>
      </c>
      <c r="X78" s="88" t="s">
        <v>93</v>
      </c>
      <c r="Y78" s="34" t="s">
        <v>169</v>
      </c>
      <c r="Z78" s="41" t="s">
        <v>877</v>
      </c>
      <c r="AA78" s="275" t="s">
        <v>878</v>
      </c>
      <c r="AB78" s="128" t="s">
        <v>64</v>
      </c>
      <c r="AC78" s="133">
        <v>1.222</v>
      </c>
      <c r="AD78" s="214" t="s">
        <v>109</v>
      </c>
      <c r="AE78" s="132" t="s">
        <v>110</v>
      </c>
      <c r="AF78" s="132">
        <f>350+6</f>
        <v>356</v>
      </c>
      <c r="AG78" s="132">
        <f>256+2.5</f>
        <v>258.5</v>
      </c>
      <c r="AH78" s="169" t="s">
        <v>241</v>
      </c>
      <c r="AI78" s="170">
        <f t="shared" si="25"/>
        <v>1.44664872</v>
      </c>
      <c r="AJ78" s="171">
        <f t="shared" si="26"/>
        <v>0.844710939916361</v>
      </c>
      <c r="AK78" s="271"/>
      <c r="AL78" s="271"/>
      <c r="AM78" s="288"/>
      <c r="AN78" s="297"/>
      <c r="AO78" s="214"/>
      <c r="AP78" s="38"/>
      <c r="AQ78" s="41">
        <v>1</v>
      </c>
      <c r="AR78" s="215">
        <v>1</v>
      </c>
    </row>
    <row r="79" ht="39.95" customHeight="1" spans="1:44">
      <c r="A79" s="35">
        <f t="shared" si="23"/>
        <v>70</v>
      </c>
      <c r="B79" s="34"/>
      <c r="C79" s="34"/>
      <c r="D79" s="34">
        <v>2</v>
      </c>
      <c r="E79" s="34"/>
      <c r="F79" s="34"/>
      <c r="G79" s="38"/>
      <c r="H79" s="38"/>
      <c r="I79" s="38"/>
      <c r="J79" s="38"/>
      <c r="K79" s="83"/>
      <c r="L79" s="83"/>
      <c r="M79" s="83"/>
      <c r="N79" s="41" t="s">
        <v>881</v>
      </c>
      <c r="O79" s="41" t="s">
        <v>882</v>
      </c>
      <c r="P79" s="41"/>
      <c r="Q79" s="93" t="s">
        <v>92</v>
      </c>
      <c r="R79" s="67" t="s">
        <v>67</v>
      </c>
      <c r="S79" s="41"/>
      <c r="T79" s="60" t="s">
        <v>481</v>
      </c>
      <c r="U79" s="38" t="str">
        <f t="shared" si="24"/>
        <v>H4681020313A0</v>
      </c>
      <c r="V79" s="87" t="s">
        <v>480</v>
      </c>
      <c r="W79" s="60" t="s">
        <v>393</v>
      </c>
      <c r="X79" s="88" t="s">
        <v>93</v>
      </c>
      <c r="Y79" s="34" t="s">
        <v>169</v>
      </c>
      <c r="Z79" s="41" t="s">
        <v>877</v>
      </c>
      <c r="AA79" s="275" t="s">
        <v>878</v>
      </c>
      <c r="AB79" s="128" t="s">
        <v>64</v>
      </c>
      <c r="AC79" s="133">
        <v>0.448</v>
      </c>
      <c r="AD79" s="214" t="s">
        <v>109</v>
      </c>
      <c r="AE79" s="132" t="s">
        <v>110</v>
      </c>
      <c r="AF79" s="132">
        <f>234+6</f>
        <v>240</v>
      </c>
      <c r="AG79" s="132">
        <f>131+2.5</f>
        <v>133.5</v>
      </c>
      <c r="AH79" s="169" t="s">
        <v>241</v>
      </c>
      <c r="AI79" s="170">
        <f t="shared" si="25"/>
        <v>0.5036688</v>
      </c>
      <c r="AJ79" s="171">
        <f t="shared" si="26"/>
        <v>0.889473399980305</v>
      </c>
      <c r="AK79" s="271"/>
      <c r="AL79" s="271"/>
      <c r="AM79" s="288"/>
      <c r="AN79" s="297"/>
      <c r="AO79" s="214"/>
      <c r="AP79" s="38"/>
      <c r="AQ79" s="41">
        <v>1</v>
      </c>
      <c r="AR79" s="215">
        <v>1</v>
      </c>
    </row>
    <row r="80" ht="39.95" customHeight="1" spans="1:44">
      <c r="A80" s="35">
        <f t="shared" si="23"/>
        <v>71</v>
      </c>
      <c r="B80" s="34"/>
      <c r="C80" s="34"/>
      <c r="D80" s="34">
        <v>2</v>
      </c>
      <c r="E80" s="34"/>
      <c r="F80" s="34"/>
      <c r="G80" s="38"/>
      <c r="H80" s="38"/>
      <c r="I80" s="38"/>
      <c r="J80" s="38"/>
      <c r="K80" s="83"/>
      <c r="L80" s="83"/>
      <c r="M80" s="83"/>
      <c r="N80" s="41" t="s">
        <v>883</v>
      </c>
      <c r="O80" s="41" t="s">
        <v>884</v>
      </c>
      <c r="P80" s="41"/>
      <c r="Q80" s="93" t="s">
        <v>92</v>
      </c>
      <c r="R80" s="67" t="s">
        <v>67</v>
      </c>
      <c r="S80" s="41"/>
      <c r="T80" s="60" t="s">
        <v>481</v>
      </c>
      <c r="U80" s="38" t="str">
        <f t="shared" si="24"/>
        <v>H4681020314A0</v>
      </c>
      <c r="V80" s="87" t="s">
        <v>480</v>
      </c>
      <c r="W80" s="60" t="s">
        <v>393</v>
      </c>
      <c r="X80" s="88" t="s">
        <v>93</v>
      </c>
      <c r="Y80" s="34" t="s">
        <v>169</v>
      </c>
      <c r="Z80" s="41" t="s">
        <v>877</v>
      </c>
      <c r="AA80" s="275" t="s">
        <v>878</v>
      </c>
      <c r="AB80" s="128" t="s">
        <v>64</v>
      </c>
      <c r="AC80" s="133">
        <v>0.425</v>
      </c>
      <c r="AD80" s="214" t="s">
        <v>109</v>
      </c>
      <c r="AE80" s="132" t="s">
        <v>110</v>
      </c>
      <c r="AF80" s="132">
        <f>240+6</f>
        <v>246</v>
      </c>
      <c r="AG80" s="132">
        <f>140+2.5</f>
        <v>142.5</v>
      </c>
      <c r="AH80" s="169" t="s">
        <v>241</v>
      </c>
      <c r="AI80" s="170">
        <f t="shared" si="25"/>
        <v>0.5510646</v>
      </c>
      <c r="AJ80" s="171">
        <f t="shared" si="26"/>
        <v>0.771234443293944</v>
      </c>
      <c r="AK80" s="271"/>
      <c r="AL80" s="271"/>
      <c r="AM80" s="288"/>
      <c r="AN80" s="297"/>
      <c r="AO80" s="214"/>
      <c r="AP80" s="38"/>
      <c r="AQ80" s="41">
        <v>1</v>
      </c>
      <c r="AR80" s="215">
        <v>1</v>
      </c>
    </row>
    <row r="81" ht="39.95" customHeight="1" spans="1:44">
      <c r="A81" s="35">
        <f t="shared" ref="A81:A90" si="27">ROW()-9</f>
        <v>72</v>
      </c>
      <c r="B81" s="34"/>
      <c r="C81" s="34"/>
      <c r="D81" s="34">
        <v>2</v>
      </c>
      <c r="E81" s="34"/>
      <c r="F81" s="34"/>
      <c r="G81" s="38"/>
      <c r="H81" s="38"/>
      <c r="I81" s="38"/>
      <c r="J81" s="38"/>
      <c r="K81" s="83"/>
      <c r="L81" s="83"/>
      <c r="M81" s="83"/>
      <c r="N81" s="41" t="s">
        <v>885</v>
      </c>
      <c r="O81" s="41" t="s">
        <v>886</v>
      </c>
      <c r="P81" s="41"/>
      <c r="Q81" s="93" t="s">
        <v>92</v>
      </c>
      <c r="R81" s="67" t="s">
        <v>67</v>
      </c>
      <c r="S81" s="41"/>
      <c r="T81" s="60" t="s">
        <v>481</v>
      </c>
      <c r="U81" s="38" t="str">
        <f t="shared" si="24"/>
        <v>H4681020315A0</v>
      </c>
      <c r="V81" s="87" t="s">
        <v>480</v>
      </c>
      <c r="W81" s="60" t="s">
        <v>393</v>
      </c>
      <c r="X81" s="88" t="s">
        <v>93</v>
      </c>
      <c r="Y81" s="34" t="s">
        <v>887</v>
      </c>
      <c r="Z81" s="41" t="s">
        <v>888</v>
      </c>
      <c r="AA81" s="133" t="s">
        <v>853</v>
      </c>
      <c r="AB81" s="128" t="s">
        <v>64</v>
      </c>
      <c r="AC81" s="133">
        <v>0.614</v>
      </c>
      <c r="AD81" s="214" t="s">
        <v>109</v>
      </c>
      <c r="AE81" s="150" t="s">
        <v>233</v>
      </c>
      <c r="AF81" s="151">
        <f>AC81/1.677*1000+10</f>
        <v>376.129994036971</v>
      </c>
      <c r="AG81" s="151" t="s">
        <v>889</v>
      </c>
      <c r="AH81" s="151">
        <v>2</v>
      </c>
      <c r="AI81" s="184">
        <f>AF81*1.677/1000</f>
        <v>0.63077</v>
      </c>
      <c r="AJ81" s="185">
        <f t="shared" si="26"/>
        <v>0.973413447056772</v>
      </c>
      <c r="AK81" s="271"/>
      <c r="AL81" s="271"/>
      <c r="AM81" s="288"/>
      <c r="AN81" s="297"/>
      <c r="AO81" s="214"/>
      <c r="AP81" s="38"/>
      <c r="AQ81" s="41">
        <v>2</v>
      </c>
      <c r="AR81" s="215">
        <v>2</v>
      </c>
    </row>
    <row r="82" ht="39.95" customHeight="1" spans="1:44">
      <c r="A82" s="35">
        <f t="shared" si="27"/>
        <v>73</v>
      </c>
      <c r="B82" s="34"/>
      <c r="C82" s="34"/>
      <c r="D82" s="34">
        <v>2</v>
      </c>
      <c r="E82" s="34"/>
      <c r="F82" s="34"/>
      <c r="G82" s="38"/>
      <c r="H82" s="38"/>
      <c r="I82" s="38"/>
      <c r="J82" s="38"/>
      <c r="K82" s="83"/>
      <c r="L82" s="83"/>
      <c r="M82" s="83"/>
      <c r="N82" s="41" t="s">
        <v>890</v>
      </c>
      <c r="O82" s="41" t="s">
        <v>891</v>
      </c>
      <c r="P82" s="41"/>
      <c r="Q82" s="93" t="s">
        <v>92</v>
      </c>
      <c r="R82" s="67" t="s">
        <v>67</v>
      </c>
      <c r="S82" s="41"/>
      <c r="T82" s="60" t="s">
        <v>481</v>
      </c>
      <c r="U82" s="38" t="str">
        <f t="shared" si="24"/>
        <v>H4681020316A0</v>
      </c>
      <c r="V82" s="87" t="s">
        <v>480</v>
      </c>
      <c r="W82" s="60" t="s">
        <v>393</v>
      </c>
      <c r="X82" s="88" t="s">
        <v>93</v>
      </c>
      <c r="Y82" s="34" t="s">
        <v>887</v>
      </c>
      <c r="Z82" s="41" t="s">
        <v>892</v>
      </c>
      <c r="AA82" s="133" t="s">
        <v>853</v>
      </c>
      <c r="AB82" s="128" t="s">
        <v>64</v>
      </c>
      <c r="AC82" s="133">
        <v>0.397</v>
      </c>
      <c r="AD82" s="214" t="s">
        <v>109</v>
      </c>
      <c r="AE82" s="150" t="s">
        <v>233</v>
      </c>
      <c r="AF82" s="151">
        <f>AC82/1.09*1000+10</f>
        <v>374.220183486239</v>
      </c>
      <c r="AG82" s="151">
        <v>20</v>
      </c>
      <c r="AH82" s="151">
        <v>2</v>
      </c>
      <c r="AI82" s="184">
        <f>AF82*1.09/1000</f>
        <v>0.4079</v>
      </c>
      <c r="AJ82" s="185">
        <f t="shared" si="26"/>
        <v>0.973277764157882</v>
      </c>
      <c r="AK82" s="271"/>
      <c r="AL82" s="271"/>
      <c r="AM82" s="288"/>
      <c r="AN82" s="297"/>
      <c r="AO82" s="214"/>
      <c r="AP82" s="38"/>
      <c r="AQ82" s="41">
        <v>1</v>
      </c>
      <c r="AR82" s="215">
        <v>1</v>
      </c>
    </row>
    <row r="83" ht="39.95" customHeight="1" spans="1:44">
      <c r="A83" s="35">
        <f t="shared" si="27"/>
        <v>74</v>
      </c>
      <c r="B83" s="34"/>
      <c r="C83" s="34"/>
      <c r="D83" s="34">
        <v>2</v>
      </c>
      <c r="E83" s="34"/>
      <c r="F83" s="34"/>
      <c r="G83" s="38"/>
      <c r="H83" s="38"/>
      <c r="I83" s="38"/>
      <c r="J83" s="38"/>
      <c r="K83" s="69"/>
      <c r="L83" s="69"/>
      <c r="M83" s="69"/>
      <c r="N83" s="233" t="s">
        <v>893</v>
      </c>
      <c r="O83" s="234" t="s">
        <v>894</v>
      </c>
      <c r="P83" s="41"/>
      <c r="Q83" s="93" t="s">
        <v>92</v>
      </c>
      <c r="R83" s="67" t="s">
        <v>67</v>
      </c>
      <c r="S83" s="83"/>
      <c r="T83" s="60" t="s">
        <v>481</v>
      </c>
      <c r="U83" s="38" t="str">
        <f t="shared" si="24"/>
        <v>H4681010215A0</v>
      </c>
      <c r="V83" s="87" t="s">
        <v>480</v>
      </c>
      <c r="W83" s="60" t="s">
        <v>393</v>
      </c>
      <c r="X83" s="88" t="s">
        <v>93</v>
      </c>
      <c r="Y83" s="34" t="s">
        <v>895</v>
      </c>
      <c r="Z83" s="278" t="s">
        <v>896</v>
      </c>
      <c r="AA83" s="34"/>
      <c r="AB83" s="128" t="s">
        <v>64</v>
      </c>
      <c r="AC83" s="279">
        <v>0.029</v>
      </c>
      <c r="AD83" s="214" t="s">
        <v>109</v>
      </c>
      <c r="AE83" s="271"/>
      <c r="AF83" s="271"/>
      <c r="AG83" s="271"/>
      <c r="AH83" s="271"/>
      <c r="AI83" s="271"/>
      <c r="AJ83" s="271"/>
      <c r="AK83" s="271"/>
      <c r="AL83" s="271"/>
      <c r="AM83" s="186"/>
      <c r="AN83" s="186"/>
      <c r="AO83" s="214"/>
      <c r="AP83" s="38"/>
      <c r="AQ83" s="302">
        <v>2</v>
      </c>
      <c r="AR83" s="215">
        <v>2</v>
      </c>
    </row>
    <row r="84" ht="39.95" customHeight="1" spans="1:44">
      <c r="A84" s="35">
        <f t="shared" si="27"/>
        <v>75</v>
      </c>
      <c r="B84" s="34"/>
      <c r="C84" s="34"/>
      <c r="D84" s="34">
        <v>2</v>
      </c>
      <c r="E84" s="34"/>
      <c r="F84" s="34"/>
      <c r="G84" s="38"/>
      <c r="H84" s="38"/>
      <c r="I84" s="38"/>
      <c r="J84" s="38"/>
      <c r="K84" s="69"/>
      <c r="L84" s="69"/>
      <c r="M84" s="69"/>
      <c r="N84" s="41" t="s">
        <v>897</v>
      </c>
      <c r="O84" s="41" t="s">
        <v>898</v>
      </c>
      <c r="P84" s="41"/>
      <c r="Q84" s="93" t="s">
        <v>92</v>
      </c>
      <c r="R84" s="67" t="s">
        <v>67</v>
      </c>
      <c r="S84" s="41"/>
      <c r="T84" s="60" t="s">
        <v>481</v>
      </c>
      <c r="U84" s="38" t="str">
        <f t="shared" si="24"/>
        <v>H4681010216A0</v>
      </c>
      <c r="V84" s="87" t="s">
        <v>480</v>
      </c>
      <c r="W84" s="60" t="s">
        <v>393</v>
      </c>
      <c r="X84" s="88" t="s">
        <v>93</v>
      </c>
      <c r="Y84" s="34" t="s">
        <v>169</v>
      </c>
      <c r="Z84" s="41" t="s">
        <v>416</v>
      </c>
      <c r="AA84" s="133" t="s">
        <v>899</v>
      </c>
      <c r="AB84" s="128" t="s">
        <v>64</v>
      </c>
      <c r="AC84" s="133">
        <v>0.019</v>
      </c>
      <c r="AD84" s="214" t="s">
        <v>109</v>
      </c>
      <c r="AE84" s="132" t="s">
        <v>110</v>
      </c>
      <c r="AF84" s="132">
        <f>38+7</f>
        <v>45</v>
      </c>
      <c r="AG84" s="132">
        <f>30+3</f>
        <v>33</v>
      </c>
      <c r="AH84" s="169" t="s">
        <v>215</v>
      </c>
      <c r="AI84" s="170">
        <f t="shared" ref="AI84:AI89" si="28">AF84*AG84*AH84*7860/1000000000</f>
        <v>0.0350163</v>
      </c>
      <c r="AJ84" s="171">
        <f t="shared" ref="AJ84:AJ89" si="29">AC84/AI84</f>
        <v>0.542604444215979</v>
      </c>
      <c r="AK84" s="271"/>
      <c r="AL84" s="271"/>
      <c r="AM84" s="288"/>
      <c r="AN84" s="297"/>
      <c r="AO84" s="214"/>
      <c r="AP84" s="38"/>
      <c r="AQ84" s="41">
        <v>2</v>
      </c>
      <c r="AR84" s="215">
        <v>2</v>
      </c>
    </row>
    <row r="85" ht="39.95" customHeight="1" spans="1:44">
      <c r="A85" s="35">
        <f t="shared" si="27"/>
        <v>76</v>
      </c>
      <c r="B85" s="34"/>
      <c r="C85" s="34"/>
      <c r="D85" s="34">
        <v>2</v>
      </c>
      <c r="E85" s="34"/>
      <c r="F85" s="34"/>
      <c r="G85" s="38"/>
      <c r="H85" s="38"/>
      <c r="I85" s="38"/>
      <c r="J85" s="38"/>
      <c r="K85" s="69"/>
      <c r="L85" s="69"/>
      <c r="M85" s="69"/>
      <c r="N85" s="41" t="s">
        <v>900</v>
      </c>
      <c r="O85" s="41" t="s">
        <v>901</v>
      </c>
      <c r="P85" s="41"/>
      <c r="Q85" s="93" t="s">
        <v>92</v>
      </c>
      <c r="R85" s="67" t="s">
        <v>67</v>
      </c>
      <c r="S85" s="41"/>
      <c r="T85" s="60" t="s">
        <v>481</v>
      </c>
      <c r="U85" s="38" t="str">
        <f t="shared" si="24"/>
        <v>H4681010391A0</v>
      </c>
      <c r="V85" s="87" t="s">
        <v>480</v>
      </c>
      <c r="W85" s="60" t="s">
        <v>393</v>
      </c>
      <c r="X85" s="88" t="s">
        <v>93</v>
      </c>
      <c r="Y85" s="34" t="s">
        <v>169</v>
      </c>
      <c r="Z85" s="41" t="s">
        <v>902</v>
      </c>
      <c r="AA85" s="275" t="s">
        <v>903</v>
      </c>
      <c r="AB85" s="128" t="s">
        <v>64</v>
      </c>
      <c r="AC85" s="133">
        <v>0.269</v>
      </c>
      <c r="AD85" s="214" t="s">
        <v>109</v>
      </c>
      <c r="AE85" s="132" t="s">
        <v>110</v>
      </c>
      <c r="AF85" s="132">
        <f>138+8</f>
        <v>146</v>
      </c>
      <c r="AG85" s="132">
        <f>107+3.5</f>
        <v>110.5</v>
      </c>
      <c r="AH85" s="169" t="s">
        <v>904</v>
      </c>
      <c r="AI85" s="170">
        <f t="shared" si="28"/>
        <v>0.50722152</v>
      </c>
      <c r="AJ85" s="171">
        <f t="shared" si="29"/>
        <v>0.530340274206031</v>
      </c>
      <c r="AK85" s="271"/>
      <c r="AL85" s="271"/>
      <c r="AM85" s="288"/>
      <c r="AN85" s="297"/>
      <c r="AO85" s="214"/>
      <c r="AP85" s="38"/>
      <c r="AQ85" s="41">
        <v>1</v>
      </c>
      <c r="AR85" s="215">
        <v>1</v>
      </c>
    </row>
    <row r="86" ht="39.95" customHeight="1" spans="1:44">
      <c r="A86" s="35">
        <f t="shared" si="27"/>
        <v>77</v>
      </c>
      <c r="B86" s="34"/>
      <c r="C86" s="34"/>
      <c r="D86" s="34">
        <v>2</v>
      </c>
      <c r="E86" s="34"/>
      <c r="F86" s="34"/>
      <c r="G86" s="38"/>
      <c r="H86" s="38"/>
      <c r="I86" s="38"/>
      <c r="J86" s="38"/>
      <c r="K86" s="69"/>
      <c r="L86" s="69"/>
      <c r="M86" s="69"/>
      <c r="N86" s="41" t="s">
        <v>905</v>
      </c>
      <c r="O86" s="41" t="s">
        <v>906</v>
      </c>
      <c r="P86" s="41"/>
      <c r="Q86" s="93" t="s">
        <v>92</v>
      </c>
      <c r="R86" s="67" t="s">
        <v>67</v>
      </c>
      <c r="S86" s="41"/>
      <c r="T86" s="60" t="s">
        <v>481</v>
      </c>
      <c r="U86" s="41" t="s">
        <v>905</v>
      </c>
      <c r="V86" s="87" t="s">
        <v>480</v>
      </c>
      <c r="W86" s="60" t="s">
        <v>393</v>
      </c>
      <c r="X86" s="88" t="s">
        <v>93</v>
      </c>
      <c r="Y86" s="34" t="s">
        <v>117</v>
      </c>
      <c r="Z86" s="41"/>
      <c r="AA86" s="275"/>
      <c r="AB86" s="128"/>
      <c r="AC86" s="133"/>
      <c r="AD86" s="214"/>
      <c r="AE86" s="271"/>
      <c r="AF86" s="271"/>
      <c r="AG86" s="271"/>
      <c r="AH86" s="271"/>
      <c r="AI86" s="271"/>
      <c r="AJ86" s="271"/>
      <c r="AK86" s="271"/>
      <c r="AL86" s="271"/>
      <c r="AM86" s="288"/>
      <c r="AN86" s="297"/>
      <c r="AO86" s="214"/>
      <c r="AP86" s="38"/>
      <c r="AQ86" s="41">
        <v>2</v>
      </c>
      <c r="AR86" s="215">
        <v>2</v>
      </c>
    </row>
    <row r="87" ht="39.95" customHeight="1" spans="1:44">
      <c r="A87" s="35">
        <f t="shared" si="27"/>
        <v>78</v>
      </c>
      <c r="B87" s="34"/>
      <c r="C87" s="34"/>
      <c r="D87" s="34">
        <v>2</v>
      </c>
      <c r="E87" s="34"/>
      <c r="F87" s="34"/>
      <c r="G87" s="38"/>
      <c r="H87" s="38"/>
      <c r="I87" s="38"/>
      <c r="J87" s="38"/>
      <c r="K87" s="69"/>
      <c r="L87" s="69"/>
      <c r="M87" s="69"/>
      <c r="N87" s="41" t="s">
        <v>907</v>
      </c>
      <c r="O87" s="41" t="s">
        <v>908</v>
      </c>
      <c r="P87" s="41"/>
      <c r="Q87" s="93" t="s">
        <v>92</v>
      </c>
      <c r="R87" s="67" t="s">
        <v>67</v>
      </c>
      <c r="S87" s="41"/>
      <c r="T87" s="60" t="s">
        <v>481</v>
      </c>
      <c r="U87" s="38" t="s">
        <v>907</v>
      </c>
      <c r="V87" s="87" t="s">
        <v>480</v>
      </c>
      <c r="W87" s="60" t="s">
        <v>393</v>
      </c>
      <c r="X87" s="88" t="s">
        <v>93</v>
      </c>
      <c r="Y87" s="34" t="s">
        <v>117</v>
      </c>
      <c r="Z87" s="41"/>
      <c r="AA87" s="275"/>
      <c r="AB87" s="128"/>
      <c r="AC87" s="133"/>
      <c r="AD87" s="214"/>
      <c r="AE87" s="132"/>
      <c r="AF87" s="132"/>
      <c r="AG87" s="132"/>
      <c r="AH87" s="169"/>
      <c r="AI87" s="170"/>
      <c r="AJ87" s="171"/>
      <c r="AK87" s="271"/>
      <c r="AL87" s="271"/>
      <c r="AM87" s="288"/>
      <c r="AN87" s="297"/>
      <c r="AO87" s="214"/>
      <c r="AP87" s="38"/>
      <c r="AQ87" s="41">
        <v>2</v>
      </c>
      <c r="AR87" s="215">
        <v>2</v>
      </c>
    </row>
    <row r="88" ht="39.95" customHeight="1" spans="1:44">
      <c r="A88" s="35">
        <f t="shared" si="27"/>
        <v>79</v>
      </c>
      <c r="B88" s="34"/>
      <c r="C88" s="34"/>
      <c r="D88" s="34">
        <v>2</v>
      </c>
      <c r="E88" s="34"/>
      <c r="F88" s="34"/>
      <c r="G88" s="38"/>
      <c r="H88" s="38"/>
      <c r="I88" s="38"/>
      <c r="J88" s="38"/>
      <c r="K88" s="69"/>
      <c r="L88" s="69"/>
      <c r="M88" s="69"/>
      <c r="N88" s="41" t="s">
        <v>909</v>
      </c>
      <c r="O88" s="41" t="s">
        <v>910</v>
      </c>
      <c r="P88" s="41"/>
      <c r="Q88" s="93" t="s">
        <v>92</v>
      </c>
      <c r="R88" s="67" t="s">
        <v>67</v>
      </c>
      <c r="S88" s="41"/>
      <c r="T88" s="60" t="s">
        <v>481</v>
      </c>
      <c r="U88" s="38" t="str">
        <f>N88</f>
        <v>H4A-6901203</v>
      </c>
      <c r="V88" s="87" t="s">
        <v>480</v>
      </c>
      <c r="W88" s="60" t="s">
        <v>393</v>
      </c>
      <c r="X88" s="88" t="s">
        <v>93</v>
      </c>
      <c r="Y88" s="34" t="s">
        <v>169</v>
      </c>
      <c r="Z88" s="41" t="s">
        <v>860</v>
      </c>
      <c r="AA88" s="275" t="s">
        <v>911</v>
      </c>
      <c r="AB88" s="128" t="s">
        <v>64</v>
      </c>
      <c r="AC88" s="133">
        <v>0.325</v>
      </c>
      <c r="AD88" s="214" t="s">
        <v>109</v>
      </c>
      <c r="AE88" s="132" t="s">
        <v>110</v>
      </c>
      <c r="AF88" s="132">
        <f>200+8</f>
        <v>208</v>
      </c>
      <c r="AG88" s="132">
        <f>103+3</f>
        <v>106</v>
      </c>
      <c r="AH88" s="169" t="s">
        <v>215</v>
      </c>
      <c r="AI88" s="170">
        <f t="shared" si="28"/>
        <v>0.51989184</v>
      </c>
      <c r="AJ88" s="171">
        <f t="shared" si="29"/>
        <v>0.625130027045625</v>
      </c>
      <c r="AK88" s="271"/>
      <c r="AL88" s="271"/>
      <c r="AM88" s="288"/>
      <c r="AN88" s="297"/>
      <c r="AO88" s="214"/>
      <c r="AP88" s="38"/>
      <c r="AQ88" s="41">
        <v>1</v>
      </c>
      <c r="AR88" s="215">
        <v>1</v>
      </c>
    </row>
    <row r="89" ht="39.95" customHeight="1" spans="1:44">
      <c r="A89" s="35">
        <f t="shared" si="27"/>
        <v>80</v>
      </c>
      <c r="B89" s="34"/>
      <c r="C89" s="34"/>
      <c r="D89" s="34">
        <v>2</v>
      </c>
      <c r="E89" s="34"/>
      <c r="F89" s="34"/>
      <c r="G89" s="38"/>
      <c r="H89" s="38"/>
      <c r="I89" s="38"/>
      <c r="J89" s="38"/>
      <c r="K89" s="69"/>
      <c r="L89" s="69"/>
      <c r="M89" s="69"/>
      <c r="N89" s="41" t="s">
        <v>912</v>
      </c>
      <c r="O89" s="41" t="s">
        <v>913</v>
      </c>
      <c r="P89" s="41"/>
      <c r="Q89" s="93" t="s">
        <v>92</v>
      </c>
      <c r="R89" s="67" t="s">
        <v>67</v>
      </c>
      <c r="S89" s="41"/>
      <c r="T89" s="60" t="s">
        <v>481</v>
      </c>
      <c r="U89" s="38" t="str">
        <f>N89</f>
        <v>H4A-6901204</v>
      </c>
      <c r="V89" s="87" t="s">
        <v>480</v>
      </c>
      <c r="W89" s="60" t="s">
        <v>393</v>
      </c>
      <c r="X89" s="88" t="s">
        <v>93</v>
      </c>
      <c r="Y89" s="34" t="s">
        <v>169</v>
      </c>
      <c r="Z89" s="41" t="s">
        <v>860</v>
      </c>
      <c r="AA89" s="275" t="s">
        <v>911</v>
      </c>
      <c r="AB89" s="128" t="s">
        <v>64</v>
      </c>
      <c r="AC89" s="133">
        <v>0.354</v>
      </c>
      <c r="AD89" s="214" t="s">
        <v>109</v>
      </c>
      <c r="AE89" s="132" t="s">
        <v>110</v>
      </c>
      <c r="AF89" s="132">
        <f>182+8</f>
        <v>190</v>
      </c>
      <c r="AG89" s="132">
        <f>101+3</f>
        <v>104</v>
      </c>
      <c r="AH89" s="169" t="s">
        <v>215</v>
      </c>
      <c r="AI89" s="170">
        <f t="shared" si="28"/>
        <v>0.4659408</v>
      </c>
      <c r="AJ89" s="171">
        <f t="shared" si="29"/>
        <v>0.75975317035984</v>
      </c>
      <c r="AK89" s="271"/>
      <c r="AL89" s="271"/>
      <c r="AM89" s="288"/>
      <c r="AN89" s="288"/>
      <c r="AO89" s="214"/>
      <c r="AP89" s="38"/>
      <c r="AQ89" s="41">
        <v>1</v>
      </c>
      <c r="AR89" s="215">
        <v>1</v>
      </c>
    </row>
    <row r="90" ht="39.95" customHeight="1" spans="1:44">
      <c r="A90" s="35">
        <f t="shared" si="27"/>
        <v>81</v>
      </c>
      <c r="B90" s="34"/>
      <c r="C90" s="34"/>
      <c r="D90" s="34">
        <v>2</v>
      </c>
      <c r="E90" s="34"/>
      <c r="F90" s="34"/>
      <c r="G90" s="38"/>
      <c r="H90" s="38"/>
      <c r="I90" s="38"/>
      <c r="J90" s="38"/>
      <c r="K90" s="69"/>
      <c r="L90" s="69"/>
      <c r="M90" s="69"/>
      <c r="N90" s="83" t="s">
        <v>300</v>
      </c>
      <c r="O90" s="41" t="s">
        <v>914</v>
      </c>
      <c r="P90" s="83"/>
      <c r="Q90" s="93" t="s">
        <v>92</v>
      </c>
      <c r="R90" s="67" t="s">
        <v>67</v>
      </c>
      <c r="S90" s="70"/>
      <c r="T90" s="60" t="s">
        <v>481</v>
      </c>
      <c r="U90" s="38" t="str">
        <f>N90</f>
        <v>Q370C10</v>
      </c>
      <c r="V90" s="87" t="s">
        <v>480</v>
      </c>
      <c r="W90" s="60" t="s">
        <v>393</v>
      </c>
      <c r="X90" s="88" t="s">
        <v>93</v>
      </c>
      <c r="Y90" s="34" t="s">
        <v>117</v>
      </c>
      <c r="Z90" s="128" t="s">
        <v>64</v>
      </c>
      <c r="AA90" s="83" t="s">
        <v>267</v>
      </c>
      <c r="AB90" s="128" t="s">
        <v>64</v>
      </c>
      <c r="AC90" s="270" t="s">
        <v>64</v>
      </c>
      <c r="AD90" s="128" t="s">
        <v>64</v>
      </c>
      <c r="AE90" s="147"/>
      <c r="AF90" s="147"/>
      <c r="AG90" s="147"/>
      <c r="AH90" s="147"/>
      <c r="AI90" s="147"/>
      <c r="AJ90" s="147"/>
      <c r="AK90" s="147"/>
      <c r="AL90" s="147"/>
      <c r="AM90" s="190"/>
      <c r="AN90" s="190"/>
      <c r="AO90" s="214"/>
      <c r="AP90" s="38"/>
      <c r="AQ90" s="83">
        <v>4</v>
      </c>
      <c r="AR90" s="215">
        <v>4</v>
      </c>
    </row>
    <row r="91" ht="39.95" customHeight="1" spans="1:44">
      <c r="A91" s="35">
        <f t="shared" ref="A91:A100" si="30">ROW()-9</f>
        <v>82</v>
      </c>
      <c r="B91" s="44"/>
      <c r="C91" s="44"/>
      <c r="D91" s="45">
        <v>2</v>
      </c>
      <c r="E91" s="45"/>
      <c r="F91" s="45"/>
      <c r="G91" s="45"/>
      <c r="H91" s="45"/>
      <c r="I91" s="45"/>
      <c r="J91" s="45"/>
      <c r="K91" s="69"/>
      <c r="L91" s="69"/>
      <c r="M91" s="69"/>
      <c r="N91" s="34" t="s">
        <v>283</v>
      </c>
      <c r="O91" s="34" t="s">
        <v>764</v>
      </c>
      <c r="P91" s="34" t="s">
        <v>117</v>
      </c>
      <c r="Q91" s="34" t="s">
        <v>225</v>
      </c>
      <c r="R91" s="67" t="s">
        <v>67</v>
      </c>
      <c r="S91" s="34"/>
      <c r="T91" s="34" t="s">
        <v>66</v>
      </c>
      <c r="U91" s="34" t="s">
        <v>765</v>
      </c>
      <c r="V91" s="34" t="s">
        <v>66</v>
      </c>
      <c r="W91" s="34" t="s">
        <v>69</v>
      </c>
      <c r="X91" s="34" t="s">
        <v>68</v>
      </c>
      <c r="Y91" s="34" t="s">
        <v>271</v>
      </c>
      <c r="Z91" s="34" t="s">
        <v>64</v>
      </c>
      <c r="AA91" s="34" t="s">
        <v>285</v>
      </c>
      <c r="AB91" s="34" t="s">
        <v>64</v>
      </c>
      <c r="AC91" s="134">
        <v>0.0104</v>
      </c>
      <c r="AD91" s="61"/>
      <c r="AE91" s="148"/>
      <c r="AF91" s="148"/>
      <c r="AG91" s="148"/>
      <c r="AH91" s="148"/>
      <c r="AI91" s="148"/>
      <c r="AJ91" s="148"/>
      <c r="AK91" s="148"/>
      <c r="AL91" s="148"/>
      <c r="AM91" s="186"/>
      <c r="AN91" s="186"/>
      <c r="AO91" s="214"/>
      <c r="AP91" s="38"/>
      <c r="AQ91" s="41">
        <v>2</v>
      </c>
      <c r="AR91" s="215">
        <v>2</v>
      </c>
    </row>
    <row r="92" ht="39.95" customHeight="1" spans="1:44">
      <c r="A92" s="35">
        <f t="shared" si="30"/>
        <v>83</v>
      </c>
      <c r="B92" s="34"/>
      <c r="C92" s="34"/>
      <c r="D92" s="34">
        <v>2</v>
      </c>
      <c r="E92" s="34"/>
      <c r="F92" s="34"/>
      <c r="G92" s="38"/>
      <c r="H92" s="38"/>
      <c r="I92" s="38"/>
      <c r="J92" s="38"/>
      <c r="K92" s="69"/>
      <c r="L92" s="69"/>
      <c r="M92" s="69"/>
      <c r="N92" s="41" t="s">
        <v>915</v>
      </c>
      <c r="O92" s="41" t="s">
        <v>916</v>
      </c>
      <c r="P92" s="83"/>
      <c r="Q92" s="93" t="s">
        <v>66</v>
      </c>
      <c r="R92" s="67" t="s">
        <v>67</v>
      </c>
      <c r="S92" s="70"/>
      <c r="T92" s="60" t="s">
        <v>481</v>
      </c>
      <c r="U92" s="38" t="str">
        <f>N92</f>
        <v>H4A-6901215</v>
      </c>
      <c r="V92" s="87" t="s">
        <v>480</v>
      </c>
      <c r="W92" s="60" t="s">
        <v>393</v>
      </c>
      <c r="X92" s="88" t="s">
        <v>93</v>
      </c>
      <c r="Y92" s="34" t="s">
        <v>79</v>
      </c>
      <c r="Z92" s="280" t="s">
        <v>71</v>
      </c>
      <c r="AA92" s="128" t="s">
        <v>64</v>
      </c>
      <c r="AB92" s="128" t="s">
        <v>64</v>
      </c>
      <c r="AC92" s="270" t="s">
        <v>64</v>
      </c>
      <c r="AD92" s="128" t="s">
        <v>64</v>
      </c>
      <c r="AE92" s="147" t="s">
        <v>200</v>
      </c>
      <c r="AF92" s="147"/>
      <c r="AG92" s="147"/>
      <c r="AH92" s="147"/>
      <c r="AI92" s="147"/>
      <c r="AJ92" s="147"/>
      <c r="AK92" s="147"/>
      <c r="AL92" s="147"/>
      <c r="AM92" s="190"/>
      <c r="AN92" s="190"/>
      <c r="AO92" s="214"/>
      <c r="AP92" s="38"/>
      <c r="AQ92" s="83">
        <v>1</v>
      </c>
      <c r="AR92" s="215">
        <v>1</v>
      </c>
    </row>
    <row r="93" ht="39.95" customHeight="1" spans="1:44">
      <c r="A93" s="35">
        <f t="shared" si="30"/>
        <v>84</v>
      </c>
      <c r="B93" s="34"/>
      <c r="C93" s="34"/>
      <c r="D93" s="34"/>
      <c r="E93" s="34">
        <v>3</v>
      </c>
      <c r="F93" s="34"/>
      <c r="G93" s="38"/>
      <c r="H93" s="38"/>
      <c r="I93" s="38"/>
      <c r="J93" s="38"/>
      <c r="K93" s="69"/>
      <c r="L93" s="69"/>
      <c r="M93" s="69"/>
      <c r="N93" s="41" t="s">
        <v>917</v>
      </c>
      <c r="O93" s="41" t="s">
        <v>918</v>
      </c>
      <c r="P93" s="41"/>
      <c r="Q93" s="93" t="s">
        <v>66</v>
      </c>
      <c r="R93" s="67" t="s">
        <v>67</v>
      </c>
      <c r="S93" s="69"/>
      <c r="T93" s="60" t="s">
        <v>481</v>
      </c>
      <c r="U93" s="38" t="str">
        <f>N93</f>
        <v>H4A-6901205</v>
      </c>
      <c r="V93" s="87" t="s">
        <v>480</v>
      </c>
      <c r="W93" s="60" t="s">
        <v>393</v>
      </c>
      <c r="X93" s="88" t="s">
        <v>93</v>
      </c>
      <c r="Y93" s="34" t="s">
        <v>169</v>
      </c>
      <c r="Z93" s="41" t="s">
        <v>860</v>
      </c>
      <c r="AA93" s="275" t="s">
        <v>911</v>
      </c>
      <c r="AB93" s="128" t="s">
        <v>64</v>
      </c>
      <c r="AC93" s="273">
        <v>0.195</v>
      </c>
      <c r="AD93" s="214" t="s">
        <v>109</v>
      </c>
      <c r="AE93" s="132" t="s">
        <v>110</v>
      </c>
      <c r="AF93" s="132">
        <f>131+8</f>
        <v>139</v>
      </c>
      <c r="AG93" s="132">
        <f>88+3</f>
        <v>91</v>
      </c>
      <c r="AH93" s="169" t="s">
        <v>215</v>
      </c>
      <c r="AI93" s="170">
        <f t="shared" ref="AI93:AI98" si="31">AF93*AG93*AH93*7860/1000000000</f>
        <v>0.29826342</v>
      </c>
      <c r="AJ93" s="171">
        <f t="shared" ref="AJ93:AJ98" si="32">AC93/AI93</f>
        <v>0.653784496938981</v>
      </c>
      <c r="AK93" s="271"/>
      <c r="AL93" s="271"/>
      <c r="AM93" s="190"/>
      <c r="AN93" s="190"/>
      <c r="AO93" s="214"/>
      <c r="AP93" s="38"/>
      <c r="AQ93" s="83">
        <v>1</v>
      </c>
      <c r="AR93" s="215">
        <v>1</v>
      </c>
    </row>
    <row r="94" ht="39.95" customHeight="1" spans="1:44">
      <c r="A94" s="35">
        <f t="shared" si="30"/>
        <v>85</v>
      </c>
      <c r="B94" s="34"/>
      <c r="C94" s="34"/>
      <c r="D94" s="34"/>
      <c r="E94" s="34">
        <v>3</v>
      </c>
      <c r="F94" s="34"/>
      <c r="G94" s="38"/>
      <c r="H94" s="38"/>
      <c r="I94" s="38"/>
      <c r="J94" s="38"/>
      <c r="K94" s="69"/>
      <c r="L94" s="69"/>
      <c r="M94" s="69"/>
      <c r="N94" s="41" t="s">
        <v>919</v>
      </c>
      <c r="O94" s="41" t="s">
        <v>920</v>
      </c>
      <c r="P94" s="41"/>
      <c r="Q94" s="93" t="s">
        <v>66</v>
      </c>
      <c r="R94" s="67" t="s">
        <v>67</v>
      </c>
      <c r="S94" s="69"/>
      <c r="T94" s="60" t="s">
        <v>481</v>
      </c>
      <c r="U94" s="38" t="s">
        <v>919</v>
      </c>
      <c r="V94" s="87" t="s">
        <v>480</v>
      </c>
      <c r="W94" s="60" t="s">
        <v>393</v>
      </c>
      <c r="X94" s="88" t="s">
        <v>93</v>
      </c>
      <c r="Y94" s="34"/>
      <c r="Z94" s="41"/>
      <c r="AA94" s="275"/>
      <c r="AB94" s="128"/>
      <c r="AC94" s="273"/>
      <c r="AD94" s="214"/>
      <c r="AE94" s="271"/>
      <c r="AF94" s="271"/>
      <c r="AG94" s="271"/>
      <c r="AH94" s="271"/>
      <c r="AI94" s="271"/>
      <c r="AJ94" s="271"/>
      <c r="AK94" s="271"/>
      <c r="AL94" s="271"/>
      <c r="AM94" s="190"/>
      <c r="AN94" s="190"/>
      <c r="AO94" s="214"/>
      <c r="AP94" s="38"/>
      <c r="AQ94" s="83">
        <v>1</v>
      </c>
      <c r="AR94" s="215">
        <v>1</v>
      </c>
    </row>
    <row r="95" s="3" customFormat="1" ht="39.95" customHeight="1" spans="1:44">
      <c r="A95" s="35">
        <f t="shared" si="30"/>
        <v>86</v>
      </c>
      <c r="B95" s="34"/>
      <c r="C95" s="34"/>
      <c r="D95" s="34"/>
      <c r="E95" s="34">
        <v>3</v>
      </c>
      <c r="F95" s="34"/>
      <c r="G95" s="38"/>
      <c r="H95" s="38"/>
      <c r="I95" s="38"/>
      <c r="J95" s="38"/>
      <c r="K95" s="69"/>
      <c r="L95" s="69"/>
      <c r="M95" s="69"/>
      <c r="N95" s="41" t="s">
        <v>921</v>
      </c>
      <c r="O95" s="41" t="s">
        <v>922</v>
      </c>
      <c r="P95" s="41"/>
      <c r="Q95" s="93" t="s">
        <v>92</v>
      </c>
      <c r="R95" s="33" t="s">
        <v>67</v>
      </c>
      <c r="S95" s="70"/>
      <c r="T95" s="60" t="s">
        <v>481</v>
      </c>
      <c r="U95" s="38" t="str">
        <f t="shared" ref="U95:U100" si="33">N95</f>
        <v>Q32608</v>
      </c>
      <c r="V95" s="87" t="s">
        <v>480</v>
      </c>
      <c r="W95" s="60" t="s">
        <v>393</v>
      </c>
      <c r="X95" s="88" t="s">
        <v>93</v>
      </c>
      <c r="Y95" s="34" t="s">
        <v>117</v>
      </c>
      <c r="Z95" s="41" t="s">
        <v>64</v>
      </c>
      <c r="AA95" s="34" t="s">
        <v>923</v>
      </c>
      <c r="AB95" s="128" t="s">
        <v>64</v>
      </c>
      <c r="AC95" s="273"/>
      <c r="AD95" s="128" t="s">
        <v>924</v>
      </c>
      <c r="AE95" s="147"/>
      <c r="AF95" s="147"/>
      <c r="AG95" s="147"/>
      <c r="AH95" s="147"/>
      <c r="AI95" s="147"/>
      <c r="AJ95" s="147"/>
      <c r="AK95" s="147"/>
      <c r="AL95" s="147"/>
      <c r="AM95" s="190"/>
      <c r="AN95" s="190"/>
      <c r="AO95" s="214"/>
      <c r="AP95" s="38"/>
      <c r="AQ95" s="83">
        <v>1</v>
      </c>
      <c r="AR95" s="215">
        <v>1</v>
      </c>
    </row>
    <row r="96" ht="39.95" customHeight="1" spans="1:44">
      <c r="A96" s="35">
        <f t="shared" si="30"/>
        <v>87</v>
      </c>
      <c r="B96" s="34"/>
      <c r="C96" s="34"/>
      <c r="D96" s="34"/>
      <c r="E96" s="34">
        <v>3</v>
      </c>
      <c r="F96" s="34"/>
      <c r="G96" s="38"/>
      <c r="H96" s="38"/>
      <c r="I96" s="38"/>
      <c r="J96" s="38"/>
      <c r="K96" s="69"/>
      <c r="L96" s="69"/>
      <c r="M96" s="69"/>
      <c r="N96" s="41" t="s">
        <v>925</v>
      </c>
      <c r="O96" s="41" t="s">
        <v>926</v>
      </c>
      <c r="P96" s="41"/>
      <c r="Q96" s="93" t="s">
        <v>92</v>
      </c>
      <c r="R96" s="67" t="s">
        <v>67</v>
      </c>
      <c r="S96" s="41"/>
      <c r="T96" s="60" t="s">
        <v>481</v>
      </c>
      <c r="U96" s="38" t="str">
        <f t="shared" si="33"/>
        <v>H4681021412A0</v>
      </c>
      <c r="V96" s="87" t="s">
        <v>480</v>
      </c>
      <c r="W96" s="60" t="s">
        <v>393</v>
      </c>
      <c r="X96" s="88" t="s">
        <v>93</v>
      </c>
      <c r="Y96" s="34" t="s">
        <v>169</v>
      </c>
      <c r="Z96" s="41" t="s">
        <v>927</v>
      </c>
      <c r="AA96" s="41" t="s">
        <v>64</v>
      </c>
      <c r="AB96" s="128" t="s">
        <v>64</v>
      </c>
      <c r="AC96" s="133">
        <v>0.025</v>
      </c>
      <c r="AD96" s="128"/>
      <c r="AE96" s="132" t="s">
        <v>110</v>
      </c>
      <c r="AF96" s="132">
        <f>50+10</f>
        <v>60</v>
      </c>
      <c r="AG96" s="132">
        <f>17+4</f>
        <v>21</v>
      </c>
      <c r="AH96" s="169" t="s">
        <v>928</v>
      </c>
      <c r="AI96" s="170">
        <f t="shared" si="31"/>
        <v>0.049518</v>
      </c>
      <c r="AJ96" s="171">
        <f t="shared" si="32"/>
        <v>0.504866917080658</v>
      </c>
      <c r="AK96" s="147"/>
      <c r="AL96" s="147"/>
      <c r="AM96" s="288"/>
      <c r="AN96" s="288"/>
      <c r="AO96" s="214"/>
      <c r="AP96" s="38"/>
      <c r="AQ96" s="41">
        <v>1</v>
      </c>
      <c r="AR96" s="215">
        <v>1</v>
      </c>
    </row>
    <row r="97" ht="39.95" customHeight="1" spans="1:44">
      <c r="A97" s="35">
        <f t="shared" si="30"/>
        <v>88</v>
      </c>
      <c r="B97" s="34"/>
      <c r="C97" s="34"/>
      <c r="D97" s="34"/>
      <c r="E97" s="34">
        <v>3</v>
      </c>
      <c r="F97" s="34"/>
      <c r="G97" s="38"/>
      <c r="H97" s="38"/>
      <c r="I97" s="38"/>
      <c r="J97" s="38"/>
      <c r="K97" s="69"/>
      <c r="L97" s="69"/>
      <c r="M97" s="69"/>
      <c r="N97" s="41" t="s">
        <v>929</v>
      </c>
      <c r="O97" s="41" t="s">
        <v>930</v>
      </c>
      <c r="P97" s="41"/>
      <c r="Q97" s="93" t="s">
        <v>92</v>
      </c>
      <c r="R97" s="67" t="s">
        <v>67</v>
      </c>
      <c r="S97" s="41"/>
      <c r="T97" s="60" t="s">
        <v>481</v>
      </c>
      <c r="U97" s="38" t="str">
        <f t="shared" si="33"/>
        <v>H4681021401A0</v>
      </c>
      <c r="V97" s="87" t="s">
        <v>480</v>
      </c>
      <c r="W97" s="60" t="s">
        <v>393</v>
      </c>
      <c r="X97" s="88" t="s">
        <v>93</v>
      </c>
      <c r="Y97" s="34" t="s">
        <v>117</v>
      </c>
      <c r="Z97" s="41" t="s">
        <v>931</v>
      </c>
      <c r="AA97" s="41" t="s">
        <v>64</v>
      </c>
      <c r="AB97" s="128" t="s">
        <v>64</v>
      </c>
      <c r="AC97" s="133">
        <v>0.002</v>
      </c>
      <c r="AD97" s="128"/>
      <c r="AE97" s="147"/>
      <c r="AF97" s="147"/>
      <c r="AG97" s="147"/>
      <c r="AH97" s="147"/>
      <c r="AI97" s="147"/>
      <c r="AJ97" s="147"/>
      <c r="AK97" s="147"/>
      <c r="AL97" s="147"/>
      <c r="AM97" s="288"/>
      <c r="AN97" s="297"/>
      <c r="AO97" s="214"/>
      <c r="AP97" s="38"/>
      <c r="AQ97" s="41">
        <v>1</v>
      </c>
      <c r="AR97" s="215">
        <v>1</v>
      </c>
    </row>
    <row r="98" ht="39.95" customHeight="1" spans="1:44">
      <c r="A98" s="35">
        <f t="shared" si="30"/>
        <v>89</v>
      </c>
      <c r="B98" s="34"/>
      <c r="C98" s="34"/>
      <c r="D98" s="34">
        <v>2</v>
      </c>
      <c r="E98" s="34"/>
      <c r="F98" s="34"/>
      <c r="G98" s="38"/>
      <c r="H98" s="38"/>
      <c r="I98" s="38"/>
      <c r="J98" s="38"/>
      <c r="K98" s="69"/>
      <c r="L98" s="69"/>
      <c r="M98" s="69"/>
      <c r="N98" s="41" t="s">
        <v>932</v>
      </c>
      <c r="O98" s="41" t="s">
        <v>933</v>
      </c>
      <c r="P98" s="41"/>
      <c r="Q98" s="93" t="s">
        <v>92</v>
      </c>
      <c r="R98" s="67" t="s">
        <v>67</v>
      </c>
      <c r="S98" s="70"/>
      <c r="T98" s="60" t="s">
        <v>481</v>
      </c>
      <c r="U98" s="38" t="str">
        <f t="shared" si="33"/>
        <v>H4A-6901207</v>
      </c>
      <c r="V98" s="87" t="s">
        <v>480</v>
      </c>
      <c r="W98" s="60" t="s">
        <v>393</v>
      </c>
      <c r="X98" s="88" t="s">
        <v>93</v>
      </c>
      <c r="Y98" s="34" t="s">
        <v>169</v>
      </c>
      <c r="Z98" s="41" t="s">
        <v>860</v>
      </c>
      <c r="AA98" s="275" t="s">
        <v>911</v>
      </c>
      <c r="AB98" s="128" t="s">
        <v>64</v>
      </c>
      <c r="AC98" s="273">
        <v>0.106</v>
      </c>
      <c r="AD98" s="128"/>
      <c r="AE98" s="132" t="s">
        <v>110</v>
      </c>
      <c r="AF98" s="132">
        <f>129+8</f>
        <v>137</v>
      </c>
      <c r="AG98" s="132">
        <f>45+3</f>
        <v>48</v>
      </c>
      <c r="AH98" s="169" t="s">
        <v>215</v>
      </c>
      <c r="AI98" s="170">
        <f t="shared" si="31"/>
        <v>0.15506208</v>
      </c>
      <c r="AJ98" s="171">
        <f t="shared" si="32"/>
        <v>0.683597176047168</v>
      </c>
      <c r="AK98" s="147"/>
      <c r="AL98" s="147"/>
      <c r="AM98" s="190"/>
      <c r="AN98" s="298"/>
      <c r="AO98" s="214"/>
      <c r="AP98" s="38"/>
      <c r="AQ98" s="83">
        <v>1</v>
      </c>
      <c r="AR98" s="215">
        <v>1</v>
      </c>
    </row>
    <row r="99" ht="39.95" customHeight="1" spans="1:44">
      <c r="A99" s="35">
        <f t="shared" si="30"/>
        <v>90</v>
      </c>
      <c r="B99" s="34"/>
      <c r="C99" s="34">
        <v>1</v>
      </c>
      <c r="D99" s="34"/>
      <c r="E99" s="34"/>
      <c r="F99" s="34"/>
      <c r="G99" s="38"/>
      <c r="H99" s="38"/>
      <c r="I99" s="38"/>
      <c r="J99" s="38"/>
      <c r="K99" s="69"/>
      <c r="L99" s="69"/>
      <c r="M99" s="69" t="s">
        <v>934</v>
      </c>
      <c r="N99" s="41" t="s">
        <v>935</v>
      </c>
      <c r="O99" s="41" t="s">
        <v>392</v>
      </c>
      <c r="P99" s="41"/>
      <c r="Q99" s="93" t="s">
        <v>480</v>
      </c>
      <c r="R99" s="67" t="s">
        <v>67</v>
      </c>
      <c r="S99" s="41"/>
      <c r="T99" s="60" t="s">
        <v>481</v>
      </c>
      <c r="U99" s="38" t="str">
        <f t="shared" si="33"/>
        <v>H4A-6905100</v>
      </c>
      <c r="V99" s="87" t="s">
        <v>480</v>
      </c>
      <c r="W99" s="60" t="s">
        <v>393</v>
      </c>
      <c r="X99" s="88" t="s">
        <v>93</v>
      </c>
      <c r="Y99" s="34" t="s">
        <v>79</v>
      </c>
      <c r="Z99" s="41" t="s">
        <v>64</v>
      </c>
      <c r="AA99" s="41" t="s">
        <v>64</v>
      </c>
      <c r="AB99" s="128" t="s">
        <v>64</v>
      </c>
      <c r="AC99" s="133"/>
      <c r="AD99" s="128" t="s">
        <v>109</v>
      </c>
      <c r="AE99" s="147" t="s">
        <v>200</v>
      </c>
      <c r="AF99" s="147"/>
      <c r="AG99" s="147"/>
      <c r="AH99" s="147"/>
      <c r="AI99" s="147"/>
      <c r="AJ99" s="147"/>
      <c r="AK99" s="147"/>
      <c r="AL99" s="147" t="s">
        <v>936</v>
      </c>
      <c r="AM99" s="172" t="s">
        <v>74</v>
      </c>
      <c r="AN99" s="172" t="s">
        <v>201</v>
      </c>
      <c r="AO99" s="214"/>
      <c r="AP99" s="38"/>
      <c r="AQ99" s="83">
        <v>1</v>
      </c>
      <c r="AR99" s="215">
        <v>1</v>
      </c>
    </row>
    <row r="100" ht="39.95" customHeight="1" spans="1:44">
      <c r="A100" s="35">
        <f t="shared" si="30"/>
        <v>91</v>
      </c>
      <c r="B100" s="34"/>
      <c r="C100" s="34"/>
      <c r="D100" s="34">
        <v>2</v>
      </c>
      <c r="E100" s="34"/>
      <c r="F100" s="34"/>
      <c r="G100" s="38"/>
      <c r="H100" s="38"/>
      <c r="I100" s="38"/>
      <c r="J100" s="38"/>
      <c r="K100" s="69"/>
      <c r="L100" s="69"/>
      <c r="M100" s="235"/>
      <c r="N100" s="83" t="s">
        <v>937</v>
      </c>
      <c r="O100" s="83" t="s">
        <v>395</v>
      </c>
      <c r="P100" s="83"/>
      <c r="Q100" s="93" t="s">
        <v>480</v>
      </c>
      <c r="R100" s="67" t="s">
        <v>67</v>
      </c>
      <c r="S100" s="70"/>
      <c r="T100" s="60" t="s">
        <v>481</v>
      </c>
      <c r="U100" s="38" t="str">
        <f t="shared" si="33"/>
        <v>H4A-6905117</v>
      </c>
      <c r="V100" s="87" t="s">
        <v>480</v>
      </c>
      <c r="W100" s="60" t="s">
        <v>393</v>
      </c>
      <c r="X100" s="88" t="s">
        <v>93</v>
      </c>
      <c r="Y100" s="34" t="s">
        <v>748</v>
      </c>
      <c r="Z100" s="41" t="s">
        <v>64</v>
      </c>
      <c r="AA100" s="41" t="s">
        <v>64</v>
      </c>
      <c r="AB100" s="128" t="s">
        <v>64</v>
      </c>
      <c r="AC100" s="231"/>
      <c r="AD100" s="128"/>
      <c r="AE100" s="147" t="s">
        <v>200</v>
      </c>
      <c r="AF100" s="147"/>
      <c r="AG100" s="147"/>
      <c r="AH100" s="147"/>
      <c r="AI100" s="147"/>
      <c r="AJ100" s="147"/>
      <c r="AK100" s="147"/>
      <c r="AL100" s="147"/>
      <c r="AM100" s="172" t="s">
        <v>80</v>
      </c>
      <c r="AN100" s="172"/>
      <c r="AO100" s="214"/>
      <c r="AP100" s="38"/>
      <c r="AQ100" s="83">
        <v>1</v>
      </c>
      <c r="AR100" s="215">
        <v>1</v>
      </c>
    </row>
    <row r="101" s="6" customFormat="1" ht="45" customHeight="1" spans="1:44">
      <c r="A101" s="35">
        <f t="shared" ref="A101:A110" si="34">ROW()-9</f>
        <v>92</v>
      </c>
      <c r="B101" s="225"/>
      <c r="C101" s="226"/>
      <c r="D101" s="226"/>
      <c r="E101" s="227">
        <v>3</v>
      </c>
      <c r="F101" s="226"/>
      <c r="G101" s="226"/>
      <c r="H101" s="226"/>
      <c r="I101" s="226"/>
      <c r="J101" s="226"/>
      <c r="K101" s="226"/>
      <c r="L101" s="236"/>
      <c r="M101" s="237" t="s">
        <v>462</v>
      </c>
      <c r="N101" s="238"/>
      <c r="O101" s="239" t="s">
        <v>463</v>
      </c>
      <c r="P101" s="236"/>
      <c r="Q101" s="236"/>
      <c r="R101" s="241" t="s">
        <v>67</v>
      </c>
      <c r="S101" s="241"/>
      <c r="T101" s="241" t="s">
        <v>66</v>
      </c>
      <c r="U101" s="241" t="s">
        <v>64</v>
      </c>
      <c r="V101" s="236" t="s">
        <v>66</v>
      </c>
      <c r="W101" s="236" t="s">
        <v>69</v>
      </c>
      <c r="X101" s="236" t="s">
        <v>393</v>
      </c>
      <c r="Y101" s="236" t="s">
        <v>280</v>
      </c>
      <c r="Z101" s="236" t="s">
        <v>71</v>
      </c>
      <c r="AA101" s="236" t="s">
        <v>64</v>
      </c>
      <c r="AB101" s="236"/>
      <c r="AC101" s="236" t="s">
        <v>64</v>
      </c>
      <c r="AD101" s="236" t="s">
        <v>109</v>
      </c>
      <c r="AE101" s="143" t="s">
        <v>109</v>
      </c>
      <c r="AF101" s="143"/>
      <c r="AG101" s="143"/>
      <c r="AH101" s="143"/>
      <c r="AI101" s="143"/>
      <c r="AJ101" s="143"/>
      <c r="AK101" s="143"/>
      <c r="AL101" s="143">
        <v>0.034</v>
      </c>
      <c r="AM101" s="299" t="s">
        <v>74</v>
      </c>
      <c r="AN101" s="299" t="s">
        <v>196</v>
      </c>
      <c r="AO101" s="236"/>
      <c r="AP101" s="236"/>
      <c r="AQ101" s="236">
        <v>1</v>
      </c>
      <c r="AR101" s="303">
        <v>1</v>
      </c>
    </row>
    <row r="102" s="7" customFormat="1" ht="39.95" customHeight="1" spans="1:44">
      <c r="A102" s="35">
        <f t="shared" si="34"/>
        <v>93</v>
      </c>
      <c r="B102" s="34"/>
      <c r="C102" s="34"/>
      <c r="D102" s="34"/>
      <c r="E102" s="227"/>
      <c r="F102" s="226">
        <v>4</v>
      </c>
      <c r="G102" s="226"/>
      <c r="H102" s="38"/>
      <c r="I102" s="38"/>
      <c r="J102" s="38"/>
      <c r="K102" s="69"/>
      <c r="L102" s="69"/>
      <c r="M102" s="238" t="s">
        <v>464</v>
      </c>
      <c r="N102" s="238"/>
      <c r="O102" s="240" t="s">
        <v>465</v>
      </c>
      <c r="P102" s="236"/>
      <c r="Q102" s="236"/>
      <c r="R102" s="241" t="s">
        <v>67</v>
      </c>
      <c r="S102" s="241"/>
      <c r="T102" s="241" t="s">
        <v>66</v>
      </c>
      <c r="U102" s="241" t="s">
        <v>64</v>
      </c>
      <c r="V102" s="236" t="s">
        <v>66</v>
      </c>
      <c r="W102" s="236" t="s">
        <v>69</v>
      </c>
      <c r="X102" s="236" t="s">
        <v>393</v>
      </c>
      <c r="Y102" s="236" t="s">
        <v>280</v>
      </c>
      <c r="Z102" s="236" t="s">
        <v>71</v>
      </c>
      <c r="AA102" s="236" t="s">
        <v>64</v>
      </c>
      <c r="AB102" s="236"/>
      <c r="AC102" s="236" t="s">
        <v>64</v>
      </c>
      <c r="AD102" s="236" t="s">
        <v>109</v>
      </c>
      <c r="AE102" s="147" t="s">
        <v>200</v>
      </c>
      <c r="AF102" s="147"/>
      <c r="AG102" s="147"/>
      <c r="AH102" s="147"/>
      <c r="AI102" s="147"/>
      <c r="AJ102" s="147"/>
      <c r="AK102" s="147"/>
      <c r="AL102" s="147"/>
      <c r="AM102" s="172" t="s">
        <v>100</v>
      </c>
      <c r="AN102" s="172" t="s">
        <v>407</v>
      </c>
      <c r="AO102" s="214"/>
      <c r="AP102" s="38"/>
      <c r="AQ102" s="83">
        <v>1</v>
      </c>
      <c r="AR102" s="215">
        <v>1</v>
      </c>
    </row>
    <row r="103" s="7" customFormat="1" ht="39.95" customHeight="1" spans="1:44">
      <c r="A103" s="35">
        <f t="shared" si="34"/>
        <v>94</v>
      </c>
      <c r="B103" s="34"/>
      <c r="C103" s="34"/>
      <c r="D103" s="34"/>
      <c r="E103" s="228"/>
      <c r="F103" s="229"/>
      <c r="G103" s="229">
        <v>5</v>
      </c>
      <c r="H103" s="38"/>
      <c r="I103" s="38"/>
      <c r="J103" s="38"/>
      <c r="K103" s="69"/>
      <c r="L103" s="69"/>
      <c r="M103" s="69"/>
      <c r="N103" s="83" t="s">
        <v>466</v>
      </c>
      <c r="O103" s="83" t="s">
        <v>467</v>
      </c>
      <c r="P103" s="83"/>
      <c r="Q103" s="93" t="s">
        <v>92</v>
      </c>
      <c r="R103" s="253" t="s">
        <v>67</v>
      </c>
      <c r="S103" s="70"/>
      <c r="T103" s="254" t="s">
        <v>481</v>
      </c>
      <c r="U103" s="38" t="str">
        <f>N103</f>
        <v>H4B-6805102</v>
      </c>
      <c r="V103" s="255" t="s">
        <v>480</v>
      </c>
      <c r="W103" s="254" t="s">
        <v>393</v>
      </c>
      <c r="X103" s="256" t="s">
        <v>93</v>
      </c>
      <c r="Y103" s="34" t="s">
        <v>169</v>
      </c>
      <c r="Z103" s="83" t="s">
        <v>938</v>
      </c>
      <c r="AA103" s="275" t="s">
        <v>861</v>
      </c>
      <c r="AB103" s="128" t="s">
        <v>64</v>
      </c>
      <c r="AC103" s="281">
        <v>0.347</v>
      </c>
      <c r="AD103" s="128"/>
      <c r="AE103" s="132" t="s">
        <v>110</v>
      </c>
      <c r="AF103" s="132">
        <f>157+8</f>
        <v>165</v>
      </c>
      <c r="AG103" s="132">
        <f>125+3</f>
        <v>128</v>
      </c>
      <c r="AH103" s="169" t="s">
        <v>215</v>
      </c>
      <c r="AI103" s="170">
        <f t="shared" ref="AI103:AI105" si="35">AF103*AG103*AH103*7860/1000000000</f>
        <v>0.4980096</v>
      </c>
      <c r="AJ103" s="171">
        <f t="shared" ref="AJ103:AJ105" si="36">AC103/AI103</f>
        <v>0.696773716811885</v>
      </c>
      <c r="AK103" s="147"/>
      <c r="AL103" s="147"/>
      <c r="AM103" s="190"/>
      <c r="AN103" s="190"/>
      <c r="AO103" s="214"/>
      <c r="AP103" s="38"/>
      <c r="AQ103" s="83">
        <v>1</v>
      </c>
      <c r="AR103" s="215">
        <v>1</v>
      </c>
    </row>
    <row r="104" s="7" customFormat="1" ht="39.95" customHeight="1" spans="1:44">
      <c r="A104" s="35">
        <f t="shared" si="34"/>
        <v>95</v>
      </c>
      <c r="B104" s="34"/>
      <c r="C104" s="34"/>
      <c r="D104" s="34"/>
      <c r="E104" s="228"/>
      <c r="F104" s="229"/>
      <c r="G104" s="229">
        <v>5</v>
      </c>
      <c r="H104" s="38"/>
      <c r="I104" s="38"/>
      <c r="J104" s="38"/>
      <c r="K104" s="69"/>
      <c r="L104" s="69"/>
      <c r="M104" s="69"/>
      <c r="N104" s="83" t="s">
        <v>468</v>
      </c>
      <c r="O104" s="83" t="s">
        <v>469</v>
      </c>
      <c r="P104" s="83"/>
      <c r="Q104" s="93" t="s">
        <v>92</v>
      </c>
      <c r="R104" s="253" t="s">
        <v>67</v>
      </c>
      <c r="S104" s="70"/>
      <c r="T104" s="254" t="s">
        <v>481</v>
      </c>
      <c r="U104" s="38" t="str">
        <f>N104</f>
        <v>H4B-6805114</v>
      </c>
      <c r="V104" s="255" t="s">
        <v>480</v>
      </c>
      <c r="W104" s="254" t="s">
        <v>393</v>
      </c>
      <c r="X104" s="256" t="s">
        <v>93</v>
      </c>
      <c r="Y104" s="34" t="s">
        <v>169</v>
      </c>
      <c r="Z104" s="34" t="s">
        <v>416</v>
      </c>
      <c r="AA104" s="41" t="s">
        <v>899</v>
      </c>
      <c r="AB104" s="128" t="s">
        <v>64</v>
      </c>
      <c r="AC104" s="281">
        <v>0.014</v>
      </c>
      <c r="AD104" s="128"/>
      <c r="AE104" s="132" t="s">
        <v>110</v>
      </c>
      <c r="AF104" s="132">
        <f>51+7</f>
        <v>58</v>
      </c>
      <c r="AG104" s="132">
        <f>25+3</f>
        <v>28</v>
      </c>
      <c r="AH104" s="169" t="s">
        <v>215</v>
      </c>
      <c r="AI104" s="170">
        <f t="shared" si="35"/>
        <v>0.03829392</v>
      </c>
      <c r="AJ104" s="171">
        <f t="shared" si="36"/>
        <v>0.365593284782545</v>
      </c>
      <c r="AK104" s="147"/>
      <c r="AL104" s="147"/>
      <c r="AM104" s="190"/>
      <c r="AN104" s="190"/>
      <c r="AO104" s="214"/>
      <c r="AP104" s="38"/>
      <c r="AQ104" s="83">
        <v>1</v>
      </c>
      <c r="AR104" s="215">
        <v>1</v>
      </c>
    </row>
    <row r="105" s="7" customFormat="1" ht="39.95" customHeight="1" spans="1:44">
      <c r="A105" s="35">
        <f t="shared" si="34"/>
        <v>96</v>
      </c>
      <c r="B105" s="34"/>
      <c r="C105" s="34"/>
      <c r="D105" s="34"/>
      <c r="E105" s="228"/>
      <c r="F105" s="229"/>
      <c r="G105" s="229">
        <v>5</v>
      </c>
      <c r="H105" s="38"/>
      <c r="I105" s="38"/>
      <c r="J105" s="38"/>
      <c r="K105" s="69"/>
      <c r="L105" s="69"/>
      <c r="M105" s="69"/>
      <c r="N105" s="83" t="s">
        <v>418</v>
      </c>
      <c r="O105" s="83" t="s">
        <v>419</v>
      </c>
      <c r="P105" s="83"/>
      <c r="Q105" s="93" t="s">
        <v>92</v>
      </c>
      <c r="R105" s="253" t="s">
        <v>67</v>
      </c>
      <c r="S105" s="70"/>
      <c r="T105" s="254" t="s">
        <v>481</v>
      </c>
      <c r="U105" s="38" t="str">
        <f>N105</f>
        <v>H4B-6805110</v>
      </c>
      <c r="V105" s="255" t="s">
        <v>480</v>
      </c>
      <c r="W105" s="254" t="s">
        <v>393</v>
      </c>
      <c r="X105" s="256" t="s">
        <v>93</v>
      </c>
      <c r="Y105" s="34" t="s">
        <v>169</v>
      </c>
      <c r="Z105" s="83" t="s">
        <v>338</v>
      </c>
      <c r="AA105" s="41" t="s">
        <v>939</v>
      </c>
      <c r="AB105" s="128" t="s">
        <v>64</v>
      </c>
      <c r="AC105" s="281">
        <v>0.009</v>
      </c>
      <c r="AD105" s="128"/>
      <c r="AE105" s="132" t="s">
        <v>110</v>
      </c>
      <c r="AF105" s="132">
        <f>24+5</f>
        <v>29</v>
      </c>
      <c r="AG105" s="132">
        <f>22+2</f>
        <v>24</v>
      </c>
      <c r="AH105" s="169" t="s">
        <v>241</v>
      </c>
      <c r="AI105" s="170">
        <f t="shared" si="35"/>
        <v>0.01094112</v>
      </c>
      <c r="AJ105" s="171">
        <f t="shared" si="36"/>
        <v>0.822584890760726</v>
      </c>
      <c r="AK105" s="147"/>
      <c r="AL105" s="147"/>
      <c r="AM105" s="190"/>
      <c r="AN105" s="190"/>
      <c r="AO105" s="214"/>
      <c r="AP105" s="38"/>
      <c r="AQ105" s="83">
        <v>1</v>
      </c>
      <c r="AR105" s="215">
        <v>1</v>
      </c>
    </row>
    <row r="106" s="8" customFormat="1" ht="45" customHeight="1" spans="1:44">
      <c r="A106" s="35">
        <f t="shared" si="34"/>
        <v>97</v>
      </c>
      <c r="B106" s="230"/>
      <c r="C106" s="229"/>
      <c r="D106" s="229"/>
      <c r="E106" s="227">
        <v>3</v>
      </c>
      <c r="F106" s="226"/>
      <c r="G106" s="226"/>
      <c r="H106" s="229"/>
      <c r="I106" s="229"/>
      <c r="J106" s="229"/>
      <c r="K106" s="229"/>
      <c r="L106" s="241"/>
      <c r="M106" s="242" t="s">
        <v>471</v>
      </c>
      <c r="N106" s="241"/>
      <c r="O106" s="243" t="s">
        <v>472</v>
      </c>
      <c r="P106" s="241"/>
      <c r="Q106" s="241"/>
      <c r="R106" s="241" t="s">
        <v>67</v>
      </c>
      <c r="S106" s="241"/>
      <c r="T106" s="241" t="s">
        <v>66</v>
      </c>
      <c r="U106" s="241" t="s">
        <v>64</v>
      </c>
      <c r="V106" s="236" t="s">
        <v>66</v>
      </c>
      <c r="W106" s="236" t="s">
        <v>69</v>
      </c>
      <c r="X106" s="236" t="s">
        <v>393</v>
      </c>
      <c r="Y106" s="236" t="s">
        <v>280</v>
      </c>
      <c r="Z106" s="236" t="s">
        <v>71</v>
      </c>
      <c r="AA106" s="236" t="s">
        <v>64</v>
      </c>
      <c r="AB106" s="236"/>
      <c r="AC106" s="236" t="s">
        <v>64</v>
      </c>
      <c r="AD106" s="236" t="s">
        <v>109</v>
      </c>
      <c r="AE106" s="132" t="s">
        <v>109</v>
      </c>
      <c r="AF106" s="132"/>
      <c r="AG106" s="132"/>
      <c r="AH106" s="169"/>
      <c r="AI106" s="170"/>
      <c r="AJ106" s="171"/>
      <c r="AK106" s="143"/>
      <c r="AL106" s="143">
        <v>0.028</v>
      </c>
      <c r="AM106" s="299" t="s">
        <v>74</v>
      </c>
      <c r="AN106" s="299" t="s">
        <v>196</v>
      </c>
      <c r="AO106" s="241"/>
      <c r="AP106" s="241"/>
      <c r="AQ106" s="241">
        <v>1</v>
      </c>
      <c r="AR106" s="303">
        <v>1</v>
      </c>
    </row>
    <row r="107" ht="39.95" customHeight="1" spans="1:44">
      <c r="A107" s="35">
        <f t="shared" si="34"/>
        <v>98</v>
      </c>
      <c r="B107" s="34"/>
      <c r="C107" s="34"/>
      <c r="D107" s="34"/>
      <c r="E107" s="227"/>
      <c r="F107" s="226">
        <v>4</v>
      </c>
      <c r="G107" s="226"/>
      <c r="H107" s="38"/>
      <c r="I107" s="38"/>
      <c r="J107" s="38"/>
      <c r="K107" s="69"/>
      <c r="L107" s="69"/>
      <c r="M107" s="236" t="s">
        <v>473</v>
      </c>
      <c r="N107" s="241"/>
      <c r="O107" s="241" t="s">
        <v>474</v>
      </c>
      <c r="P107" s="241"/>
      <c r="Q107" s="241"/>
      <c r="R107" s="241" t="s">
        <v>67</v>
      </c>
      <c r="S107" s="241"/>
      <c r="T107" s="241" t="s">
        <v>66</v>
      </c>
      <c r="U107" s="241" t="s">
        <v>64</v>
      </c>
      <c r="V107" s="236" t="s">
        <v>66</v>
      </c>
      <c r="W107" s="236" t="s">
        <v>69</v>
      </c>
      <c r="X107" s="236" t="s">
        <v>393</v>
      </c>
      <c r="Y107" s="236" t="s">
        <v>280</v>
      </c>
      <c r="Z107" s="236" t="s">
        <v>71</v>
      </c>
      <c r="AA107" s="236" t="s">
        <v>64</v>
      </c>
      <c r="AB107" s="236"/>
      <c r="AC107" s="236" t="s">
        <v>64</v>
      </c>
      <c r="AD107" s="236" t="s">
        <v>109</v>
      </c>
      <c r="AE107" s="143" t="s">
        <v>200</v>
      </c>
      <c r="AF107" s="147"/>
      <c r="AG107" s="147"/>
      <c r="AH107" s="147"/>
      <c r="AI107" s="147"/>
      <c r="AJ107" s="147"/>
      <c r="AK107" s="147"/>
      <c r="AL107" s="147"/>
      <c r="AM107" s="172" t="s">
        <v>100</v>
      </c>
      <c r="AN107" s="172" t="s">
        <v>407</v>
      </c>
      <c r="AO107" s="214"/>
      <c r="AP107" s="38"/>
      <c r="AQ107" s="83">
        <v>1</v>
      </c>
      <c r="AR107" s="215">
        <v>1</v>
      </c>
    </row>
    <row r="108" ht="39.95" customHeight="1" spans="1:44">
      <c r="A108" s="35">
        <f t="shared" si="34"/>
        <v>99</v>
      </c>
      <c r="B108" s="34"/>
      <c r="C108" s="34"/>
      <c r="D108" s="34"/>
      <c r="E108" s="228"/>
      <c r="F108" s="229"/>
      <c r="G108" s="229">
        <v>5</v>
      </c>
      <c r="H108" s="38"/>
      <c r="I108" s="38"/>
      <c r="J108" s="38"/>
      <c r="K108" s="69"/>
      <c r="L108" s="69"/>
      <c r="M108" s="69"/>
      <c r="N108" s="83" t="s">
        <v>475</v>
      </c>
      <c r="O108" s="83" t="s">
        <v>476</v>
      </c>
      <c r="P108" s="83"/>
      <c r="Q108" s="93" t="s">
        <v>92</v>
      </c>
      <c r="R108" s="67" t="s">
        <v>67</v>
      </c>
      <c r="S108" s="70"/>
      <c r="T108" s="60" t="s">
        <v>481</v>
      </c>
      <c r="U108" s="38" t="str">
        <f t="shared" ref="U108:U114" si="37">N108</f>
        <v>H4B-6805104</v>
      </c>
      <c r="V108" s="87" t="s">
        <v>480</v>
      </c>
      <c r="W108" s="60" t="s">
        <v>393</v>
      </c>
      <c r="X108" s="88" t="s">
        <v>93</v>
      </c>
      <c r="Y108" s="34" t="s">
        <v>169</v>
      </c>
      <c r="Z108" s="273" t="s">
        <v>938</v>
      </c>
      <c r="AA108" s="275" t="s">
        <v>861</v>
      </c>
      <c r="AB108" s="128" t="s">
        <v>64</v>
      </c>
      <c r="AC108" s="134">
        <v>0.244</v>
      </c>
      <c r="AD108" s="128"/>
      <c r="AE108" s="132" t="s">
        <v>110</v>
      </c>
      <c r="AF108" s="132">
        <f>131+8</f>
        <v>139</v>
      </c>
      <c r="AG108" s="132">
        <f>91+3</f>
        <v>94</v>
      </c>
      <c r="AH108" s="169" t="s">
        <v>215</v>
      </c>
      <c r="AI108" s="170">
        <f t="shared" ref="AI108:AI110" si="38">AF108*AG108*AH108*7860/1000000000</f>
        <v>0.30809628</v>
      </c>
      <c r="AJ108" s="171">
        <f t="shared" ref="AJ108:AJ110" si="39">AC108/AI108</f>
        <v>0.791960227497716</v>
      </c>
      <c r="AK108" s="147"/>
      <c r="AL108" s="147"/>
      <c r="AM108" s="190"/>
      <c r="AN108" s="190"/>
      <c r="AO108" s="214"/>
      <c r="AP108" s="38"/>
      <c r="AQ108" s="83">
        <v>1</v>
      </c>
      <c r="AR108" s="215">
        <v>1</v>
      </c>
    </row>
    <row r="109" ht="39.95" customHeight="1" spans="1:44">
      <c r="A109" s="35">
        <f t="shared" si="34"/>
        <v>100</v>
      </c>
      <c r="B109" s="34"/>
      <c r="C109" s="34"/>
      <c r="D109" s="34"/>
      <c r="E109" s="228"/>
      <c r="F109" s="229"/>
      <c r="G109" s="229">
        <v>5</v>
      </c>
      <c r="H109" s="38"/>
      <c r="I109" s="38"/>
      <c r="J109" s="38"/>
      <c r="K109" s="69"/>
      <c r="L109" s="69"/>
      <c r="M109" s="69"/>
      <c r="N109" s="83" t="s">
        <v>430</v>
      </c>
      <c r="O109" s="83" t="s">
        <v>431</v>
      </c>
      <c r="P109" s="83"/>
      <c r="Q109" s="93" t="s">
        <v>92</v>
      </c>
      <c r="R109" s="67" t="s">
        <v>67</v>
      </c>
      <c r="S109" s="70"/>
      <c r="T109" s="60" t="s">
        <v>481</v>
      </c>
      <c r="U109" s="38" t="str">
        <f t="shared" si="37"/>
        <v>B40 6805 215</v>
      </c>
      <c r="V109" s="87" t="s">
        <v>480</v>
      </c>
      <c r="W109" s="60" t="s">
        <v>393</v>
      </c>
      <c r="X109" s="88" t="s">
        <v>93</v>
      </c>
      <c r="Y109" s="34" t="s">
        <v>169</v>
      </c>
      <c r="Z109" s="133" t="s">
        <v>416</v>
      </c>
      <c r="AA109" s="133" t="s">
        <v>899</v>
      </c>
      <c r="AB109" s="128" t="s">
        <v>64</v>
      </c>
      <c r="AC109" s="134">
        <v>0.023</v>
      </c>
      <c r="AD109" s="128"/>
      <c r="AE109" s="132" t="s">
        <v>110</v>
      </c>
      <c r="AF109" s="132">
        <f>50+7</f>
        <v>57</v>
      </c>
      <c r="AG109" s="132">
        <f>30+3</f>
        <v>33</v>
      </c>
      <c r="AH109" s="169" t="s">
        <v>215</v>
      </c>
      <c r="AI109" s="170">
        <f t="shared" si="38"/>
        <v>0.04435398</v>
      </c>
      <c r="AJ109" s="171">
        <f t="shared" si="39"/>
        <v>0.518555493779814</v>
      </c>
      <c r="AK109" s="147"/>
      <c r="AL109" s="147"/>
      <c r="AM109" s="190"/>
      <c r="AN109" s="190"/>
      <c r="AO109" s="214"/>
      <c r="AP109" s="38"/>
      <c r="AQ109" s="83">
        <v>1</v>
      </c>
      <c r="AR109" s="215">
        <v>1</v>
      </c>
    </row>
    <row r="110" ht="39.95" customHeight="1" spans="1:44">
      <c r="A110" s="35">
        <f t="shared" si="34"/>
        <v>101</v>
      </c>
      <c r="B110" s="34"/>
      <c r="C110" s="34"/>
      <c r="D110" s="34"/>
      <c r="E110" s="228"/>
      <c r="F110" s="229"/>
      <c r="G110" s="229">
        <v>5</v>
      </c>
      <c r="H110" s="38"/>
      <c r="I110" s="38"/>
      <c r="J110" s="38"/>
      <c r="K110" s="69"/>
      <c r="L110" s="69"/>
      <c r="M110" s="69"/>
      <c r="N110" s="83" t="s">
        <v>433</v>
      </c>
      <c r="O110" s="41" t="s">
        <v>434</v>
      </c>
      <c r="P110" s="83"/>
      <c r="Q110" s="93" t="s">
        <v>92</v>
      </c>
      <c r="R110" s="67" t="s">
        <v>67</v>
      </c>
      <c r="S110" s="70"/>
      <c r="T110" s="60" t="s">
        <v>481</v>
      </c>
      <c r="U110" s="38" t="str">
        <f t="shared" si="37"/>
        <v>H4A-6805104</v>
      </c>
      <c r="V110" s="87" t="s">
        <v>480</v>
      </c>
      <c r="W110" s="60" t="s">
        <v>393</v>
      </c>
      <c r="X110" s="88" t="s">
        <v>93</v>
      </c>
      <c r="Y110" s="34" t="s">
        <v>169</v>
      </c>
      <c r="Z110" s="273" t="s">
        <v>338</v>
      </c>
      <c r="AA110" s="133" t="s">
        <v>899</v>
      </c>
      <c r="AB110" s="128" t="s">
        <v>64</v>
      </c>
      <c r="AC110" s="134">
        <v>0.022</v>
      </c>
      <c r="AD110" s="128"/>
      <c r="AE110" s="132" t="s">
        <v>110</v>
      </c>
      <c r="AF110" s="132">
        <f>52+7</f>
        <v>59</v>
      </c>
      <c r="AG110" s="132">
        <f>22+3</f>
        <v>25</v>
      </c>
      <c r="AH110" s="169" t="s">
        <v>215</v>
      </c>
      <c r="AI110" s="170">
        <f t="shared" si="38"/>
        <v>0.0347805</v>
      </c>
      <c r="AJ110" s="171">
        <f t="shared" si="39"/>
        <v>0.632538347637326</v>
      </c>
      <c r="AK110" s="147"/>
      <c r="AL110" s="147"/>
      <c r="AM110" s="190"/>
      <c r="AN110" s="190"/>
      <c r="AO110" s="214"/>
      <c r="AP110" s="38"/>
      <c r="AQ110" s="83">
        <v>1</v>
      </c>
      <c r="AR110" s="215">
        <v>1</v>
      </c>
    </row>
    <row r="111" ht="39.95" customHeight="1" spans="1:44">
      <c r="A111" s="35">
        <f t="shared" ref="A111:A120" si="40">ROW()-9</f>
        <v>102</v>
      </c>
      <c r="B111" s="34"/>
      <c r="C111" s="34"/>
      <c r="D111" s="34"/>
      <c r="E111" s="34">
        <v>3</v>
      </c>
      <c r="F111" s="34"/>
      <c r="G111" s="38"/>
      <c r="H111" s="38"/>
      <c r="I111" s="38"/>
      <c r="J111" s="38"/>
      <c r="K111" s="69"/>
      <c r="L111" s="69"/>
      <c r="M111" s="69" t="s">
        <v>450</v>
      </c>
      <c r="N111" s="83" t="s">
        <v>451</v>
      </c>
      <c r="O111" s="83" t="s">
        <v>452</v>
      </c>
      <c r="P111" s="83"/>
      <c r="Q111" s="93" t="s">
        <v>92</v>
      </c>
      <c r="R111" s="67" t="s">
        <v>67</v>
      </c>
      <c r="S111" s="70"/>
      <c r="T111" s="60" t="s">
        <v>481</v>
      </c>
      <c r="U111" s="38" t="str">
        <f t="shared" si="37"/>
        <v>H4B-6805108</v>
      </c>
      <c r="V111" s="87" t="s">
        <v>480</v>
      </c>
      <c r="W111" s="60" t="s">
        <v>393</v>
      </c>
      <c r="X111" s="88" t="s">
        <v>93</v>
      </c>
      <c r="Y111" s="34" t="s">
        <v>117</v>
      </c>
      <c r="Z111" s="273" t="s">
        <v>381</v>
      </c>
      <c r="AA111" s="41" t="s">
        <v>64</v>
      </c>
      <c r="AB111" s="128" t="s">
        <v>64</v>
      </c>
      <c r="AC111" s="134">
        <v>0.135</v>
      </c>
      <c r="AD111" s="128"/>
      <c r="AE111" s="147"/>
      <c r="AF111" s="147"/>
      <c r="AG111" s="147"/>
      <c r="AH111" s="147"/>
      <c r="AI111" s="147"/>
      <c r="AJ111" s="147"/>
      <c r="AK111" s="147"/>
      <c r="AL111" s="147"/>
      <c r="AM111" s="189" t="s">
        <v>100</v>
      </c>
      <c r="AN111" s="299" t="s">
        <v>456</v>
      </c>
      <c r="AO111" s="214"/>
      <c r="AP111" s="38"/>
      <c r="AQ111" s="83">
        <v>1</v>
      </c>
      <c r="AR111" s="215">
        <v>1</v>
      </c>
    </row>
    <row r="112" ht="39.95" customHeight="1" spans="1:44">
      <c r="A112" s="35">
        <f t="shared" si="40"/>
        <v>103</v>
      </c>
      <c r="B112" s="34"/>
      <c r="C112" s="34"/>
      <c r="D112" s="34"/>
      <c r="E112" s="34">
        <v>3</v>
      </c>
      <c r="F112" s="34"/>
      <c r="G112" s="38"/>
      <c r="H112" s="38"/>
      <c r="I112" s="38"/>
      <c r="J112" s="38"/>
      <c r="K112" s="69"/>
      <c r="L112" s="69"/>
      <c r="M112" s="244" t="s">
        <v>940</v>
      </c>
      <c r="N112" s="244" t="s">
        <v>940</v>
      </c>
      <c r="O112" s="244" t="s">
        <v>437</v>
      </c>
      <c r="P112" s="83"/>
      <c r="Q112" s="93" t="s">
        <v>92</v>
      </c>
      <c r="R112" s="67" t="s">
        <v>67</v>
      </c>
      <c r="S112" s="70"/>
      <c r="T112" s="60" t="s">
        <v>481</v>
      </c>
      <c r="U112" s="38" t="str">
        <f t="shared" si="37"/>
        <v>SHT0010721</v>
      </c>
      <c r="V112" s="87" t="s">
        <v>480</v>
      </c>
      <c r="W112" s="60" t="s">
        <v>393</v>
      </c>
      <c r="X112" s="88" t="s">
        <v>93</v>
      </c>
      <c r="Y112" s="34" t="s">
        <v>169</v>
      </c>
      <c r="Z112" s="273" t="s">
        <v>938</v>
      </c>
      <c r="AA112" s="275" t="s">
        <v>941</v>
      </c>
      <c r="AB112" s="128" t="s">
        <v>64</v>
      </c>
      <c r="AC112" s="134">
        <v>0.037</v>
      </c>
      <c r="AD112" s="128"/>
      <c r="AE112" s="132" t="s">
        <v>110</v>
      </c>
      <c r="AF112" s="132">
        <f>71+7</f>
        <v>78</v>
      </c>
      <c r="AG112" s="132">
        <f>49+3</f>
        <v>52</v>
      </c>
      <c r="AH112" s="169" t="s">
        <v>942</v>
      </c>
      <c r="AI112" s="170">
        <f>AF112*AG112*AH112*7860/1000000000</f>
        <v>0.0797004</v>
      </c>
      <c r="AJ112" s="171">
        <f>AC112/AI112</f>
        <v>0.464238573457599</v>
      </c>
      <c r="AK112" s="147"/>
      <c r="AL112" s="147"/>
      <c r="AM112" s="189" t="s">
        <v>100</v>
      </c>
      <c r="AN112" s="189" t="s">
        <v>443</v>
      </c>
      <c r="AO112" s="214"/>
      <c r="AP112" s="38"/>
      <c r="AQ112" s="83">
        <v>1</v>
      </c>
      <c r="AR112" s="215">
        <v>1</v>
      </c>
    </row>
    <row r="113" s="1" customFormat="1" ht="39.95" customHeight="1" spans="1:44">
      <c r="A113" s="35">
        <f t="shared" si="40"/>
        <v>104</v>
      </c>
      <c r="B113" s="36"/>
      <c r="C113" s="36"/>
      <c r="D113" s="36"/>
      <c r="E113" s="36">
        <v>3</v>
      </c>
      <c r="F113" s="36"/>
      <c r="G113" s="40"/>
      <c r="H113" s="40"/>
      <c r="I113" s="40"/>
      <c r="J113" s="40"/>
      <c r="K113" s="63"/>
      <c r="L113" s="63"/>
      <c r="M113" s="245" t="s">
        <v>943</v>
      </c>
      <c r="N113" s="47" t="s">
        <v>944</v>
      </c>
      <c r="O113" s="47" t="s">
        <v>945</v>
      </c>
      <c r="P113" s="222"/>
      <c r="Q113" s="92" t="s">
        <v>480</v>
      </c>
      <c r="R113" s="67" t="s">
        <v>67</v>
      </c>
      <c r="S113" s="47"/>
      <c r="T113" s="66" t="s">
        <v>481</v>
      </c>
      <c r="U113" s="40" t="str">
        <f t="shared" si="37"/>
        <v>H4G-6905106</v>
      </c>
      <c r="V113" s="90" t="s">
        <v>480</v>
      </c>
      <c r="W113" s="66" t="s">
        <v>393</v>
      </c>
      <c r="X113" s="91" t="s">
        <v>93</v>
      </c>
      <c r="Y113" s="36" t="s">
        <v>718</v>
      </c>
      <c r="Z113" s="47" t="s">
        <v>64</v>
      </c>
      <c r="AA113" s="47" t="s">
        <v>64</v>
      </c>
      <c r="AB113" s="127" t="s">
        <v>64</v>
      </c>
      <c r="AC113" s="47" t="s">
        <v>64</v>
      </c>
      <c r="AD113" s="127"/>
      <c r="AE113" s="147"/>
      <c r="AF113" s="147"/>
      <c r="AG113" s="147"/>
      <c r="AH113" s="147"/>
      <c r="AI113" s="147"/>
      <c r="AJ113" s="147"/>
      <c r="AK113" s="147"/>
      <c r="AL113" s="147"/>
      <c r="AM113" s="189" t="s">
        <v>100</v>
      </c>
      <c r="AN113" s="178" t="s">
        <v>402</v>
      </c>
      <c r="AO113" s="216"/>
      <c r="AP113" s="40"/>
      <c r="AQ113" s="47">
        <v>1</v>
      </c>
      <c r="AR113" s="215">
        <v>1</v>
      </c>
    </row>
    <row r="114" ht="39.95" customHeight="1" spans="1:44">
      <c r="A114" s="35">
        <f t="shared" si="40"/>
        <v>105</v>
      </c>
      <c r="B114" s="34"/>
      <c r="C114" s="34"/>
      <c r="D114" s="34">
        <v>2</v>
      </c>
      <c r="E114" s="34"/>
      <c r="F114" s="34"/>
      <c r="G114" s="38"/>
      <c r="H114" s="38"/>
      <c r="I114" s="38"/>
      <c r="J114" s="38"/>
      <c r="K114" s="69"/>
      <c r="L114" s="69"/>
      <c r="M114" s="235"/>
      <c r="N114" s="83" t="s">
        <v>946</v>
      </c>
      <c r="O114" s="83" t="s">
        <v>458</v>
      </c>
      <c r="P114" s="41"/>
      <c r="Q114" s="93" t="s">
        <v>92</v>
      </c>
      <c r="R114" s="67" t="s">
        <v>67</v>
      </c>
      <c r="S114" s="70"/>
      <c r="T114" s="60" t="s">
        <v>481</v>
      </c>
      <c r="U114" s="38" t="str">
        <f t="shared" si="37"/>
        <v>H4A-6905118</v>
      </c>
      <c r="V114" s="87" t="s">
        <v>480</v>
      </c>
      <c r="W114" s="60" t="s">
        <v>393</v>
      </c>
      <c r="X114" s="88" t="s">
        <v>93</v>
      </c>
      <c r="Y114" s="34" t="s">
        <v>718</v>
      </c>
      <c r="Z114" s="41" t="s">
        <v>64</v>
      </c>
      <c r="AA114" s="41" t="s">
        <v>64</v>
      </c>
      <c r="AB114" s="128" t="s">
        <v>64</v>
      </c>
      <c r="AC114" s="134"/>
      <c r="AD114" s="128"/>
      <c r="AE114" s="147" t="s">
        <v>200</v>
      </c>
      <c r="AF114" s="147"/>
      <c r="AG114" s="147"/>
      <c r="AH114" s="147"/>
      <c r="AI114" s="147"/>
      <c r="AJ114" s="147"/>
      <c r="AK114" s="147"/>
      <c r="AL114" s="147"/>
      <c r="AM114" s="189" t="s">
        <v>80</v>
      </c>
      <c r="AN114" s="189"/>
      <c r="AO114" s="214"/>
      <c r="AP114" s="38"/>
      <c r="AQ114" s="83">
        <v>1</v>
      </c>
      <c r="AR114" s="215">
        <v>1</v>
      </c>
    </row>
    <row r="115" s="6" customFormat="1" ht="45" customHeight="1" spans="1:44">
      <c r="A115" s="35">
        <f t="shared" si="40"/>
        <v>106</v>
      </c>
      <c r="B115" s="225"/>
      <c r="C115" s="226"/>
      <c r="D115" s="226"/>
      <c r="E115" s="227">
        <v>3</v>
      </c>
      <c r="F115" s="226"/>
      <c r="G115" s="226"/>
      <c r="H115" s="226"/>
      <c r="I115" s="226"/>
      <c r="J115" s="226"/>
      <c r="K115" s="226"/>
      <c r="L115" s="236"/>
      <c r="M115" s="237" t="s">
        <v>403</v>
      </c>
      <c r="N115" s="238"/>
      <c r="O115" s="239" t="s">
        <v>404</v>
      </c>
      <c r="P115" s="236"/>
      <c r="Q115" s="236"/>
      <c r="R115" s="236" t="s">
        <v>67</v>
      </c>
      <c r="S115" s="236"/>
      <c r="T115" s="236" t="s">
        <v>66</v>
      </c>
      <c r="U115" s="236" t="s">
        <v>64</v>
      </c>
      <c r="V115" s="236" t="s">
        <v>66</v>
      </c>
      <c r="W115" s="236" t="s">
        <v>69</v>
      </c>
      <c r="X115" s="236" t="s">
        <v>393</v>
      </c>
      <c r="Y115" s="236" t="s">
        <v>400</v>
      </c>
      <c r="Z115" s="236" t="s">
        <v>71</v>
      </c>
      <c r="AA115" s="236" t="s">
        <v>64</v>
      </c>
      <c r="AB115" s="236" t="s">
        <v>401</v>
      </c>
      <c r="AC115" s="236" t="s">
        <v>64</v>
      </c>
      <c r="AD115" s="236" t="s">
        <v>109</v>
      </c>
      <c r="AE115" s="143" t="s">
        <v>109</v>
      </c>
      <c r="AF115" s="143"/>
      <c r="AG115" s="143"/>
      <c r="AH115" s="143"/>
      <c r="AI115" s="143"/>
      <c r="AJ115" s="143"/>
      <c r="AK115" s="143"/>
      <c r="AL115" s="143">
        <v>0.034</v>
      </c>
      <c r="AM115" s="299" t="s">
        <v>74</v>
      </c>
      <c r="AN115" s="299" t="s">
        <v>196</v>
      </c>
      <c r="AO115" s="236"/>
      <c r="AP115" s="236"/>
      <c r="AQ115" s="236">
        <v>1</v>
      </c>
      <c r="AR115" s="303">
        <v>1</v>
      </c>
    </row>
    <row r="116" s="7" customFormat="1" ht="39.95" customHeight="1" spans="1:44">
      <c r="A116" s="35">
        <f t="shared" si="40"/>
        <v>107</v>
      </c>
      <c r="B116" s="42"/>
      <c r="C116" s="42"/>
      <c r="D116" s="42"/>
      <c r="E116" s="227"/>
      <c r="F116" s="226">
        <v>4</v>
      </c>
      <c r="G116" s="226"/>
      <c r="H116" s="43"/>
      <c r="I116" s="43"/>
      <c r="J116" s="43"/>
      <c r="K116" s="246"/>
      <c r="L116" s="246"/>
      <c r="M116" s="238" t="s">
        <v>405</v>
      </c>
      <c r="N116" s="238"/>
      <c r="O116" s="240" t="s">
        <v>406</v>
      </c>
      <c r="P116" s="236"/>
      <c r="Q116" s="236"/>
      <c r="R116" s="236" t="s">
        <v>67</v>
      </c>
      <c r="S116" s="236"/>
      <c r="T116" s="236" t="s">
        <v>66</v>
      </c>
      <c r="U116" s="236" t="s">
        <v>64</v>
      </c>
      <c r="V116" s="236" t="s">
        <v>66</v>
      </c>
      <c r="W116" s="236" t="s">
        <v>69</v>
      </c>
      <c r="X116" s="236" t="s">
        <v>393</v>
      </c>
      <c r="Y116" s="236" t="s">
        <v>280</v>
      </c>
      <c r="Z116" s="236" t="s">
        <v>71</v>
      </c>
      <c r="AA116" s="236" t="s">
        <v>64</v>
      </c>
      <c r="AB116" s="236"/>
      <c r="AC116" s="236" t="s">
        <v>64</v>
      </c>
      <c r="AD116" s="236" t="s">
        <v>109</v>
      </c>
      <c r="AE116" s="282" t="s">
        <v>200</v>
      </c>
      <c r="AF116" s="282"/>
      <c r="AG116" s="282"/>
      <c r="AH116" s="282"/>
      <c r="AI116" s="282"/>
      <c r="AJ116" s="282"/>
      <c r="AK116" s="282"/>
      <c r="AL116" s="282"/>
      <c r="AM116" s="172" t="s">
        <v>100</v>
      </c>
      <c r="AN116" s="172" t="s">
        <v>407</v>
      </c>
      <c r="AO116" s="220"/>
      <c r="AP116" s="43"/>
      <c r="AQ116" s="223">
        <v>1</v>
      </c>
      <c r="AR116" s="221">
        <v>1</v>
      </c>
    </row>
    <row r="117" s="7" customFormat="1" ht="39.95" customHeight="1" spans="1:44">
      <c r="A117" s="35">
        <f t="shared" si="40"/>
        <v>108</v>
      </c>
      <c r="B117" s="42"/>
      <c r="C117" s="42"/>
      <c r="D117" s="42"/>
      <c r="E117" s="228"/>
      <c r="F117" s="229"/>
      <c r="G117" s="229">
        <v>5</v>
      </c>
      <c r="H117" s="43"/>
      <c r="I117" s="43"/>
      <c r="J117" s="43"/>
      <c r="K117" s="247"/>
      <c r="L117" s="247"/>
      <c r="M117" s="247"/>
      <c r="N117" s="223" t="s">
        <v>408</v>
      </c>
      <c r="O117" s="223" t="s">
        <v>409</v>
      </c>
      <c r="P117" s="223"/>
      <c r="Q117" s="257" t="s">
        <v>92</v>
      </c>
      <c r="R117" s="258" t="s">
        <v>67</v>
      </c>
      <c r="S117" s="247"/>
      <c r="T117" s="259" t="s">
        <v>481</v>
      </c>
      <c r="U117" s="43" t="str">
        <f>N117</f>
        <v>H4B-6805101</v>
      </c>
      <c r="V117" s="260" t="s">
        <v>480</v>
      </c>
      <c r="W117" s="259" t="s">
        <v>393</v>
      </c>
      <c r="X117" s="261" t="s">
        <v>93</v>
      </c>
      <c r="Y117" s="42" t="s">
        <v>169</v>
      </c>
      <c r="Z117" s="75" t="s">
        <v>411</v>
      </c>
      <c r="AA117" s="283" t="s">
        <v>911</v>
      </c>
      <c r="AB117" s="284" t="s">
        <v>64</v>
      </c>
      <c r="AC117" s="285">
        <v>0.347</v>
      </c>
      <c r="AD117" s="284"/>
      <c r="AE117" s="132" t="s">
        <v>110</v>
      </c>
      <c r="AF117" s="132">
        <f>157+8</f>
        <v>165</v>
      </c>
      <c r="AG117" s="132">
        <f>125+3</f>
        <v>128</v>
      </c>
      <c r="AH117" s="169" t="s">
        <v>215</v>
      </c>
      <c r="AI117" s="170">
        <f t="shared" ref="AI117:AI119" si="41">AF117*AG117*AH117*7860/1000000000</f>
        <v>0.4980096</v>
      </c>
      <c r="AJ117" s="171">
        <f t="shared" ref="AJ117:AJ119" si="42">AC117/AI117</f>
        <v>0.696773716811885</v>
      </c>
      <c r="AK117" s="282"/>
      <c r="AL117" s="282"/>
      <c r="AM117" s="190"/>
      <c r="AN117" s="190"/>
      <c r="AO117" s="220"/>
      <c r="AP117" s="43"/>
      <c r="AQ117" s="223">
        <v>1</v>
      </c>
      <c r="AR117" s="221">
        <v>1</v>
      </c>
    </row>
    <row r="118" s="9" customFormat="1" ht="39.95" customHeight="1" spans="1:44">
      <c r="A118" s="35">
        <f t="shared" si="40"/>
        <v>109</v>
      </c>
      <c r="B118" s="36"/>
      <c r="C118" s="36"/>
      <c r="D118" s="36"/>
      <c r="E118" s="228"/>
      <c r="F118" s="229"/>
      <c r="G118" s="229">
        <v>5</v>
      </c>
      <c r="H118" s="40"/>
      <c r="I118" s="40"/>
      <c r="J118" s="40"/>
      <c r="K118" s="63"/>
      <c r="L118" s="63"/>
      <c r="M118" s="63"/>
      <c r="N118" s="222" t="s">
        <v>413</v>
      </c>
      <c r="O118" s="222" t="s">
        <v>414</v>
      </c>
      <c r="P118" s="222"/>
      <c r="Q118" s="92" t="s">
        <v>92</v>
      </c>
      <c r="R118" s="253" t="s">
        <v>67</v>
      </c>
      <c r="S118" s="262"/>
      <c r="T118" s="263" t="s">
        <v>481</v>
      </c>
      <c r="U118" s="40" t="str">
        <f>N118</f>
        <v>H4B-6805115</v>
      </c>
      <c r="V118" s="264" t="s">
        <v>480</v>
      </c>
      <c r="W118" s="263" t="s">
        <v>393</v>
      </c>
      <c r="X118" s="265" t="s">
        <v>93</v>
      </c>
      <c r="Y118" s="36" t="s">
        <v>169</v>
      </c>
      <c r="Z118" s="222" t="s">
        <v>338</v>
      </c>
      <c r="AA118" s="47" t="s">
        <v>899</v>
      </c>
      <c r="AB118" s="127" t="s">
        <v>64</v>
      </c>
      <c r="AC118" s="286">
        <v>0.014</v>
      </c>
      <c r="AD118" s="127"/>
      <c r="AE118" s="132" t="s">
        <v>110</v>
      </c>
      <c r="AF118" s="132">
        <f>51+7</f>
        <v>58</v>
      </c>
      <c r="AG118" s="132">
        <f>25+3</f>
        <v>28</v>
      </c>
      <c r="AH118" s="169" t="s">
        <v>215</v>
      </c>
      <c r="AI118" s="170">
        <f t="shared" si="41"/>
        <v>0.03829392</v>
      </c>
      <c r="AJ118" s="171">
        <f t="shared" si="42"/>
        <v>0.365593284782545</v>
      </c>
      <c r="AK118" s="175"/>
      <c r="AL118" s="175"/>
      <c r="AM118" s="190"/>
      <c r="AN118" s="190"/>
      <c r="AO118" s="216"/>
      <c r="AP118" s="40"/>
      <c r="AQ118" s="222">
        <v>1</v>
      </c>
      <c r="AR118" s="215">
        <v>1</v>
      </c>
    </row>
    <row r="119" s="7" customFormat="1" ht="39.95" customHeight="1" spans="1:44">
      <c r="A119" s="35">
        <f t="shared" si="40"/>
        <v>110</v>
      </c>
      <c r="B119" s="137"/>
      <c r="C119" s="137"/>
      <c r="D119" s="137"/>
      <c r="E119" s="228"/>
      <c r="F119" s="229"/>
      <c r="G119" s="229">
        <v>5</v>
      </c>
      <c r="H119" s="72"/>
      <c r="I119" s="72"/>
      <c r="J119" s="72"/>
      <c r="K119" s="248"/>
      <c r="L119" s="248"/>
      <c r="M119" s="248"/>
      <c r="N119" s="95" t="s">
        <v>418</v>
      </c>
      <c r="O119" s="95" t="s">
        <v>419</v>
      </c>
      <c r="P119" s="95"/>
      <c r="Q119" s="94" t="s">
        <v>92</v>
      </c>
      <c r="R119" s="266" t="s">
        <v>67</v>
      </c>
      <c r="S119" s="73"/>
      <c r="T119" s="267" t="s">
        <v>481</v>
      </c>
      <c r="U119" s="72" t="str">
        <f>N119</f>
        <v>H4B-6805110</v>
      </c>
      <c r="V119" s="268" t="s">
        <v>480</v>
      </c>
      <c r="W119" s="267" t="s">
        <v>393</v>
      </c>
      <c r="X119" s="269" t="s">
        <v>93</v>
      </c>
      <c r="Y119" s="137" t="s">
        <v>169</v>
      </c>
      <c r="Z119" s="137" t="s">
        <v>421</v>
      </c>
      <c r="AA119" s="74" t="s">
        <v>939</v>
      </c>
      <c r="AB119" s="139" t="s">
        <v>64</v>
      </c>
      <c r="AC119" s="287">
        <v>0.009</v>
      </c>
      <c r="AD119" s="139"/>
      <c r="AE119" s="132" t="s">
        <v>110</v>
      </c>
      <c r="AF119" s="132">
        <f>24+5</f>
        <v>29</v>
      </c>
      <c r="AG119" s="132">
        <f>22+2</f>
        <v>24</v>
      </c>
      <c r="AH119" s="169" t="s">
        <v>241</v>
      </c>
      <c r="AI119" s="170">
        <f t="shared" si="41"/>
        <v>0.01094112</v>
      </c>
      <c r="AJ119" s="171">
        <f t="shared" si="42"/>
        <v>0.822584890760726</v>
      </c>
      <c r="AK119" s="175"/>
      <c r="AL119" s="175"/>
      <c r="AM119" s="190"/>
      <c r="AN119" s="190"/>
      <c r="AO119" s="217"/>
      <c r="AP119" s="72"/>
      <c r="AQ119" s="95">
        <v>1</v>
      </c>
      <c r="AR119" s="218">
        <v>1</v>
      </c>
    </row>
    <row r="120" s="8" customFormat="1" ht="45" customHeight="1" spans="1:44">
      <c r="A120" s="35">
        <f t="shared" si="40"/>
        <v>111</v>
      </c>
      <c r="B120" s="230"/>
      <c r="C120" s="229"/>
      <c r="D120" s="229"/>
      <c r="E120" s="227">
        <v>3</v>
      </c>
      <c r="F120" s="226"/>
      <c r="G120" s="226"/>
      <c r="H120" s="229"/>
      <c r="I120" s="229"/>
      <c r="J120" s="229"/>
      <c r="K120" s="229"/>
      <c r="L120" s="241"/>
      <c r="M120" s="249" t="s">
        <v>423</v>
      </c>
      <c r="N120" s="240"/>
      <c r="O120" s="250" t="s">
        <v>424</v>
      </c>
      <c r="P120" s="241"/>
      <c r="Q120" s="241"/>
      <c r="R120" s="241" t="s">
        <v>67</v>
      </c>
      <c r="S120" s="241"/>
      <c r="T120" s="241" t="s">
        <v>66</v>
      </c>
      <c r="U120" s="241" t="s">
        <v>64</v>
      </c>
      <c r="V120" s="236" t="s">
        <v>66</v>
      </c>
      <c r="W120" s="236" t="s">
        <v>69</v>
      </c>
      <c r="X120" s="236" t="s">
        <v>393</v>
      </c>
      <c r="Y120" s="236" t="s">
        <v>280</v>
      </c>
      <c r="Z120" s="236" t="s">
        <v>71</v>
      </c>
      <c r="AA120" s="236" t="s">
        <v>64</v>
      </c>
      <c r="AB120" s="236"/>
      <c r="AC120" s="236" t="s">
        <v>64</v>
      </c>
      <c r="AD120" s="236" t="s">
        <v>109</v>
      </c>
      <c r="AE120" s="132" t="s">
        <v>109</v>
      </c>
      <c r="AF120" s="132"/>
      <c r="AG120" s="132"/>
      <c r="AH120" s="169"/>
      <c r="AI120" s="170"/>
      <c r="AJ120" s="171"/>
      <c r="AK120" s="143"/>
      <c r="AL120" s="143">
        <v>0.028</v>
      </c>
      <c r="AM120" s="299" t="s">
        <v>74</v>
      </c>
      <c r="AN120" s="299" t="s">
        <v>196</v>
      </c>
      <c r="AO120" s="241"/>
      <c r="AP120" s="241"/>
      <c r="AQ120" s="241">
        <v>1</v>
      </c>
      <c r="AR120" s="303">
        <v>1</v>
      </c>
    </row>
    <row r="121" s="7" customFormat="1" ht="39.95" customHeight="1" spans="1:44">
      <c r="A121" s="35">
        <f t="shared" ref="A121:A130" si="43">ROW()-9</f>
        <v>112</v>
      </c>
      <c r="B121" s="137"/>
      <c r="C121" s="137"/>
      <c r="D121" s="137"/>
      <c r="E121" s="227"/>
      <c r="F121" s="226">
        <v>4</v>
      </c>
      <c r="G121" s="226"/>
      <c r="H121" s="72"/>
      <c r="I121" s="72"/>
      <c r="J121" s="72"/>
      <c r="K121" s="248"/>
      <c r="L121" s="248"/>
      <c r="M121" s="238" t="s">
        <v>425</v>
      </c>
      <c r="N121" s="240"/>
      <c r="O121" s="240" t="s">
        <v>426</v>
      </c>
      <c r="P121" s="241"/>
      <c r="Q121" s="241"/>
      <c r="R121" s="241" t="s">
        <v>67</v>
      </c>
      <c r="S121" s="241"/>
      <c r="T121" s="241" t="s">
        <v>66</v>
      </c>
      <c r="U121" s="241" t="s">
        <v>64</v>
      </c>
      <c r="V121" s="236" t="s">
        <v>66</v>
      </c>
      <c r="W121" s="236" t="s">
        <v>69</v>
      </c>
      <c r="X121" s="236" t="s">
        <v>393</v>
      </c>
      <c r="Y121" s="236" t="s">
        <v>280</v>
      </c>
      <c r="Z121" s="236" t="s">
        <v>71</v>
      </c>
      <c r="AA121" s="236" t="s">
        <v>64</v>
      </c>
      <c r="AB121" s="236"/>
      <c r="AC121" s="236" t="s">
        <v>64</v>
      </c>
      <c r="AD121" s="236" t="s">
        <v>109</v>
      </c>
      <c r="AE121" s="175" t="s">
        <v>200</v>
      </c>
      <c r="AF121" s="175"/>
      <c r="AG121" s="175"/>
      <c r="AH121" s="175"/>
      <c r="AI121" s="147"/>
      <c r="AJ121" s="147"/>
      <c r="AK121" s="175"/>
      <c r="AL121" s="175"/>
      <c r="AM121" s="172" t="s">
        <v>100</v>
      </c>
      <c r="AN121" s="172" t="s">
        <v>407</v>
      </c>
      <c r="AO121" s="217"/>
      <c r="AP121" s="72"/>
      <c r="AQ121" s="95">
        <v>1</v>
      </c>
      <c r="AR121" s="218">
        <v>1</v>
      </c>
    </row>
    <row r="122" s="7" customFormat="1" ht="39.95" customHeight="1" spans="1:44">
      <c r="A122" s="35">
        <f t="shared" si="43"/>
        <v>113</v>
      </c>
      <c r="B122" s="34"/>
      <c r="C122" s="34"/>
      <c r="D122" s="34"/>
      <c r="E122" s="228"/>
      <c r="F122" s="229"/>
      <c r="G122" s="229">
        <v>5</v>
      </c>
      <c r="H122" s="38"/>
      <c r="I122" s="38"/>
      <c r="J122" s="38"/>
      <c r="K122" s="69"/>
      <c r="L122" s="69"/>
      <c r="M122" s="69"/>
      <c r="N122" s="83" t="s">
        <v>427</v>
      </c>
      <c r="O122" s="83" t="s">
        <v>428</v>
      </c>
      <c r="P122" s="83"/>
      <c r="Q122" s="93" t="s">
        <v>92</v>
      </c>
      <c r="R122" s="253" t="s">
        <v>67</v>
      </c>
      <c r="S122" s="70"/>
      <c r="T122" s="254" t="s">
        <v>481</v>
      </c>
      <c r="U122" s="38" t="str">
        <f t="shared" ref="U122:U128" si="44">N122</f>
        <v>H4B-6805103</v>
      </c>
      <c r="V122" s="255" t="s">
        <v>480</v>
      </c>
      <c r="W122" s="254" t="s">
        <v>393</v>
      </c>
      <c r="X122" s="256" t="s">
        <v>93</v>
      </c>
      <c r="Y122" s="34" t="s">
        <v>169</v>
      </c>
      <c r="Z122" s="41" t="s">
        <v>411</v>
      </c>
      <c r="AA122" s="275" t="s">
        <v>911</v>
      </c>
      <c r="AB122" s="128" t="s">
        <v>64</v>
      </c>
      <c r="AC122" s="281">
        <v>0.244</v>
      </c>
      <c r="AD122" s="128"/>
      <c r="AE122" s="132" t="s">
        <v>110</v>
      </c>
      <c r="AF122" s="132">
        <f>140+8</f>
        <v>148</v>
      </c>
      <c r="AG122" s="132">
        <f>101+3</f>
        <v>104</v>
      </c>
      <c r="AH122" s="169" t="s">
        <v>215</v>
      </c>
      <c r="AI122" s="170">
        <f t="shared" ref="AI122:AI124" si="45">AF122*AG122*AH122*7860/1000000000</f>
        <v>0.36294336</v>
      </c>
      <c r="AJ122" s="171">
        <f t="shared" ref="AJ122:AJ124" si="46">AC122/AI122</f>
        <v>0.672281206632352</v>
      </c>
      <c r="AK122" s="147"/>
      <c r="AL122" s="147"/>
      <c r="AM122" s="190"/>
      <c r="AN122" s="190"/>
      <c r="AO122" s="214"/>
      <c r="AP122" s="38"/>
      <c r="AQ122" s="83">
        <v>1</v>
      </c>
      <c r="AR122" s="215">
        <v>1</v>
      </c>
    </row>
    <row r="123" s="7" customFormat="1" ht="39.95" customHeight="1" spans="1:44">
      <c r="A123" s="35">
        <f t="shared" si="43"/>
        <v>114</v>
      </c>
      <c r="B123" s="34"/>
      <c r="C123" s="34"/>
      <c r="D123" s="34"/>
      <c r="E123" s="228"/>
      <c r="F123" s="229"/>
      <c r="G123" s="229">
        <v>5</v>
      </c>
      <c r="H123" s="38"/>
      <c r="I123" s="38"/>
      <c r="J123" s="38"/>
      <c r="K123" s="69"/>
      <c r="L123" s="69"/>
      <c r="M123" s="69"/>
      <c r="N123" s="83" t="s">
        <v>430</v>
      </c>
      <c r="O123" s="83" t="s">
        <v>431</v>
      </c>
      <c r="P123" s="83"/>
      <c r="Q123" s="93" t="s">
        <v>92</v>
      </c>
      <c r="R123" s="253" t="s">
        <v>67</v>
      </c>
      <c r="S123" s="70"/>
      <c r="T123" s="254" t="s">
        <v>481</v>
      </c>
      <c r="U123" s="38" t="str">
        <f t="shared" si="44"/>
        <v>B40 6805 215</v>
      </c>
      <c r="V123" s="255" t="s">
        <v>480</v>
      </c>
      <c r="W123" s="254" t="s">
        <v>393</v>
      </c>
      <c r="X123" s="256" t="s">
        <v>93</v>
      </c>
      <c r="Y123" s="34" t="s">
        <v>169</v>
      </c>
      <c r="Z123" s="83" t="s">
        <v>338</v>
      </c>
      <c r="AA123" s="41" t="s">
        <v>899</v>
      </c>
      <c r="AB123" s="128" t="s">
        <v>64</v>
      </c>
      <c r="AC123" s="281">
        <v>0.023</v>
      </c>
      <c r="AD123" s="128"/>
      <c r="AE123" s="132" t="s">
        <v>110</v>
      </c>
      <c r="AF123" s="132">
        <f>50+7</f>
        <v>57</v>
      </c>
      <c r="AG123" s="132">
        <f>30+3</f>
        <v>33</v>
      </c>
      <c r="AH123" s="169" t="s">
        <v>215</v>
      </c>
      <c r="AI123" s="170">
        <f t="shared" si="45"/>
        <v>0.04435398</v>
      </c>
      <c r="AJ123" s="171">
        <f t="shared" si="46"/>
        <v>0.518555493779814</v>
      </c>
      <c r="AK123" s="147"/>
      <c r="AL123" s="147"/>
      <c r="AM123" s="190"/>
      <c r="AN123" s="190"/>
      <c r="AO123" s="214"/>
      <c r="AP123" s="38"/>
      <c r="AQ123" s="83">
        <v>1</v>
      </c>
      <c r="AR123" s="215">
        <v>1</v>
      </c>
    </row>
    <row r="124" s="7" customFormat="1" ht="39.95" customHeight="1" spans="1:44">
      <c r="A124" s="35">
        <f t="shared" si="43"/>
        <v>115</v>
      </c>
      <c r="B124" s="34"/>
      <c r="C124" s="34"/>
      <c r="D124" s="34"/>
      <c r="E124" s="228"/>
      <c r="F124" s="229"/>
      <c r="G124" s="229">
        <v>5</v>
      </c>
      <c r="H124" s="38"/>
      <c r="I124" s="38"/>
      <c r="J124" s="38"/>
      <c r="K124" s="69"/>
      <c r="L124" s="69"/>
      <c r="M124" s="69"/>
      <c r="N124" s="83" t="s">
        <v>433</v>
      </c>
      <c r="O124" s="41" t="s">
        <v>434</v>
      </c>
      <c r="P124" s="83"/>
      <c r="Q124" s="93" t="s">
        <v>92</v>
      </c>
      <c r="R124" s="253" t="s">
        <v>67</v>
      </c>
      <c r="S124" s="70"/>
      <c r="T124" s="254" t="s">
        <v>481</v>
      </c>
      <c r="U124" s="38" t="str">
        <f t="shared" si="44"/>
        <v>H4A-6805104</v>
      </c>
      <c r="V124" s="255" t="s">
        <v>480</v>
      </c>
      <c r="W124" s="254" t="s">
        <v>393</v>
      </c>
      <c r="X124" s="256" t="s">
        <v>93</v>
      </c>
      <c r="Y124" s="34" t="s">
        <v>169</v>
      </c>
      <c r="Z124" s="34" t="s">
        <v>416</v>
      </c>
      <c r="AA124" s="41" t="s">
        <v>899</v>
      </c>
      <c r="AB124" s="128" t="s">
        <v>64</v>
      </c>
      <c r="AC124" s="281">
        <v>0.022</v>
      </c>
      <c r="AD124" s="128"/>
      <c r="AE124" s="132" t="s">
        <v>110</v>
      </c>
      <c r="AF124" s="132">
        <f>52+7</f>
        <v>59</v>
      </c>
      <c r="AG124" s="132">
        <f>22+3</f>
        <v>25</v>
      </c>
      <c r="AH124" s="169" t="s">
        <v>215</v>
      </c>
      <c r="AI124" s="170">
        <f t="shared" si="45"/>
        <v>0.0347805</v>
      </c>
      <c r="AJ124" s="171">
        <f t="shared" si="46"/>
        <v>0.632538347637326</v>
      </c>
      <c r="AK124" s="147"/>
      <c r="AL124" s="147"/>
      <c r="AM124" s="190"/>
      <c r="AN124" s="190"/>
      <c r="AO124" s="214"/>
      <c r="AP124" s="38"/>
      <c r="AQ124" s="83">
        <v>1</v>
      </c>
      <c r="AR124" s="215">
        <v>1</v>
      </c>
    </row>
    <row r="125" ht="39.95" customHeight="1" spans="1:44">
      <c r="A125" s="35">
        <f t="shared" si="43"/>
        <v>116</v>
      </c>
      <c r="B125" s="34"/>
      <c r="C125" s="34"/>
      <c r="D125" s="34"/>
      <c r="E125" s="34">
        <v>3</v>
      </c>
      <c r="F125" s="34"/>
      <c r="G125" s="38"/>
      <c r="H125" s="38"/>
      <c r="I125" s="38"/>
      <c r="J125" s="38"/>
      <c r="K125" s="69"/>
      <c r="L125" s="69"/>
      <c r="M125" s="69" t="s">
        <v>450</v>
      </c>
      <c r="N125" s="83" t="s">
        <v>451</v>
      </c>
      <c r="O125" s="83" t="s">
        <v>452</v>
      </c>
      <c r="P125" s="83"/>
      <c r="Q125" s="93" t="s">
        <v>92</v>
      </c>
      <c r="R125" s="67" t="s">
        <v>67</v>
      </c>
      <c r="S125" s="70"/>
      <c r="T125" s="60" t="s">
        <v>481</v>
      </c>
      <c r="U125" s="38" t="str">
        <f t="shared" si="44"/>
        <v>H4B-6805108</v>
      </c>
      <c r="V125" s="87" t="s">
        <v>480</v>
      </c>
      <c r="W125" s="60" t="s">
        <v>393</v>
      </c>
      <c r="X125" s="88" t="s">
        <v>93</v>
      </c>
      <c r="Y125" s="34" t="s">
        <v>400</v>
      </c>
      <c r="Z125" s="273" t="s">
        <v>381</v>
      </c>
      <c r="AA125" s="41" t="s">
        <v>64</v>
      </c>
      <c r="AB125" s="128" t="s">
        <v>64</v>
      </c>
      <c r="AC125" s="134">
        <v>0.135</v>
      </c>
      <c r="AD125" s="128"/>
      <c r="AE125" s="147"/>
      <c r="AF125" s="147"/>
      <c r="AG125" s="147"/>
      <c r="AH125" s="147"/>
      <c r="AI125" s="147"/>
      <c r="AJ125" s="147"/>
      <c r="AK125" s="147"/>
      <c r="AL125" s="147"/>
      <c r="AM125" s="189" t="s">
        <v>100</v>
      </c>
      <c r="AN125" s="299" t="s">
        <v>456</v>
      </c>
      <c r="AO125" s="214"/>
      <c r="AP125" s="38"/>
      <c r="AQ125" s="83">
        <v>1</v>
      </c>
      <c r="AR125" s="215">
        <v>1</v>
      </c>
    </row>
    <row r="126" s="3" customFormat="1" ht="39.95" customHeight="1" spans="1:44">
      <c r="A126" s="35">
        <f t="shared" si="43"/>
        <v>117</v>
      </c>
      <c r="B126" s="34"/>
      <c r="C126" s="34"/>
      <c r="D126" s="34"/>
      <c r="E126" s="34">
        <v>3</v>
      </c>
      <c r="F126" s="34"/>
      <c r="G126" s="38"/>
      <c r="H126" s="38"/>
      <c r="I126" s="38"/>
      <c r="J126" s="38"/>
      <c r="K126" s="69"/>
      <c r="L126" s="69"/>
      <c r="M126" s="69" t="s">
        <v>947</v>
      </c>
      <c r="N126" s="41" t="s">
        <v>948</v>
      </c>
      <c r="O126" s="83" t="s">
        <v>949</v>
      </c>
      <c r="P126" s="83"/>
      <c r="Q126" s="93" t="s">
        <v>480</v>
      </c>
      <c r="R126" s="33" t="s">
        <v>67</v>
      </c>
      <c r="S126" s="70"/>
      <c r="T126" s="60" t="s">
        <v>481</v>
      </c>
      <c r="U126" s="38" t="str">
        <f t="shared" si="44"/>
        <v>SQX3000-6905114</v>
      </c>
      <c r="V126" s="87" t="s">
        <v>480</v>
      </c>
      <c r="W126" s="60" t="s">
        <v>393</v>
      </c>
      <c r="X126" s="88" t="s">
        <v>93</v>
      </c>
      <c r="Y126" s="34" t="s">
        <v>718</v>
      </c>
      <c r="Z126" s="41" t="s">
        <v>64</v>
      </c>
      <c r="AA126" s="41" t="s">
        <v>64</v>
      </c>
      <c r="AB126" s="128" t="s">
        <v>64</v>
      </c>
      <c r="AC126" s="231"/>
      <c r="AD126" s="128"/>
      <c r="AE126" s="147"/>
      <c r="AF126" s="147"/>
      <c r="AG126" s="147"/>
      <c r="AH126" s="147"/>
      <c r="AI126" s="147"/>
      <c r="AJ126" s="147"/>
      <c r="AK126" s="147"/>
      <c r="AL126" s="147"/>
      <c r="AM126" s="189" t="s">
        <v>100</v>
      </c>
      <c r="AN126" s="189" t="s">
        <v>402</v>
      </c>
      <c r="AO126" s="214"/>
      <c r="AP126" s="304"/>
      <c r="AQ126" s="83">
        <v>1</v>
      </c>
      <c r="AR126" s="215">
        <v>1</v>
      </c>
    </row>
    <row r="127" s="1" customFormat="1" ht="39.95" customHeight="1" spans="1:44">
      <c r="A127" s="35">
        <f t="shared" si="43"/>
        <v>118</v>
      </c>
      <c r="B127" s="36"/>
      <c r="C127" s="36"/>
      <c r="D127" s="36"/>
      <c r="E127" s="36">
        <v>3</v>
      </c>
      <c r="F127" s="36"/>
      <c r="G127" s="40"/>
      <c r="H127" s="40"/>
      <c r="I127" s="40"/>
      <c r="J127" s="40"/>
      <c r="K127" s="63"/>
      <c r="L127" s="63"/>
      <c r="M127" s="63" t="s">
        <v>950</v>
      </c>
      <c r="N127" s="47" t="s">
        <v>951</v>
      </c>
      <c r="O127" s="47" t="s">
        <v>952</v>
      </c>
      <c r="P127" s="222"/>
      <c r="Q127" s="92" t="s">
        <v>480</v>
      </c>
      <c r="R127" s="67" t="s">
        <v>67</v>
      </c>
      <c r="S127" s="47"/>
      <c r="T127" s="66" t="s">
        <v>481</v>
      </c>
      <c r="U127" s="40" t="str">
        <f t="shared" si="44"/>
        <v>SQX3000-6905112</v>
      </c>
      <c r="V127" s="90" t="s">
        <v>480</v>
      </c>
      <c r="W127" s="66" t="s">
        <v>393</v>
      </c>
      <c r="X127" s="91" t="s">
        <v>93</v>
      </c>
      <c r="Y127" s="36" t="s">
        <v>482</v>
      </c>
      <c r="Z127" s="47" t="s">
        <v>64</v>
      </c>
      <c r="AA127" s="47" t="s">
        <v>64</v>
      </c>
      <c r="AB127" s="127" t="s">
        <v>483</v>
      </c>
      <c r="AC127" s="47">
        <v>0.001</v>
      </c>
      <c r="AD127" s="127"/>
      <c r="AE127" s="132" t="s">
        <v>98</v>
      </c>
      <c r="AF127" s="132" t="s">
        <v>99</v>
      </c>
      <c r="AG127" s="132"/>
      <c r="AH127" s="169"/>
      <c r="AI127" s="170">
        <f t="shared" ref="AI127:AI133" si="47">AC127*1.04</f>
        <v>0.00104</v>
      </c>
      <c r="AJ127" s="171">
        <f t="shared" ref="AJ127:AJ133" si="48">AC127/AI127</f>
        <v>0.961538461538461</v>
      </c>
      <c r="AK127" s="147"/>
      <c r="AL127" s="147"/>
      <c r="AM127" s="178" t="s">
        <v>100</v>
      </c>
      <c r="AN127" s="178" t="s">
        <v>402</v>
      </c>
      <c r="AO127" s="216"/>
      <c r="AP127" s="40"/>
      <c r="AQ127" s="305">
        <v>1</v>
      </c>
      <c r="AR127" s="221">
        <v>1</v>
      </c>
    </row>
    <row r="128" ht="39.95" customHeight="1" spans="1:44">
      <c r="A128" s="35">
        <f t="shared" si="43"/>
        <v>119</v>
      </c>
      <c r="B128" s="34"/>
      <c r="C128" s="34"/>
      <c r="D128" s="34">
        <v>2</v>
      </c>
      <c r="E128" s="34"/>
      <c r="F128" s="34"/>
      <c r="G128" s="38"/>
      <c r="H128" s="38"/>
      <c r="I128" s="38"/>
      <c r="J128" s="38"/>
      <c r="K128" s="69"/>
      <c r="L128" s="69"/>
      <c r="M128" s="69" t="s">
        <v>444</v>
      </c>
      <c r="N128" s="83" t="s">
        <v>445</v>
      </c>
      <c r="O128" s="83" t="s">
        <v>446</v>
      </c>
      <c r="P128" s="41"/>
      <c r="Q128" s="93" t="s">
        <v>92</v>
      </c>
      <c r="R128" s="67" t="s">
        <v>67</v>
      </c>
      <c r="S128" s="70"/>
      <c r="T128" s="60" t="s">
        <v>481</v>
      </c>
      <c r="U128" s="38" t="str">
        <f t="shared" si="44"/>
        <v>H4B-6805111</v>
      </c>
      <c r="V128" s="87" t="s">
        <v>480</v>
      </c>
      <c r="W128" s="60" t="s">
        <v>393</v>
      </c>
      <c r="X128" s="88" t="s">
        <v>93</v>
      </c>
      <c r="Y128" s="34" t="s">
        <v>953</v>
      </c>
      <c r="Z128" s="273" t="s">
        <v>338</v>
      </c>
      <c r="AA128" s="133" t="s">
        <v>954</v>
      </c>
      <c r="AB128" s="128" t="s">
        <v>64</v>
      </c>
      <c r="AC128" s="134">
        <v>0.132</v>
      </c>
      <c r="AD128" s="128" t="s">
        <v>109</v>
      </c>
      <c r="AE128" s="150" t="s">
        <v>233</v>
      </c>
      <c r="AF128" s="151">
        <f>AC128/0.222*1000+10</f>
        <v>604.594594594595</v>
      </c>
      <c r="AG128" s="151">
        <v>10</v>
      </c>
      <c r="AH128" s="151">
        <v>1</v>
      </c>
      <c r="AI128" s="184">
        <f>AF128*0.222/1000</f>
        <v>0.13422</v>
      </c>
      <c r="AJ128" s="185">
        <f t="shared" si="48"/>
        <v>0.983459991059455</v>
      </c>
      <c r="AK128" s="147"/>
      <c r="AL128" s="147"/>
      <c r="AM128" s="189" t="s">
        <v>100</v>
      </c>
      <c r="AN128" s="300" t="s">
        <v>402</v>
      </c>
      <c r="AO128" s="306"/>
      <c r="AP128" s="38"/>
      <c r="AQ128" s="83">
        <v>1</v>
      </c>
      <c r="AR128" s="215">
        <v>1</v>
      </c>
    </row>
    <row r="129" s="4" customFormat="1" ht="39.95" customHeight="1" spans="1:44">
      <c r="A129" s="35">
        <f t="shared" si="43"/>
        <v>120</v>
      </c>
      <c r="B129" s="34"/>
      <c r="C129" s="34">
        <v>1</v>
      </c>
      <c r="D129" s="34"/>
      <c r="E129" s="34"/>
      <c r="F129" s="34"/>
      <c r="G129" s="38"/>
      <c r="H129" s="38"/>
      <c r="I129" s="38"/>
      <c r="J129" s="38"/>
      <c r="K129" s="41"/>
      <c r="L129" s="41"/>
      <c r="M129" s="65" t="s">
        <v>955</v>
      </c>
      <c r="N129" s="65" t="s">
        <v>955</v>
      </c>
      <c r="O129" s="65" t="s">
        <v>599</v>
      </c>
      <c r="P129" s="41"/>
      <c r="Q129" s="93" t="s">
        <v>225</v>
      </c>
      <c r="R129" s="67" t="s">
        <v>67</v>
      </c>
      <c r="S129" s="41"/>
      <c r="T129" s="60" t="s">
        <v>481</v>
      </c>
      <c r="U129" s="38" t="str">
        <f t="shared" ref="U129:U140" si="49">N129</f>
        <v>SHT0014057</v>
      </c>
      <c r="V129" s="87" t="s">
        <v>480</v>
      </c>
      <c r="W129" s="60" t="s">
        <v>393</v>
      </c>
      <c r="X129" s="88" t="s">
        <v>93</v>
      </c>
      <c r="Y129" s="34" t="s">
        <v>482</v>
      </c>
      <c r="Z129" s="41" t="s">
        <v>956</v>
      </c>
      <c r="AA129" s="41" t="s">
        <v>64</v>
      </c>
      <c r="AB129" s="41" t="s">
        <v>64</v>
      </c>
      <c r="AC129" s="41">
        <v>0.185</v>
      </c>
      <c r="AD129" s="270"/>
      <c r="AE129" s="331" t="s">
        <v>98</v>
      </c>
      <c r="AF129" s="331" t="s">
        <v>99</v>
      </c>
      <c r="AG129" s="331"/>
      <c r="AH129" s="340"/>
      <c r="AI129" s="170">
        <f t="shared" si="47"/>
        <v>0.1924</v>
      </c>
      <c r="AJ129" s="171">
        <f t="shared" si="48"/>
        <v>0.961538461538461</v>
      </c>
      <c r="AK129" s="341"/>
      <c r="AL129" s="341"/>
      <c r="AM129" s="342" t="s">
        <v>74</v>
      </c>
      <c r="AN129" s="342" t="s">
        <v>390</v>
      </c>
      <c r="AO129" s="214"/>
      <c r="AP129" s="38"/>
      <c r="AQ129" s="41">
        <v>1</v>
      </c>
      <c r="AR129" s="215">
        <v>1</v>
      </c>
    </row>
    <row r="130" s="4" customFormat="1" ht="39.95" customHeight="1" spans="1:44">
      <c r="A130" s="35">
        <f t="shared" si="43"/>
        <v>121</v>
      </c>
      <c r="B130" s="34"/>
      <c r="C130" s="34">
        <v>1</v>
      </c>
      <c r="D130" s="34"/>
      <c r="E130" s="34"/>
      <c r="F130" s="34"/>
      <c r="G130" s="38"/>
      <c r="H130" s="38"/>
      <c r="I130" s="38"/>
      <c r="J130" s="38"/>
      <c r="K130" s="41"/>
      <c r="L130" s="41"/>
      <c r="M130" s="65" t="s">
        <v>957</v>
      </c>
      <c r="N130" s="65" t="s">
        <v>957</v>
      </c>
      <c r="O130" s="65" t="s">
        <v>605</v>
      </c>
      <c r="P130" s="41"/>
      <c r="Q130" s="93" t="s">
        <v>225</v>
      </c>
      <c r="R130" s="67" t="s">
        <v>67</v>
      </c>
      <c r="S130" s="41"/>
      <c r="T130" s="60" t="s">
        <v>481</v>
      </c>
      <c r="U130" s="38" t="str">
        <f t="shared" si="49"/>
        <v>SHT0014058</v>
      </c>
      <c r="V130" s="87" t="s">
        <v>480</v>
      </c>
      <c r="W130" s="60" t="s">
        <v>393</v>
      </c>
      <c r="X130" s="88" t="s">
        <v>93</v>
      </c>
      <c r="Y130" s="34" t="s">
        <v>482</v>
      </c>
      <c r="Z130" s="41" t="s">
        <v>956</v>
      </c>
      <c r="AA130" s="41" t="s">
        <v>64</v>
      </c>
      <c r="AB130" s="41" t="s">
        <v>64</v>
      </c>
      <c r="AC130" s="41">
        <v>0.184</v>
      </c>
      <c r="AD130" s="270"/>
      <c r="AE130" s="331" t="s">
        <v>98</v>
      </c>
      <c r="AF130" s="331" t="s">
        <v>99</v>
      </c>
      <c r="AG130" s="331"/>
      <c r="AH130" s="340"/>
      <c r="AI130" s="170">
        <f t="shared" si="47"/>
        <v>0.19136</v>
      </c>
      <c r="AJ130" s="171">
        <f t="shared" si="48"/>
        <v>0.961538461538462</v>
      </c>
      <c r="AK130" s="343"/>
      <c r="AL130" s="343"/>
      <c r="AM130" s="166" t="s">
        <v>74</v>
      </c>
      <c r="AN130" s="166" t="s">
        <v>390</v>
      </c>
      <c r="AO130" s="214"/>
      <c r="AP130" s="38"/>
      <c r="AQ130" s="41">
        <v>1</v>
      </c>
      <c r="AR130" s="215">
        <v>1</v>
      </c>
    </row>
    <row r="131" s="4" customFormat="1" ht="39.95" customHeight="1" spans="1:44">
      <c r="A131" s="35">
        <f t="shared" ref="A131:A140" si="50">ROW()-9</f>
        <v>122</v>
      </c>
      <c r="B131" s="34"/>
      <c r="C131" s="34">
        <v>1</v>
      </c>
      <c r="D131" s="34"/>
      <c r="E131" s="34"/>
      <c r="F131" s="34"/>
      <c r="G131" s="38"/>
      <c r="H131" s="38"/>
      <c r="I131" s="38"/>
      <c r="J131" s="38"/>
      <c r="K131" s="41"/>
      <c r="L131" s="41"/>
      <c r="M131" s="65" t="s">
        <v>958</v>
      </c>
      <c r="N131" s="65" t="s">
        <v>958</v>
      </c>
      <c r="O131" s="65" t="s">
        <v>959</v>
      </c>
      <c r="P131" s="41"/>
      <c r="Q131" s="93" t="s">
        <v>225</v>
      </c>
      <c r="R131" s="67" t="s">
        <v>67</v>
      </c>
      <c r="S131" s="41"/>
      <c r="T131" s="60" t="s">
        <v>481</v>
      </c>
      <c r="U131" s="38" t="str">
        <f t="shared" si="49"/>
        <v>SHT0014059</v>
      </c>
      <c r="V131" s="87" t="s">
        <v>480</v>
      </c>
      <c r="W131" s="60" t="s">
        <v>393</v>
      </c>
      <c r="X131" s="88" t="s">
        <v>93</v>
      </c>
      <c r="Y131" s="34" t="s">
        <v>482</v>
      </c>
      <c r="Z131" s="41" t="s">
        <v>956</v>
      </c>
      <c r="AA131" s="41" t="s">
        <v>64</v>
      </c>
      <c r="AB131" s="41" t="s">
        <v>64</v>
      </c>
      <c r="AC131" s="41">
        <v>0.141</v>
      </c>
      <c r="AD131" s="270"/>
      <c r="AE131" s="331" t="s">
        <v>98</v>
      </c>
      <c r="AF131" s="331" t="s">
        <v>99</v>
      </c>
      <c r="AG131" s="331"/>
      <c r="AH131" s="340"/>
      <c r="AI131" s="170">
        <f t="shared" si="47"/>
        <v>0.14664</v>
      </c>
      <c r="AJ131" s="171">
        <f t="shared" si="48"/>
        <v>0.961538461538461</v>
      </c>
      <c r="AK131" s="343"/>
      <c r="AL131" s="343"/>
      <c r="AM131" s="166" t="s">
        <v>74</v>
      </c>
      <c r="AN131" s="166" t="s">
        <v>390</v>
      </c>
      <c r="AO131" s="214"/>
      <c r="AP131" s="38"/>
      <c r="AQ131" s="41">
        <v>1</v>
      </c>
      <c r="AR131" s="215">
        <v>1</v>
      </c>
    </row>
    <row r="132" s="4" customFormat="1" ht="39.95" customHeight="1" spans="1:44">
      <c r="A132" s="35">
        <f t="shared" si="50"/>
        <v>123</v>
      </c>
      <c r="B132" s="34"/>
      <c r="C132" s="34">
        <v>1</v>
      </c>
      <c r="D132" s="34"/>
      <c r="E132" s="34"/>
      <c r="F132" s="34"/>
      <c r="G132" s="38"/>
      <c r="H132" s="38"/>
      <c r="I132" s="38"/>
      <c r="J132" s="38"/>
      <c r="K132" s="41"/>
      <c r="L132" s="41"/>
      <c r="M132" s="314" t="s">
        <v>960</v>
      </c>
      <c r="N132" s="314" t="s">
        <v>960</v>
      </c>
      <c r="O132" s="41" t="s">
        <v>619</v>
      </c>
      <c r="P132" s="41"/>
      <c r="Q132" s="93" t="s">
        <v>225</v>
      </c>
      <c r="R132" s="67" t="s">
        <v>67</v>
      </c>
      <c r="S132" s="41"/>
      <c r="T132" s="60" t="s">
        <v>481</v>
      </c>
      <c r="U132" s="38" t="str">
        <f t="shared" si="49"/>
        <v>SHT0010983</v>
      </c>
      <c r="V132" s="87" t="s">
        <v>480</v>
      </c>
      <c r="W132" s="60" t="s">
        <v>393</v>
      </c>
      <c r="X132" s="88" t="s">
        <v>93</v>
      </c>
      <c r="Y132" s="34" t="s">
        <v>482</v>
      </c>
      <c r="Z132" s="41" t="s">
        <v>961</v>
      </c>
      <c r="AA132" s="41" t="s">
        <v>64</v>
      </c>
      <c r="AB132" s="41" t="s">
        <v>64</v>
      </c>
      <c r="AC132" s="41">
        <v>0.034</v>
      </c>
      <c r="AD132" s="270"/>
      <c r="AE132" s="331" t="s">
        <v>98</v>
      </c>
      <c r="AF132" s="331" t="s">
        <v>99</v>
      </c>
      <c r="AG132" s="331"/>
      <c r="AH132" s="340"/>
      <c r="AI132" s="170">
        <f t="shared" si="47"/>
        <v>0.03536</v>
      </c>
      <c r="AJ132" s="171">
        <f t="shared" si="48"/>
        <v>0.961538461538462</v>
      </c>
      <c r="AK132" s="343"/>
      <c r="AL132" s="343"/>
      <c r="AM132" s="189" t="s">
        <v>100</v>
      </c>
      <c r="AN132" s="344" t="s">
        <v>617</v>
      </c>
      <c r="AO132" s="214"/>
      <c r="AP132" s="38"/>
      <c r="AQ132" s="41">
        <v>1</v>
      </c>
      <c r="AR132" s="215">
        <v>1</v>
      </c>
    </row>
    <row r="133" ht="39.95" customHeight="1" spans="1:44">
      <c r="A133" s="35">
        <f t="shared" si="50"/>
        <v>124</v>
      </c>
      <c r="B133" s="34"/>
      <c r="C133" s="34">
        <v>1</v>
      </c>
      <c r="D133" s="34"/>
      <c r="E133" s="34"/>
      <c r="F133" s="34"/>
      <c r="G133" s="38"/>
      <c r="H133" s="38"/>
      <c r="I133" s="38"/>
      <c r="J133" s="38"/>
      <c r="K133" s="41"/>
      <c r="L133" s="41"/>
      <c r="M133" s="65" t="s">
        <v>962</v>
      </c>
      <c r="N133" s="65" t="s">
        <v>962</v>
      </c>
      <c r="O133" s="65" t="s">
        <v>963</v>
      </c>
      <c r="P133" s="41"/>
      <c r="Q133" s="93" t="s">
        <v>225</v>
      </c>
      <c r="R133" s="67" t="s">
        <v>67</v>
      </c>
      <c r="S133" s="41"/>
      <c r="T133" s="60" t="s">
        <v>481</v>
      </c>
      <c r="U133" s="38" t="str">
        <f t="shared" si="49"/>
        <v>SHT0014060</v>
      </c>
      <c r="V133" s="87" t="s">
        <v>480</v>
      </c>
      <c r="W133" s="60" t="s">
        <v>393</v>
      </c>
      <c r="X133" s="88" t="s">
        <v>93</v>
      </c>
      <c r="Y133" s="34" t="s">
        <v>482</v>
      </c>
      <c r="Z133" s="41" t="s">
        <v>964</v>
      </c>
      <c r="AA133" s="41" t="s">
        <v>64</v>
      </c>
      <c r="AB133" s="41" t="s">
        <v>64</v>
      </c>
      <c r="AC133" s="41">
        <v>0.594</v>
      </c>
      <c r="AD133" s="270"/>
      <c r="AE133" s="132" t="s">
        <v>98</v>
      </c>
      <c r="AF133" s="132" t="s">
        <v>99</v>
      </c>
      <c r="AG133" s="132"/>
      <c r="AH133" s="169"/>
      <c r="AI133" s="170">
        <f t="shared" si="47"/>
        <v>0.61776</v>
      </c>
      <c r="AJ133" s="171">
        <f t="shared" si="48"/>
        <v>0.961538461538462</v>
      </c>
      <c r="AK133" s="343"/>
      <c r="AL133" s="343"/>
      <c r="AM133" s="166" t="s">
        <v>74</v>
      </c>
      <c r="AN133" s="166" t="s">
        <v>390</v>
      </c>
      <c r="AO133" s="214"/>
      <c r="AP133" s="38"/>
      <c r="AQ133" s="41">
        <v>1</v>
      </c>
      <c r="AR133" s="215">
        <v>1</v>
      </c>
    </row>
    <row r="134" s="10" customFormat="1" ht="39.95" customHeight="1" spans="1:44">
      <c r="A134" s="35">
        <f t="shared" si="50"/>
        <v>125</v>
      </c>
      <c r="B134" s="307"/>
      <c r="C134" s="307">
        <v>1</v>
      </c>
      <c r="D134" s="307"/>
      <c r="E134" s="307"/>
      <c r="F134" s="307"/>
      <c r="G134" s="308"/>
      <c r="H134" s="308"/>
      <c r="I134" s="308"/>
      <c r="J134" s="308"/>
      <c r="K134" s="71"/>
      <c r="L134" s="71"/>
      <c r="M134" s="71" t="s">
        <v>965</v>
      </c>
      <c r="N134" s="65"/>
      <c r="O134" s="65" t="s">
        <v>966</v>
      </c>
      <c r="P134" s="65" t="s">
        <v>967</v>
      </c>
      <c r="Q134" s="318" t="s">
        <v>92</v>
      </c>
      <c r="R134" s="81" t="s">
        <v>67</v>
      </c>
      <c r="S134" s="82"/>
      <c r="T134" s="64" t="s">
        <v>481</v>
      </c>
      <c r="U134" s="308">
        <f t="shared" si="49"/>
        <v>0</v>
      </c>
      <c r="V134" s="319" t="s">
        <v>480</v>
      </c>
      <c r="W134" s="64" t="s">
        <v>393</v>
      </c>
      <c r="X134" s="320" t="s">
        <v>93</v>
      </c>
      <c r="Y134" s="307" t="s">
        <v>117</v>
      </c>
      <c r="Z134" s="65" t="s">
        <v>64</v>
      </c>
      <c r="AA134" s="65" t="s">
        <v>64</v>
      </c>
      <c r="AB134" s="65" t="s">
        <v>64</v>
      </c>
      <c r="AC134" s="65">
        <v>0.01</v>
      </c>
      <c r="AD134" s="332"/>
      <c r="AE134" s="147"/>
      <c r="AF134" s="147"/>
      <c r="AG134" s="147"/>
      <c r="AH134" s="147"/>
      <c r="AI134" s="147"/>
      <c r="AJ134" s="147"/>
      <c r="AK134" s="147"/>
      <c r="AL134" s="147"/>
      <c r="AM134" s="172" t="s">
        <v>100</v>
      </c>
      <c r="AN134" s="172" t="s">
        <v>490</v>
      </c>
      <c r="AO134" s="351"/>
      <c r="AP134" s="308"/>
      <c r="AQ134" s="65">
        <v>4</v>
      </c>
      <c r="AR134" s="215">
        <v>4</v>
      </c>
    </row>
    <row r="135" s="10" customFormat="1" ht="39.95" customHeight="1" spans="1:44">
      <c r="A135" s="35">
        <f t="shared" si="50"/>
        <v>126</v>
      </c>
      <c r="B135" s="307"/>
      <c r="C135" s="307">
        <v>1</v>
      </c>
      <c r="D135" s="307"/>
      <c r="E135" s="307"/>
      <c r="F135" s="307"/>
      <c r="G135" s="308"/>
      <c r="H135" s="308"/>
      <c r="I135" s="308"/>
      <c r="J135" s="308"/>
      <c r="K135" s="71"/>
      <c r="L135" s="71"/>
      <c r="M135" s="71" t="s">
        <v>968</v>
      </c>
      <c r="N135" s="65"/>
      <c r="O135" s="65" t="s">
        <v>969</v>
      </c>
      <c r="P135" s="65" t="s">
        <v>970</v>
      </c>
      <c r="Q135" s="318" t="s">
        <v>92</v>
      </c>
      <c r="R135" s="81" t="s">
        <v>67</v>
      </c>
      <c r="S135" s="321"/>
      <c r="T135" s="64" t="s">
        <v>481</v>
      </c>
      <c r="U135" s="308">
        <f t="shared" si="49"/>
        <v>0</v>
      </c>
      <c r="V135" s="319" t="s">
        <v>480</v>
      </c>
      <c r="W135" s="64" t="s">
        <v>393</v>
      </c>
      <c r="X135" s="320" t="s">
        <v>93</v>
      </c>
      <c r="Y135" s="307" t="s">
        <v>117</v>
      </c>
      <c r="Z135" s="65" t="s">
        <v>64</v>
      </c>
      <c r="AA135" s="65" t="s">
        <v>64</v>
      </c>
      <c r="AB135" s="65" t="s">
        <v>64</v>
      </c>
      <c r="AC135" s="65">
        <v>0.01</v>
      </c>
      <c r="AD135" s="332"/>
      <c r="AE135" s="147"/>
      <c r="AF135" s="147"/>
      <c r="AG135" s="147"/>
      <c r="AH135" s="147"/>
      <c r="AI135" s="147"/>
      <c r="AJ135" s="147"/>
      <c r="AK135" s="147"/>
      <c r="AL135" s="147"/>
      <c r="AM135" s="172" t="s">
        <v>100</v>
      </c>
      <c r="AN135" s="172" t="s">
        <v>971</v>
      </c>
      <c r="AO135" s="351"/>
      <c r="AP135" s="308"/>
      <c r="AQ135" s="65">
        <v>2</v>
      </c>
      <c r="AR135" s="215">
        <v>2</v>
      </c>
    </row>
    <row r="136" ht="39.95" customHeight="1" spans="1:44">
      <c r="A136" s="35">
        <f t="shared" si="50"/>
        <v>127</v>
      </c>
      <c r="B136" s="34"/>
      <c r="C136" s="34">
        <v>1</v>
      </c>
      <c r="D136" s="34"/>
      <c r="E136" s="34"/>
      <c r="F136" s="34"/>
      <c r="G136" s="38"/>
      <c r="H136" s="38"/>
      <c r="I136" s="38"/>
      <c r="J136" s="38"/>
      <c r="K136" s="70"/>
      <c r="L136" s="70"/>
      <c r="M136" s="70" t="s">
        <v>972</v>
      </c>
      <c r="N136" s="41" t="s">
        <v>973</v>
      </c>
      <c r="O136" s="41" t="s">
        <v>974</v>
      </c>
      <c r="P136" s="41" t="s">
        <v>975</v>
      </c>
      <c r="Q136" s="93" t="s">
        <v>92</v>
      </c>
      <c r="R136" s="67" t="s">
        <v>67</v>
      </c>
      <c r="S136" s="83"/>
      <c r="T136" s="60" t="s">
        <v>481</v>
      </c>
      <c r="U136" s="38" t="str">
        <f t="shared" si="49"/>
        <v>H4A-6909001</v>
      </c>
      <c r="V136" s="87" t="s">
        <v>480</v>
      </c>
      <c r="W136" s="60" t="s">
        <v>393</v>
      </c>
      <c r="X136" s="88" t="s">
        <v>93</v>
      </c>
      <c r="Y136" s="34" t="s">
        <v>117</v>
      </c>
      <c r="Z136" s="41" t="s">
        <v>522</v>
      </c>
      <c r="AA136" s="41" t="s">
        <v>64</v>
      </c>
      <c r="AB136" s="41" t="s">
        <v>64</v>
      </c>
      <c r="AC136" s="41">
        <v>0.05</v>
      </c>
      <c r="AD136" s="128"/>
      <c r="AE136" s="147"/>
      <c r="AF136" s="147"/>
      <c r="AG136" s="147"/>
      <c r="AH136" s="147"/>
      <c r="AI136" s="147"/>
      <c r="AJ136" s="147"/>
      <c r="AK136" s="147"/>
      <c r="AL136" s="147"/>
      <c r="AM136" s="172" t="s">
        <v>100</v>
      </c>
      <c r="AN136" s="172" t="s">
        <v>976</v>
      </c>
      <c r="AO136" s="214"/>
      <c r="AP136" s="38"/>
      <c r="AQ136" s="41">
        <v>2</v>
      </c>
      <c r="AR136" s="215">
        <v>2</v>
      </c>
    </row>
    <row r="137" ht="39.95" customHeight="1" spans="1:44">
      <c r="A137" s="35">
        <f t="shared" si="50"/>
        <v>128</v>
      </c>
      <c r="B137" s="34"/>
      <c r="C137" s="34">
        <v>1</v>
      </c>
      <c r="D137" s="34"/>
      <c r="E137" s="34"/>
      <c r="F137" s="34"/>
      <c r="G137" s="38"/>
      <c r="H137" s="38"/>
      <c r="I137" s="38"/>
      <c r="J137" s="38"/>
      <c r="K137" s="70"/>
      <c r="L137" s="70"/>
      <c r="M137" s="70" t="s">
        <v>485</v>
      </c>
      <c r="N137" s="41" t="s">
        <v>977</v>
      </c>
      <c r="O137" s="41" t="s">
        <v>487</v>
      </c>
      <c r="P137" s="41" t="s">
        <v>978</v>
      </c>
      <c r="Q137" s="93" t="s">
        <v>92</v>
      </c>
      <c r="R137" s="67" t="s">
        <v>67</v>
      </c>
      <c r="S137" s="41" t="s">
        <v>979</v>
      </c>
      <c r="T137" s="60" t="s">
        <v>481</v>
      </c>
      <c r="U137" s="38" t="str">
        <f t="shared" si="49"/>
        <v>GB/T 5781-2000</v>
      </c>
      <c r="V137" s="87" t="s">
        <v>480</v>
      </c>
      <c r="W137" s="60" t="s">
        <v>393</v>
      </c>
      <c r="X137" s="88" t="s">
        <v>93</v>
      </c>
      <c r="Y137" s="34" t="s">
        <v>117</v>
      </c>
      <c r="Z137" s="41" t="s">
        <v>64</v>
      </c>
      <c r="AA137" s="41" t="s">
        <v>64</v>
      </c>
      <c r="AB137" s="41" t="s">
        <v>64</v>
      </c>
      <c r="AC137" s="41">
        <v>0.05</v>
      </c>
      <c r="AD137" s="128"/>
      <c r="AE137" s="147"/>
      <c r="AF137" s="147"/>
      <c r="AG137" s="147"/>
      <c r="AH137" s="147"/>
      <c r="AI137" s="147"/>
      <c r="AJ137" s="147"/>
      <c r="AK137" s="147"/>
      <c r="AL137" s="147"/>
      <c r="AM137" s="172" t="s">
        <v>100</v>
      </c>
      <c r="AN137" s="172" t="s">
        <v>490</v>
      </c>
      <c r="AO137" s="214"/>
      <c r="AP137" s="38"/>
      <c r="AQ137" s="41">
        <v>8</v>
      </c>
      <c r="AR137" s="215">
        <v>8</v>
      </c>
    </row>
    <row r="138" ht="39.95" customHeight="1" spans="1:44">
      <c r="A138" s="35">
        <f t="shared" si="50"/>
        <v>129</v>
      </c>
      <c r="B138" s="34"/>
      <c r="C138" s="34">
        <v>1</v>
      </c>
      <c r="D138" s="34"/>
      <c r="E138" s="34"/>
      <c r="F138" s="34"/>
      <c r="G138" s="38"/>
      <c r="H138" s="38"/>
      <c r="I138" s="38"/>
      <c r="J138" s="38"/>
      <c r="K138" s="70"/>
      <c r="L138" s="70" t="s">
        <v>87</v>
      </c>
      <c r="M138" s="70" t="s">
        <v>492</v>
      </c>
      <c r="N138" s="41" t="s">
        <v>493</v>
      </c>
      <c r="O138" s="41" t="s">
        <v>494</v>
      </c>
      <c r="P138" s="41" t="s">
        <v>488</v>
      </c>
      <c r="Q138" s="93" t="s">
        <v>92</v>
      </c>
      <c r="R138" s="67" t="s">
        <v>67</v>
      </c>
      <c r="S138" s="41"/>
      <c r="T138" s="60" t="s">
        <v>66</v>
      </c>
      <c r="U138" s="38" t="s">
        <v>493</v>
      </c>
      <c r="V138" s="87" t="s">
        <v>66</v>
      </c>
      <c r="W138" s="60" t="s">
        <v>69</v>
      </c>
      <c r="X138" s="88" t="s">
        <v>68</v>
      </c>
      <c r="Y138" s="34" t="s">
        <v>117</v>
      </c>
      <c r="Z138" s="41" t="s">
        <v>64</v>
      </c>
      <c r="AA138" s="41" t="s">
        <v>64</v>
      </c>
      <c r="AB138" s="41" t="s">
        <v>495</v>
      </c>
      <c r="AC138" s="41">
        <v>0.004</v>
      </c>
      <c r="AD138" s="128"/>
      <c r="AE138" s="147"/>
      <c r="AF138" s="147"/>
      <c r="AG138" s="147"/>
      <c r="AH138" s="147"/>
      <c r="AI138" s="147"/>
      <c r="AJ138" s="147"/>
      <c r="AK138" s="147"/>
      <c r="AL138" s="147"/>
      <c r="AM138" s="172" t="s">
        <v>100</v>
      </c>
      <c r="AN138" s="172" t="s">
        <v>490</v>
      </c>
      <c r="AO138" s="214"/>
      <c r="AP138" s="38"/>
      <c r="AQ138" s="41">
        <v>8</v>
      </c>
      <c r="AR138" s="215">
        <v>8</v>
      </c>
    </row>
    <row r="139" ht="39.95" customHeight="1" spans="1:44">
      <c r="A139" s="35">
        <f t="shared" si="50"/>
        <v>130</v>
      </c>
      <c r="B139" s="34"/>
      <c r="C139" s="34">
        <v>1</v>
      </c>
      <c r="D139" s="34"/>
      <c r="E139" s="34"/>
      <c r="F139" s="34"/>
      <c r="G139" s="38"/>
      <c r="H139" s="38"/>
      <c r="I139" s="38"/>
      <c r="J139" s="38"/>
      <c r="K139" s="70"/>
      <c r="L139" s="70" t="s">
        <v>87</v>
      </c>
      <c r="M139" s="70" t="s">
        <v>496</v>
      </c>
      <c r="N139" s="41" t="s">
        <v>497</v>
      </c>
      <c r="O139" s="41" t="s">
        <v>498</v>
      </c>
      <c r="P139" s="41" t="s">
        <v>488</v>
      </c>
      <c r="Q139" s="93" t="s">
        <v>92</v>
      </c>
      <c r="R139" s="67" t="s">
        <v>67</v>
      </c>
      <c r="S139" s="41"/>
      <c r="T139" s="60" t="s">
        <v>66</v>
      </c>
      <c r="U139" s="38" t="s">
        <v>497</v>
      </c>
      <c r="V139" s="87" t="s">
        <v>66</v>
      </c>
      <c r="W139" s="60" t="s">
        <v>69</v>
      </c>
      <c r="X139" s="88" t="s">
        <v>68</v>
      </c>
      <c r="Y139" s="34" t="s">
        <v>117</v>
      </c>
      <c r="Z139" s="41" t="s">
        <v>64</v>
      </c>
      <c r="AA139" s="41" t="s">
        <v>64</v>
      </c>
      <c r="AB139" s="41" t="s">
        <v>499</v>
      </c>
      <c r="AC139" s="41">
        <v>0.006</v>
      </c>
      <c r="AD139" s="128"/>
      <c r="AE139" s="147"/>
      <c r="AF139" s="147"/>
      <c r="AG139" s="147"/>
      <c r="AH139" s="147"/>
      <c r="AI139" s="147"/>
      <c r="AJ139" s="147"/>
      <c r="AK139" s="147"/>
      <c r="AL139" s="147"/>
      <c r="AM139" s="172" t="s">
        <v>100</v>
      </c>
      <c r="AN139" s="172" t="s">
        <v>490</v>
      </c>
      <c r="AO139" s="214"/>
      <c r="AP139" s="38"/>
      <c r="AQ139" s="41">
        <v>8</v>
      </c>
      <c r="AR139" s="215">
        <v>8</v>
      </c>
    </row>
    <row r="140" ht="39.95" customHeight="1" spans="1:44">
      <c r="A140" s="35">
        <f t="shared" si="50"/>
        <v>131</v>
      </c>
      <c r="B140" s="34"/>
      <c r="C140" s="34">
        <v>1</v>
      </c>
      <c r="D140" s="34"/>
      <c r="E140" s="34"/>
      <c r="F140" s="34"/>
      <c r="G140" s="38"/>
      <c r="H140" s="38"/>
      <c r="I140" s="38"/>
      <c r="J140" s="38"/>
      <c r="K140" s="70"/>
      <c r="L140" s="70"/>
      <c r="M140" s="70" t="s">
        <v>658</v>
      </c>
      <c r="N140" s="41" t="s">
        <v>659</v>
      </c>
      <c r="O140" s="41" t="s">
        <v>660</v>
      </c>
      <c r="P140" s="41" t="s">
        <v>662</v>
      </c>
      <c r="Q140" s="93" t="s">
        <v>92</v>
      </c>
      <c r="R140" s="67" t="s">
        <v>67</v>
      </c>
      <c r="S140" s="83"/>
      <c r="T140" s="60" t="s">
        <v>481</v>
      </c>
      <c r="U140" s="38" t="str">
        <f t="shared" si="49"/>
        <v>Q2204213</v>
      </c>
      <c r="V140" s="87" t="s">
        <v>480</v>
      </c>
      <c r="W140" s="60" t="s">
        <v>393</v>
      </c>
      <c r="X140" s="88" t="s">
        <v>93</v>
      </c>
      <c r="Y140" s="34" t="s">
        <v>117</v>
      </c>
      <c r="Z140" s="41" t="s">
        <v>64</v>
      </c>
      <c r="AA140" s="41" t="s">
        <v>64</v>
      </c>
      <c r="AB140" s="41" t="s">
        <v>64</v>
      </c>
      <c r="AC140" s="41">
        <v>0.02</v>
      </c>
      <c r="AD140" s="128"/>
      <c r="AE140" s="147"/>
      <c r="AF140" s="147"/>
      <c r="AG140" s="147"/>
      <c r="AH140" s="147"/>
      <c r="AI140" s="147"/>
      <c r="AJ140" s="147"/>
      <c r="AK140" s="147"/>
      <c r="AL140" s="147"/>
      <c r="AM140" s="172" t="s">
        <v>100</v>
      </c>
      <c r="AN140" s="172" t="s">
        <v>490</v>
      </c>
      <c r="AO140" s="214"/>
      <c r="AP140" s="38"/>
      <c r="AQ140" s="41">
        <v>12</v>
      </c>
      <c r="AR140" s="215">
        <v>12</v>
      </c>
    </row>
    <row r="141" s="11" customFormat="1" ht="45" customHeight="1" spans="1:44">
      <c r="A141" s="35">
        <f t="shared" ref="A141:A148" si="51">ROW()-9</f>
        <v>132</v>
      </c>
      <c r="B141" s="309"/>
      <c r="C141" s="226">
        <v>1</v>
      </c>
      <c r="D141" s="310"/>
      <c r="E141" s="310"/>
      <c r="F141" s="310"/>
      <c r="G141" s="310"/>
      <c r="H141" s="310"/>
      <c r="I141" s="310"/>
      <c r="J141" s="310"/>
      <c r="K141" s="310"/>
      <c r="L141" s="236" t="s">
        <v>87</v>
      </c>
      <c r="M141" s="311" t="s">
        <v>673</v>
      </c>
      <c r="N141" s="311" t="s">
        <v>673</v>
      </c>
      <c r="O141" s="311" t="s">
        <v>674</v>
      </c>
      <c r="P141" s="227" t="s">
        <v>482</v>
      </c>
      <c r="Q141" s="322" t="s">
        <v>92</v>
      </c>
      <c r="R141" s="236" t="s">
        <v>67</v>
      </c>
      <c r="S141" s="323" t="s">
        <v>64</v>
      </c>
      <c r="T141" s="324" t="s">
        <v>66</v>
      </c>
      <c r="U141" s="227" t="s">
        <v>64</v>
      </c>
      <c r="V141" s="324" t="s">
        <v>66</v>
      </c>
      <c r="W141" s="225" t="s">
        <v>69</v>
      </c>
      <c r="X141" s="325" t="s">
        <v>68</v>
      </c>
      <c r="Y141" s="226" t="s">
        <v>675</v>
      </c>
      <c r="Z141" s="226" t="s">
        <v>675</v>
      </c>
      <c r="AA141" s="226" t="s">
        <v>64</v>
      </c>
      <c r="AB141" s="226" t="s">
        <v>64</v>
      </c>
      <c r="AC141" s="333" t="s">
        <v>64</v>
      </c>
      <c r="AD141" s="226" t="s">
        <v>64</v>
      </c>
      <c r="AE141" s="334"/>
      <c r="AF141" s="334"/>
      <c r="AG141" s="334"/>
      <c r="AH141" s="345"/>
      <c r="AI141" s="346"/>
      <c r="AJ141" s="346"/>
      <c r="AK141" s="347"/>
      <c r="AL141" s="347"/>
      <c r="AM141" s="348" t="s">
        <v>100</v>
      </c>
      <c r="AN141" s="348" t="s">
        <v>676</v>
      </c>
      <c r="AO141" s="352"/>
      <c r="AP141" s="225"/>
      <c r="AQ141" s="323" t="s">
        <v>111</v>
      </c>
      <c r="AR141" s="353" t="s">
        <v>111</v>
      </c>
    </row>
    <row r="142" s="11" customFormat="1" ht="45" customHeight="1" spans="1:44">
      <c r="A142" s="35">
        <f t="shared" si="51"/>
        <v>133</v>
      </c>
      <c r="B142" s="309"/>
      <c r="C142" s="226">
        <v>1</v>
      </c>
      <c r="D142" s="310"/>
      <c r="E142" s="310"/>
      <c r="F142" s="310"/>
      <c r="G142" s="310"/>
      <c r="H142" s="310"/>
      <c r="I142" s="310"/>
      <c r="J142" s="310"/>
      <c r="K142" s="310"/>
      <c r="L142" s="236" t="s">
        <v>87</v>
      </c>
      <c r="M142" s="311" t="s">
        <v>677</v>
      </c>
      <c r="N142" s="311" t="s">
        <v>677</v>
      </c>
      <c r="O142" s="311" t="s">
        <v>678</v>
      </c>
      <c r="P142" s="227" t="s">
        <v>482</v>
      </c>
      <c r="Q142" s="322" t="s">
        <v>92</v>
      </c>
      <c r="R142" s="236" t="s">
        <v>67</v>
      </c>
      <c r="S142" s="323" t="s">
        <v>64</v>
      </c>
      <c r="T142" s="324" t="s">
        <v>66</v>
      </c>
      <c r="U142" s="227" t="s">
        <v>64</v>
      </c>
      <c r="V142" s="324" t="s">
        <v>66</v>
      </c>
      <c r="W142" s="225" t="s">
        <v>69</v>
      </c>
      <c r="X142" s="325" t="s">
        <v>68</v>
      </c>
      <c r="Y142" s="226" t="s">
        <v>675</v>
      </c>
      <c r="Z142" s="226" t="s">
        <v>675</v>
      </c>
      <c r="AA142" s="226" t="s">
        <v>64</v>
      </c>
      <c r="AB142" s="226" t="s">
        <v>64</v>
      </c>
      <c r="AC142" s="333" t="s">
        <v>64</v>
      </c>
      <c r="AD142" s="226" t="s">
        <v>64</v>
      </c>
      <c r="AE142" s="334"/>
      <c r="AF142" s="334"/>
      <c r="AG142" s="334"/>
      <c r="AH142" s="345"/>
      <c r="AI142" s="346"/>
      <c r="AJ142" s="346"/>
      <c r="AK142" s="347"/>
      <c r="AL142" s="347"/>
      <c r="AM142" s="348" t="s">
        <v>100</v>
      </c>
      <c r="AN142" s="348" t="s">
        <v>676</v>
      </c>
      <c r="AO142" s="352"/>
      <c r="AP142" s="225"/>
      <c r="AQ142" s="323" t="s">
        <v>111</v>
      </c>
      <c r="AR142" s="353" t="s">
        <v>111</v>
      </c>
    </row>
    <row r="143" s="7" customFormat="1" ht="45" customHeight="1" spans="1:44">
      <c r="A143" s="35">
        <f t="shared" si="51"/>
        <v>134</v>
      </c>
      <c r="B143" s="310"/>
      <c r="C143" s="311">
        <v>1</v>
      </c>
      <c r="D143" s="311"/>
      <c r="E143" s="311"/>
      <c r="F143" s="311"/>
      <c r="G143" s="311"/>
      <c r="H143" s="311"/>
      <c r="I143" s="311"/>
      <c r="J143" s="311"/>
      <c r="K143" s="311"/>
      <c r="L143" s="311"/>
      <c r="M143" s="315" t="s">
        <v>682</v>
      </c>
      <c r="N143" s="315" t="s">
        <v>682</v>
      </c>
      <c r="O143" s="315" t="s">
        <v>683</v>
      </c>
      <c r="P143" s="311"/>
      <c r="Q143" s="311"/>
      <c r="R143" s="236" t="s">
        <v>67</v>
      </c>
      <c r="S143" s="311"/>
      <c r="T143" s="324" t="s">
        <v>66</v>
      </c>
      <c r="U143" s="311"/>
      <c r="V143" s="311"/>
      <c r="W143" s="311" t="s">
        <v>69</v>
      </c>
      <c r="X143" s="311" t="s">
        <v>68</v>
      </c>
      <c r="Y143" s="311"/>
      <c r="Z143" s="311"/>
      <c r="AA143" s="311"/>
      <c r="AB143" s="311"/>
      <c r="AC143" s="311"/>
      <c r="AD143" s="311"/>
      <c r="AE143" s="335"/>
      <c r="AF143" s="335"/>
      <c r="AG143" s="335"/>
      <c r="AH143" s="335"/>
      <c r="AI143" s="335"/>
      <c r="AJ143" s="335"/>
      <c r="AK143" s="335"/>
      <c r="AL143" s="335"/>
      <c r="AM143" s="348" t="s">
        <v>100</v>
      </c>
      <c r="AN143" s="348" t="s">
        <v>684</v>
      </c>
      <c r="AO143" s="311"/>
      <c r="AP143" s="311"/>
      <c r="AQ143" s="311">
        <v>1</v>
      </c>
      <c r="AR143" s="315">
        <v>1</v>
      </c>
    </row>
    <row r="144" ht="39.95" customHeight="1" spans="1:44">
      <c r="A144" s="35">
        <f t="shared" si="51"/>
        <v>135</v>
      </c>
      <c r="B144" s="34">
        <v>0</v>
      </c>
      <c r="C144" s="34"/>
      <c r="D144" s="34"/>
      <c r="E144" s="34"/>
      <c r="F144" s="34"/>
      <c r="G144" s="38"/>
      <c r="H144" s="38"/>
      <c r="I144" s="38"/>
      <c r="J144" s="38"/>
      <c r="K144" s="41"/>
      <c r="L144" s="41"/>
      <c r="M144" s="41" t="s">
        <v>980</v>
      </c>
      <c r="N144" s="41" t="s">
        <v>981</v>
      </c>
      <c r="O144" s="41" t="s">
        <v>982</v>
      </c>
      <c r="P144" s="83"/>
      <c r="Q144" s="93" t="s">
        <v>92</v>
      </c>
      <c r="R144" s="67" t="s">
        <v>67</v>
      </c>
      <c r="S144" s="41"/>
      <c r="T144" s="60" t="s">
        <v>481</v>
      </c>
      <c r="U144" s="38" t="str">
        <f>N144</f>
        <v>H4681020200A0</v>
      </c>
      <c r="V144" s="87" t="s">
        <v>480</v>
      </c>
      <c r="W144" s="60" t="s">
        <v>393</v>
      </c>
      <c r="X144" s="88" t="s">
        <v>93</v>
      </c>
      <c r="Y144" s="41" t="s">
        <v>64</v>
      </c>
      <c r="Z144" s="41" t="s">
        <v>71</v>
      </c>
      <c r="AA144" s="41" t="s">
        <v>64</v>
      </c>
      <c r="AB144" s="128" t="s">
        <v>64</v>
      </c>
      <c r="AC144" s="41">
        <v>4.33</v>
      </c>
      <c r="AD144" s="128"/>
      <c r="AE144" s="147"/>
      <c r="AF144" s="147"/>
      <c r="AG144" s="147"/>
      <c r="AH144" s="147"/>
      <c r="AI144" s="147"/>
      <c r="AJ144" s="147"/>
      <c r="AK144" s="147"/>
      <c r="AL144" s="147"/>
      <c r="AM144" s="172" t="s">
        <v>100</v>
      </c>
      <c r="AN144" s="178" t="s">
        <v>540</v>
      </c>
      <c r="AO144" s="214"/>
      <c r="AP144" s="38"/>
      <c r="AQ144" s="41">
        <v>1</v>
      </c>
      <c r="AR144" s="215">
        <v>1</v>
      </c>
    </row>
    <row r="145" ht="39.95" customHeight="1" spans="1:44">
      <c r="A145" s="35">
        <f t="shared" si="51"/>
        <v>136</v>
      </c>
      <c r="B145" s="34"/>
      <c r="C145" s="34">
        <v>1</v>
      </c>
      <c r="D145" s="34"/>
      <c r="E145" s="34"/>
      <c r="F145" s="34"/>
      <c r="G145" s="38"/>
      <c r="H145" s="38"/>
      <c r="I145" s="38"/>
      <c r="J145" s="38"/>
      <c r="K145" s="41"/>
      <c r="L145" s="41"/>
      <c r="M145" s="41"/>
      <c r="N145" s="41" t="s">
        <v>983</v>
      </c>
      <c r="O145" s="41" t="s">
        <v>984</v>
      </c>
      <c r="P145" s="41" t="s">
        <v>438</v>
      </c>
      <c r="Q145" s="93" t="s">
        <v>92</v>
      </c>
      <c r="R145" s="67" t="s">
        <v>67</v>
      </c>
      <c r="S145" s="41"/>
      <c r="T145" s="60" t="s">
        <v>481</v>
      </c>
      <c r="U145" s="38" t="str">
        <f>N145</f>
        <v>H4681020071A0</v>
      </c>
      <c r="V145" s="87" t="s">
        <v>480</v>
      </c>
      <c r="W145" s="60" t="s">
        <v>393</v>
      </c>
      <c r="X145" s="88" t="s">
        <v>93</v>
      </c>
      <c r="Y145" s="34" t="s">
        <v>169</v>
      </c>
      <c r="Z145" s="273" t="s">
        <v>938</v>
      </c>
      <c r="AA145" s="275" t="s">
        <v>985</v>
      </c>
      <c r="AB145" s="128" t="s">
        <v>64</v>
      </c>
      <c r="AC145" s="41">
        <v>2.511</v>
      </c>
      <c r="AD145" s="128"/>
      <c r="AE145" s="129"/>
      <c r="AF145" s="129"/>
      <c r="AG145" s="129"/>
      <c r="AH145" s="129"/>
      <c r="AI145" s="129"/>
      <c r="AJ145" s="129"/>
      <c r="AK145" s="129"/>
      <c r="AL145" s="129"/>
      <c r="AM145" s="297"/>
      <c r="AN145" s="288"/>
      <c r="AO145" s="214"/>
      <c r="AP145" s="38"/>
      <c r="AQ145" s="41">
        <v>1</v>
      </c>
      <c r="AR145" s="215">
        <v>1</v>
      </c>
    </row>
    <row r="146" ht="39.95" customHeight="1" spans="1:44">
      <c r="A146" s="35">
        <f t="shared" si="51"/>
        <v>137</v>
      </c>
      <c r="B146" s="34"/>
      <c r="C146" s="34">
        <v>1</v>
      </c>
      <c r="D146" s="34"/>
      <c r="E146" s="34"/>
      <c r="F146" s="34"/>
      <c r="G146" s="38"/>
      <c r="H146" s="38"/>
      <c r="I146" s="38"/>
      <c r="J146" s="38"/>
      <c r="K146" s="41"/>
      <c r="L146" s="41"/>
      <c r="M146" s="41"/>
      <c r="N146" s="41" t="s">
        <v>986</v>
      </c>
      <c r="O146" s="41" t="s">
        <v>987</v>
      </c>
      <c r="P146" s="41" t="s">
        <v>438</v>
      </c>
      <c r="Q146" s="93" t="s">
        <v>92</v>
      </c>
      <c r="R146" s="67" t="s">
        <v>67</v>
      </c>
      <c r="S146" s="41"/>
      <c r="T146" s="60" t="s">
        <v>481</v>
      </c>
      <c r="U146" s="38" t="str">
        <f>N146</f>
        <v>H4681020072A0</v>
      </c>
      <c r="V146" s="87" t="s">
        <v>480</v>
      </c>
      <c r="W146" s="60" t="s">
        <v>393</v>
      </c>
      <c r="X146" s="88" t="s">
        <v>93</v>
      </c>
      <c r="Y146" s="34" t="s">
        <v>169</v>
      </c>
      <c r="Z146" s="273" t="s">
        <v>938</v>
      </c>
      <c r="AA146" s="275" t="s">
        <v>861</v>
      </c>
      <c r="AB146" s="128" t="s">
        <v>64</v>
      </c>
      <c r="AC146" s="41">
        <v>1.709</v>
      </c>
      <c r="AD146" s="128"/>
      <c r="AE146" s="129"/>
      <c r="AF146" s="129"/>
      <c r="AG146" s="129"/>
      <c r="AH146" s="129"/>
      <c r="AI146" s="129"/>
      <c r="AJ146" s="129"/>
      <c r="AK146" s="129"/>
      <c r="AL146" s="129"/>
      <c r="AM146" s="297"/>
      <c r="AN146" s="288"/>
      <c r="AO146" s="214"/>
      <c r="AP146" s="38"/>
      <c r="AQ146" s="41">
        <v>1</v>
      </c>
      <c r="AR146" s="215">
        <v>1</v>
      </c>
    </row>
    <row r="147" ht="39.95" customHeight="1" spans="1:44">
      <c r="A147" s="35">
        <f t="shared" si="51"/>
        <v>138</v>
      </c>
      <c r="B147" s="34"/>
      <c r="C147" s="34">
        <v>1</v>
      </c>
      <c r="D147" s="34"/>
      <c r="E147" s="34"/>
      <c r="F147" s="34"/>
      <c r="G147" s="38"/>
      <c r="H147" s="38"/>
      <c r="I147" s="38"/>
      <c r="J147" s="38"/>
      <c r="K147" s="41"/>
      <c r="L147" s="41"/>
      <c r="M147" s="41"/>
      <c r="N147" s="41" t="s">
        <v>988</v>
      </c>
      <c r="O147" s="41" t="s">
        <v>989</v>
      </c>
      <c r="P147" s="41" t="s">
        <v>990</v>
      </c>
      <c r="Q147" s="93" t="s">
        <v>92</v>
      </c>
      <c r="R147" s="67" t="s">
        <v>67</v>
      </c>
      <c r="S147" s="41"/>
      <c r="T147" s="60" t="s">
        <v>481</v>
      </c>
      <c r="U147" s="38" t="str">
        <f>N147</f>
        <v>H4681020073A0</v>
      </c>
      <c r="V147" s="87" t="s">
        <v>480</v>
      </c>
      <c r="W147" s="60" t="s">
        <v>393</v>
      </c>
      <c r="X147" s="88" t="s">
        <v>93</v>
      </c>
      <c r="Y147" s="34" t="s">
        <v>851</v>
      </c>
      <c r="Z147" s="41" t="s">
        <v>522</v>
      </c>
      <c r="AA147" s="41"/>
      <c r="AB147" s="128" t="s">
        <v>64</v>
      </c>
      <c r="AC147" s="41">
        <v>0.059</v>
      </c>
      <c r="AD147" s="128"/>
      <c r="AE147" s="129"/>
      <c r="AF147" s="129"/>
      <c r="AG147" s="129"/>
      <c r="AH147" s="129"/>
      <c r="AI147" s="129"/>
      <c r="AJ147" s="129"/>
      <c r="AK147" s="129"/>
      <c r="AL147" s="129"/>
      <c r="AM147" s="297"/>
      <c r="AN147" s="288"/>
      <c r="AO147" s="214"/>
      <c r="AP147" s="38"/>
      <c r="AQ147" s="41">
        <v>3</v>
      </c>
      <c r="AR147" s="215">
        <v>3</v>
      </c>
    </row>
    <row r="148" ht="39.95" customHeight="1" spans="1:44">
      <c r="A148" s="35">
        <f t="shared" si="51"/>
        <v>139</v>
      </c>
      <c r="B148" s="312"/>
      <c r="C148" s="312">
        <v>1</v>
      </c>
      <c r="D148" s="312"/>
      <c r="E148" s="312"/>
      <c r="F148" s="312"/>
      <c r="G148" s="313"/>
      <c r="H148" s="313"/>
      <c r="I148" s="313"/>
      <c r="J148" s="313"/>
      <c r="K148" s="316"/>
      <c r="L148" s="316"/>
      <c r="M148" s="316"/>
      <c r="N148" s="317" t="s">
        <v>991</v>
      </c>
      <c r="O148" s="317" t="s">
        <v>992</v>
      </c>
      <c r="P148" s="317"/>
      <c r="Q148" s="326" t="s">
        <v>92</v>
      </c>
      <c r="R148" s="327" t="s">
        <v>67</v>
      </c>
      <c r="S148" s="317"/>
      <c r="T148" s="328" t="s">
        <v>481</v>
      </c>
      <c r="U148" s="313"/>
      <c r="V148" s="329" t="s">
        <v>480</v>
      </c>
      <c r="W148" s="328" t="s">
        <v>393</v>
      </c>
      <c r="X148" s="330" t="s">
        <v>93</v>
      </c>
      <c r="Y148" s="312" t="s">
        <v>169</v>
      </c>
      <c r="Z148" s="317" t="s">
        <v>416</v>
      </c>
      <c r="AA148" s="336" t="s">
        <v>899</v>
      </c>
      <c r="AB148" s="337"/>
      <c r="AC148" s="336"/>
      <c r="AD148" s="338"/>
      <c r="AE148" s="339"/>
      <c r="AF148" s="339"/>
      <c r="AG148" s="339"/>
      <c r="AH148" s="339"/>
      <c r="AI148" s="339"/>
      <c r="AJ148" s="339"/>
      <c r="AK148" s="339"/>
      <c r="AL148" s="339"/>
      <c r="AM148" s="349"/>
      <c r="AN148" s="350"/>
      <c r="AO148" s="338"/>
      <c r="AP148" s="313"/>
      <c r="AQ148" s="317">
        <v>2</v>
      </c>
      <c r="AR148" s="354">
        <v>2</v>
      </c>
    </row>
  </sheetData>
  <autoFilter ref="A9:AR148">
    <extLst/>
  </autoFilter>
  <mergeCells count="43">
    <mergeCell ref="A1:AR1"/>
    <mergeCell ref="A4:O4"/>
    <mergeCell ref="A5:K5"/>
    <mergeCell ref="N5:O5"/>
    <mergeCell ref="A6:O6"/>
    <mergeCell ref="A7:O7"/>
    <mergeCell ref="B8:K8"/>
    <mergeCell ref="AF8:AH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2:E3"/>
    <mergeCell ref="F2:K3"/>
    <mergeCell ref="L2:O3"/>
    <mergeCell ref="P2:AO7"/>
  </mergeCells>
  <conditionalFormatting sqref="M16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M17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U36">
    <cfRule type="duplicateValues" dxfId="0" priority="51"/>
  </conditionalFormatting>
  <conditionalFormatting sqref="U37">
    <cfRule type="duplicateValues" dxfId="0" priority="50"/>
  </conditionalFormatting>
  <conditionalFormatting sqref="T38:AC38">
    <cfRule type="duplicateValues" dxfId="0" priority="1"/>
  </conditionalFormatting>
  <conditionalFormatting sqref="T39:AC39">
    <cfRule type="duplicateValues" dxfId="0" priority="80"/>
  </conditionalFormatting>
  <conditionalFormatting sqref="K53:M53">
    <cfRule type="duplicateValues" dxfId="0" priority="52"/>
  </conditionalFormatting>
  <conditionalFormatting sqref="M57:M58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N16:N1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N57:N58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dataValidations count="3">
    <dataValidation allowBlank="1" showErrorMessage="1" sqref="Z95 Z104 Z112 Z122 Z71:Z74 Z77:Z80 Z85:Z87 Z89:Z90 Z99:Z100 Z109:Z111 Z118:Z119"/>
    <dataValidation allowBlank="1" showInputMessage="1" showErrorMessage="1" promptTitle="包括4种填写情况：" prompt="具体数字；&#10;RF--参考图、表格图或原理图；&#10;AR--零件用量按需；&#10;RP--零件为维修专用。" sqref="AQ100 AQ102 AQ104 AQ115:AR115 AQ118 AQ122 AQ126 AQ46:AQ53 AQ109:AQ112"/>
    <dataValidation allowBlank="1" showErrorMessage="1" promptTitle="提示" prompt="该字段按需填写" sqref="P104 P122 P126 P109:P112 P115:P118"/>
  </dataValidations>
  <pageMargins left="0.7" right="0.7" top="0.75" bottom="0.75" header="0.3" footer="0.3"/>
  <pageSetup paperSize="9" scale="49" orientation="portrait"/>
  <headerFooter/>
  <colBreaks count="2" manualBreakCount="2">
    <brk id="14" max="147" man="1"/>
    <brk id="28" max="147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KING</vt:lpstr>
      <vt:lpstr>驾驶员座椅总成</vt:lpstr>
      <vt:lpstr>副驾驶员座椅总成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2006-09-13T11:21:00Z</dcterms:created>
  <cp:lastPrinted>2022-01-14T07:35:00Z</cp:lastPrinted>
  <dcterms:modified xsi:type="dcterms:W3CDTF">2022-02-19T00:46:07Z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B05BE77CB6A4447CB1623563EC2AC980</vt:lpwstr>
  </property>
</Properties>
</file>