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报价\坐椅\奥杰BOM&amp;外购件开发申请单-2022.02.21\报价单\"/>
    </mc:Choice>
  </mc:AlternateContent>
  <bookViews>
    <workbookView xWindow="0" yWindow="0" windowWidth="19425" windowHeight="9405" tabRatio="725" activeTab="2"/>
  </bookViews>
  <sheets>
    <sheet name="汇总表" sheetId="1" r:id="rId1"/>
    <sheet name="原材料明细" sheetId="2" r:id="rId2"/>
    <sheet name="外购外协件明细" sheetId="3" r:id="rId3"/>
    <sheet name="加工明细" sheetId="4" r:id="rId4"/>
    <sheet name="制造费率测算明细" sheetId="15" r:id="rId5"/>
    <sheet name="期间费用" sheetId="9" r:id="rId6"/>
    <sheet name="包装运输明细" sheetId="10" r:id="rId7"/>
    <sheet name="工装明细" sheetId="14" r:id="rId8"/>
  </sheets>
  <externalReferences>
    <externalReference r:id="rId9"/>
  </externalReferences>
  <definedNames>
    <definedName name="_xlnm._FilterDatabase" localSheetId="6" hidden="1">包装运输明细!$A$1:$N$28</definedName>
    <definedName name="_xlnm.Print_Area" localSheetId="5">期间费用!$A$1:$G$20</definedName>
  </definedNames>
  <calcPr calcId="162913"/>
</workbook>
</file>

<file path=xl/calcChain.xml><?xml version="1.0" encoding="utf-8"?>
<calcChain xmlns="http://schemas.openxmlformats.org/spreadsheetml/2006/main">
  <c r="A8" i="3" l="1"/>
  <c r="A9" i="3"/>
  <c r="M44" i="10" l="1"/>
  <c r="M36" i="10"/>
  <c r="M34" i="10"/>
  <c r="M33" i="10"/>
  <c r="M30" i="10"/>
  <c r="N11" i="10"/>
  <c r="N12" i="10" s="1"/>
  <c r="V6" i="15" l="1"/>
  <c r="U6" i="15"/>
  <c r="T6" i="15"/>
  <c r="O6" i="4"/>
  <c r="Q6" i="4" s="1"/>
  <c r="P16" i="3" l="1"/>
  <c r="A16" i="3"/>
  <c r="A17" i="3"/>
  <c r="F10" i="10" l="1"/>
  <c r="P8" i="3" l="1"/>
  <c r="Q22" i="2"/>
  <c r="R22" i="2" s="1"/>
  <c r="Q23" i="2"/>
  <c r="R23" i="2" s="1"/>
  <c r="Q24" i="2"/>
  <c r="R24" i="2" s="1"/>
  <c r="Q25" i="2"/>
  <c r="R25" i="2" s="1"/>
  <c r="Q26" i="2"/>
  <c r="R26" i="2" s="1"/>
  <c r="A22" i="2"/>
  <c r="A23" i="2"/>
  <c r="A24" i="2"/>
  <c r="A25" i="2"/>
  <c r="I13" i="2" l="1"/>
  <c r="Q12" i="2"/>
  <c r="R12" i="2" s="1"/>
  <c r="Q13" i="2"/>
  <c r="Q14" i="2"/>
  <c r="R14" i="2" s="1"/>
  <c r="Q15" i="2"/>
  <c r="R15" i="2" s="1"/>
  <c r="Q16" i="2"/>
  <c r="R16" i="2" s="1"/>
  <c r="A12" i="2"/>
  <c r="A13" i="2"/>
  <c r="A14" i="2"/>
  <c r="A15" i="2"/>
  <c r="A16" i="2"/>
  <c r="R13" i="2" l="1"/>
  <c r="M26" i="2" l="1"/>
  <c r="P7" i="3" l="1"/>
  <c r="A10" i="3"/>
  <c r="A11" i="3"/>
  <c r="A12" i="3"/>
  <c r="A13" i="3"/>
  <c r="A14" i="3"/>
  <c r="A15" i="3"/>
  <c r="P10" i="3"/>
  <c r="P9" i="3"/>
  <c r="P11" i="3"/>
  <c r="P12" i="3"/>
  <c r="P13" i="3"/>
  <c r="P14" i="3"/>
  <c r="P15" i="3"/>
  <c r="P17" i="3"/>
  <c r="N17" i="14"/>
  <c r="M17" i="14"/>
  <c r="L17" i="14"/>
  <c r="P10" i="14"/>
  <c r="P9" i="14"/>
  <c r="P8" i="14"/>
  <c r="P7" i="14"/>
  <c r="P6" i="14"/>
  <c r="P17" i="14" s="1"/>
  <c r="M3" i="14"/>
  <c r="D2" i="14"/>
  <c r="M27" i="10"/>
  <c r="M26" i="10"/>
  <c r="M25" i="10"/>
  <c r="M24" i="10"/>
  <c r="M23" i="10"/>
  <c r="M22" i="10"/>
  <c r="M21" i="10"/>
  <c r="M20" i="10"/>
  <c r="M19" i="10"/>
  <c r="M28" i="10" s="1"/>
  <c r="F16" i="10"/>
  <c r="N15" i="10"/>
  <c r="D25" i="1"/>
  <c r="L3" i="10"/>
  <c r="C3" i="10"/>
  <c r="C2" i="10"/>
  <c r="G8" i="9"/>
  <c r="G7" i="9"/>
  <c r="G6" i="9"/>
  <c r="F3" i="9"/>
  <c r="C3" i="9"/>
  <c r="C2" i="9"/>
  <c r="U10" i="15"/>
  <c r="M10" i="4"/>
  <c r="T10" i="15"/>
  <c r="S10" i="15"/>
  <c r="P10" i="15"/>
  <c r="O10" i="15"/>
  <c r="G10" i="15"/>
  <c r="U9" i="15"/>
  <c r="T9" i="15"/>
  <c r="L9" i="4"/>
  <c r="S9" i="15"/>
  <c r="P9" i="15"/>
  <c r="O9" i="15"/>
  <c r="V9" i="15"/>
  <c r="N9" i="4"/>
  <c r="G9" i="15"/>
  <c r="U8" i="15"/>
  <c r="T8" i="15"/>
  <c r="S8" i="15"/>
  <c r="P8" i="15"/>
  <c r="O8" i="15"/>
  <c r="G8" i="15"/>
  <c r="U7" i="15"/>
  <c r="T7" i="15"/>
  <c r="L7" i="4"/>
  <c r="P7" i="15"/>
  <c r="O7" i="15"/>
  <c r="V7" i="15"/>
  <c r="N7" i="4"/>
  <c r="G7" i="15"/>
  <c r="P6" i="15"/>
  <c r="O6" i="15"/>
  <c r="N6" i="4"/>
  <c r="G6" i="15"/>
  <c r="R3" i="15"/>
  <c r="D3" i="15"/>
  <c r="D2" i="15"/>
  <c r="I21" i="4"/>
  <c r="H21" i="4"/>
  <c r="P10" i="4"/>
  <c r="L10" i="4"/>
  <c r="P9" i="4"/>
  <c r="M9" i="4"/>
  <c r="P8" i="4"/>
  <c r="M8" i="4"/>
  <c r="L8" i="4"/>
  <c r="P7" i="4"/>
  <c r="M7" i="4"/>
  <c r="P6" i="4"/>
  <c r="M6" i="4"/>
  <c r="L6" i="4"/>
  <c r="O3" i="4"/>
  <c r="D3" i="4"/>
  <c r="D2" i="4"/>
  <c r="P28" i="3"/>
  <c r="P27" i="3"/>
  <c r="P26" i="3"/>
  <c r="P25" i="3"/>
  <c r="P24" i="3"/>
  <c r="P23" i="3"/>
  <c r="A7" i="3"/>
  <c r="P3" i="3"/>
  <c r="C3" i="3"/>
  <c r="C2" i="3"/>
  <c r="N28" i="2"/>
  <c r="M28" i="2"/>
  <c r="O28" i="2" s="1"/>
  <c r="A26" i="2"/>
  <c r="Q21" i="2"/>
  <c r="R21" i="2" s="1"/>
  <c r="A21" i="2"/>
  <c r="Q20" i="2"/>
  <c r="R20" i="2"/>
  <c r="A20" i="2"/>
  <c r="Q19" i="2"/>
  <c r="R19" i="2" s="1"/>
  <c r="A19" i="2"/>
  <c r="Q18" i="2"/>
  <c r="R18" i="2" s="1"/>
  <c r="A18" i="2"/>
  <c r="Q17" i="2"/>
  <c r="R17" i="2" s="1"/>
  <c r="A17" i="2"/>
  <c r="Q11" i="2"/>
  <c r="R11" i="2" s="1"/>
  <c r="A11" i="2"/>
  <c r="Q10" i="2"/>
  <c r="R10" i="2" s="1"/>
  <c r="A10" i="2"/>
  <c r="Q9" i="2"/>
  <c r="R9" i="2" s="1"/>
  <c r="A9" i="2"/>
  <c r="Q8" i="2"/>
  <c r="R8" i="2" s="1"/>
  <c r="A8" i="2"/>
  <c r="Q7" i="2"/>
  <c r="R7" i="2" s="1"/>
  <c r="A7" i="2"/>
  <c r="Q6" i="2"/>
  <c r="A6" i="2"/>
  <c r="D26" i="1"/>
  <c r="B4" i="1"/>
  <c r="H3" i="1"/>
  <c r="E2" i="1"/>
  <c r="B2" i="1"/>
  <c r="V10" i="15"/>
  <c r="N10" i="4"/>
  <c r="O7" i="4"/>
  <c r="Q7" i="4"/>
  <c r="V8" i="15"/>
  <c r="N8" i="4"/>
  <c r="O8" i="4"/>
  <c r="Q8" i="4"/>
  <c r="O10" i="4"/>
  <c r="Q10" i="4"/>
  <c r="O9" i="4"/>
  <c r="Q9" i="4"/>
  <c r="P29" i="3" l="1"/>
  <c r="P21" i="4"/>
  <c r="D13" i="1" s="1"/>
  <c r="Q21" i="4"/>
  <c r="D14" i="1" s="1"/>
  <c r="P18" i="3"/>
  <c r="P31" i="3" s="1"/>
  <c r="D12" i="1" s="1"/>
  <c r="D24" i="1"/>
  <c r="O17" i="14"/>
  <c r="R28" i="2"/>
  <c r="D11" i="1" s="1"/>
  <c r="Q28" i="2"/>
  <c r="R6" i="2"/>
  <c r="D10" i="1" l="1"/>
  <c r="D15" i="1" s="1"/>
  <c r="D20" i="1" s="1"/>
  <c r="C6" i="9" l="1"/>
  <c r="D17" i="1" s="1"/>
  <c r="F17" i="1" s="1"/>
  <c r="C7" i="9"/>
  <c r="D18" i="1" s="1"/>
  <c r="F18" i="1" s="1"/>
  <c r="C8" i="9"/>
  <c r="D19" i="1" s="1"/>
  <c r="F19" i="1" s="1"/>
  <c r="F20" i="1"/>
  <c r="D16" i="1" l="1"/>
  <c r="D21" i="1" l="1"/>
  <c r="D22" i="1" l="1"/>
  <c r="D23" i="1" l="1"/>
  <c r="D27" i="1" l="1"/>
  <c r="F23" i="1" s="1"/>
  <c r="F11" i="1" l="1"/>
  <c r="F24" i="1"/>
  <c r="F25" i="1"/>
  <c r="F26" i="1"/>
  <c r="F27" i="1"/>
  <c r="F13" i="1"/>
  <c r="F14" i="1"/>
  <c r="F12" i="1"/>
  <c r="F10" i="1"/>
  <c r="F15" i="1"/>
  <c r="F16" i="1"/>
  <c r="F21" i="1"/>
  <c r="F22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 shape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 shape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 shape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 shape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<sst xmlns="http://schemas.openxmlformats.org/spreadsheetml/2006/main" count="453" uniqueCount="305">
  <si>
    <t>北汽福田汽车股份有限公司采购零部件报价表(试行)</t>
  </si>
  <si>
    <t>供应商名称（盖章）：</t>
  </si>
  <si>
    <t>车型：</t>
  </si>
  <si>
    <t>币种：人民币（元）</t>
  </si>
  <si>
    <t>供应商代码：A1093</t>
  </si>
  <si>
    <t>车型代码：</t>
  </si>
  <si>
    <t>税：不含税(注明除外)</t>
  </si>
  <si>
    <t>零件件号：</t>
  </si>
  <si>
    <t>年份</t>
  </si>
  <si>
    <t>SOP+1</t>
  </si>
  <si>
    <t>SOP+2</t>
  </si>
  <si>
    <t>SOP+3</t>
  </si>
  <si>
    <t>SOP+4</t>
  </si>
  <si>
    <t>SOP+5</t>
  </si>
  <si>
    <t>零件名称：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</si>
  <si>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</si>
  <si>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1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</si>
  <si>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</si>
  <si>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r>
      <rPr>
        <b/>
        <sz val="10"/>
        <rFont val="宋体"/>
        <family val="3"/>
        <charset val="134"/>
      </rPr>
      <t xml:space="preserve">开发周期：      </t>
    </r>
    <r>
      <rPr>
        <sz val="10"/>
        <rFont val="宋体"/>
        <family val="3"/>
        <charset val="134"/>
      </rPr>
      <t>周</t>
    </r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</si>
  <si>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</si>
  <si>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</si>
  <si>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</si>
  <si>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</si>
  <si>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</si>
  <si>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</si>
  <si>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</si>
  <si>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</si>
  <si>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</si>
  <si>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</si>
  <si>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</si>
  <si>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</si>
  <si>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</si>
  <si>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</si>
  <si>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</si>
  <si>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</si>
  <si>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</si>
  <si>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</si>
  <si>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</si>
  <si>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 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</si>
  <si>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</si>
  <si>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</si>
  <si>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 13 %</t>
  </si>
  <si>
    <t>K、包装费用</t>
  </si>
  <si>
    <t>L、运输费用</t>
  </si>
  <si>
    <t>含税，增值税税率： 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</si>
  <si>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</si>
  <si>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</si>
  <si>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</si>
  <si>
    <t>Email :wangqingling@bjghrc.com</t>
  </si>
  <si>
    <t>电话 及手机：18601235506</t>
  </si>
  <si>
    <t>Fax:</t>
  </si>
  <si>
    <t>原材料明细表</t>
  </si>
  <si>
    <t>供应商 (盖章):</t>
  </si>
  <si>
    <t>北京光华荣昌汽车部件有限公司</t>
  </si>
  <si>
    <t>以下不含税</t>
  </si>
  <si>
    <t>零件图号/名称: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</si>
  <si>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</si>
  <si>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</si>
  <si>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</si>
  <si>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</si>
  <si>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</si>
  <si>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</si>
  <si>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</si>
  <si>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</si>
  <si>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</si>
  <si>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</si>
  <si>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</si>
  <si>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</si>
  <si>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</si>
  <si>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</si>
  <si>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</si>
  <si>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</si>
  <si>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</si>
  <si>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</si>
  <si>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</si>
  <si>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靠背护面总成</t>
  </si>
  <si>
    <t>延米</t>
  </si>
  <si>
    <t>坐垫护面总成</t>
  </si>
  <si>
    <t>泡沫</t>
  </si>
  <si>
    <t>聚氨酯</t>
  </si>
  <si>
    <t>KG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</si>
  <si>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</si>
  <si>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</si>
  <si>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</si>
  <si>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</si>
  <si>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</si>
  <si>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</si>
  <si>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</si>
  <si>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</si>
  <si>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</si>
  <si>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</si>
  <si>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</si>
  <si>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</si>
  <si>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ea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</si>
  <si>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</si>
  <si>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</si>
  <si>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</si>
  <si>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</si>
  <si>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</si>
  <si>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</si>
  <si>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</si>
  <si>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</si>
  <si>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</si>
  <si>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</si>
  <si>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</si>
  <si>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</si>
  <si>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</si>
  <si>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</si>
  <si>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</si>
  <si>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</si>
  <si>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</si>
  <si>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</si>
  <si>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</si>
  <si>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</si>
  <si>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</si>
  <si>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</si>
  <si>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</si>
  <si>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</si>
  <si>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</si>
  <si>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</si>
  <si>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</si>
  <si>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</si>
  <si>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</si>
  <si>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J=E+F+G+H+I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</si>
  <si>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</si>
  <si>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</si>
  <si>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</si>
  <si>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</si>
  <si>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 xml:space="preserve">KM四组份发泡机 </t>
  </si>
  <si>
    <t>组装、包装、入库</t>
  </si>
  <si>
    <t>组装线/检具</t>
  </si>
  <si>
    <t>21m*1.1m/GR-Aumark-CF-01</t>
  </si>
  <si>
    <t>裁剪</t>
  </si>
  <si>
    <t>冲床</t>
  </si>
  <si>
    <t>缝纫</t>
  </si>
  <si>
    <t>缝纫机</t>
  </si>
  <si>
    <t>裁床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</si>
  <si>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</si>
  <si>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</si>
  <si>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</si>
  <si>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</si>
  <si>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</si>
  <si>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</si>
  <si>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</si>
  <si>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</si>
  <si>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</si>
  <si>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</si>
  <si>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</si>
  <si>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</si>
  <si>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</si>
  <si>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</si>
  <si>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</si>
  <si>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</si>
  <si>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</si>
  <si>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</si>
  <si>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</si>
  <si>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</si>
  <si>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</si>
  <si>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</si>
  <si>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</si>
  <si>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</si>
  <si>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</si>
  <si>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</si>
  <si>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</si>
  <si>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</si>
  <si>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</si>
  <si>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</si>
  <si>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</si>
  <si>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</si>
  <si>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</si>
  <si>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</si>
  <si>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</si>
  <si>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</si>
  <si>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</si>
  <si>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</si>
  <si>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</si>
  <si>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</si>
  <si>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</si>
  <si>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</si>
  <si>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</si>
  <si>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</si>
  <si>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</si>
  <si>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</si>
  <si>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</si>
  <si>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</si>
  <si>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</si>
  <si>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</si>
  <si>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</si>
  <si>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管理费用包含行政管理人员工资福利、差旅费、办公楼折旧、修理水电费、保险等、设计研发费等，一般不超过5%；</t>
  </si>
  <si>
    <t>财务费用包含利息净支出（减利息收入）、金融机构手续费等，一般不超过1；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</si>
  <si>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销售费用包含销售人员工资福利、差旅费、广告、三包费等，一般不超过4%；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</si>
  <si>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</si>
  <si>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</si>
  <si>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</si>
  <si>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</si>
  <si>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</si>
  <si>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</si>
  <si>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</si>
  <si>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</si>
  <si>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</si>
  <si>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</si>
  <si>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</si>
  <si>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</si>
  <si>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</si>
  <si>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</si>
  <si>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</si>
  <si>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</si>
  <si>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</si>
  <si>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</si>
  <si>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</si>
  <si>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</si>
  <si>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</si>
  <si>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</si>
  <si>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</si>
  <si>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</si>
  <si>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</si>
  <si>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</si>
  <si>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</si>
  <si>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</si>
  <si>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</si>
  <si>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</si>
  <si>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</si>
  <si>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</si>
  <si>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</si>
  <si>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</si>
  <si>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</si>
  <si>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</si>
  <si>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</si>
  <si>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</si>
  <si>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</si>
  <si>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</si>
  <si>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</si>
  <si>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</si>
  <si>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车辆长宽高：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</si>
  <si>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</si>
  <si>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</si>
  <si>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</si>
  <si>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</si>
  <si>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</si>
  <si>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</si>
  <si>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</si>
  <si>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</si>
  <si>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</si>
  <si>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</si>
  <si>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</si>
  <si>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</si>
  <si>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</si>
  <si>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</si>
  <si>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</si>
  <si>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</si>
  <si>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</si>
  <si>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</si>
  <si>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</si>
  <si>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</si>
  <si>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</si>
  <si>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</si>
  <si>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</si>
  <si>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</si>
  <si>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</si>
  <si>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</si>
  <si>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</si>
  <si>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靠背骨架</t>
    <phoneticPr fontId="27" type="noConversion"/>
  </si>
  <si>
    <t>主驾支腿焊接总成</t>
  </si>
  <si>
    <t>座垫框架总成</t>
  </si>
  <si>
    <t>标准件及其他</t>
    <phoneticPr fontId="27" type="noConversion"/>
  </si>
  <si>
    <t>驾驶员U型把手</t>
  </si>
  <si>
    <t>驾驶员左侧护板</t>
  </si>
  <si>
    <t>驾驶员右侧护板</t>
  </si>
  <si>
    <t>调角器总成</t>
    <phoneticPr fontId="27" type="noConversion"/>
  </si>
  <si>
    <t>TR5216（压花）</t>
  </si>
  <si>
    <t>主料</t>
    <phoneticPr fontId="27" type="noConversion"/>
  </si>
  <si>
    <t>辅料1</t>
    <phoneticPr fontId="27" type="noConversion"/>
  </si>
  <si>
    <t>TR5249</t>
  </si>
  <si>
    <t>辅料2</t>
    <phoneticPr fontId="27" type="noConversion"/>
  </si>
  <si>
    <t>TR5216</t>
  </si>
  <si>
    <t>辅料3</t>
  </si>
  <si>
    <t>辅料4</t>
  </si>
  <si>
    <t>PAQ0022-U0A1</t>
  </si>
  <si>
    <t>PAQ0012-U0</t>
  </si>
  <si>
    <t>刺绣标识</t>
    <phoneticPr fontId="27" type="noConversion"/>
  </si>
  <si>
    <t xml:space="preserve">银色绣线 </t>
  </si>
  <si>
    <t>毛毡</t>
    <phoneticPr fontId="27" type="noConversion"/>
  </si>
  <si>
    <t>个</t>
    <phoneticPr fontId="27" type="noConversion"/>
  </si>
  <si>
    <t>辅材</t>
    <phoneticPr fontId="27" type="noConversion"/>
  </si>
  <si>
    <t>缝纫线</t>
    <phoneticPr fontId="27" type="noConversion"/>
  </si>
  <si>
    <t>银色M3238</t>
  </si>
  <si>
    <t>米</t>
    <phoneticPr fontId="27" type="noConversion"/>
  </si>
  <si>
    <t>拉链</t>
    <phoneticPr fontId="27" type="noConversion"/>
  </si>
  <si>
    <t>根</t>
    <phoneticPr fontId="27" type="noConversion"/>
  </si>
  <si>
    <t>座垫前横梁总成</t>
  </si>
  <si>
    <t>k1司机座包装膜窄车</t>
  </si>
  <si>
    <t>k1司机座包装膜窄车</t>
    <phoneticPr fontId="27" type="noConversion"/>
  </si>
  <si>
    <t>720mm</t>
  </si>
  <si>
    <t>520mm</t>
  </si>
  <si>
    <t>1185mm</t>
  </si>
  <si>
    <r>
      <rPr>
        <sz val="8"/>
        <color rgb="FF000000"/>
        <rFont val="宋体"/>
        <family val="3"/>
        <charset val="134"/>
      </rPr>
      <t>五层</t>
    </r>
    <r>
      <rPr>
        <sz val="8"/>
        <color rgb="FF000000"/>
        <rFont val="Arial"/>
        <family val="2"/>
      </rPr>
      <t>AB</t>
    </r>
    <r>
      <rPr>
        <sz val="8"/>
        <color rgb="FF000000"/>
        <rFont val="宋体"/>
        <family val="3"/>
        <charset val="134"/>
      </rPr>
      <t>瓦楞纸</t>
    </r>
  </si>
  <si>
    <t>河北黄骅</t>
  </si>
  <si>
    <t>河南商丘</t>
  </si>
  <si>
    <t>9吨</t>
  </si>
  <si>
    <t>9.6m*2.4m*2.5m</t>
  </si>
  <si>
    <t>仓栅式货车</t>
  </si>
  <si>
    <t>工装车运输</t>
  </si>
  <si>
    <t>X168100000003</t>
    <phoneticPr fontId="27" type="noConversion"/>
  </si>
  <si>
    <t>报价填写日期: 2022-3-22</t>
    <phoneticPr fontId="27" type="noConversion"/>
  </si>
  <si>
    <t>副驾驶员座椅总成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</si>
</sst>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_-* #,##0_-;\-* #,##0_-;_-* &quot;-&quot;_-;_-@_-"/>
    <numFmt numFmtId="179" formatCode="\$#,##0.00\ ;\(\$#,##0.00\)"/>
    <numFmt numFmtId="180" formatCode="0.00_ "/>
    <numFmt numFmtId="181" formatCode="0;[Red]0"/>
    <numFmt numFmtId="182" formatCode="0_ "/>
    <numFmt numFmtId="183" formatCode="#,##0.0000_ ;\-#,##0.0000\ "/>
    <numFmt numFmtId="184" formatCode="0.0"/>
    <numFmt numFmtId="185" formatCode="#,##0.00_ ;\-#,##0.00\ "/>
    <numFmt numFmtId="186" formatCode="0.000_ "/>
    <numFmt numFmtId="187" formatCode="0.0_ "/>
    <numFmt numFmtId="188" formatCode="0.0000_ "/>
    <numFmt numFmtId="189" formatCode="0.00_);[Red]\(0.00\)"/>
    <numFmt numFmtId="190" formatCode="_ * #,##0.00_ ;_ * \-#,##0.00_ ;_ * &quot;-&quot;_ ;_ @_ "/>
  </numFmts>
  <fonts count="6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6"/>
      <color indexed="8"/>
      <name val="宋体"/>
      <family val="3"/>
      <charset val="134"/>
    </font>
    <font>
      <sz val="6"/>
      <color indexed="8"/>
      <name val="Arial"/>
      <family val="2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8"/>
      <name val="宋体"/>
      <family val="3"/>
      <charset val="134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24"/>
      <name val="Arial"/>
      <family val="2"/>
    </font>
    <font>
      <sz val="10"/>
      <name val="MS Sans Serif"/>
      <family val="1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3">
    <xf numFmtId="0" fontId="0" fillId="0" borderId="0">
      <alignment vertical="center"/>
    </xf>
    <xf numFmtId="178" fontId="60" fillId="0" borderId="0" applyFont="0" applyFill="0" applyBorder="0" applyAlignment="0" applyProtection="0">
      <alignment vertical="center"/>
    </xf>
    <xf numFmtId="0" fontId="42" fillId="0" borderId="0"/>
    <xf numFmtId="9" fontId="43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2" fillId="0" borderId="0">
      <alignment vertical="center"/>
    </xf>
    <xf numFmtId="0" fontId="42" fillId="0" borderId="0">
      <alignment vertical="center"/>
    </xf>
    <xf numFmtId="10" fontId="44" fillId="0" borderId="0" applyFont="0" applyFill="0" applyBorder="0" applyAlignment="0" applyProtection="0"/>
    <xf numFmtId="0" fontId="45" fillId="0" borderId="0"/>
    <xf numFmtId="179" fontId="44" fillId="0" borderId="0" applyFont="0" applyFill="0" applyBorder="0" applyAlignment="0" applyProtection="0"/>
    <xf numFmtId="0" fontId="44" fillId="0" borderId="0"/>
    <xf numFmtId="0" fontId="42" fillId="0" borderId="0"/>
    <xf numFmtId="0" fontId="42" fillId="0" borderId="0"/>
    <xf numFmtId="0" fontId="42" fillId="0" borderId="0">
      <alignment vertical="center"/>
    </xf>
    <xf numFmtId="0" fontId="12" fillId="0" borderId="0"/>
    <xf numFmtId="0" fontId="42" fillId="0" borderId="0">
      <alignment vertical="center"/>
    </xf>
    <xf numFmtId="0" fontId="6" fillId="0" borderId="0">
      <alignment vertical="top"/>
    </xf>
    <xf numFmtId="177" fontId="42" fillId="0" borderId="0" applyFont="0" applyFill="0" applyBorder="0" applyAlignment="0" applyProtection="0"/>
    <xf numFmtId="176" fontId="42" fillId="0" borderId="0" applyFont="0" applyFill="0" applyBorder="0" applyAlignment="0" applyProtection="0"/>
    <xf numFmtId="43" fontId="42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42" fillId="0" borderId="0"/>
  </cellStyleXfs>
  <cellXfs count="41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7" applyFont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181" fontId="5" fillId="0" borderId="1" xfId="17" applyNumberFormat="1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82" fontId="5" fillId="0" borderId="1" xfId="5" applyNumberFormat="1" applyFont="1" applyBorder="1" applyAlignment="1">
      <alignment horizontal="center" vertical="center" wrapText="1"/>
    </xf>
    <xf numFmtId="182" fontId="5" fillId="0" borderId="2" xfId="5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3" fontId="6" fillId="5" borderId="2" xfId="15" applyNumberFormat="1" applyFont="1" applyFill="1" applyBorder="1" applyAlignment="1">
      <alignment horizontal="center" vertical="center"/>
    </xf>
    <xf numFmtId="182" fontId="5" fillId="0" borderId="1" xfId="5" applyNumberFormat="1" applyFont="1" applyFill="1" applyBorder="1" applyAlignment="1">
      <alignment horizontal="center" vertical="center" wrapText="1"/>
    </xf>
    <xf numFmtId="182" fontId="5" fillId="0" borderId="2" xfId="0" applyNumberFormat="1" applyFont="1" applyFill="1" applyBorder="1" applyAlignment="1">
      <alignment horizontal="center" vertical="center"/>
    </xf>
    <xf numFmtId="180" fontId="5" fillId="6" borderId="1" xfId="0" applyNumberFormat="1" applyFont="1" applyFill="1" applyBorder="1" applyAlignment="1">
      <alignment horizontal="center" vertical="center"/>
    </xf>
    <xf numFmtId="183" fontId="7" fillId="6" borderId="1" xfId="15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15" applyFont="1" applyFill="1" applyBorder="1" applyAlignment="1">
      <alignment horizontal="left" vertical="center"/>
    </xf>
    <xf numFmtId="0" fontId="12" fillId="2" borderId="0" xfId="15" applyFont="1" applyFill="1" applyBorder="1" applyAlignment="1">
      <alignment vertical="center"/>
    </xf>
    <xf numFmtId="0" fontId="7" fillId="2" borderId="0" xfId="15" applyFont="1" applyFill="1" applyBorder="1" applyAlignment="1">
      <alignment horizontal="left" vertical="center"/>
    </xf>
    <xf numFmtId="0" fontId="7" fillId="2" borderId="0" xfId="15" applyFont="1" applyFill="1" applyBorder="1" applyAlignment="1">
      <alignment vertical="center"/>
    </xf>
    <xf numFmtId="0" fontId="0" fillId="0" borderId="0" xfId="0" applyBorder="1" applyAlignment="1"/>
    <xf numFmtId="0" fontId="13" fillId="2" borderId="6" xfId="15" applyFont="1" applyFill="1" applyBorder="1" applyAlignment="1">
      <alignment horizontal="center" vertical="center" wrapText="1"/>
    </xf>
    <xf numFmtId="0" fontId="6" fillId="2" borderId="11" xfId="15" applyFont="1" applyFill="1" applyBorder="1" applyAlignment="1">
      <alignment horizontal="center" vertical="center"/>
    </xf>
    <xf numFmtId="0" fontId="6" fillId="2" borderId="6" xfId="15" applyFont="1" applyFill="1" applyBorder="1" applyAlignment="1">
      <alignment horizontal="center" vertical="center"/>
    </xf>
    <xf numFmtId="0" fontId="11" fillId="2" borderId="12" xfId="15" applyFont="1" applyFill="1" applyBorder="1" applyAlignment="1">
      <alignment horizontal="left" vertical="center"/>
    </xf>
    <xf numFmtId="0" fontId="7" fillId="2" borderId="13" xfId="15" applyFont="1" applyFill="1" applyBorder="1" applyAlignment="1">
      <alignment horizontal="left" vertical="center"/>
    </xf>
    <xf numFmtId="0" fontId="6" fillId="2" borderId="0" xfId="15" applyFont="1" applyFill="1" applyBorder="1" applyAlignment="1">
      <alignment horizontal="left" vertical="center"/>
    </xf>
    <xf numFmtId="0" fontId="6" fillId="2" borderId="0" xfId="15" applyFont="1" applyFill="1" applyBorder="1" applyAlignment="1">
      <alignment vertical="center"/>
    </xf>
    <xf numFmtId="0" fontId="11" fillId="0" borderId="5" xfId="15" applyFont="1" applyFill="1" applyBorder="1" applyAlignment="1">
      <alignment horizontal="left" vertical="center"/>
    </xf>
    <xf numFmtId="0" fontId="7" fillId="0" borderId="0" xfId="15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14" fillId="2" borderId="1" xfId="15" applyFont="1" applyFill="1" applyBorder="1" applyAlignment="1">
      <alignment horizontal="center" vertical="center"/>
    </xf>
    <xf numFmtId="0" fontId="0" fillId="0" borderId="5" xfId="0" applyBorder="1" applyAlignment="1"/>
    <xf numFmtId="0" fontId="5" fillId="0" borderId="1" xfId="6" applyFont="1" applyFill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5" fillId="0" borderId="0" xfId="6" applyFont="1" applyFill="1" applyBorder="1" applyAlignment="1">
      <alignment vertical="center" wrapText="1"/>
    </xf>
    <xf numFmtId="0" fontId="20" fillId="0" borderId="0" xfId="0" applyFont="1" applyFill="1" applyBorder="1">
      <alignment vertical="center"/>
    </xf>
    <xf numFmtId="0" fontId="20" fillId="0" borderId="0" xfId="0" applyFont="1" applyBorder="1">
      <alignment vertical="center"/>
    </xf>
    <xf numFmtId="0" fontId="5" fillId="0" borderId="0" xfId="6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8" fillId="2" borderId="0" xfId="15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15" applyFont="1" applyFill="1" applyBorder="1" applyAlignment="1">
      <alignment horizontal="left" vertical="center"/>
    </xf>
    <xf numFmtId="0" fontId="7" fillId="2" borderId="14" xfId="15" applyFont="1" applyFill="1" applyBorder="1" applyAlignment="1">
      <alignment horizontal="left" vertical="center"/>
    </xf>
    <xf numFmtId="0" fontId="13" fillId="2" borderId="1" xfId="15" applyFont="1" applyFill="1" applyBorder="1" applyAlignment="1">
      <alignment horizontal="center" vertical="center" wrapText="1"/>
    </xf>
    <xf numFmtId="0" fontId="7" fillId="2" borderId="15" xfId="15" applyFont="1" applyFill="1" applyBorder="1" applyAlignment="1">
      <alignment horizontal="center" vertical="center" wrapText="1"/>
    </xf>
    <xf numFmtId="0" fontId="6" fillId="2" borderId="15" xfId="15" applyFont="1" applyFill="1" applyBorder="1" applyAlignment="1">
      <alignment horizontal="center" vertical="center"/>
    </xf>
    <xf numFmtId="2" fontId="7" fillId="6" borderId="15" xfId="15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7" fillId="0" borderId="0" xfId="15" applyFont="1" applyFill="1" applyBorder="1" applyAlignment="1">
      <alignment vertical="center"/>
    </xf>
    <xf numFmtId="0" fontId="12" fillId="0" borderId="0" xfId="15" applyFont="1" applyFill="1" applyBorder="1" applyAlignment="1">
      <alignment vertical="center"/>
    </xf>
    <xf numFmtId="0" fontId="0" fillId="0" borderId="16" xfId="0" applyFill="1" applyBorder="1" applyAlignment="1"/>
    <xf numFmtId="0" fontId="20" fillId="0" borderId="16" xfId="0" applyFont="1" applyBorder="1">
      <alignment vertical="center"/>
    </xf>
    <xf numFmtId="0" fontId="20" fillId="0" borderId="16" xfId="0" applyFont="1" applyFill="1" applyBorder="1">
      <alignment vertical="center"/>
    </xf>
    <xf numFmtId="0" fontId="18" fillId="0" borderId="0" xfId="15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7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2" fontId="24" fillId="0" borderId="1" xfId="17" applyNumberFormat="1" applyFont="1" applyBorder="1" applyAlignment="1">
      <alignment horizontal="center" vertical="center" wrapText="1"/>
    </xf>
    <xf numFmtId="9" fontId="24" fillId="0" borderId="1" xfId="3" applyNumberFormat="1" applyFont="1" applyBorder="1" applyAlignment="1">
      <alignment horizontal="center" vertical="center" wrapText="1"/>
    </xf>
    <xf numFmtId="0" fontId="24" fillId="0" borderId="1" xfId="17" applyFont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 wrapText="1"/>
    </xf>
    <xf numFmtId="0" fontId="24" fillId="0" borderId="1" xfId="17" applyFont="1" applyBorder="1" applyAlignment="1">
      <alignment vertical="center" wrapText="1"/>
    </xf>
    <xf numFmtId="0" fontId="24" fillId="0" borderId="0" xfId="17" applyFont="1" applyBorder="1" applyAlignment="1">
      <alignment horizontal="center" vertical="center" wrapText="1"/>
    </xf>
    <xf numFmtId="0" fontId="25" fillId="0" borderId="0" xfId="17" applyFont="1" applyBorder="1" applyAlignment="1">
      <alignment vertical="center" wrapText="1"/>
    </xf>
    <xf numFmtId="0" fontId="0" fillId="0" borderId="0" xfId="17" applyFont="1" applyBorder="1" applyAlignment="1">
      <alignment vertical="center" wrapText="1"/>
    </xf>
    <xf numFmtId="0" fontId="24" fillId="0" borderId="0" xfId="17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7" fillId="0" borderId="1" xfId="13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43" fontId="29" fillId="0" borderId="1" xfId="0" applyNumberFormat="1" applyFont="1" applyBorder="1" applyAlignment="1">
      <alignment horizontal="center" vertical="center"/>
    </xf>
    <xf numFmtId="9" fontId="24" fillId="0" borderId="1" xfId="0" applyNumberFormat="1" applyFont="1" applyBorder="1" applyAlignment="1">
      <alignment horizontal="center" vertical="center"/>
    </xf>
    <xf numFmtId="184" fontId="24" fillId="0" borderId="1" xfId="0" applyNumberFormat="1" applyFont="1" applyBorder="1">
      <alignment vertical="center"/>
    </xf>
    <xf numFmtId="0" fontId="28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0" fillId="0" borderId="0" xfId="0" applyFont="1">
      <alignment vertical="center"/>
    </xf>
    <xf numFmtId="0" fontId="30" fillId="0" borderId="0" xfId="0" applyFont="1" applyAlignment="1">
      <alignment horizontal="left" vertical="center" readingOrder="1"/>
    </xf>
    <xf numFmtId="180" fontId="31" fillId="0" borderId="0" xfId="0" applyNumberFormat="1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3" xfId="0" applyFont="1" applyBorder="1">
      <alignment vertical="center"/>
    </xf>
    <xf numFmtId="18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33" fillId="0" borderId="1" xfId="12" applyFont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center" vertical="center"/>
    </xf>
    <xf numFmtId="182" fontId="33" fillId="0" borderId="1" xfId="12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2" fontId="21" fillId="6" borderId="1" xfId="0" applyNumberFormat="1" applyFont="1" applyFill="1" applyBorder="1" applyAlignment="1">
      <alignment horizontal="left" vertical="center"/>
    </xf>
    <xf numFmtId="0" fontId="21" fillId="0" borderId="8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80" fontId="28" fillId="0" borderId="18" xfId="0" applyNumberFormat="1" applyFont="1" applyFill="1" applyBorder="1" applyAlignment="1">
      <alignment horizontal="center" vertical="center"/>
    </xf>
    <xf numFmtId="186" fontId="28" fillId="0" borderId="18" xfId="0" applyNumberFormat="1" applyFont="1" applyFill="1" applyBorder="1" applyAlignment="1">
      <alignment horizontal="center" vertical="center"/>
    </xf>
    <xf numFmtId="2" fontId="28" fillId="0" borderId="18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187" fontId="28" fillId="0" borderId="18" xfId="0" applyNumberFormat="1" applyFont="1" applyFill="1" applyBorder="1" applyAlignment="1">
      <alignment horizontal="center" vertical="center"/>
    </xf>
    <xf numFmtId="187" fontId="28" fillId="0" borderId="1" xfId="0" applyNumberFormat="1" applyFont="1" applyFill="1" applyBorder="1" applyAlignment="1">
      <alignment horizontal="center" vertical="center"/>
    </xf>
    <xf numFmtId="187" fontId="20" fillId="0" borderId="1" xfId="0" applyNumberFormat="1" applyFont="1" applyFill="1" applyBorder="1" applyAlignment="1">
      <alignment horizontal="center" vertical="center"/>
    </xf>
    <xf numFmtId="1" fontId="21" fillId="6" borderId="1" xfId="0" applyNumberFormat="1" applyFont="1" applyFill="1" applyBorder="1" applyAlignment="1">
      <alignment horizontal="center" vertical="center"/>
    </xf>
    <xf numFmtId="180" fontId="21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0" fillId="3" borderId="1" xfId="0" applyFill="1" applyBorder="1">
      <alignment vertical="center"/>
    </xf>
    <xf numFmtId="0" fontId="5" fillId="0" borderId="1" xfId="12" applyFont="1" applyFill="1" applyBorder="1" applyAlignment="1">
      <alignment horizontal="center" vertical="center" wrapText="1"/>
    </xf>
    <xf numFmtId="57" fontId="33" fillId="0" borderId="1" xfId="12" applyNumberFormat="1" applyFont="1" applyFill="1" applyBorder="1" applyAlignment="1">
      <alignment horizontal="center" vertical="center" wrapText="1"/>
    </xf>
    <xf numFmtId="0" fontId="33" fillId="3" borderId="1" xfId="12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" fillId="2" borderId="1" xfId="12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left" vertical="center"/>
    </xf>
    <xf numFmtId="0" fontId="12" fillId="2" borderId="1" xfId="12" applyFont="1" applyFill="1" applyBorder="1" applyAlignment="1">
      <alignment vertical="center" wrapText="1"/>
    </xf>
    <xf numFmtId="0" fontId="12" fillId="0" borderId="1" xfId="12" applyFont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88" fontId="5" fillId="0" borderId="1" xfId="0" applyNumberFormat="1" applyFont="1" applyBorder="1" applyAlignment="1">
      <alignment horizontal="center" vertical="center" wrapText="1"/>
    </xf>
    <xf numFmtId="0" fontId="5" fillId="0" borderId="0" xfId="12" applyFont="1" applyFill="1" applyBorder="1" applyAlignment="1">
      <alignment horizontal="center" vertical="center" wrapText="1"/>
    </xf>
    <xf numFmtId="0" fontId="12" fillId="0" borderId="0" xfId="12" applyFont="1" applyFill="1" applyBorder="1" applyAlignment="1">
      <alignment horizontal="left" vertical="center"/>
    </xf>
    <xf numFmtId="0" fontId="12" fillId="0" borderId="0" xfId="12" applyFont="1" applyFill="1" applyBorder="1" applyAlignment="1">
      <alignment vertical="center" wrapText="1"/>
    </xf>
    <xf numFmtId="0" fontId="36" fillId="0" borderId="0" xfId="12" applyFont="1" applyFill="1" applyBorder="1" applyAlignment="1">
      <alignment vertical="center" wrapText="1"/>
    </xf>
    <xf numFmtId="0" fontId="33" fillId="0" borderId="0" xfId="12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180" fontId="33" fillId="3" borderId="1" xfId="12" applyNumberFormat="1" applyFont="1" applyFill="1" applyBorder="1" applyAlignment="1">
      <alignment horizontal="center" vertical="center" wrapText="1"/>
    </xf>
    <xf numFmtId="0" fontId="20" fillId="0" borderId="1" xfId="0" applyFont="1" applyFill="1" applyBorder="1">
      <alignment vertical="center"/>
    </xf>
    <xf numFmtId="180" fontId="38" fillId="6" borderId="1" xfId="12" applyNumberFormat="1" applyFont="1" applyFill="1" applyBorder="1" applyAlignment="1">
      <alignment horizontal="center" vertical="center" wrapText="1"/>
    </xf>
    <xf numFmtId="0" fontId="5" fillId="0" borderId="1" xfId="12" applyFont="1" applyFill="1" applyBorder="1" applyAlignment="1">
      <alignment vertical="center" wrapText="1"/>
    </xf>
    <xf numFmtId="180" fontId="12" fillId="3" borderId="1" xfId="12" applyNumberFormat="1" applyFont="1" applyFill="1" applyBorder="1" applyAlignment="1">
      <alignment horizontal="center" vertical="center" wrapText="1"/>
    </xf>
    <xf numFmtId="0" fontId="12" fillId="2" borderId="1" xfId="12" applyFont="1" applyFill="1" applyBorder="1" applyAlignment="1">
      <alignment horizontal="center" vertical="center"/>
    </xf>
    <xf numFmtId="0" fontId="38" fillId="2" borderId="1" xfId="12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vertical="center"/>
    </xf>
    <xf numFmtId="0" fontId="38" fillId="0" borderId="0" xfId="12" applyFont="1" applyFill="1" applyBorder="1" applyAlignment="1">
      <alignment horizontal="right" vertical="center"/>
    </xf>
    <xf numFmtId="0" fontId="33" fillId="2" borderId="1" xfId="12" applyFont="1" applyFill="1" applyBorder="1" applyAlignment="1">
      <alignment vertical="top" wrapText="1"/>
    </xf>
    <xf numFmtId="0" fontId="12" fillId="2" borderId="1" xfId="12" applyFont="1" applyFill="1" applyBorder="1" applyAlignment="1">
      <alignment vertical="center"/>
    </xf>
    <xf numFmtId="0" fontId="38" fillId="0" borderId="1" xfId="12" applyFont="1" applyFill="1" applyBorder="1" applyAlignment="1">
      <alignment horizontal="right" vertical="center"/>
    </xf>
    <xf numFmtId="180" fontId="39" fillId="0" borderId="0" xfId="12" applyNumberFormat="1" applyFont="1" applyFill="1" applyBorder="1" applyAlignment="1">
      <alignment vertical="center" wrapText="1"/>
    </xf>
    <xf numFmtId="0" fontId="37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189" fontId="0" fillId="0" borderId="0" xfId="0" applyNumberFormat="1" applyFont="1" applyFill="1" applyAlignment="1">
      <alignment vertical="center"/>
    </xf>
    <xf numFmtId="184" fontId="33" fillId="0" borderId="1" xfId="12" applyNumberFormat="1" applyFont="1" applyBorder="1" applyAlignment="1">
      <alignment horizontal="center" vertical="center" wrapText="1"/>
    </xf>
    <xf numFmtId="0" fontId="33" fillId="0" borderId="3" xfId="12" applyFont="1" applyFill="1" applyBorder="1" applyAlignment="1">
      <alignment vertical="center"/>
    </xf>
    <xf numFmtId="0" fontId="33" fillId="0" borderId="4" xfId="12" applyFont="1" applyFill="1" applyBorder="1" applyAlignment="1">
      <alignment vertical="center"/>
    </xf>
    <xf numFmtId="0" fontId="33" fillId="0" borderId="10" xfId="12" applyFont="1" applyFill="1" applyBorder="1" applyAlignment="1">
      <alignment vertical="center"/>
    </xf>
    <xf numFmtId="0" fontId="33" fillId="0" borderId="1" xfId="12" applyFont="1" applyFill="1" applyBorder="1" applyAlignment="1">
      <alignment vertical="center"/>
    </xf>
    <xf numFmtId="0" fontId="33" fillId="0" borderId="1" xfId="12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vertical="center" wrapText="1"/>
    </xf>
    <xf numFmtId="0" fontId="10" fillId="0" borderId="0" xfId="12" applyFont="1" applyFill="1" applyBorder="1" applyAlignment="1">
      <alignment horizontal="center" vertical="center"/>
    </xf>
    <xf numFmtId="0" fontId="33" fillId="0" borderId="0" xfId="12" applyFont="1" applyFill="1" applyBorder="1" applyAlignment="1">
      <alignment horizontal="center" vertical="center" wrapText="1"/>
    </xf>
    <xf numFmtId="0" fontId="33" fillId="0" borderId="0" xfId="12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9" fontId="10" fillId="0" borderId="1" xfId="0" applyNumberFormat="1" applyFont="1" applyFill="1" applyBorder="1" applyAlignment="1">
      <alignment horizontal="left" vertical="center"/>
    </xf>
    <xf numFmtId="189" fontId="10" fillId="3" borderId="4" xfId="0" applyNumberFormat="1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189" fontId="33" fillId="0" borderId="1" xfId="12" applyNumberFormat="1" applyFont="1" applyFill="1" applyBorder="1" applyAlignment="1">
      <alignment horizontal="center" vertical="center" wrapText="1"/>
    </xf>
    <xf numFmtId="189" fontId="5" fillId="2" borderId="1" xfId="1" applyNumberFormat="1" applyFont="1" applyFill="1" applyBorder="1" applyAlignment="1">
      <alignment horizontal="center" vertical="center"/>
    </xf>
    <xf numFmtId="184" fontId="33" fillId="0" borderId="1" xfId="12" applyNumberFormat="1" applyFont="1" applyFill="1" applyBorder="1" applyAlignment="1">
      <alignment horizontal="center" vertical="center" wrapText="1"/>
    </xf>
    <xf numFmtId="9" fontId="33" fillId="0" borderId="1" xfId="3" applyFont="1" applyFill="1" applyBorder="1" applyAlignment="1">
      <alignment horizontal="center" vertical="center" wrapText="1"/>
    </xf>
    <xf numFmtId="189" fontId="5" fillId="3" borderId="1" xfId="1" applyNumberFormat="1" applyFont="1" applyFill="1" applyBorder="1" applyAlignment="1">
      <alignment horizontal="center" vertical="center"/>
    </xf>
    <xf numFmtId="190" fontId="5" fillId="2" borderId="1" xfId="1" applyNumberFormat="1" applyFont="1" applyFill="1" applyBorder="1" applyAlignment="1">
      <alignment horizontal="center" vertical="center"/>
    </xf>
    <xf numFmtId="2" fontId="33" fillId="0" borderId="1" xfId="12" applyNumberFormat="1" applyFont="1" applyFill="1" applyBorder="1" applyAlignment="1">
      <alignment horizontal="center" vertical="center" wrapText="1"/>
    </xf>
    <xf numFmtId="189" fontId="33" fillId="0" borderId="1" xfId="12" applyNumberFormat="1" applyFont="1" applyBorder="1" applyAlignment="1">
      <alignment horizontal="center" vertical="center" wrapText="1"/>
    </xf>
    <xf numFmtId="189" fontId="33" fillId="0" borderId="1" xfId="12" applyNumberFormat="1" applyFont="1" applyFill="1" applyBorder="1" applyAlignment="1">
      <alignment vertical="center"/>
    </xf>
    <xf numFmtId="189" fontId="33" fillId="0" borderId="1" xfId="12" applyNumberFormat="1" applyFont="1" applyFill="1" applyBorder="1" applyAlignment="1">
      <alignment horizontal="center" vertical="center"/>
    </xf>
    <xf numFmtId="180" fontId="10" fillId="6" borderId="1" xfId="12" applyNumberFormat="1" applyFont="1" applyFill="1" applyBorder="1" applyAlignment="1">
      <alignment horizontal="center" vertical="center" wrapText="1"/>
    </xf>
    <xf numFmtId="9" fontId="10" fillId="6" borderId="1" xfId="3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189" fontId="33" fillId="0" borderId="0" xfId="12" applyNumberFormat="1" applyFont="1" applyFill="1" applyBorder="1" applyAlignment="1">
      <alignment horizontal="center" vertical="center"/>
    </xf>
    <xf numFmtId="0" fontId="33" fillId="0" borderId="0" xfId="12" applyFont="1" applyFill="1" applyBorder="1" applyAlignment="1">
      <alignment horizontal="center" vertical="center"/>
    </xf>
    <xf numFmtId="180" fontId="10" fillId="0" borderId="0" xfId="12" applyNumberFormat="1" applyFont="1" applyFill="1" applyBorder="1" applyAlignment="1">
      <alignment horizontal="center" vertical="center" wrapText="1"/>
    </xf>
    <xf numFmtId="9" fontId="10" fillId="0" borderId="0" xfId="3" applyFont="1" applyFill="1" applyBorder="1" applyAlignment="1">
      <alignment horizontal="center" vertical="center" wrapText="1"/>
    </xf>
    <xf numFmtId="0" fontId="10" fillId="0" borderId="0" xfId="12" applyFont="1" applyFill="1" applyBorder="1" applyAlignment="1">
      <alignment horizontal="center" vertical="center" wrapText="1"/>
    </xf>
    <xf numFmtId="189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2" fillId="2" borderId="3" xfId="16" applyFont="1" applyFill="1" applyBorder="1" applyAlignment="1" applyProtection="1">
      <alignment vertical="center"/>
      <protection locked="0"/>
    </xf>
    <xf numFmtId="0" fontId="2" fillId="2" borderId="10" xfId="16" applyFont="1" applyFill="1" applyBorder="1" applyAlignment="1" applyProtection="1">
      <alignment vertical="center"/>
      <protection locked="0"/>
    </xf>
    <xf numFmtId="0" fontId="2" fillId="8" borderId="1" xfId="16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vertical="center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0" fontId="5" fillId="2" borderId="1" xfId="16" applyFont="1" applyFill="1" applyBorder="1" applyAlignment="1" applyProtection="1">
      <alignment horizontal="center" vertical="center"/>
      <protection locked="0"/>
    </xf>
    <xf numFmtId="0" fontId="33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/>
    </xf>
    <xf numFmtId="43" fontId="33" fillId="0" borderId="1" xfId="12" applyNumberFormat="1" applyFont="1" applyBorder="1" applyAlignment="1">
      <alignment horizontal="center" vertical="center" wrapText="1"/>
    </xf>
    <xf numFmtId="43" fontId="0" fillId="0" borderId="1" xfId="0" applyNumberFormat="1" applyBorder="1">
      <alignment vertical="center"/>
    </xf>
    <xf numFmtId="0" fontId="61" fillId="2" borderId="15" xfId="15" applyFont="1" applyFill="1" applyBorder="1" applyAlignment="1">
      <alignment horizontal="center" vertical="center"/>
    </xf>
    <xf numFmtId="189" fontId="6" fillId="2" borderId="15" xfId="15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40" fillId="2" borderId="0" xfId="16" applyFont="1" applyFill="1" applyBorder="1" applyAlignment="1" applyProtection="1">
      <alignment horizontal="center" vertical="center"/>
      <protection locked="0"/>
    </xf>
    <xf numFmtId="0" fontId="2" fillId="2" borderId="4" xfId="16" applyFont="1" applyFill="1" applyBorder="1" applyAlignment="1" applyProtection="1">
      <alignment horizontal="center" vertical="center"/>
      <protection locked="0"/>
    </xf>
    <xf numFmtId="0" fontId="2" fillId="2" borderId="10" xfId="16" applyFont="1" applyFill="1" applyBorder="1" applyAlignment="1" applyProtection="1">
      <alignment horizontal="center" vertical="center"/>
      <protection locked="0"/>
    </xf>
    <xf numFmtId="0" fontId="2" fillId="2" borderId="3" xfId="16" applyFont="1" applyFill="1" applyBorder="1" applyAlignment="1" applyProtection="1">
      <alignment horizontal="left" vertical="center"/>
      <protection locked="0"/>
    </xf>
    <xf numFmtId="0" fontId="2" fillId="2" borderId="4" xfId="16" applyFont="1" applyFill="1" applyBorder="1" applyAlignment="1" applyProtection="1">
      <alignment horizontal="left" vertical="center"/>
      <protection locked="0"/>
    </xf>
    <xf numFmtId="0" fontId="2" fillId="2" borderId="10" xfId="16" applyFont="1" applyFill="1" applyBorder="1" applyAlignment="1" applyProtection="1">
      <alignment horizontal="left" vertical="center"/>
      <protection locked="0"/>
    </xf>
    <xf numFmtId="0" fontId="2" fillId="2" borderId="1" xfId="16" applyFont="1" applyFill="1" applyBorder="1" applyAlignment="1" applyProtection="1">
      <alignment horizontal="left" vertical="center"/>
      <protection locked="0"/>
    </xf>
    <xf numFmtId="0" fontId="2" fillId="2" borderId="3" xfId="16" applyFont="1" applyFill="1" applyBorder="1" applyAlignment="1" applyProtection="1">
      <alignment vertical="center"/>
      <protection locked="0"/>
    </xf>
    <xf numFmtId="0" fontId="2" fillId="2" borderId="10" xfId="16" applyFont="1" applyFill="1" applyBorder="1" applyAlignment="1" applyProtection="1">
      <alignment vertical="center"/>
      <protection locked="0"/>
    </xf>
    <xf numFmtId="0" fontId="2" fillId="7" borderId="1" xfId="16" applyFont="1" applyFill="1" applyBorder="1" applyAlignment="1" applyProtection="1">
      <alignment horizontal="left" vertical="center"/>
      <protection locked="0"/>
    </xf>
    <xf numFmtId="1" fontId="2" fillId="8" borderId="3" xfId="16" applyNumberFormat="1" applyFont="1" applyFill="1" applyBorder="1" applyAlignment="1" applyProtection="1">
      <alignment horizontal="center" vertical="center"/>
      <protection locked="0"/>
    </xf>
    <xf numFmtId="1" fontId="2" fillId="8" borderId="10" xfId="16" applyNumberFormat="1" applyFont="1" applyFill="1" applyBorder="1" applyAlignment="1" applyProtection="1">
      <alignment horizontal="center" vertical="center"/>
      <protection locked="0"/>
    </xf>
    <xf numFmtId="0" fontId="2" fillId="8" borderId="3" xfId="16" applyFont="1" applyFill="1" applyBorder="1" applyAlignment="1" applyProtection="1">
      <alignment horizontal="center" vertical="center"/>
      <protection locked="0"/>
    </xf>
    <xf numFmtId="0" fontId="2" fillId="8" borderId="10" xfId="16" applyFont="1" applyFill="1" applyBorder="1" applyAlignment="1" applyProtection="1">
      <alignment horizontal="center" vertical="center"/>
      <protection locked="0"/>
    </xf>
    <xf numFmtId="0" fontId="2" fillId="8" borderId="1" xfId="16" applyFont="1" applyFill="1" applyBorder="1" applyAlignment="1" applyProtection="1">
      <alignment horizontal="left" vertical="center"/>
      <protection locked="0"/>
    </xf>
    <xf numFmtId="0" fontId="2" fillId="8" borderId="2" xfId="16" applyFont="1" applyFill="1" applyBorder="1" applyAlignment="1" applyProtection="1">
      <alignment horizontal="left" vertical="center"/>
      <protection locked="0"/>
    </xf>
    <xf numFmtId="0" fontId="5" fillId="0" borderId="20" xfId="16" applyFont="1" applyFill="1" applyBorder="1" applyAlignment="1" applyProtection="1">
      <alignment horizontal="center" vertical="center"/>
      <protection locked="0"/>
    </xf>
    <xf numFmtId="0" fontId="5" fillId="0" borderId="21" xfId="16" applyFont="1" applyFill="1" applyBorder="1" applyAlignment="1" applyProtection="1">
      <alignment horizontal="center" vertical="center"/>
      <protection locked="0"/>
    </xf>
    <xf numFmtId="0" fontId="5" fillId="0" borderId="22" xfId="16" applyFont="1" applyFill="1" applyBorder="1" applyAlignment="1" applyProtection="1">
      <alignment horizontal="center" vertical="center"/>
      <protection locked="0"/>
    </xf>
    <xf numFmtId="0" fontId="2" fillId="8" borderId="2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  <xf numFmtId="0" fontId="20" fillId="8" borderId="19" xfId="0" applyFont="1" applyFill="1" applyBorder="1" applyAlignment="1">
      <alignment horizontal="left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9" borderId="1" xfId="16" applyFont="1" applyFill="1" applyBorder="1" applyAlignment="1" applyProtection="1">
      <alignment horizontal="left" vertical="center" wrapText="1"/>
      <protection locked="0"/>
    </xf>
    <xf numFmtId="2" fontId="5" fillId="9" borderId="1" xfId="16" applyNumberFormat="1" applyFont="1" applyFill="1" applyBorder="1" applyAlignment="1" applyProtection="1">
      <alignment horizontal="center" vertical="center" wrapText="1"/>
      <protection locked="0"/>
    </xf>
    <xf numFmtId="9" fontId="20" fillId="9" borderId="1" xfId="3" applyFont="1" applyFill="1" applyBorder="1" applyAlignment="1">
      <alignment horizontal="center" vertical="center"/>
    </xf>
    <xf numFmtId="2" fontId="5" fillId="2" borderId="1" xfId="16" applyNumberFormat="1" applyFont="1" applyFill="1" applyBorder="1" applyAlignment="1" applyProtection="1">
      <alignment horizontal="center" vertical="center"/>
      <protection locked="0"/>
    </xf>
    <xf numFmtId="9" fontId="20" fillId="0" borderId="1" xfId="3" applyFont="1" applyFill="1" applyBorder="1" applyAlignment="1">
      <alignment horizontal="center" vertical="center"/>
    </xf>
    <xf numFmtId="2" fontId="5" fillId="0" borderId="1" xfId="16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left" vertical="center" wrapText="1"/>
    </xf>
    <xf numFmtId="0" fontId="26" fillId="0" borderId="1" xfId="1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33" fillId="0" borderId="1" xfId="12" applyFont="1" applyFill="1" applyBorder="1" applyAlignment="1">
      <alignment horizontal="center" vertical="center" wrapText="1"/>
    </xf>
    <xf numFmtId="0" fontId="10" fillId="0" borderId="3" xfId="12" applyFont="1" applyFill="1" applyBorder="1" applyAlignment="1">
      <alignment horizontal="center"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10" xfId="1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4" fillId="3" borderId="1" xfId="12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5" fillId="3" borderId="1" xfId="12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1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5" fillId="0" borderId="13" xfId="12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5" fillId="0" borderId="3" xfId="12" applyFont="1" applyFill="1" applyBorder="1" applyAlignment="1">
      <alignment horizontal="center" vertical="center" wrapText="1"/>
    </xf>
    <xf numFmtId="0" fontId="5" fillId="0" borderId="10" xfId="12" applyFont="1" applyFill="1" applyBorder="1" applyAlignment="1">
      <alignment horizontal="center" vertical="center" wrapText="1"/>
    </xf>
    <xf numFmtId="0" fontId="5" fillId="0" borderId="4" xfId="12" applyFont="1" applyFill="1" applyBorder="1" applyAlignment="1">
      <alignment horizontal="center" vertical="center" wrapText="1"/>
    </xf>
    <xf numFmtId="0" fontId="5" fillId="0" borderId="2" xfId="12" applyFont="1" applyFill="1" applyBorder="1" applyAlignment="1">
      <alignment horizontal="center" vertical="center" wrapText="1"/>
    </xf>
    <xf numFmtId="0" fontId="5" fillId="0" borderId="18" xfId="12" applyFont="1" applyFill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3" fillId="0" borderId="1" xfId="13" applyFont="1" applyFill="1" applyBorder="1" applyAlignment="1">
      <alignment horizontal="center" vertical="center" wrapText="1"/>
    </xf>
    <xf numFmtId="49" fontId="33" fillId="0" borderId="1" xfId="13" applyNumberFormat="1" applyFont="1" applyFill="1" applyBorder="1" applyAlignment="1">
      <alignment horizontal="center" vertical="center" wrapText="1"/>
    </xf>
    <xf numFmtId="0" fontId="26" fillId="0" borderId="3" xfId="12" applyFont="1" applyFill="1" applyBorder="1" applyAlignment="1">
      <alignment horizontal="center" vertical="center"/>
    </xf>
    <xf numFmtId="0" fontId="26" fillId="0" borderId="4" xfId="12" applyFont="1" applyFill="1" applyBorder="1" applyAlignment="1">
      <alignment horizontal="center" vertical="center"/>
    </xf>
    <xf numFmtId="0" fontId="26" fillId="0" borderId="10" xfId="1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27" fillId="0" borderId="3" xfId="13" applyFont="1" applyFill="1" applyBorder="1" applyAlignment="1">
      <alignment horizontal="center" vertical="center" wrapText="1"/>
    </xf>
    <xf numFmtId="0" fontId="27" fillId="0" borderId="4" xfId="13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17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24" fillId="0" borderId="1" xfId="17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3" fillId="2" borderId="7" xfId="15" applyFont="1" applyFill="1" applyBorder="1" applyAlignment="1">
      <alignment horizontal="center" vertical="center" wrapText="1"/>
    </xf>
    <xf numFmtId="0" fontId="7" fillId="2" borderId="8" xfId="15" applyFont="1" applyFill="1" applyBorder="1" applyAlignment="1">
      <alignment horizontal="center" vertical="center" wrapText="1"/>
    </xf>
    <xf numFmtId="0" fontId="7" fillId="2" borderId="9" xfId="15" applyFont="1" applyFill="1" applyBorder="1" applyAlignment="1">
      <alignment horizontal="center" vertical="center" wrapText="1"/>
    </xf>
    <xf numFmtId="0" fontId="7" fillId="2" borderId="3" xfId="15" applyFont="1" applyFill="1" applyBorder="1" applyAlignment="1">
      <alignment horizontal="center" vertical="center" wrapText="1"/>
    </xf>
    <xf numFmtId="0" fontId="7" fillId="2" borderId="10" xfId="15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4" fillId="2" borderId="3" xfId="15" applyFont="1" applyFill="1" applyBorder="1" applyAlignment="1">
      <alignment vertical="center"/>
    </xf>
    <xf numFmtId="0" fontId="14" fillId="2" borderId="4" xfId="15" applyFont="1" applyFill="1" applyBorder="1" applyAlignment="1">
      <alignment vertical="center"/>
    </xf>
    <xf numFmtId="0" fontId="14" fillId="2" borderId="10" xfId="15" applyFont="1" applyFill="1" applyBorder="1" applyAlignment="1">
      <alignment vertical="center"/>
    </xf>
    <xf numFmtId="0" fontId="6" fillId="2" borderId="4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left" vertical="center"/>
    </xf>
    <xf numFmtId="0" fontId="6" fillId="2" borderId="1" xfId="15" applyFont="1" applyFill="1" applyBorder="1" applyAlignment="1">
      <alignment horizontal="left" vertical="center"/>
    </xf>
    <xf numFmtId="0" fontId="15" fillId="2" borderId="3" xfId="15" applyFont="1" applyFill="1" applyBorder="1" applyAlignment="1">
      <alignment horizontal="center" vertical="center"/>
    </xf>
    <xf numFmtId="0" fontId="16" fillId="2" borderId="10" xfId="15" applyFont="1" applyFill="1" applyBorder="1" applyAlignment="1">
      <alignment horizontal="center" vertical="center"/>
    </xf>
    <xf numFmtId="0" fontId="6" fillId="2" borderId="3" xfId="15" applyFont="1" applyFill="1" applyBorder="1" applyAlignment="1">
      <alignment horizontal="center" vertical="center"/>
    </xf>
    <xf numFmtId="2" fontId="7" fillId="6" borderId="3" xfId="15" applyNumberFormat="1" applyFont="1" applyFill="1" applyBorder="1" applyAlignment="1">
      <alignment horizontal="center" vertical="center"/>
    </xf>
    <xf numFmtId="2" fontId="7" fillId="6" borderId="10" xfId="15" applyNumberFormat="1" applyFont="1" applyFill="1" applyBorder="1" applyAlignment="1">
      <alignment horizontal="center" vertical="center"/>
    </xf>
    <xf numFmtId="0" fontId="14" fillId="2" borderId="6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 wrapText="1"/>
    </xf>
    <xf numFmtId="0" fontId="6" fillId="2" borderId="1" xfId="15" applyFont="1" applyFill="1" applyBorder="1" applyAlignment="1">
      <alignment horizontal="center" vertical="center" wrapText="1"/>
    </xf>
    <xf numFmtId="0" fontId="17" fillId="2" borderId="3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0" fontId="12" fillId="2" borderId="1" xfId="15" applyFont="1" applyFill="1" applyBorder="1" applyAlignment="1">
      <alignment horizontal="center" vertical="center" wrapText="1"/>
    </xf>
    <xf numFmtId="0" fontId="14" fillId="2" borderId="15" xfId="15" applyFont="1" applyFill="1" applyBorder="1" applyAlignment="1">
      <alignment horizontal="center" vertical="center" wrapText="1"/>
    </xf>
    <xf numFmtId="0" fontId="14" fillId="2" borderId="11" xfId="15" applyFont="1" applyFill="1" applyBorder="1" applyAlignment="1">
      <alignment horizontal="center" vertical="center"/>
    </xf>
    <xf numFmtId="0" fontId="14" fillId="2" borderId="10" xfId="15" applyFont="1" applyFill="1" applyBorder="1" applyAlignment="1">
      <alignment horizontal="center" vertical="center"/>
    </xf>
    <xf numFmtId="0" fontId="14" fillId="2" borderId="3" xfId="15" applyFont="1" applyFill="1" applyBorder="1" applyAlignment="1">
      <alignment horizontal="center" vertical="center"/>
    </xf>
    <xf numFmtId="184" fontId="6" fillId="2" borderId="3" xfId="15" applyNumberFormat="1" applyFont="1" applyFill="1" applyBorder="1" applyAlignment="1">
      <alignment horizontal="center" vertical="center"/>
    </xf>
    <xf numFmtId="184" fontId="6" fillId="2" borderId="17" xfId="15" applyNumberFormat="1" applyFont="1" applyFill="1" applyBorder="1" applyAlignment="1">
      <alignment horizontal="center" vertical="center"/>
    </xf>
    <xf numFmtId="0" fontId="14" fillId="2" borderId="6" xfId="15" applyFont="1" applyFill="1" applyBorder="1" applyAlignment="1">
      <alignment horizontal="center" vertical="center"/>
    </xf>
    <xf numFmtId="0" fontId="14" fillId="2" borderId="1" xfId="15" applyFont="1" applyFill="1" applyBorder="1" applyAlignment="1">
      <alignment horizontal="center" vertical="center"/>
    </xf>
    <xf numFmtId="184" fontId="6" fillId="2" borderId="1" xfId="15" applyNumberFormat="1" applyFont="1" applyFill="1" applyBorder="1" applyAlignment="1">
      <alignment horizontal="center" vertical="center"/>
    </xf>
    <xf numFmtId="184" fontId="6" fillId="2" borderId="15" xfId="15" applyNumberFormat="1" applyFont="1" applyFill="1" applyBorder="1" applyAlignment="1">
      <alignment horizontal="center" vertical="center"/>
    </xf>
    <xf numFmtId="0" fontId="2" fillId="2" borderId="11" xfId="15" applyFont="1" applyFill="1" applyBorder="1" applyAlignment="1">
      <alignment horizontal="left" vertical="center"/>
    </xf>
    <xf numFmtId="0" fontId="2" fillId="2" borderId="4" xfId="15" applyFont="1" applyFill="1" applyBorder="1" applyAlignment="1">
      <alignment horizontal="left" vertical="center"/>
    </xf>
    <xf numFmtId="0" fontId="2" fillId="2" borderId="10" xfId="15" applyFont="1" applyFill="1" applyBorder="1" applyAlignment="1">
      <alignment horizontal="left" vertical="center"/>
    </xf>
    <xf numFmtId="185" fontId="7" fillId="6" borderId="1" xfId="15" applyNumberFormat="1" applyFont="1" applyFill="1" applyBorder="1" applyAlignment="1">
      <alignment horizontal="center" vertical="center"/>
    </xf>
    <xf numFmtId="185" fontId="7" fillId="6" borderId="15" xfId="15" applyNumberFormat="1" applyFont="1" applyFill="1" applyBorder="1" applyAlignment="1">
      <alignment horizontal="center" vertical="center"/>
    </xf>
    <xf numFmtId="0" fontId="18" fillId="2" borderId="3" xfId="15" applyFont="1" applyFill="1" applyBorder="1" applyAlignment="1">
      <alignment horizontal="left" vertical="center"/>
    </xf>
    <xf numFmtId="0" fontId="18" fillId="2" borderId="4" xfId="15" applyFont="1" applyFill="1" applyBorder="1" applyAlignment="1">
      <alignment horizontal="left" vertical="center"/>
    </xf>
    <xf numFmtId="0" fontId="18" fillId="2" borderId="10" xfId="15" applyFont="1" applyFill="1" applyBorder="1" applyAlignment="1">
      <alignment horizontal="left" vertical="center"/>
    </xf>
    <xf numFmtId="185" fontId="7" fillId="6" borderId="3" xfId="15" applyNumberFormat="1" applyFont="1" applyFill="1" applyBorder="1" applyAlignment="1">
      <alignment horizontal="center" vertical="center"/>
    </xf>
    <xf numFmtId="0" fontId="7" fillId="6" borderId="10" xfId="15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left" vertical="center" wrapText="1"/>
    </xf>
    <xf numFmtId="0" fontId="19" fillId="0" borderId="4" xfId="6" applyFont="1" applyFill="1" applyBorder="1" applyAlignment="1">
      <alignment horizontal="left" vertical="center" wrapText="1"/>
    </xf>
    <xf numFmtId="0" fontId="19" fillId="0" borderId="10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 vertical="center"/>
    </xf>
    <xf numFmtId="185" fontId="21" fillId="6" borderId="1" xfId="0" applyNumberFormat="1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 wrapText="1"/>
    </xf>
    <xf numFmtId="0" fontId="2" fillId="0" borderId="3" xfId="6" applyFont="1" applyFill="1" applyBorder="1" applyAlignment="1">
      <alignment horizontal="left" vertical="center" wrapText="1"/>
    </xf>
    <xf numFmtId="0" fontId="2" fillId="0" borderId="4" xfId="6" applyFont="1" applyFill="1" applyBorder="1" applyAlignment="1">
      <alignment horizontal="left" vertical="center" wrapText="1"/>
    </xf>
    <xf numFmtId="0" fontId="2" fillId="0" borderId="10" xfId="6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17" applyFont="1" applyBorder="1" applyAlignment="1">
      <alignment horizontal="center" vertical="center" wrapText="1"/>
    </xf>
    <xf numFmtId="182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7" applyFont="1" applyFill="1" applyBorder="1" applyAlignment="1">
      <alignment horizontal="center" vertical="center" wrapText="1"/>
    </xf>
  </cellXfs>
  <cellStyles count="23">
    <cellStyle name="_x000a_mouse.drv=lm" xfId="2"/>
    <cellStyle name="_ET_STYLE_NoName_00_" xfId="5"/>
    <cellStyle name="Monétaire_matière" xfId="10"/>
    <cellStyle name="Normal_matière" xfId="11"/>
    <cellStyle name="Pourcentage_VA" xfId="8"/>
    <cellStyle name="百分比" xfId="3" builtinId="5"/>
    <cellStyle name="百分比 2" xfId="4"/>
    <cellStyle name="常规" xfId="0" builtinId="0"/>
    <cellStyle name="常规 2" xfId="12"/>
    <cellStyle name="常规 3" xfId="13"/>
    <cellStyle name="常规 3 2" xfId="9"/>
    <cellStyle name="常规 32" xfId="7"/>
    <cellStyle name="常规 4" xfId="14"/>
    <cellStyle name="常规_包装报价表1" xfId="15"/>
    <cellStyle name="常规_产品报价单" xfId="16"/>
    <cellStyle name="常规_东风神龙成本报价单（中文版）" xfId="17"/>
    <cellStyle name="常规_上汽汽车零部件包装，运输仓储费用报价表 " xfId="6"/>
    <cellStyle name="货币 2" xfId="18"/>
    <cellStyle name="千位分隔 2" xfId="19"/>
    <cellStyle name="千位分隔 3" xfId="20"/>
    <cellStyle name="千位分隔[0]" xfId="1" builtinId="6"/>
    <cellStyle name="样式 1" xfId="21"/>
    <cellStyle name="一般_自制件明细 0729" xfId="22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28575</xdr:rowOff>
    </xdr:from>
    <xdr:to>
      <xdr:col>1</xdr:col>
      <xdr:colOff>95250</xdr:colOff>
      <xdr:row>0</xdr:row>
      <xdr:rowOff>409575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150" y="28575"/>
          <a:ext cx="13538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352;&#26885;\&#27431;&#26364;&#24231;&#26885;&#23450;&#20215;\&#31119;&#30000;&#25253;&#20215;\P1681010135A0&#39550;&#39542;&#21592;&#24231;&#26885;&#24635;&#251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"/>
      <sheetName val="原材料明细"/>
      <sheetName val="外购外协件明细"/>
      <sheetName val="加工明细"/>
      <sheetName val="制造费率测算明细"/>
      <sheetName val="期间费用"/>
      <sheetName val="包装运输明细"/>
      <sheetName val="工装明细"/>
    </sheetNames>
    <sheetDataSet>
      <sheetData sheetId="0"/>
      <sheetData sheetId="1">
        <row r="2">
          <cell r="C2" t="str">
            <v>北京光华荣昌汽车部件有限公司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view="pageBreakPreview" zoomScale="85" zoomScaleNormal="100" zoomScaleSheetLayoutView="85" workbookViewId="0">
      <selection activeCell="D10" sqref="D10:E10"/>
    </sheetView>
  </sheetViews>
  <sheetFormatPr defaultColWidth="9" defaultRowHeight="13.5"/>
  <cols>
    <col min="1" max="1" width="17.25" customWidth="1"/>
    <col min="2" max="2" width="12.625" customWidth="1"/>
    <col min="3" max="3" width="15" customWidth="1"/>
    <col min="4" max="4" width="12.125" customWidth="1"/>
    <col min="5" max="8" width="10.875" customWidth="1"/>
    <col min="9" max="9" width="13.25" customWidth="1"/>
  </cols>
  <sheetData>
    <row r="1" spans="1:9" s="55" customFormat="1" ht="33" customHeight="1">
      <c r="A1" s="229" t="s">
        <v>0</v>
      </c>
      <c r="B1" s="229"/>
      <c r="C1" s="229"/>
      <c r="D1" s="229"/>
      <c r="E1" s="229"/>
      <c r="F1" s="229"/>
      <c r="G1" s="229"/>
      <c r="H1" s="229"/>
      <c r="I1" s="229"/>
    </row>
    <row r="2" spans="1:9" s="209" customFormat="1" ht="20.25" customHeight="1">
      <c r="A2" s="211" t="s">
        <v>1</v>
      </c>
      <c r="B2" s="230" t="str">
        <f>原材料明细!C2</f>
        <v>北京光华荣昌汽车部件有限公司</v>
      </c>
      <c r="C2" s="231"/>
      <c r="D2" s="211" t="s">
        <v>2</v>
      </c>
      <c r="E2" s="212">
        <f>原材料明细!J2</f>
        <v>0</v>
      </c>
      <c r="F2" s="232" t="s">
        <v>3</v>
      </c>
      <c r="G2" s="233"/>
      <c r="H2" s="233"/>
      <c r="I2" s="234"/>
    </row>
    <row r="3" spans="1:9" s="209" customFormat="1" ht="20.25" customHeight="1">
      <c r="A3" s="235" t="s">
        <v>4</v>
      </c>
      <c r="B3" s="235"/>
      <c r="C3" s="235"/>
      <c r="D3" s="236" t="s">
        <v>5</v>
      </c>
      <c r="E3" s="237"/>
      <c r="F3" s="238" t="s">
        <v>6</v>
      </c>
      <c r="G3" s="238"/>
      <c r="H3" s="235" t="str">
        <f>原材料明细!N3</f>
        <v>报价填写日期: 2022-3-22</v>
      </c>
      <c r="I3" s="235"/>
    </row>
    <row r="4" spans="1:9" s="209" customFormat="1" ht="20.25" customHeight="1">
      <c r="A4" s="213" t="s">
        <v>7</v>
      </c>
      <c r="B4" s="239" t="str">
        <f>原材料明细!C3</f>
        <v>X168100000003</v>
      </c>
      <c r="C4" s="240"/>
      <c r="D4" s="214" t="s">
        <v>8</v>
      </c>
      <c r="E4" s="215" t="s">
        <v>9</v>
      </c>
      <c r="F4" s="215" t="s">
        <v>10</v>
      </c>
      <c r="G4" s="215" t="s">
        <v>11</v>
      </c>
      <c r="H4" s="215" t="s">
        <v>12</v>
      </c>
      <c r="I4" s="215" t="s">
        <v>13</v>
      </c>
    </row>
    <row r="5" spans="1:9" s="209" customFormat="1" ht="20.25" customHeight="1">
      <c r="A5" s="213" t="s">
        <v>14</v>
      </c>
      <c r="B5" s="241" t="s">
        <v>304</v>
      </c>
      <c r="C5" s="242"/>
      <c r="D5" s="214" t="s">
        <v>15</v>
      </c>
      <c r="E5" s="216"/>
      <c r="F5" s="216"/>
      <c r="G5" s="216"/>
      <c r="H5" s="216"/>
      <c r="I5" s="216"/>
    </row>
    <row r="6" spans="1:9" s="209" customFormat="1" ht="20.25" customHeight="1">
      <c r="A6" s="243" t="s">
        <v>16</v>
      </c>
      <c r="B6" s="243"/>
      <c r="C6" s="243"/>
      <c r="D6" s="248" t="s">
        <v>17</v>
      </c>
      <c r="E6" s="250"/>
      <c r="F6" s="252"/>
      <c r="G6" s="252"/>
      <c r="H6" s="252"/>
      <c r="I6" s="252"/>
    </row>
    <row r="7" spans="1:9" s="209" customFormat="1" ht="20.25" customHeight="1">
      <c r="A7" s="244" t="s">
        <v>18</v>
      </c>
      <c r="B7" s="244"/>
      <c r="C7" s="244"/>
      <c r="D7" s="249"/>
      <c r="E7" s="251"/>
      <c r="F7" s="253"/>
      <c r="G7" s="253"/>
      <c r="H7" s="253"/>
      <c r="I7" s="253"/>
    </row>
    <row r="8" spans="1:9" ht="21.75" customHeight="1">
      <c r="A8" s="245" t="s">
        <v>19</v>
      </c>
      <c r="B8" s="246"/>
      <c r="C8" s="246"/>
      <c r="D8" s="246"/>
      <c r="E8" s="246"/>
      <c r="F8" s="246"/>
      <c r="G8" s="246"/>
      <c r="H8" s="246"/>
      <c r="I8" s="247"/>
    </row>
    <row r="9" spans="1:9" ht="21.75" customHeight="1">
      <c r="A9" s="217" t="s">
        <v>20</v>
      </c>
      <c r="B9" s="254" t="s">
        <v>21</v>
      </c>
      <c r="C9" s="254"/>
      <c r="D9" s="254" t="s">
        <v>22</v>
      </c>
      <c r="E9" s="254"/>
      <c r="F9" s="255" t="s">
        <v>23</v>
      </c>
      <c r="G9" s="255"/>
      <c r="H9" s="256" t="s">
        <v>24</v>
      </c>
      <c r="I9" s="256"/>
    </row>
    <row r="10" spans="1:9" ht="21.75" customHeight="1">
      <c r="A10" s="257" t="s">
        <v>25</v>
      </c>
      <c r="B10" s="257"/>
      <c r="C10" s="257"/>
      <c r="D10" s="258">
        <f>D11+D12</f>
        <v>303.00624820000002</v>
      </c>
      <c r="E10" s="258"/>
      <c r="F10" s="259">
        <f>D10/D$27</f>
        <v>0.49706975944150522</v>
      </c>
      <c r="G10" s="259"/>
      <c r="H10" s="256"/>
      <c r="I10" s="256"/>
    </row>
    <row r="11" spans="1:9" ht="21.75" customHeight="1">
      <c r="A11" s="218">
        <v>1</v>
      </c>
      <c r="B11" s="254" t="s">
        <v>26</v>
      </c>
      <c r="C11" s="254"/>
      <c r="D11" s="260">
        <f>原材料明细!R28</f>
        <v>107.1368482</v>
      </c>
      <c r="E11" s="260"/>
      <c r="F11" s="261">
        <f t="shared" ref="F11:F27" si="0">D11/D$27</f>
        <v>0.17575375979357463</v>
      </c>
      <c r="G11" s="261"/>
      <c r="H11" s="256"/>
      <c r="I11" s="256"/>
    </row>
    <row r="12" spans="1:9" ht="21.75" customHeight="1">
      <c r="A12" s="218">
        <v>2</v>
      </c>
      <c r="B12" s="254" t="s">
        <v>27</v>
      </c>
      <c r="C12" s="254"/>
      <c r="D12" s="260">
        <f>外购外协件明细!P31</f>
        <v>195.86940000000001</v>
      </c>
      <c r="E12" s="260"/>
      <c r="F12" s="261">
        <f t="shared" si="0"/>
        <v>0.32131599964793056</v>
      </c>
      <c r="G12" s="261"/>
      <c r="H12" s="256"/>
      <c r="I12" s="256"/>
    </row>
    <row r="13" spans="1:9" ht="21.75" customHeight="1">
      <c r="A13" s="257" t="s">
        <v>28</v>
      </c>
      <c r="B13" s="257"/>
      <c r="C13" s="257"/>
      <c r="D13" s="258">
        <f>加工明细!P21</f>
        <v>70.97</v>
      </c>
      <c r="E13" s="258"/>
      <c r="F13" s="259">
        <f t="shared" si="0"/>
        <v>0.11642347653596545</v>
      </c>
      <c r="G13" s="259"/>
      <c r="H13" s="256"/>
      <c r="I13" s="256"/>
    </row>
    <row r="14" spans="1:9" ht="21.75" customHeight="1">
      <c r="A14" s="257" t="s">
        <v>29</v>
      </c>
      <c r="B14" s="257"/>
      <c r="C14" s="257"/>
      <c r="D14" s="258">
        <f>加工明细!Q21</f>
        <v>75.699326499118158</v>
      </c>
      <c r="E14" s="258"/>
      <c r="F14" s="259">
        <f t="shared" si="0"/>
        <v>0.1241817495062487</v>
      </c>
      <c r="G14" s="259"/>
      <c r="H14" s="256"/>
      <c r="I14" s="256"/>
    </row>
    <row r="15" spans="1:9" ht="21.75" customHeight="1">
      <c r="A15" s="257" t="s">
        <v>30</v>
      </c>
      <c r="B15" s="257"/>
      <c r="C15" s="257"/>
      <c r="D15" s="258">
        <f>D10+D13+D14</f>
        <v>449.67557469911816</v>
      </c>
      <c r="E15" s="258"/>
      <c r="F15" s="259">
        <f t="shared" si="0"/>
        <v>0.73767498548371935</v>
      </c>
      <c r="G15" s="259"/>
      <c r="H15" s="256"/>
      <c r="I15" s="256"/>
    </row>
    <row r="16" spans="1:9" ht="21.75" customHeight="1">
      <c r="A16" s="257" t="s">
        <v>31</v>
      </c>
      <c r="B16" s="257"/>
      <c r="C16" s="257"/>
      <c r="D16" s="258">
        <f>D17+D18+D19</f>
        <v>22.483778734955912</v>
      </c>
      <c r="E16" s="258"/>
      <c r="F16" s="259">
        <f t="shared" si="0"/>
        <v>3.6883749274185973E-2</v>
      </c>
      <c r="G16" s="259"/>
      <c r="H16" s="256"/>
      <c r="I16" s="256"/>
    </row>
    <row r="17" spans="1:9" ht="21.75" customHeight="1">
      <c r="A17" s="218">
        <v>3</v>
      </c>
      <c r="B17" s="254" t="s">
        <v>32</v>
      </c>
      <c r="C17" s="254"/>
      <c r="D17" s="262">
        <f>期间费用!C6</f>
        <v>8.9935114939823642</v>
      </c>
      <c r="E17" s="262"/>
      <c r="F17" s="261">
        <f>D17/D15</f>
        <v>2.0000000000000004E-2</v>
      </c>
      <c r="G17" s="261"/>
      <c r="H17" s="256"/>
      <c r="I17" s="256"/>
    </row>
    <row r="18" spans="1:9" ht="21.75" customHeight="1">
      <c r="A18" s="218">
        <v>4</v>
      </c>
      <c r="B18" s="254" t="s">
        <v>33</v>
      </c>
      <c r="C18" s="254"/>
      <c r="D18" s="262">
        <f>期间费用!C7</f>
        <v>4.4967557469911821</v>
      </c>
      <c r="E18" s="262"/>
      <c r="F18" s="261">
        <f>D18/D15</f>
        <v>1.0000000000000002E-2</v>
      </c>
      <c r="G18" s="261"/>
      <c r="H18" s="256"/>
      <c r="I18" s="256"/>
    </row>
    <row r="19" spans="1:9" ht="21.75" customHeight="1">
      <c r="A19" s="218">
        <v>5</v>
      </c>
      <c r="B19" s="254" t="s">
        <v>34</v>
      </c>
      <c r="C19" s="254"/>
      <c r="D19" s="262">
        <f>期间费用!C8</f>
        <v>8.9935114939823642</v>
      </c>
      <c r="E19" s="262"/>
      <c r="F19" s="261">
        <f>D19/D15</f>
        <v>2.0000000000000004E-2</v>
      </c>
      <c r="G19" s="261"/>
      <c r="H19" s="256"/>
      <c r="I19" s="256"/>
    </row>
    <row r="20" spans="1:9" ht="21.75" customHeight="1">
      <c r="A20" s="257" t="s">
        <v>35</v>
      </c>
      <c r="B20" s="257"/>
      <c r="C20" s="257"/>
      <c r="D20" s="258">
        <f>D15*0.05</f>
        <v>22.483778734955909</v>
      </c>
      <c r="E20" s="258"/>
      <c r="F20" s="259">
        <f>D20/D15</f>
        <v>0.05</v>
      </c>
      <c r="G20" s="259"/>
      <c r="H20" s="256"/>
      <c r="I20" s="256"/>
    </row>
    <row r="21" spans="1:9" ht="21.75" customHeight="1">
      <c r="A21" s="257" t="s">
        <v>36</v>
      </c>
      <c r="B21" s="257"/>
      <c r="C21" s="257"/>
      <c r="D21" s="258">
        <f>D20+D16+D15</f>
        <v>494.64313216902997</v>
      </c>
      <c r="E21" s="258"/>
      <c r="F21" s="259">
        <f t="shared" si="0"/>
        <v>0.81144248403209129</v>
      </c>
      <c r="G21" s="259"/>
      <c r="H21" s="256"/>
      <c r="I21" s="256"/>
    </row>
    <row r="22" spans="1:9" ht="21.75" customHeight="1">
      <c r="A22" s="257" t="s">
        <v>37</v>
      </c>
      <c r="B22" s="257"/>
      <c r="C22" s="257"/>
      <c r="D22" s="258">
        <f>(D21)*0.13</f>
        <v>64.303607181973902</v>
      </c>
      <c r="E22" s="258"/>
      <c r="F22" s="259">
        <f t="shared" si="0"/>
        <v>0.10548752292417188</v>
      </c>
      <c r="G22" s="259"/>
      <c r="H22" s="263" t="s">
        <v>38</v>
      </c>
      <c r="I22" s="263"/>
    </row>
    <row r="23" spans="1:9" ht="21.75" customHeight="1">
      <c r="A23" s="257" t="s">
        <v>39</v>
      </c>
      <c r="B23" s="257"/>
      <c r="C23" s="257"/>
      <c r="D23" s="258">
        <f>D22+D21</f>
        <v>558.94673935100388</v>
      </c>
      <c r="E23" s="258"/>
      <c r="F23" s="259">
        <f t="shared" si="0"/>
        <v>0.91693000695626314</v>
      </c>
      <c r="G23" s="259"/>
      <c r="H23" s="263"/>
      <c r="I23" s="263"/>
    </row>
    <row r="24" spans="1:9" ht="21.75" customHeight="1">
      <c r="A24" s="257" t="s">
        <v>40</v>
      </c>
      <c r="B24" s="257"/>
      <c r="C24" s="257"/>
      <c r="D24" s="258">
        <f>工装明细!P17*1.13</f>
        <v>0</v>
      </c>
      <c r="E24" s="258"/>
      <c r="F24" s="259">
        <f t="shared" si="0"/>
        <v>0</v>
      </c>
      <c r="G24" s="259"/>
      <c r="H24" s="263" t="s">
        <v>41</v>
      </c>
      <c r="I24" s="263"/>
    </row>
    <row r="25" spans="1:9" ht="21.75" customHeight="1">
      <c r="A25" s="257" t="s">
        <v>42</v>
      </c>
      <c r="B25" s="257"/>
      <c r="C25" s="257"/>
      <c r="D25" s="258">
        <f>包装运输明细!M30*1.13</f>
        <v>16</v>
      </c>
      <c r="E25" s="258"/>
      <c r="F25" s="259">
        <f t="shared" si="0"/>
        <v>2.6247366839163691E-2</v>
      </c>
      <c r="G25" s="259"/>
      <c r="H25" s="263" t="s">
        <v>41</v>
      </c>
      <c r="I25" s="263"/>
    </row>
    <row r="26" spans="1:9" ht="21.75" customHeight="1">
      <c r="A26" s="257" t="s">
        <v>43</v>
      </c>
      <c r="B26" s="257"/>
      <c r="C26" s="257"/>
      <c r="D26" s="258">
        <f>包装运输明细!M44*1.09</f>
        <v>34.638218181818182</v>
      </c>
      <c r="E26" s="258"/>
      <c r="F26" s="259">
        <f t="shared" si="0"/>
        <v>5.6822626204573214E-2</v>
      </c>
      <c r="G26" s="259"/>
      <c r="H26" s="263" t="s">
        <v>44</v>
      </c>
      <c r="I26" s="263"/>
    </row>
    <row r="27" spans="1:9" ht="21.75" customHeight="1">
      <c r="A27" s="257" t="s">
        <v>45</v>
      </c>
      <c r="B27" s="257"/>
      <c r="C27" s="257"/>
      <c r="D27" s="258">
        <f>D23+D24+D25+D26</f>
        <v>609.58495753282205</v>
      </c>
      <c r="E27" s="258"/>
      <c r="F27" s="259">
        <f t="shared" si="0"/>
        <v>1</v>
      </c>
      <c r="G27" s="259"/>
      <c r="H27" s="256"/>
      <c r="I27" s="256"/>
    </row>
    <row r="28" spans="1:9" ht="20.25" customHeight="1">
      <c r="B28" s="85" t="s">
        <v>46</v>
      </c>
      <c r="C28" s="85"/>
      <c r="D28" s="85"/>
    </row>
    <row r="29" spans="1:9" s="210" customFormat="1" ht="33.75" customHeight="1">
      <c r="A29" s="264" t="s">
        <v>47</v>
      </c>
      <c r="B29" s="264"/>
      <c r="C29" s="264"/>
      <c r="D29" s="265" t="s">
        <v>48</v>
      </c>
      <c r="E29" s="265"/>
      <c r="F29" s="264" t="s">
        <v>49</v>
      </c>
      <c r="G29" s="264"/>
      <c r="H29" s="265" t="s">
        <v>50</v>
      </c>
      <c r="I29" s="265"/>
    </row>
    <row r="30" spans="1:9" ht="13.5" customHeight="1"/>
  </sheetData>
  <mergeCells count="98">
    <mergeCell ref="A27:C27"/>
    <mergeCell ref="D27:E27"/>
    <mergeCell ref="F27:G27"/>
    <mergeCell ref="H27:I27"/>
    <mergeCell ref="A29:C29"/>
    <mergeCell ref="D29:E29"/>
    <mergeCell ref="F29:G29"/>
    <mergeCell ref="H29:I29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1:C21"/>
    <mergeCell ref="D21:E21"/>
    <mergeCell ref="F21:G21"/>
    <mergeCell ref="H21:I21"/>
    <mergeCell ref="A22:C22"/>
    <mergeCell ref="D22:E22"/>
    <mergeCell ref="F22:G22"/>
    <mergeCell ref="H22:I22"/>
    <mergeCell ref="B19:C19"/>
    <mergeCell ref="D19:E19"/>
    <mergeCell ref="F19:G19"/>
    <mergeCell ref="H19:I19"/>
    <mergeCell ref="A20:C20"/>
    <mergeCell ref="D20:E20"/>
    <mergeCell ref="F20:G20"/>
    <mergeCell ref="H20:I20"/>
    <mergeCell ref="B17:C17"/>
    <mergeCell ref="D17:E17"/>
    <mergeCell ref="F17:G17"/>
    <mergeCell ref="H17:I17"/>
    <mergeCell ref="B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B11:C11"/>
    <mergeCell ref="D11:E11"/>
    <mergeCell ref="F11:G11"/>
    <mergeCell ref="H11:I11"/>
    <mergeCell ref="B12:C12"/>
    <mergeCell ref="D12:E12"/>
    <mergeCell ref="F12:G12"/>
    <mergeCell ref="H12:I12"/>
    <mergeCell ref="B9:C9"/>
    <mergeCell ref="D9:E9"/>
    <mergeCell ref="F9:G9"/>
    <mergeCell ref="H9:I9"/>
    <mergeCell ref="A10:C10"/>
    <mergeCell ref="D10:E10"/>
    <mergeCell ref="F10:G10"/>
    <mergeCell ref="H10:I10"/>
    <mergeCell ref="B4:C4"/>
    <mergeCell ref="B5:C5"/>
    <mergeCell ref="A6:C6"/>
    <mergeCell ref="A7:C7"/>
    <mergeCell ref="A8:I8"/>
    <mergeCell ref="D6:D7"/>
    <mergeCell ref="E6:E7"/>
    <mergeCell ref="F6:F7"/>
    <mergeCell ref="G6:G7"/>
    <mergeCell ref="H6:H7"/>
    <mergeCell ref="I6:I7"/>
    <mergeCell ref="A1:I1"/>
    <mergeCell ref="B2:C2"/>
    <mergeCell ref="F2:I2"/>
    <mergeCell ref="A3:C3"/>
    <mergeCell ref="D3:E3"/>
    <mergeCell ref="F3:G3"/>
    <mergeCell ref="H3:I3"/>
  </mergeCells>
  <phoneticPr fontId="27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view="pageBreakPreview" zoomScaleNormal="100" zoomScaleSheetLayoutView="100" workbookViewId="0">
      <selection activeCell="M4" sqref="M4:O4"/>
    </sheetView>
  </sheetViews>
  <sheetFormatPr defaultColWidth="9" defaultRowHeight="13.5"/>
  <cols>
    <col min="1" max="1" width="5.25" style="21" customWidth="1"/>
    <col min="2" max="2" width="8.25" style="21" customWidth="1"/>
    <col min="3" max="3" width="15.625" style="21" customWidth="1"/>
    <col min="4" max="4" width="5.125" style="21" customWidth="1"/>
    <col min="5" max="5" width="9.25" style="21" customWidth="1"/>
    <col min="6" max="6" width="18.75" style="171" customWidth="1"/>
    <col min="7" max="7" width="4.75" style="21" bestFit="1" customWidth="1"/>
    <col min="8" max="8" width="4.375" style="21" customWidth="1"/>
    <col min="9" max="9" width="7.75" style="172" customWidth="1"/>
    <col min="10" max="10" width="9.125" style="21" customWidth="1"/>
    <col min="11" max="11" width="12.25" style="21" customWidth="1"/>
    <col min="12" max="12" width="6.5" style="21" customWidth="1"/>
    <col min="13" max="13" width="6.625" style="21" customWidth="1"/>
    <col min="14" max="14" width="6" style="21" customWidth="1"/>
    <col min="15" max="15" width="7.625" style="21" customWidth="1"/>
    <col min="16" max="16" width="5.625" style="21" customWidth="1"/>
    <col min="17" max="17" width="9.75" style="21" customWidth="1"/>
    <col min="18" max="18" width="9.625" style="21" customWidth="1"/>
    <col min="19" max="16384" width="9" style="21"/>
  </cols>
  <sheetData>
    <row r="1" spans="1:19" ht="27.75" customHeight="1">
      <c r="A1" s="266" t="s">
        <v>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</row>
    <row r="2" spans="1:19" ht="18.75" customHeight="1">
      <c r="A2" s="267" t="s">
        <v>52</v>
      </c>
      <c r="B2" s="267"/>
      <c r="C2" s="267" t="s">
        <v>53</v>
      </c>
      <c r="D2" s="267"/>
      <c r="E2" s="267"/>
      <c r="F2" s="267"/>
      <c r="G2" s="267"/>
      <c r="H2" s="267"/>
      <c r="I2" s="185" t="s">
        <v>2</v>
      </c>
      <c r="J2" s="267"/>
      <c r="K2" s="267"/>
      <c r="L2" s="267"/>
      <c r="M2" s="267"/>
      <c r="N2" s="268" t="s">
        <v>54</v>
      </c>
      <c r="O2" s="268"/>
      <c r="P2" s="268"/>
      <c r="Q2" s="268"/>
      <c r="R2" s="268"/>
      <c r="S2" s="268"/>
    </row>
    <row r="3" spans="1:19" ht="18.75" customHeight="1">
      <c r="A3" s="72" t="s">
        <v>55</v>
      </c>
      <c r="B3" s="73"/>
      <c r="C3" s="73" t="s">
        <v>302</v>
      </c>
      <c r="D3" s="73"/>
      <c r="E3" s="73"/>
      <c r="F3" s="73"/>
      <c r="G3" s="73"/>
      <c r="H3" s="73"/>
      <c r="I3" s="186"/>
      <c r="J3" s="73"/>
      <c r="K3" s="73"/>
      <c r="L3" s="73"/>
      <c r="M3" s="187"/>
      <c r="N3" s="269" t="s">
        <v>303</v>
      </c>
      <c r="O3" s="269"/>
      <c r="P3" s="269"/>
      <c r="Q3" s="269"/>
      <c r="R3" s="269"/>
      <c r="S3" s="269"/>
    </row>
    <row r="4" spans="1:19" ht="18" customHeight="1">
      <c r="A4" s="271" t="s">
        <v>56</v>
      </c>
      <c r="B4" s="271" t="s">
        <v>57</v>
      </c>
      <c r="C4" s="271" t="s">
        <v>58</v>
      </c>
      <c r="D4" s="271" t="s">
        <v>59</v>
      </c>
      <c r="E4" s="270" t="s">
        <v>26</v>
      </c>
      <c r="F4" s="270"/>
      <c r="G4" s="270"/>
      <c r="H4" s="270"/>
      <c r="I4" s="270"/>
      <c r="J4" s="270"/>
      <c r="K4" s="271" t="s">
        <v>60</v>
      </c>
      <c r="L4" s="271"/>
      <c r="M4" s="271" t="s">
        <v>61</v>
      </c>
      <c r="N4" s="271"/>
      <c r="O4" s="271"/>
      <c r="P4" s="271" t="s">
        <v>62</v>
      </c>
      <c r="Q4" s="271" t="s">
        <v>63</v>
      </c>
      <c r="R4" s="271" t="s">
        <v>64</v>
      </c>
      <c r="S4" s="271" t="s">
        <v>24</v>
      </c>
    </row>
    <row r="5" spans="1:19" ht="48">
      <c r="A5" s="271"/>
      <c r="B5" s="271"/>
      <c r="C5" s="271"/>
      <c r="D5" s="271"/>
      <c r="E5" s="115" t="s">
        <v>65</v>
      </c>
      <c r="F5" s="115" t="s">
        <v>66</v>
      </c>
      <c r="G5" s="115" t="s">
        <v>67</v>
      </c>
      <c r="H5" s="115" t="s">
        <v>68</v>
      </c>
      <c r="I5" s="188" t="s">
        <v>69</v>
      </c>
      <c r="J5" s="115" t="s">
        <v>70</v>
      </c>
      <c r="K5" s="115" t="s">
        <v>65</v>
      </c>
      <c r="L5" s="115" t="s">
        <v>71</v>
      </c>
      <c r="M5" s="115" t="s">
        <v>72</v>
      </c>
      <c r="N5" s="115" t="s">
        <v>73</v>
      </c>
      <c r="O5" s="115" t="s">
        <v>74</v>
      </c>
      <c r="P5" s="271"/>
      <c r="Q5" s="271"/>
      <c r="R5" s="271"/>
      <c r="S5" s="271"/>
    </row>
    <row r="6" spans="1:19">
      <c r="A6" s="115">
        <f>ROW()-5</f>
        <v>1</v>
      </c>
      <c r="B6" s="115"/>
      <c r="C6" s="115" t="s">
        <v>75</v>
      </c>
      <c r="D6" s="115">
        <v>1</v>
      </c>
      <c r="E6" s="115" t="s">
        <v>270</v>
      </c>
      <c r="F6" s="115" t="s">
        <v>269</v>
      </c>
      <c r="G6" s="115"/>
      <c r="H6" s="115" t="s">
        <v>76</v>
      </c>
      <c r="I6" s="188">
        <v>33.729999999999997</v>
      </c>
      <c r="J6" s="142"/>
      <c r="K6" s="221"/>
      <c r="L6" s="115"/>
      <c r="M6" s="189">
        <v>0.15</v>
      </c>
      <c r="N6" s="190"/>
      <c r="O6" s="191">
        <v>0.999</v>
      </c>
      <c r="P6" s="115"/>
      <c r="Q6" s="194">
        <f>D6*P6*(M6-N6)</f>
        <v>0</v>
      </c>
      <c r="R6" s="194">
        <f>D6*I6*M6-Q6</f>
        <v>5.059499999999999</v>
      </c>
      <c r="S6" s="115"/>
    </row>
    <row r="7" spans="1:19">
      <c r="A7" s="115">
        <f t="shared" ref="A7:A26" si="0">ROW()-5</f>
        <v>2</v>
      </c>
      <c r="B7" s="115"/>
      <c r="C7" s="115" t="s">
        <v>75</v>
      </c>
      <c r="D7" s="115">
        <v>1</v>
      </c>
      <c r="E7" s="115" t="s">
        <v>271</v>
      </c>
      <c r="F7" s="115" t="s">
        <v>272</v>
      </c>
      <c r="G7" s="115"/>
      <c r="H7" s="221" t="s">
        <v>76</v>
      </c>
      <c r="I7" s="188">
        <v>25.06</v>
      </c>
      <c r="J7" s="142"/>
      <c r="K7" s="115"/>
      <c r="L7" s="115"/>
      <c r="M7" s="192">
        <v>0.11</v>
      </c>
      <c r="N7" s="190"/>
      <c r="O7" s="191">
        <v>0.999</v>
      </c>
      <c r="P7" s="115"/>
      <c r="Q7" s="194">
        <f t="shared" ref="Q7:Q21" si="1">D7*P7*(M7-N7)</f>
        <v>0</v>
      </c>
      <c r="R7" s="194">
        <f t="shared" ref="R7:R21" si="2">D7*I7*M7-Q7</f>
        <v>2.7565999999999997</v>
      </c>
      <c r="S7" s="115"/>
    </row>
    <row r="8" spans="1:19">
      <c r="A8" s="115">
        <f t="shared" si="0"/>
        <v>3</v>
      </c>
      <c r="B8" s="115"/>
      <c r="C8" s="115" t="s">
        <v>75</v>
      </c>
      <c r="D8" s="115">
        <v>1</v>
      </c>
      <c r="E8" s="221" t="s">
        <v>273</v>
      </c>
      <c r="F8" s="115" t="s">
        <v>274</v>
      </c>
      <c r="G8" s="115"/>
      <c r="H8" s="221" t="s">
        <v>76</v>
      </c>
      <c r="I8" s="188">
        <v>29.5</v>
      </c>
      <c r="J8" s="173"/>
      <c r="K8" s="115"/>
      <c r="L8" s="115"/>
      <c r="M8" s="189">
        <v>0.56000000000000005</v>
      </c>
      <c r="N8" s="193"/>
      <c r="O8" s="191">
        <v>0.999</v>
      </c>
      <c r="P8" s="115"/>
      <c r="Q8" s="194">
        <f t="shared" si="1"/>
        <v>0</v>
      </c>
      <c r="R8" s="194">
        <f t="shared" si="2"/>
        <v>16.520000000000003</v>
      </c>
      <c r="S8" s="115"/>
    </row>
    <row r="9" spans="1:19">
      <c r="A9" s="115">
        <f t="shared" si="0"/>
        <v>4</v>
      </c>
      <c r="B9" s="115"/>
      <c r="C9" s="221" t="s">
        <v>75</v>
      </c>
      <c r="D9" s="221">
        <v>1</v>
      </c>
      <c r="E9" s="221" t="s">
        <v>275</v>
      </c>
      <c r="F9" s="115" t="s">
        <v>277</v>
      </c>
      <c r="G9" s="141"/>
      <c r="H9" s="221" t="s">
        <v>76</v>
      </c>
      <c r="I9" s="188">
        <v>44.247700000000002</v>
      </c>
      <c r="J9" s="173"/>
      <c r="K9" s="179"/>
      <c r="L9" s="178"/>
      <c r="M9" s="189">
        <v>0.3</v>
      </c>
      <c r="N9" s="193"/>
      <c r="O9" s="191">
        <v>0.999</v>
      </c>
      <c r="P9" s="190"/>
      <c r="Q9" s="194">
        <f t="shared" si="1"/>
        <v>0</v>
      </c>
      <c r="R9" s="194">
        <f t="shared" si="2"/>
        <v>13.27431</v>
      </c>
      <c r="S9" s="207"/>
    </row>
    <row r="10" spans="1:19" s="171" customFormat="1">
      <c r="A10" s="115">
        <f t="shared" si="0"/>
        <v>5</v>
      </c>
      <c r="B10" s="115"/>
      <c r="C10" s="221" t="s">
        <v>75</v>
      </c>
      <c r="D10" s="221">
        <v>1</v>
      </c>
      <c r="E10" s="221" t="s">
        <v>276</v>
      </c>
      <c r="F10" s="115" t="s">
        <v>278</v>
      </c>
      <c r="G10" s="115"/>
      <c r="H10" s="221" t="s">
        <v>76</v>
      </c>
      <c r="I10" s="188">
        <v>36.283200000000001</v>
      </c>
      <c r="J10" s="115"/>
      <c r="K10" s="115"/>
      <c r="L10" s="115"/>
      <c r="M10" s="188">
        <v>0.02</v>
      </c>
      <c r="N10" s="193"/>
      <c r="O10" s="191">
        <v>0.999</v>
      </c>
      <c r="P10" s="194"/>
      <c r="Q10" s="194">
        <f t="shared" si="1"/>
        <v>0</v>
      </c>
      <c r="R10" s="194">
        <f t="shared" si="2"/>
        <v>0.72566399999999998</v>
      </c>
      <c r="S10" s="208"/>
    </row>
    <row r="11" spans="1:19" s="171" customFormat="1">
      <c r="A11" s="115">
        <f t="shared" si="0"/>
        <v>6</v>
      </c>
      <c r="B11" s="115"/>
      <c r="C11" s="115" t="s">
        <v>75</v>
      </c>
      <c r="D11" s="120">
        <v>1</v>
      </c>
      <c r="E11" s="115" t="s">
        <v>279</v>
      </c>
      <c r="F11" s="115" t="s">
        <v>280</v>
      </c>
      <c r="G11" s="115"/>
      <c r="H11" s="221" t="s">
        <v>282</v>
      </c>
      <c r="I11" s="195">
        <v>5</v>
      </c>
      <c r="J11" s="115"/>
      <c r="K11" s="115"/>
      <c r="L11" s="115"/>
      <c r="M11" s="188">
        <v>1</v>
      </c>
      <c r="N11" s="193"/>
      <c r="O11" s="191">
        <v>0.999</v>
      </c>
      <c r="P11" s="194"/>
      <c r="Q11" s="194">
        <f t="shared" si="1"/>
        <v>0</v>
      </c>
      <c r="R11" s="194">
        <f t="shared" si="2"/>
        <v>5</v>
      </c>
      <c r="S11" s="208"/>
    </row>
    <row r="12" spans="1:19" s="171" customFormat="1">
      <c r="A12" s="221">
        <f t="shared" si="0"/>
        <v>7</v>
      </c>
      <c r="B12" s="221"/>
      <c r="C12" s="221" t="s">
        <v>75</v>
      </c>
      <c r="D12" s="120">
        <v>1</v>
      </c>
      <c r="E12" s="221" t="s">
        <v>281</v>
      </c>
      <c r="F12" s="221"/>
      <c r="G12" s="221"/>
      <c r="H12" s="221" t="s">
        <v>76</v>
      </c>
      <c r="I12" s="195">
        <v>5.7448300000000003</v>
      </c>
      <c r="J12" s="221"/>
      <c r="K12" s="221"/>
      <c r="L12" s="221"/>
      <c r="M12" s="188">
        <v>7.0000000000000007E-2</v>
      </c>
      <c r="N12" s="193"/>
      <c r="O12" s="191">
        <v>0.999</v>
      </c>
      <c r="P12" s="194"/>
      <c r="Q12" s="194">
        <f t="shared" ref="Q12:Q16" si="3">D12*P12*(M12-N12)</f>
        <v>0</v>
      </c>
      <c r="R12" s="194">
        <f t="shared" ref="R12:R16" si="4">D12*I12*M12-Q12</f>
        <v>0.40213810000000005</v>
      </c>
      <c r="S12" s="208"/>
    </row>
    <row r="13" spans="1:19" s="171" customFormat="1">
      <c r="A13" s="221">
        <f t="shared" si="0"/>
        <v>8</v>
      </c>
      <c r="B13" s="221"/>
      <c r="C13" s="221" t="s">
        <v>75</v>
      </c>
      <c r="D13" s="120">
        <v>1</v>
      </c>
      <c r="E13" s="221" t="s">
        <v>283</v>
      </c>
      <c r="F13" s="221"/>
      <c r="G13" s="221"/>
      <c r="H13" s="221"/>
      <c r="I13" s="195">
        <f>1.4419+0.3</f>
        <v>1.7419</v>
      </c>
      <c r="J13" s="221"/>
      <c r="K13" s="221"/>
      <c r="L13" s="221"/>
      <c r="M13" s="188">
        <v>1</v>
      </c>
      <c r="N13" s="193"/>
      <c r="O13" s="191">
        <v>0.999</v>
      </c>
      <c r="P13" s="194"/>
      <c r="Q13" s="194">
        <f t="shared" si="3"/>
        <v>0</v>
      </c>
      <c r="R13" s="194">
        <f t="shared" si="4"/>
        <v>1.7419</v>
      </c>
      <c r="S13" s="208"/>
    </row>
    <row r="14" spans="1:19" s="171" customFormat="1">
      <c r="A14" s="221">
        <f t="shared" si="0"/>
        <v>9</v>
      </c>
      <c r="B14" s="221"/>
      <c r="C14" s="221" t="s">
        <v>75</v>
      </c>
      <c r="D14" s="120">
        <v>1</v>
      </c>
      <c r="E14" s="221" t="s">
        <v>284</v>
      </c>
      <c r="F14" s="221" t="s">
        <v>285</v>
      </c>
      <c r="G14" s="221"/>
      <c r="H14" s="221" t="s">
        <v>286</v>
      </c>
      <c r="I14" s="195">
        <v>8.2000000000000007E-3</v>
      </c>
      <c r="J14" s="221"/>
      <c r="K14" s="221"/>
      <c r="L14" s="221"/>
      <c r="M14" s="188">
        <v>15</v>
      </c>
      <c r="N14" s="193"/>
      <c r="O14" s="191">
        <v>0.999</v>
      </c>
      <c r="P14" s="194"/>
      <c r="Q14" s="194">
        <f t="shared" si="3"/>
        <v>0</v>
      </c>
      <c r="R14" s="194">
        <f>D14*I14*M14-Q14</f>
        <v>0.12300000000000001</v>
      </c>
      <c r="S14" s="208"/>
    </row>
    <row r="15" spans="1:19" s="171" customFormat="1">
      <c r="A15" s="221">
        <f t="shared" si="0"/>
        <v>10</v>
      </c>
      <c r="B15" s="221"/>
      <c r="C15" s="221" t="s">
        <v>75</v>
      </c>
      <c r="D15" s="120">
        <v>1</v>
      </c>
      <c r="E15" s="221" t="s">
        <v>284</v>
      </c>
      <c r="F15" s="221"/>
      <c r="G15" s="221"/>
      <c r="H15" s="221" t="s">
        <v>286</v>
      </c>
      <c r="I15" s="195">
        <v>8.2000000000000007E-3</v>
      </c>
      <c r="J15" s="221"/>
      <c r="K15" s="221"/>
      <c r="L15" s="221"/>
      <c r="M15" s="188">
        <v>60</v>
      </c>
      <c r="N15" s="193"/>
      <c r="O15" s="191">
        <v>0.999</v>
      </c>
      <c r="P15" s="194"/>
      <c r="Q15" s="194">
        <f t="shared" si="3"/>
        <v>0</v>
      </c>
      <c r="R15" s="194">
        <f t="shared" si="4"/>
        <v>0.49200000000000005</v>
      </c>
      <c r="S15" s="208"/>
    </row>
    <row r="16" spans="1:19" s="171" customFormat="1">
      <c r="A16" s="221">
        <f t="shared" si="0"/>
        <v>11</v>
      </c>
      <c r="B16" s="221"/>
      <c r="C16" s="221" t="s">
        <v>75</v>
      </c>
      <c r="D16" s="120">
        <v>1</v>
      </c>
      <c r="E16" s="221" t="s">
        <v>287</v>
      </c>
      <c r="F16" s="221"/>
      <c r="G16" s="221"/>
      <c r="H16" s="221" t="s">
        <v>288</v>
      </c>
      <c r="I16" s="195">
        <v>1.1499999999999999</v>
      </c>
      <c r="J16" s="221"/>
      <c r="K16" s="221"/>
      <c r="L16" s="221"/>
      <c r="M16" s="188">
        <v>1</v>
      </c>
      <c r="N16" s="193"/>
      <c r="O16" s="191">
        <v>0.999</v>
      </c>
      <c r="P16" s="194"/>
      <c r="Q16" s="194">
        <f t="shared" si="3"/>
        <v>0</v>
      </c>
      <c r="R16" s="194">
        <f t="shared" si="4"/>
        <v>1.1499999999999999</v>
      </c>
      <c r="S16" s="208"/>
    </row>
    <row r="17" spans="1:19" s="171" customFormat="1">
      <c r="A17" s="115">
        <f t="shared" si="0"/>
        <v>12</v>
      </c>
      <c r="B17" s="115"/>
      <c r="C17" s="115" t="s">
        <v>77</v>
      </c>
      <c r="D17" s="120">
        <v>1</v>
      </c>
      <c r="E17" s="221" t="s">
        <v>270</v>
      </c>
      <c r="F17" s="221" t="s">
        <v>269</v>
      </c>
      <c r="G17" s="115"/>
      <c r="H17" s="221" t="s">
        <v>76</v>
      </c>
      <c r="I17" s="188">
        <v>33.729999999999997</v>
      </c>
      <c r="J17" s="115"/>
      <c r="K17" s="115"/>
      <c r="L17" s="115"/>
      <c r="M17" s="188">
        <v>0.16</v>
      </c>
      <c r="N17" s="193"/>
      <c r="O17" s="191">
        <v>0.999</v>
      </c>
      <c r="P17" s="194"/>
      <c r="Q17" s="194">
        <f t="shared" si="1"/>
        <v>0</v>
      </c>
      <c r="R17" s="194">
        <f t="shared" si="2"/>
        <v>5.3967999999999998</v>
      </c>
      <c r="S17" s="208"/>
    </row>
    <row r="18" spans="1:19" s="171" customFormat="1" ht="15" customHeight="1">
      <c r="A18" s="115">
        <f t="shared" si="0"/>
        <v>13</v>
      </c>
      <c r="B18" s="115"/>
      <c r="C18" s="115" t="s">
        <v>77</v>
      </c>
      <c r="D18" s="120">
        <v>1</v>
      </c>
      <c r="E18" s="221" t="s">
        <v>271</v>
      </c>
      <c r="F18" s="221" t="s">
        <v>272</v>
      </c>
      <c r="G18" s="115"/>
      <c r="H18" s="221" t="s">
        <v>76</v>
      </c>
      <c r="I18" s="188">
        <v>25.06</v>
      </c>
      <c r="J18" s="115"/>
      <c r="K18" s="115"/>
      <c r="L18" s="115"/>
      <c r="M18" s="188">
        <v>0.12</v>
      </c>
      <c r="N18" s="193"/>
      <c r="O18" s="191">
        <v>0.999</v>
      </c>
      <c r="P18" s="194"/>
      <c r="Q18" s="194">
        <f t="shared" si="1"/>
        <v>0</v>
      </c>
      <c r="R18" s="190">
        <f t="shared" si="2"/>
        <v>3.0071999999999997</v>
      </c>
      <c r="S18" s="208"/>
    </row>
    <row r="19" spans="1:19" s="171" customFormat="1">
      <c r="A19" s="115">
        <f t="shared" si="0"/>
        <v>14</v>
      </c>
      <c r="B19" s="115"/>
      <c r="C19" s="221" t="s">
        <v>77</v>
      </c>
      <c r="D19" s="120">
        <v>1</v>
      </c>
      <c r="E19" s="221" t="s">
        <v>273</v>
      </c>
      <c r="F19" s="221" t="s">
        <v>274</v>
      </c>
      <c r="G19" s="115"/>
      <c r="H19" s="221" t="s">
        <v>76</v>
      </c>
      <c r="I19" s="188">
        <v>29.5</v>
      </c>
      <c r="J19" s="115"/>
      <c r="K19" s="115"/>
      <c r="L19" s="115"/>
      <c r="M19" s="188">
        <v>0.22</v>
      </c>
      <c r="N19" s="193"/>
      <c r="O19" s="191">
        <v>0.999</v>
      </c>
      <c r="P19" s="194"/>
      <c r="Q19" s="194">
        <f t="shared" si="1"/>
        <v>0</v>
      </c>
      <c r="R19" s="190">
        <f t="shared" si="2"/>
        <v>6.49</v>
      </c>
      <c r="S19" s="208"/>
    </row>
    <row r="20" spans="1:19">
      <c r="A20" s="115">
        <f t="shared" si="0"/>
        <v>15</v>
      </c>
      <c r="B20" s="115"/>
      <c r="C20" s="221" t="s">
        <v>77</v>
      </c>
      <c r="D20" s="120">
        <v>1</v>
      </c>
      <c r="E20" s="221" t="s">
        <v>275</v>
      </c>
      <c r="F20" s="221" t="s">
        <v>277</v>
      </c>
      <c r="G20" s="115"/>
      <c r="H20" s="221" t="s">
        <v>76</v>
      </c>
      <c r="I20" s="188">
        <v>44.247700000000002</v>
      </c>
      <c r="J20" s="177"/>
      <c r="K20" s="177"/>
      <c r="L20" s="177"/>
      <c r="M20" s="188">
        <v>0.1</v>
      </c>
      <c r="N20" s="191"/>
      <c r="O20" s="191">
        <v>0.999</v>
      </c>
      <c r="P20" s="194"/>
      <c r="Q20" s="194">
        <f t="shared" si="1"/>
        <v>0</v>
      </c>
      <c r="R20" s="190">
        <f t="shared" si="2"/>
        <v>4.4247700000000005</v>
      </c>
      <c r="S20" s="207"/>
    </row>
    <row r="21" spans="1:19">
      <c r="A21" s="115">
        <f t="shared" si="0"/>
        <v>16</v>
      </c>
      <c r="B21" s="115"/>
      <c r="C21" s="115" t="s">
        <v>77</v>
      </c>
      <c r="D21" s="120">
        <v>1</v>
      </c>
      <c r="E21" s="221" t="s">
        <v>276</v>
      </c>
      <c r="F21" s="221" t="s">
        <v>278</v>
      </c>
      <c r="G21" s="115"/>
      <c r="H21" s="221" t="s">
        <v>76</v>
      </c>
      <c r="I21" s="188">
        <v>36.283200000000001</v>
      </c>
      <c r="J21" s="177"/>
      <c r="K21" s="177"/>
      <c r="L21" s="177"/>
      <c r="M21" s="188">
        <v>1.4E-2</v>
      </c>
      <c r="N21" s="191"/>
      <c r="O21" s="191">
        <v>0.999</v>
      </c>
      <c r="P21" s="194"/>
      <c r="Q21" s="194">
        <f t="shared" si="1"/>
        <v>0</v>
      </c>
      <c r="R21" s="190">
        <f t="shared" si="2"/>
        <v>0.50796479999999999</v>
      </c>
      <c r="S21" s="207"/>
    </row>
    <row r="22" spans="1:19">
      <c r="A22" s="221">
        <f t="shared" si="0"/>
        <v>17</v>
      </c>
      <c r="B22" s="221"/>
      <c r="C22" s="221" t="s">
        <v>77</v>
      </c>
      <c r="D22" s="120">
        <v>1</v>
      </c>
      <c r="E22" s="221" t="s">
        <v>281</v>
      </c>
      <c r="F22" s="221"/>
      <c r="G22" s="221"/>
      <c r="H22" s="221" t="s">
        <v>76</v>
      </c>
      <c r="I22" s="195">
        <v>5.7448300000000003</v>
      </c>
      <c r="J22" s="177"/>
      <c r="K22" s="177"/>
      <c r="L22" s="177"/>
      <c r="M22" s="188">
        <v>0.11</v>
      </c>
      <c r="N22" s="191"/>
      <c r="O22" s="191">
        <v>1.9990000000000001</v>
      </c>
      <c r="P22" s="194"/>
      <c r="Q22" s="194">
        <f t="shared" ref="Q22:Q26" si="5">D22*P22*(M22-N22)</f>
        <v>0</v>
      </c>
      <c r="R22" s="190">
        <f t="shared" ref="R22:R26" si="6">D22*I22*M22-Q22</f>
        <v>0.63193130000000008</v>
      </c>
      <c r="S22" s="207"/>
    </row>
    <row r="23" spans="1:19">
      <c r="A23" s="221">
        <f t="shared" si="0"/>
        <v>18</v>
      </c>
      <c r="B23" s="221"/>
      <c r="C23" s="221" t="s">
        <v>77</v>
      </c>
      <c r="D23" s="120">
        <v>1</v>
      </c>
      <c r="E23" s="221" t="s">
        <v>284</v>
      </c>
      <c r="F23" s="221" t="s">
        <v>285</v>
      </c>
      <c r="G23" s="221"/>
      <c r="H23" s="221" t="s">
        <v>286</v>
      </c>
      <c r="I23" s="188">
        <v>8.2000000000000007E-3</v>
      </c>
      <c r="J23" s="177"/>
      <c r="K23" s="177"/>
      <c r="L23" s="177"/>
      <c r="M23" s="188">
        <v>13</v>
      </c>
      <c r="N23" s="191"/>
      <c r="O23" s="191">
        <v>2.9990000000000001</v>
      </c>
      <c r="P23" s="194"/>
      <c r="Q23" s="194">
        <f t="shared" si="5"/>
        <v>0</v>
      </c>
      <c r="R23" s="190">
        <f t="shared" si="6"/>
        <v>0.10660000000000001</v>
      </c>
      <c r="S23" s="207"/>
    </row>
    <row r="24" spans="1:19">
      <c r="A24" s="221">
        <f t="shared" si="0"/>
        <v>19</v>
      </c>
      <c r="B24" s="221"/>
      <c r="C24" s="221" t="s">
        <v>77</v>
      </c>
      <c r="D24" s="120">
        <v>1</v>
      </c>
      <c r="E24" s="221" t="s">
        <v>284</v>
      </c>
      <c r="F24" s="221"/>
      <c r="G24" s="221"/>
      <c r="H24" s="221" t="s">
        <v>286</v>
      </c>
      <c r="I24" s="188">
        <v>8.2000000000000007E-3</v>
      </c>
      <c r="J24" s="177"/>
      <c r="K24" s="177"/>
      <c r="L24" s="177"/>
      <c r="M24" s="188">
        <v>35</v>
      </c>
      <c r="N24" s="191"/>
      <c r="O24" s="191">
        <v>3.9990000000000001</v>
      </c>
      <c r="P24" s="194"/>
      <c r="Q24" s="194">
        <f t="shared" si="5"/>
        <v>0</v>
      </c>
      <c r="R24" s="190">
        <f t="shared" si="6"/>
        <v>0.28700000000000003</v>
      </c>
      <c r="S24" s="207"/>
    </row>
    <row r="25" spans="1:19">
      <c r="A25" s="221">
        <f t="shared" si="0"/>
        <v>20</v>
      </c>
      <c r="B25" s="221"/>
      <c r="C25" s="221" t="s">
        <v>77</v>
      </c>
      <c r="D25" s="120">
        <v>1</v>
      </c>
      <c r="E25" s="221" t="s">
        <v>283</v>
      </c>
      <c r="F25" s="221"/>
      <c r="G25" s="221"/>
      <c r="H25" s="221"/>
      <c r="I25" s="188">
        <v>0.38118999999999997</v>
      </c>
      <c r="J25" s="177"/>
      <c r="K25" s="177"/>
      <c r="L25" s="177"/>
      <c r="M25" s="188">
        <v>1</v>
      </c>
      <c r="N25" s="191"/>
      <c r="O25" s="191">
        <v>4.9989999999999997</v>
      </c>
      <c r="P25" s="194"/>
      <c r="Q25" s="194">
        <f t="shared" si="5"/>
        <v>0</v>
      </c>
      <c r="R25" s="190">
        <f t="shared" si="6"/>
        <v>0.38118999999999997</v>
      </c>
      <c r="S25" s="207"/>
    </row>
    <row r="26" spans="1:19">
      <c r="A26" s="115">
        <f t="shared" si="0"/>
        <v>21</v>
      </c>
      <c r="B26" s="115"/>
      <c r="C26" s="115" t="s">
        <v>78</v>
      </c>
      <c r="D26" s="120">
        <v>1</v>
      </c>
      <c r="E26" s="120" t="s">
        <v>79</v>
      </c>
      <c r="F26" s="120"/>
      <c r="G26" s="173"/>
      <c r="H26" s="115" t="s">
        <v>80</v>
      </c>
      <c r="I26" s="195">
        <v>17.62</v>
      </c>
      <c r="J26" s="177"/>
      <c r="K26" s="177"/>
      <c r="L26" s="177"/>
      <c r="M26" s="188">
        <f>1.3+0.894</f>
        <v>2.194</v>
      </c>
      <c r="N26" s="191"/>
      <c r="O26" s="191">
        <v>5.9989999999999997</v>
      </c>
      <c r="P26" s="194"/>
      <c r="Q26" s="194">
        <f t="shared" si="5"/>
        <v>0</v>
      </c>
      <c r="R26" s="190">
        <f t="shared" si="6"/>
        <v>38.658279999999998</v>
      </c>
      <c r="S26" s="207"/>
    </row>
    <row r="27" spans="1:19">
      <c r="A27" s="174"/>
      <c r="B27" s="175"/>
      <c r="C27" s="176"/>
      <c r="D27" s="177"/>
      <c r="E27" s="177"/>
      <c r="F27" s="178"/>
      <c r="G27" s="177"/>
      <c r="H27" s="177"/>
      <c r="I27" s="196"/>
      <c r="J27" s="177"/>
      <c r="K27" s="177"/>
      <c r="L27" s="177"/>
      <c r="M27" s="115"/>
      <c r="N27" s="191"/>
      <c r="O27" s="191"/>
      <c r="P27" s="194"/>
      <c r="Q27" s="115"/>
      <c r="R27" s="115"/>
      <c r="S27" s="207"/>
    </row>
    <row r="28" spans="1:19" ht="21" customHeight="1">
      <c r="A28" s="272" t="s">
        <v>81</v>
      </c>
      <c r="B28" s="273"/>
      <c r="C28" s="274"/>
      <c r="D28" s="115"/>
      <c r="E28" s="179"/>
      <c r="F28" s="115"/>
      <c r="G28" s="179"/>
      <c r="H28" s="179"/>
      <c r="I28" s="197"/>
      <c r="J28" s="179"/>
      <c r="K28" s="179"/>
      <c r="L28" s="178"/>
      <c r="M28" s="198">
        <f>SUM(M6:M20)</f>
        <v>79.81</v>
      </c>
      <c r="N28" s="198">
        <f>SUM(N6:N20)</f>
        <v>0</v>
      </c>
      <c r="O28" s="199">
        <f>N28/M28</f>
        <v>0</v>
      </c>
      <c r="P28" s="200"/>
      <c r="Q28" s="198">
        <f>SUM(Q6:Q20)</f>
        <v>0</v>
      </c>
      <c r="R28" s="198">
        <f>SUM(R6:R26)</f>
        <v>107.1368482</v>
      </c>
      <c r="S28" s="207"/>
    </row>
    <row r="29" spans="1:19" ht="21" customHeight="1">
      <c r="A29" s="180"/>
      <c r="B29" s="155" t="s">
        <v>82</v>
      </c>
      <c r="C29" s="180"/>
      <c r="D29" s="181"/>
      <c r="E29" s="182"/>
      <c r="F29" s="181"/>
      <c r="G29" s="182"/>
      <c r="H29" s="182"/>
      <c r="I29" s="201"/>
      <c r="J29" s="182"/>
      <c r="K29" s="182"/>
      <c r="L29" s="202"/>
      <c r="M29" s="203"/>
      <c r="N29" s="203"/>
      <c r="O29" s="204"/>
      <c r="P29" s="205"/>
      <c r="Q29" s="203"/>
      <c r="R29" s="203"/>
      <c r="S29" s="184"/>
    </row>
    <row r="30" spans="1:19" ht="27" customHeight="1">
      <c r="A30" s="275" t="s">
        <v>83</v>
      </c>
      <c r="B30" s="275"/>
      <c r="C30" s="275"/>
      <c r="D30" s="184"/>
      <c r="E30" s="184"/>
      <c r="F30" s="183"/>
      <c r="G30" s="184"/>
      <c r="H30" s="184"/>
      <c r="I30" s="206"/>
      <c r="J30" s="184"/>
      <c r="K30" s="184"/>
      <c r="L30" s="184"/>
      <c r="M30" s="184"/>
      <c r="N30" s="184"/>
      <c r="O30" s="184"/>
      <c r="P30" s="184"/>
      <c r="Q30" s="184"/>
      <c r="R30" s="184"/>
      <c r="S30" s="184"/>
    </row>
  </sheetData>
  <mergeCells count="19">
    <mergeCell ref="A30:C30"/>
    <mergeCell ref="A4:A5"/>
    <mergeCell ref="B4:B5"/>
    <mergeCell ref="C4:C5"/>
    <mergeCell ref="D4:D5"/>
    <mergeCell ref="N3:S3"/>
    <mergeCell ref="E4:J4"/>
    <mergeCell ref="K4:L4"/>
    <mergeCell ref="M4:O4"/>
    <mergeCell ref="A28:C28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G13" sqref="G13"/>
    </sheetView>
  </sheetViews>
  <sheetFormatPr defaultColWidth="9" defaultRowHeight="13.5"/>
  <cols>
    <col min="1" max="1" width="5.375" customWidth="1"/>
    <col min="2" max="2" width="10.25" customWidth="1"/>
    <col min="3" max="3" width="22.625" customWidth="1"/>
    <col min="4" max="4" width="6.7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6.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15.375" customWidth="1"/>
  </cols>
  <sheetData>
    <row r="1" spans="1:17" ht="20.25">
      <c r="A1" s="276" t="s">
        <v>84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</row>
    <row r="2" spans="1:17" s="1" customFormat="1">
      <c r="A2" s="137" t="s">
        <v>85</v>
      </c>
      <c r="B2" s="138"/>
      <c r="C2" s="138" t="str">
        <f>原材料明细!C2</f>
        <v>北京光华荣昌汽车部件有限公司</v>
      </c>
      <c r="D2" s="138"/>
      <c r="E2" s="138"/>
      <c r="F2" s="138"/>
      <c r="G2" s="138"/>
      <c r="H2" s="139"/>
      <c r="I2" s="277" t="s">
        <v>2</v>
      </c>
      <c r="J2" s="277"/>
      <c r="K2" s="278"/>
      <c r="L2" s="278"/>
      <c r="M2" s="278"/>
      <c r="N2" s="278"/>
      <c r="O2" s="278"/>
      <c r="P2" s="279" t="s">
        <v>54</v>
      </c>
      <c r="Q2" s="279"/>
    </row>
    <row r="3" spans="1:17" s="1" customFormat="1">
      <c r="A3" s="137" t="s">
        <v>55</v>
      </c>
      <c r="B3" s="138"/>
      <c r="C3" s="138" t="str">
        <f>原材料明细!C3</f>
        <v>X168100000003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9"/>
      <c r="P3" s="277" t="str">
        <f>原材料明细!N3</f>
        <v>报价填写日期: 2022-3-22</v>
      </c>
      <c r="Q3" s="277"/>
    </row>
    <row r="4" spans="1:17" ht="18.75">
      <c r="A4" s="140"/>
      <c r="B4" s="280" t="s">
        <v>86</v>
      </c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</row>
    <row r="5" spans="1:17" s="22" customFormat="1" ht="21.75" customHeight="1">
      <c r="A5" s="270" t="s">
        <v>56</v>
      </c>
      <c r="B5" s="281" t="s">
        <v>57</v>
      </c>
      <c r="C5" s="281" t="s">
        <v>58</v>
      </c>
      <c r="D5" s="281" t="s">
        <v>87</v>
      </c>
      <c r="E5" s="282"/>
      <c r="F5" s="281" t="s">
        <v>88</v>
      </c>
      <c r="G5" s="281" t="s">
        <v>89</v>
      </c>
      <c r="H5" s="281" t="s">
        <v>70</v>
      </c>
      <c r="I5" s="270" t="s">
        <v>26</v>
      </c>
      <c r="J5" s="270"/>
      <c r="K5" s="270"/>
      <c r="L5" s="270"/>
      <c r="M5" s="270"/>
      <c r="N5" s="270"/>
      <c r="O5" s="270"/>
      <c r="P5" s="281" t="s">
        <v>90</v>
      </c>
      <c r="Q5" s="281" t="s">
        <v>24</v>
      </c>
    </row>
    <row r="6" spans="1:17" s="22" customFormat="1" ht="24">
      <c r="A6" s="270"/>
      <c r="B6" s="282"/>
      <c r="C6" s="282"/>
      <c r="D6" s="141" t="s">
        <v>65</v>
      </c>
      <c r="E6" s="141" t="s">
        <v>71</v>
      </c>
      <c r="F6" s="282"/>
      <c r="G6" s="282"/>
      <c r="H6" s="281"/>
      <c r="I6" s="156" t="s">
        <v>91</v>
      </c>
      <c r="J6" s="156" t="s">
        <v>66</v>
      </c>
      <c r="K6" s="283" t="s">
        <v>67</v>
      </c>
      <c r="L6" s="283"/>
      <c r="M6" s="283"/>
      <c r="N6" s="156" t="s">
        <v>68</v>
      </c>
      <c r="O6" s="156" t="s">
        <v>92</v>
      </c>
      <c r="P6" s="281"/>
      <c r="Q6" s="281"/>
    </row>
    <row r="7" spans="1:17" s="85" customFormat="1">
      <c r="A7" s="45">
        <f>ROW()-6</f>
        <v>1</v>
      </c>
      <c r="B7" s="120"/>
      <c r="C7" s="219" t="s">
        <v>261</v>
      </c>
      <c r="D7" s="120"/>
      <c r="E7" s="120"/>
      <c r="F7" s="120">
        <v>1</v>
      </c>
      <c r="G7" s="224">
        <v>31.21</v>
      </c>
      <c r="H7" s="142"/>
      <c r="I7" s="144"/>
      <c r="J7" s="144"/>
      <c r="K7" s="283"/>
      <c r="L7" s="283"/>
      <c r="M7" s="283"/>
      <c r="N7" s="144" t="s">
        <v>93</v>
      </c>
      <c r="O7" s="144"/>
      <c r="P7" s="157">
        <f>F7*G7</f>
        <v>31.21</v>
      </c>
      <c r="Q7" s="166"/>
    </row>
    <row r="8" spans="1:17" s="85" customFormat="1">
      <c r="A8" s="228">
        <f t="shared" ref="A8:A9" si="0">ROW()-6</f>
        <v>2</v>
      </c>
      <c r="B8" s="120"/>
      <c r="C8" s="219" t="s">
        <v>289</v>
      </c>
      <c r="D8" s="120"/>
      <c r="E8" s="120"/>
      <c r="F8" s="120">
        <v>1</v>
      </c>
      <c r="G8" s="224">
        <v>5.6</v>
      </c>
      <c r="H8" s="142"/>
      <c r="I8" s="144"/>
      <c r="J8" s="144"/>
      <c r="K8" s="283"/>
      <c r="L8" s="283"/>
      <c r="M8" s="283"/>
      <c r="N8" s="144" t="s">
        <v>93</v>
      </c>
      <c r="O8" s="144"/>
      <c r="P8" s="157">
        <f>F8*G8</f>
        <v>5.6</v>
      </c>
      <c r="Q8" s="166"/>
    </row>
    <row r="9" spans="1:17" s="85" customFormat="1">
      <c r="A9" s="228">
        <f t="shared" si="0"/>
        <v>3</v>
      </c>
      <c r="B9" s="120"/>
      <c r="C9" s="219" t="s">
        <v>262</v>
      </c>
      <c r="D9" s="120"/>
      <c r="E9" s="120"/>
      <c r="F9" s="120">
        <v>1</v>
      </c>
      <c r="G9" s="224">
        <v>77.5</v>
      </c>
      <c r="H9" s="142"/>
      <c r="I9" s="144"/>
      <c r="J9" s="144"/>
      <c r="K9" s="283"/>
      <c r="L9" s="283"/>
      <c r="M9" s="283"/>
      <c r="N9" s="144" t="s">
        <v>93</v>
      </c>
      <c r="O9" s="144"/>
      <c r="P9" s="157">
        <f t="shared" ref="P9:P17" si="1">F9*G9</f>
        <v>77.5</v>
      </c>
      <c r="Q9" s="166"/>
    </row>
    <row r="10" spans="1:17" s="85" customFormat="1">
      <c r="A10" s="220">
        <f t="shared" ref="A10:A17" si="2">ROW()-6</f>
        <v>4</v>
      </c>
      <c r="B10" s="120"/>
      <c r="C10" s="219" t="s">
        <v>263</v>
      </c>
      <c r="D10" s="120"/>
      <c r="E10" s="120"/>
      <c r="F10" s="120">
        <v>1</v>
      </c>
      <c r="G10" s="224">
        <v>23.28</v>
      </c>
      <c r="H10" s="142"/>
      <c r="I10" s="144"/>
      <c r="J10" s="144"/>
      <c r="K10" s="283"/>
      <c r="L10" s="283"/>
      <c r="M10" s="283"/>
      <c r="N10" s="144" t="s">
        <v>93</v>
      </c>
      <c r="O10" s="144"/>
      <c r="P10" s="157">
        <f t="shared" si="1"/>
        <v>23.28</v>
      </c>
      <c r="Q10" s="166"/>
    </row>
    <row r="11" spans="1:17" s="85" customFormat="1">
      <c r="A11" s="220">
        <f t="shared" si="2"/>
        <v>5</v>
      </c>
      <c r="B11" s="120"/>
      <c r="C11" s="219" t="s">
        <v>264</v>
      </c>
      <c r="D11" s="120"/>
      <c r="E11" s="120"/>
      <c r="F11" s="120">
        <v>1</v>
      </c>
      <c r="G11" s="224">
        <v>7.65</v>
      </c>
      <c r="H11" s="142"/>
      <c r="I11" s="144"/>
      <c r="J11" s="144"/>
      <c r="K11" s="283"/>
      <c r="L11" s="283"/>
      <c r="M11" s="283"/>
      <c r="N11" s="144" t="s">
        <v>93</v>
      </c>
      <c r="O11" s="144"/>
      <c r="P11" s="157">
        <f t="shared" si="1"/>
        <v>7.65</v>
      </c>
      <c r="Q11" s="166"/>
    </row>
    <row r="12" spans="1:17" s="85" customFormat="1">
      <c r="A12" s="220">
        <f t="shared" si="2"/>
        <v>6</v>
      </c>
      <c r="B12" s="120"/>
      <c r="C12" s="219" t="s">
        <v>265</v>
      </c>
      <c r="D12" s="143"/>
      <c r="E12" s="143"/>
      <c r="F12" s="120">
        <v>1</v>
      </c>
      <c r="G12" s="224">
        <v>1.95</v>
      </c>
      <c r="H12" s="142"/>
      <c r="I12" s="144"/>
      <c r="J12" s="144"/>
      <c r="K12" s="283"/>
      <c r="L12" s="283"/>
      <c r="M12" s="283"/>
      <c r="N12" s="144" t="s">
        <v>93</v>
      </c>
      <c r="O12" s="144"/>
      <c r="P12" s="157">
        <f t="shared" si="1"/>
        <v>1.95</v>
      </c>
      <c r="Q12" s="166"/>
    </row>
    <row r="13" spans="1:17" s="85" customFormat="1">
      <c r="A13" s="220">
        <f t="shared" si="2"/>
        <v>7</v>
      </c>
      <c r="B13" s="120"/>
      <c r="C13" s="219" t="s">
        <v>266</v>
      </c>
      <c r="D13" s="120"/>
      <c r="E13" s="120"/>
      <c r="F13" s="120">
        <v>1</v>
      </c>
      <c r="G13" s="224">
        <v>7.1383000000000001</v>
      </c>
      <c r="H13" s="142"/>
      <c r="I13" s="144"/>
      <c r="J13" s="144"/>
      <c r="K13" s="283"/>
      <c r="L13" s="283"/>
      <c r="M13" s="283"/>
      <c r="N13" s="144" t="s">
        <v>93</v>
      </c>
      <c r="O13" s="144"/>
      <c r="P13" s="157">
        <f t="shared" si="1"/>
        <v>7.1383000000000001</v>
      </c>
      <c r="Q13" s="166"/>
    </row>
    <row r="14" spans="1:17" s="85" customFormat="1">
      <c r="A14" s="220">
        <f t="shared" si="2"/>
        <v>8</v>
      </c>
      <c r="B14" s="120"/>
      <c r="C14" s="219" t="s">
        <v>267</v>
      </c>
      <c r="D14" s="143"/>
      <c r="E14" s="143"/>
      <c r="F14" s="120">
        <v>1</v>
      </c>
      <c r="G14" s="224">
        <v>2.7648000000000001</v>
      </c>
      <c r="H14" s="142"/>
      <c r="I14" s="144"/>
      <c r="J14" s="144"/>
      <c r="K14" s="283"/>
      <c r="L14" s="283"/>
      <c r="M14" s="283"/>
      <c r="N14" s="144" t="s">
        <v>93</v>
      </c>
      <c r="O14" s="144"/>
      <c r="P14" s="157">
        <f t="shared" si="1"/>
        <v>2.7648000000000001</v>
      </c>
      <c r="Q14" s="166"/>
    </row>
    <row r="15" spans="1:17" s="85" customFormat="1">
      <c r="A15" s="220">
        <f t="shared" si="2"/>
        <v>9</v>
      </c>
      <c r="B15" s="120"/>
      <c r="C15" s="219" t="s">
        <v>268</v>
      </c>
      <c r="D15" s="143"/>
      <c r="E15" s="143"/>
      <c r="F15" s="120">
        <v>1</v>
      </c>
      <c r="G15" s="224">
        <v>36.99</v>
      </c>
      <c r="H15" s="142"/>
      <c r="I15" s="144"/>
      <c r="J15" s="144"/>
      <c r="K15" s="283"/>
      <c r="L15" s="283"/>
      <c r="M15" s="283"/>
      <c r="N15" s="144" t="s">
        <v>93</v>
      </c>
      <c r="O15" s="144"/>
      <c r="P15" s="157">
        <f t="shared" si="1"/>
        <v>36.99</v>
      </c>
      <c r="Q15" s="166"/>
    </row>
    <row r="16" spans="1:17" s="85" customFormat="1">
      <c r="A16" s="222">
        <f t="shared" si="2"/>
        <v>10</v>
      </c>
      <c r="B16" s="120"/>
      <c r="C16" s="219" t="s">
        <v>291</v>
      </c>
      <c r="D16" s="143"/>
      <c r="E16" s="143"/>
      <c r="F16" s="120">
        <v>1</v>
      </c>
      <c r="G16" s="224">
        <v>0.8034</v>
      </c>
      <c r="H16" s="142"/>
      <c r="I16" s="144"/>
      <c r="J16" s="144"/>
      <c r="K16" s="283"/>
      <c r="L16" s="283"/>
      <c r="M16" s="283"/>
      <c r="N16" s="144" t="s">
        <v>93</v>
      </c>
      <c r="O16" s="144"/>
      <c r="P16" s="157">
        <f t="shared" si="1"/>
        <v>0.8034</v>
      </c>
      <c r="Q16" s="166"/>
    </row>
    <row r="17" spans="1:17" s="85" customFormat="1">
      <c r="A17" s="222">
        <f t="shared" si="2"/>
        <v>11</v>
      </c>
      <c r="B17" s="120"/>
      <c r="C17" s="219" t="s">
        <v>290</v>
      </c>
      <c r="D17" s="143"/>
      <c r="E17" s="143"/>
      <c r="F17" s="120">
        <v>1</v>
      </c>
      <c r="G17" s="224">
        <v>0.9829</v>
      </c>
      <c r="H17" s="142"/>
      <c r="I17" s="144"/>
      <c r="J17" s="144"/>
      <c r="K17" s="283"/>
      <c r="L17" s="283"/>
      <c r="M17" s="283"/>
      <c r="N17" s="144" t="s">
        <v>93</v>
      </c>
      <c r="O17" s="144"/>
      <c r="P17" s="157">
        <f t="shared" si="1"/>
        <v>0.9829</v>
      </c>
      <c r="Q17" s="166"/>
    </row>
    <row r="18" spans="1:17">
      <c r="A18" s="144"/>
      <c r="B18" s="145" t="s">
        <v>81</v>
      </c>
      <c r="C18" s="19"/>
      <c r="D18" s="19"/>
      <c r="E18" s="19"/>
      <c r="F18" s="19"/>
      <c r="G18" s="225"/>
      <c r="H18" s="147"/>
      <c r="I18" s="144"/>
      <c r="J18" s="144"/>
      <c r="K18" s="285"/>
      <c r="L18" s="286"/>
      <c r="M18" s="287"/>
      <c r="N18" s="144"/>
      <c r="O18" s="158"/>
      <c r="P18" s="159">
        <f>SUM(P7:P17)</f>
        <v>195.86940000000001</v>
      </c>
      <c r="Q18" s="167"/>
    </row>
    <row r="20" spans="1:17" ht="18.75">
      <c r="B20" s="284" t="s">
        <v>94</v>
      </c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</row>
    <row r="21" spans="1:17" s="22" customFormat="1" ht="13.5" customHeight="1">
      <c r="A21" s="296" t="s">
        <v>56</v>
      </c>
      <c r="B21" s="291" t="s">
        <v>57</v>
      </c>
      <c r="C21" s="291" t="s">
        <v>58</v>
      </c>
      <c r="D21" s="288" t="s">
        <v>95</v>
      </c>
      <c r="E21" s="289"/>
      <c r="F21" s="291" t="s">
        <v>88</v>
      </c>
      <c r="G21" s="291" t="s">
        <v>96</v>
      </c>
      <c r="H21" s="291" t="s">
        <v>97</v>
      </c>
      <c r="I21" s="288" t="s">
        <v>98</v>
      </c>
      <c r="J21" s="290"/>
      <c r="K21" s="290"/>
      <c r="L21" s="290"/>
      <c r="M21" s="290"/>
      <c r="N21" s="290"/>
      <c r="O21" s="289"/>
      <c r="P21" s="291" t="s">
        <v>90</v>
      </c>
      <c r="Q21" s="291" t="s">
        <v>24</v>
      </c>
    </row>
    <row r="22" spans="1:17" s="22" customFormat="1" ht="24" customHeight="1">
      <c r="A22" s="297"/>
      <c r="B22" s="292"/>
      <c r="C22" s="292"/>
      <c r="D22" s="141" t="s">
        <v>65</v>
      </c>
      <c r="E22" s="141" t="s">
        <v>71</v>
      </c>
      <c r="F22" s="292"/>
      <c r="G22" s="292"/>
      <c r="H22" s="292"/>
      <c r="I22" s="160" t="s">
        <v>99</v>
      </c>
      <c r="J22" s="160" t="s">
        <v>100</v>
      </c>
      <c r="K22" s="160" t="s">
        <v>101</v>
      </c>
      <c r="L22" s="141" t="s">
        <v>102</v>
      </c>
      <c r="M22" s="141" t="s">
        <v>103</v>
      </c>
      <c r="N22" s="141" t="s">
        <v>104</v>
      </c>
      <c r="O22" s="141" t="s">
        <v>105</v>
      </c>
      <c r="P22" s="292"/>
      <c r="Q22" s="292"/>
    </row>
    <row r="23" spans="1:17">
      <c r="A23" s="45"/>
      <c r="B23" s="148"/>
      <c r="C23" s="149"/>
      <c r="D23" s="148"/>
      <c r="E23" s="148"/>
      <c r="F23" s="150"/>
      <c r="G23" s="148"/>
      <c r="H23" s="148"/>
      <c r="I23" s="141"/>
      <c r="J23" s="141"/>
      <c r="K23" s="141"/>
      <c r="L23" s="160"/>
      <c r="M23" s="160"/>
      <c r="N23" s="141"/>
      <c r="O23" s="141"/>
      <c r="P23" s="161">
        <f t="shared" ref="P23:P28" si="3">F23*G23</f>
        <v>0</v>
      </c>
      <c r="Q23" s="141"/>
    </row>
    <row r="24" spans="1:17" ht="13.5" hidden="1" customHeight="1">
      <c r="A24" s="45"/>
      <c r="B24" s="148"/>
      <c r="C24" s="149"/>
      <c r="D24" s="148"/>
      <c r="E24" s="148"/>
      <c r="F24" s="148"/>
      <c r="G24" s="148"/>
      <c r="H24" s="148"/>
      <c r="I24" s="141"/>
      <c r="J24" s="141"/>
      <c r="K24" s="141"/>
      <c r="L24" s="160"/>
      <c r="M24" s="160"/>
      <c r="N24" s="141"/>
      <c r="O24" s="141"/>
      <c r="P24" s="161">
        <f t="shared" si="3"/>
        <v>0</v>
      </c>
      <c r="Q24" s="141"/>
    </row>
    <row r="25" spans="1:17" ht="13.5" hidden="1" customHeight="1">
      <c r="A25" s="45"/>
      <c r="B25" s="148"/>
      <c r="C25" s="148"/>
      <c r="D25" s="148"/>
      <c r="E25" s="148"/>
      <c r="F25" s="148"/>
      <c r="G25" s="148"/>
      <c r="H25" s="148"/>
      <c r="I25" s="141"/>
      <c r="J25" s="141"/>
      <c r="K25" s="141"/>
      <c r="L25" s="160"/>
      <c r="M25" s="160"/>
      <c r="N25" s="141"/>
      <c r="O25" s="141"/>
      <c r="P25" s="161">
        <f t="shared" si="3"/>
        <v>0</v>
      </c>
      <c r="Q25" s="141"/>
    </row>
    <row r="26" spans="1:17" ht="13.5" hidden="1" customHeight="1">
      <c r="A26" s="45"/>
      <c r="B26" s="148"/>
      <c r="C26" s="148"/>
      <c r="D26" s="148"/>
      <c r="E26" s="148"/>
      <c r="F26" s="148"/>
      <c r="G26" s="148"/>
      <c r="H26" s="148"/>
      <c r="I26" s="141"/>
      <c r="J26" s="141"/>
      <c r="K26" s="141"/>
      <c r="L26" s="160"/>
      <c r="M26" s="160"/>
      <c r="N26" s="141"/>
      <c r="O26" s="141"/>
      <c r="P26" s="161">
        <f t="shared" si="3"/>
        <v>0</v>
      </c>
      <c r="Q26" s="141"/>
    </row>
    <row r="27" spans="1:17" ht="13.5" hidden="1" customHeight="1">
      <c r="A27" s="144"/>
      <c r="B27" s="148"/>
      <c r="C27" s="148"/>
      <c r="D27" s="148"/>
      <c r="E27" s="148"/>
      <c r="F27" s="148"/>
      <c r="G27" s="148"/>
      <c r="H27" s="148"/>
      <c r="I27" s="141"/>
      <c r="J27" s="141"/>
      <c r="K27" s="141"/>
      <c r="L27" s="160"/>
      <c r="M27" s="160"/>
      <c r="N27" s="141"/>
      <c r="O27" s="141"/>
      <c r="P27" s="161">
        <f t="shared" si="3"/>
        <v>0</v>
      </c>
      <c r="Q27" s="141"/>
    </row>
    <row r="28" spans="1:17">
      <c r="A28" s="144"/>
      <c r="B28" s="148"/>
      <c r="C28" s="148"/>
      <c r="D28" s="148"/>
      <c r="E28" s="148"/>
      <c r="F28" s="148"/>
      <c r="G28" s="148"/>
      <c r="H28" s="148"/>
      <c r="I28" s="141"/>
      <c r="J28" s="141"/>
      <c r="K28" s="141"/>
      <c r="L28" s="160"/>
      <c r="M28" s="160"/>
      <c r="N28" s="141"/>
      <c r="O28" s="141"/>
      <c r="P28" s="161">
        <f t="shared" si="3"/>
        <v>0</v>
      </c>
      <c r="Q28" s="141"/>
    </row>
    <row r="29" spans="1:17">
      <c r="A29" s="144"/>
      <c r="B29" s="145" t="s">
        <v>81</v>
      </c>
      <c r="C29" s="146"/>
      <c r="D29" s="147"/>
      <c r="E29" s="147"/>
      <c r="F29" s="147"/>
      <c r="G29" s="147"/>
      <c r="H29" s="147"/>
      <c r="I29" s="162"/>
      <c r="J29" s="162"/>
      <c r="K29" s="162"/>
      <c r="L29" s="147"/>
      <c r="M29" s="147"/>
      <c r="N29" s="163"/>
      <c r="O29" s="163"/>
      <c r="P29" s="159">
        <f>SUM(P23:P28)</f>
        <v>0</v>
      </c>
      <c r="Q29" s="168"/>
    </row>
    <row r="30" spans="1:17" ht="15">
      <c r="A30" s="22"/>
      <c r="B30" s="151"/>
      <c r="C30" s="152"/>
      <c r="D30" s="153"/>
      <c r="E30" s="153"/>
      <c r="F30" s="154"/>
      <c r="G30" s="154"/>
      <c r="H30" s="154"/>
      <c r="I30" s="164"/>
      <c r="J30" s="153"/>
      <c r="K30" s="153"/>
      <c r="L30" s="165"/>
      <c r="M30" s="165"/>
      <c r="N30" s="165"/>
      <c r="O30" s="165"/>
      <c r="P30" s="165"/>
      <c r="Q30" s="169"/>
    </row>
    <row r="31" spans="1:17" ht="18.75">
      <c r="A31" s="293" t="s">
        <v>106</v>
      </c>
      <c r="B31" s="294"/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294"/>
      <c r="N31" s="294"/>
      <c r="O31" s="295"/>
      <c r="P31" s="159">
        <f>P18+P29</f>
        <v>195.86940000000001</v>
      </c>
      <c r="Q31" s="170"/>
    </row>
    <row r="32" spans="1:17">
      <c r="B32" s="155" t="s">
        <v>107</v>
      </c>
    </row>
    <row r="33" spans="3:3">
      <c r="C33" s="85" t="s">
        <v>108</v>
      </c>
    </row>
  </sheetData>
  <mergeCells count="41">
    <mergeCell ref="A5:A6"/>
    <mergeCell ref="A21:A22"/>
    <mergeCell ref="B5:B6"/>
    <mergeCell ref="B21:B22"/>
    <mergeCell ref="C5:C6"/>
    <mergeCell ref="C21:C22"/>
    <mergeCell ref="D21:E21"/>
    <mergeCell ref="I21:O21"/>
    <mergeCell ref="P21:P22"/>
    <mergeCell ref="Q21:Q22"/>
    <mergeCell ref="A31:O31"/>
    <mergeCell ref="F21:F22"/>
    <mergeCell ref="G21:G22"/>
    <mergeCell ref="H21:H22"/>
    <mergeCell ref="K13:M13"/>
    <mergeCell ref="K14:M14"/>
    <mergeCell ref="K15:M15"/>
    <mergeCell ref="K17:M17"/>
    <mergeCell ref="B20:Q20"/>
    <mergeCell ref="K18:M18"/>
    <mergeCell ref="K16:M16"/>
    <mergeCell ref="K8:M8"/>
    <mergeCell ref="K9:M9"/>
    <mergeCell ref="K11:M11"/>
    <mergeCell ref="K12:M12"/>
    <mergeCell ref="K10:M10"/>
    <mergeCell ref="B4:Q4"/>
    <mergeCell ref="D5:E5"/>
    <mergeCell ref="I5:O5"/>
    <mergeCell ref="K6:M6"/>
    <mergeCell ref="K7:M7"/>
    <mergeCell ref="P5:P6"/>
    <mergeCell ref="Q5:Q6"/>
    <mergeCell ref="F5:F6"/>
    <mergeCell ref="G5:G6"/>
    <mergeCell ref="H5:H6"/>
    <mergeCell ref="A1:Q1"/>
    <mergeCell ref="I2:J2"/>
    <mergeCell ref="K2:O2"/>
    <mergeCell ref="P2:Q2"/>
    <mergeCell ref="P3:Q3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view="pageBreakPreview" zoomScaleNormal="100" zoomScaleSheetLayoutView="100" workbookViewId="0">
      <selection activeCell="N6" sqref="N6"/>
    </sheetView>
  </sheetViews>
  <sheetFormatPr defaultColWidth="9" defaultRowHeight="13.5"/>
  <cols>
    <col min="1" max="1" width="4.625" customWidth="1"/>
    <col min="2" max="2" width="6.75" customWidth="1"/>
    <col min="3" max="3" width="14.375" customWidth="1"/>
    <col min="4" max="4" width="4.25" customWidth="1"/>
    <col min="5" max="5" width="13.5" customWidth="1"/>
    <col min="6" max="6" width="16" customWidth="1"/>
    <col min="7" max="7" width="21.5" customWidth="1"/>
    <col min="8" max="8" width="6" customWidth="1"/>
    <col min="9" max="9" width="5.25" customWidth="1"/>
    <col min="10" max="10" width="6" customWidth="1"/>
    <col min="11" max="11" width="6.375" style="86" customWidth="1"/>
    <col min="12" max="12" width="6.625" style="86" customWidth="1"/>
    <col min="13" max="13" width="6.875" style="86" customWidth="1"/>
    <col min="14" max="14" width="8.875" style="86" customWidth="1"/>
    <col min="15" max="15" width="8.125" style="86" customWidth="1"/>
    <col min="16" max="16" width="8.125" customWidth="1"/>
    <col min="17" max="17" width="12.125" customWidth="1"/>
  </cols>
  <sheetData>
    <row r="1" spans="1:17" ht="23.25" customHeight="1">
      <c r="A1" s="298" t="s">
        <v>109</v>
      </c>
      <c r="B1" s="298"/>
      <c r="C1" s="298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</row>
    <row r="2" spans="1:17" s="1" customFormat="1">
      <c r="A2" s="300" t="s">
        <v>85</v>
      </c>
      <c r="B2" s="301"/>
      <c r="C2" s="302"/>
      <c r="D2" s="303" t="str">
        <f>原材料明细!C2</f>
        <v>北京光华荣昌汽车部件有限公司</v>
      </c>
      <c r="E2" s="303"/>
      <c r="F2" s="303"/>
      <c r="G2" s="303"/>
      <c r="H2" s="303"/>
      <c r="I2" s="303"/>
      <c r="J2" s="3" t="s">
        <v>2</v>
      </c>
      <c r="K2" s="304"/>
      <c r="L2" s="304"/>
      <c r="M2" s="304"/>
      <c r="N2" s="304"/>
      <c r="O2" s="305" t="s">
        <v>54</v>
      </c>
      <c r="P2" s="305"/>
      <c r="Q2" s="305"/>
    </row>
    <row r="3" spans="1:17" s="1" customFormat="1">
      <c r="A3" s="277" t="s">
        <v>55</v>
      </c>
      <c r="B3" s="277"/>
      <c r="C3" s="277"/>
      <c r="D3" s="306" t="str">
        <f>原材料明细!C3</f>
        <v>X168100000003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7" t="str">
        <f>原材料明细!N3</f>
        <v>报价填写日期: 2022-3-22</v>
      </c>
      <c r="P3" s="307"/>
      <c r="Q3" s="307"/>
    </row>
    <row r="4" spans="1:17" s="98" customFormat="1" ht="27" customHeight="1">
      <c r="A4" s="309" t="s">
        <v>56</v>
      </c>
      <c r="B4" s="309" t="s">
        <v>57</v>
      </c>
      <c r="C4" s="309" t="s">
        <v>58</v>
      </c>
      <c r="D4" s="309" t="s">
        <v>110</v>
      </c>
      <c r="E4" s="308" t="s">
        <v>111</v>
      </c>
      <c r="F4" s="308" t="s">
        <v>112</v>
      </c>
      <c r="G4" s="308"/>
      <c r="H4" s="308" t="s">
        <v>113</v>
      </c>
      <c r="I4" s="308" t="s">
        <v>114</v>
      </c>
      <c r="J4" s="308" t="s">
        <v>115</v>
      </c>
      <c r="K4" s="270" t="s">
        <v>116</v>
      </c>
      <c r="L4" s="270"/>
      <c r="M4" s="270"/>
      <c r="N4" s="270"/>
      <c r="O4" s="270"/>
      <c r="P4" s="308" t="s">
        <v>117</v>
      </c>
      <c r="Q4" s="308"/>
    </row>
    <row r="5" spans="1:17" s="98" customFormat="1" ht="33.75" customHeight="1">
      <c r="A5" s="309"/>
      <c r="B5" s="309"/>
      <c r="C5" s="309"/>
      <c r="D5" s="309"/>
      <c r="E5" s="308"/>
      <c r="F5" s="113" t="s">
        <v>118</v>
      </c>
      <c r="G5" s="113" t="s">
        <v>67</v>
      </c>
      <c r="H5" s="308"/>
      <c r="I5" s="308"/>
      <c r="J5" s="308"/>
      <c r="K5" s="113" t="s">
        <v>119</v>
      </c>
      <c r="L5" s="113" t="s">
        <v>120</v>
      </c>
      <c r="M5" s="113" t="s">
        <v>121</v>
      </c>
      <c r="N5" s="113" t="s">
        <v>122</v>
      </c>
      <c r="O5" s="113" t="s">
        <v>123</v>
      </c>
      <c r="P5" s="113" t="s">
        <v>124</v>
      </c>
      <c r="Q5" s="113" t="s">
        <v>125</v>
      </c>
    </row>
    <row r="6" spans="1:17" s="98" customFormat="1" ht="12">
      <c r="A6" s="114">
        <v>1</v>
      </c>
      <c r="B6" s="115"/>
      <c r="C6" s="91" t="s">
        <v>126</v>
      </c>
      <c r="D6" s="116">
        <v>1</v>
      </c>
      <c r="E6" s="117"/>
      <c r="F6" s="117" t="s">
        <v>127</v>
      </c>
      <c r="G6" s="117" t="s">
        <v>128</v>
      </c>
      <c r="H6" s="118">
        <v>3</v>
      </c>
      <c r="I6" s="118">
        <v>12</v>
      </c>
      <c r="J6" s="127">
        <v>0.47</v>
      </c>
      <c r="K6" s="127">
        <v>0.6</v>
      </c>
      <c r="L6" s="127">
        <f>制造费率测算明细!T6</f>
        <v>10.751028806584362</v>
      </c>
      <c r="M6" s="127">
        <f>制造费率测算明细!U6</f>
        <v>1.2666666666666666</v>
      </c>
      <c r="N6" s="127">
        <f>制造费率测算明细!V6</f>
        <v>2.5462962962962963</v>
      </c>
      <c r="O6" s="128">
        <f>SUM(K6:N6)</f>
        <v>15.163991769547325</v>
      </c>
      <c r="P6" s="129">
        <f>D6*H6*I6*J6</f>
        <v>16.919999999999998</v>
      </c>
      <c r="Q6" s="129">
        <f>D6*H6*O6</f>
        <v>45.491975308641976</v>
      </c>
    </row>
    <row r="7" spans="1:17" s="98" customFormat="1" ht="12">
      <c r="A7" s="114">
        <v>2</v>
      </c>
      <c r="B7" s="115"/>
      <c r="C7" s="96" t="s">
        <v>129</v>
      </c>
      <c r="D7" s="116">
        <v>1</v>
      </c>
      <c r="E7" s="96"/>
      <c r="F7" s="96" t="s">
        <v>130</v>
      </c>
      <c r="G7" s="96" t="s">
        <v>131</v>
      </c>
      <c r="H7" s="118">
        <v>3</v>
      </c>
      <c r="I7" s="130">
        <v>11</v>
      </c>
      <c r="J7" s="127">
        <v>0.47</v>
      </c>
      <c r="K7" s="127">
        <v>0.6</v>
      </c>
      <c r="L7" s="127">
        <f>制造费率测算明细!T7</f>
        <v>1.2566137566137565</v>
      </c>
      <c r="M7" s="127">
        <f>制造费率测算明细!U7</f>
        <v>0.15833333333333333</v>
      </c>
      <c r="N7" s="127">
        <f>制造费率测算明细!V7</f>
        <v>0.69444444444444442</v>
      </c>
      <c r="O7" s="128">
        <f t="shared" ref="O7" si="0">SUM(K7:N7)</f>
        <v>2.7093915343915338</v>
      </c>
      <c r="P7" s="129">
        <f t="shared" ref="P7:P10" si="1">D7*H7*I7*J7</f>
        <v>15.51</v>
      </c>
      <c r="Q7" s="129">
        <f t="shared" ref="Q7:Q10" si="2">D7*H7*O7</f>
        <v>8.1281746031746014</v>
      </c>
    </row>
    <row r="8" spans="1:17" s="98" customFormat="1" ht="12">
      <c r="A8" s="114">
        <v>3</v>
      </c>
      <c r="B8" s="115"/>
      <c r="C8" s="96" t="s">
        <v>132</v>
      </c>
      <c r="D8" s="116">
        <v>1</v>
      </c>
      <c r="E8" s="96"/>
      <c r="F8" s="96" t="s">
        <v>133</v>
      </c>
      <c r="G8" s="96"/>
      <c r="H8" s="96">
        <v>14</v>
      </c>
      <c r="I8" s="96">
        <v>1</v>
      </c>
      <c r="J8" s="127">
        <v>0.47</v>
      </c>
      <c r="K8" s="131">
        <v>0.6</v>
      </c>
      <c r="L8" s="127">
        <f>制造费率测算明细!T8</f>
        <v>3.0158730158730159E-2</v>
      </c>
      <c r="M8" s="127">
        <f>制造费率测算明细!U8</f>
        <v>0.6333333333333333</v>
      </c>
      <c r="N8" s="127">
        <f>制造费率测算明细!V8</f>
        <v>3.3333333333333335E-3</v>
      </c>
      <c r="O8" s="128">
        <f t="shared" ref="O8:O10" si="3">SUM(L8:N8)</f>
        <v>0.66682539682539677</v>
      </c>
      <c r="P8" s="129">
        <f t="shared" si="1"/>
        <v>6.58</v>
      </c>
      <c r="Q8" s="129">
        <f t="shared" si="2"/>
        <v>9.3355555555555547</v>
      </c>
    </row>
    <row r="9" spans="1:17" s="98" customFormat="1" ht="12">
      <c r="A9" s="114">
        <v>4</v>
      </c>
      <c r="B9" s="115"/>
      <c r="C9" s="87" t="s">
        <v>134</v>
      </c>
      <c r="D9" s="116">
        <v>1</v>
      </c>
      <c r="E9" s="119"/>
      <c r="F9" s="96" t="s">
        <v>135</v>
      </c>
      <c r="G9" s="96"/>
      <c r="H9" s="96">
        <v>14</v>
      </c>
      <c r="I9" s="96">
        <v>4</v>
      </c>
      <c r="J9" s="127">
        <v>0.47</v>
      </c>
      <c r="K9" s="131">
        <v>0.6</v>
      </c>
      <c r="L9" s="127">
        <f>制造费率测算明细!T9</f>
        <v>1.9791666666666666E-2</v>
      </c>
      <c r="M9" s="127">
        <f>制造费率测算明细!U9</f>
        <v>0.6333333333333333</v>
      </c>
      <c r="N9" s="127">
        <f>制造费率测算明细!V9</f>
        <v>2.1875000000000002E-3</v>
      </c>
      <c r="O9" s="128">
        <f t="shared" si="3"/>
        <v>0.65531249999999996</v>
      </c>
      <c r="P9" s="129">
        <f t="shared" si="1"/>
        <v>26.32</v>
      </c>
      <c r="Q9" s="129">
        <f t="shared" si="2"/>
        <v>9.1743749999999995</v>
      </c>
    </row>
    <row r="10" spans="1:17" s="98" customFormat="1" ht="12">
      <c r="A10" s="114">
        <v>5</v>
      </c>
      <c r="B10" s="115"/>
      <c r="C10" s="96" t="s">
        <v>132</v>
      </c>
      <c r="D10" s="116">
        <v>1</v>
      </c>
      <c r="E10" s="96"/>
      <c r="F10" s="96" t="s">
        <v>136</v>
      </c>
      <c r="G10" s="96"/>
      <c r="H10" s="96">
        <v>2</v>
      </c>
      <c r="I10" s="96">
        <v>6</v>
      </c>
      <c r="J10" s="127">
        <v>0.47</v>
      </c>
      <c r="K10" s="131">
        <v>0.6</v>
      </c>
      <c r="L10" s="127">
        <f>制造费率测算明细!T10</f>
        <v>1.0367063492063493</v>
      </c>
      <c r="M10" s="127">
        <f>制造费率测算明细!U10</f>
        <v>0.6333333333333333</v>
      </c>
      <c r="N10" s="127">
        <f>制造费率测算明细!V10</f>
        <v>0.11458333333333333</v>
      </c>
      <c r="O10" s="128">
        <f t="shared" si="3"/>
        <v>1.7846230158730159</v>
      </c>
      <c r="P10" s="129">
        <f t="shared" si="1"/>
        <v>5.64</v>
      </c>
      <c r="Q10" s="129">
        <f t="shared" si="2"/>
        <v>3.5692460317460317</v>
      </c>
    </row>
    <row r="11" spans="1:17" s="98" customFormat="1" ht="12">
      <c r="A11" s="114"/>
      <c r="B11" s="115"/>
      <c r="C11" s="119"/>
      <c r="D11" s="116"/>
      <c r="E11" s="119"/>
      <c r="F11" s="119"/>
      <c r="G11" s="119"/>
      <c r="H11" s="119"/>
      <c r="I11" s="119"/>
      <c r="J11" s="132"/>
      <c r="K11" s="131"/>
      <c r="L11" s="127"/>
      <c r="M11" s="127"/>
      <c r="N11" s="127"/>
      <c r="O11" s="128"/>
      <c r="P11" s="129"/>
      <c r="Q11" s="129"/>
    </row>
    <row r="12" spans="1:17" s="98" customFormat="1" ht="12">
      <c r="A12" s="114"/>
      <c r="B12" s="120"/>
      <c r="C12" s="119"/>
      <c r="D12" s="116"/>
      <c r="E12" s="119"/>
      <c r="F12" s="119"/>
      <c r="G12" s="119"/>
      <c r="H12" s="119"/>
      <c r="I12" s="119"/>
      <c r="J12" s="133"/>
      <c r="K12" s="131"/>
      <c r="L12" s="127"/>
      <c r="M12" s="127"/>
      <c r="N12" s="127"/>
      <c r="O12" s="128"/>
      <c r="P12" s="129"/>
      <c r="Q12" s="129"/>
    </row>
    <row r="13" spans="1:17" s="98" customFormat="1" ht="12">
      <c r="A13" s="114"/>
      <c r="B13" s="115"/>
      <c r="C13" s="119"/>
      <c r="D13" s="116"/>
      <c r="E13" s="119"/>
      <c r="F13" s="119"/>
      <c r="G13" s="119"/>
      <c r="H13" s="119"/>
      <c r="I13" s="119"/>
      <c r="J13" s="133"/>
      <c r="K13" s="131"/>
      <c r="L13" s="127"/>
      <c r="M13" s="127"/>
      <c r="N13" s="127"/>
      <c r="O13" s="128"/>
      <c r="P13" s="129"/>
      <c r="Q13" s="129"/>
    </row>
    <row r="14" spans="1:17" s="98" customFormat="1" ht="12">
      <c r="A14" s="114"/>
      <c r="B14" s="115"/>
      <c r="C14" s="119"/>
      <c r="D14" s="116"/>
      <c r="E14" s="119"/>
      <c r="F14" s="119"/>
      <c r="G14" s="119"/>
      <c r="H14" s="119"/>
      <c r="I14" s="119"/>
      <c r="J14" s="133"/>
      <c r="K14" s="131"/>
      <c r="L14" s="127"/>
      <c r="M14" s="127"/>
      <c r="N14" s="127"/>
      <c r="O14" s="128"/>
      <c r="P14" s="129"/>
      <c r="Q14" s="129"/>
    </row>
    <row r="15" spans="1:17" s="98" customFormat="1" ht="12">
      <c r="A15" s="114"/>
      <c r="B15" s="121"/>
      <c r="C15" s="119"/>
      <c r="D15" s="116"/>
      <c r="E15" s="119"/>
      <c r="F15" s="119"/>
      <c r="G15" s="119"/>
      <c r="H15" s="119"/>
      <c r="I15" s="119"/>
      <c r="J15" s="133"/>
      <c r="K15" s="131"/>
      <c r="L15" s="127"/>
      <c r="M15" s="127"/>
      <c r="N15" s="127"/>
      <c r="O15" s="128"/>
      <c r="P15" s="129"/>
      <c r="Q15" s="129"/>
    </row>
    <row r="16" spans="1:17" s="98" customFormat="1" ht="12">
      <c r="A16" s="114"/>
      <c r="B16" s="121"/>
      <c r="C16" s="119"/>
      <c r="D16" s="116"/>
      <c r="E16" s="119"/>
      <c r="F16" s="119"/>
      <c r="G16" s="119"/>
      <c r="H16" s="119"/>
      <c r="I16" s="119"/>
      <c r="J16" s="133"/>
      <c r="K16" s="131"/>
      <c r="L16" s="127"/>
      <c r="M16" s="127"/>
      <c r="N16" s="127"/>
      <c r="O16" s="128"/>
      <c r="P16" s="129"/>
      <c r="Q16" s="129"/>
    </row>
    <row r="17" spans="1:17" s="98" customFormat="1" ht="12">
      <c r="A17" s="114"/>
      <c r="B17" s="121"/>
      <c r="C17" s="119"/>
      <c r="D17" s="116"/>
      <c r="E17" s="119"/>
      <c r="F17" s="119"/>
      <c r="G17" s="119"/>
      <c r="H17" s="119"/>
      <c r="I17" s="119"/>
      <c r="J17" s="133"/>
      <c r="K17" s="131"/>
      <c r="L17" s="127"/>
      <c r="M17" s="127"/>
      <c r="N17" s="127"/>
      <c r="O17" s="128"/>
      <c r="P17" s="129"/>
      <c r="Q17" s="129"/>
    </row>
    <row r="18" spans="1:17" s="98" customFormat="1" ht="12">
      <c r="A18" s="114"/>
      <c r="B18" s="122"/>
      <c r="C18" s="119"/>
      <c r="D18" s="116"/>
      <c r="E18" s="119"/>
      <c r="F18" s="119"/>
      <c r="G18" s="119"/>
      <c r="H18" s="119"/>
      <c r="I18" s="119"/>
      <c r="J18" s="133"/>
      <c r="K18" s="131"/>
      <c r="L18" s="127"/>
      <c r="M18" s="127"/>
      <c r="N18" s="127"/>
      <c r="O18" s="128"/>
      <c r="P18" s="129"/>
      <c r="Q18" s="129"/>
    </row>
    <row r="19" spans="1:17" s="98" customFormat="1" ht="12">
      <c r="A19" s="114"/>
      <c r="B19" s="121"/>
      <c r="C19" s="119"/>
      <c r="D19" s="116"/>
      <c r="E19" s="119"/>
      <c r="F19" s="119"/>
      <c r="G19" s="119"/>
      <c r="H19" s="119"/>
      <c r="I19" s="119"/>
      <c r="J19" s="133"/>
      <c r="K19" s="131"/>
      <c r="L19" s="127"/>
      <c r="M19" s="127"/>
      <c r="N19" s="127"/>
      <c r="O19" s="128"/>
      <c r="P19" s="129"/>
      <c r="Q19" s="129"/>
    </row>
    <row r="20" spans="1:17" s="98" customFormat="1" ht="12">
      <c r="A20" s="114"/>
      <c r="B20" s="121"/>
      <c r="C20" s="119"/>
      <c r="D20" s="116"/>
      <c r="E20" s="119"/>
      <c r="F20" s="119"/>
      <c r="G20" s="119"/>
      <c r="H20" s="119"/>
      <c r="I20" s="119"/>
      <c r="J20" s="133"/>
      <c r="K20" s="131"/>
      <c r="L20" s="127"/>
      <c r="M20" s="127"/>
      <c r="N20" s="127"/>
      <c r="O20" s="128"/>
      <c r="P20" s="129"/>
      <c r="Q20" s="129"/>
    </row>
    <row r="21" spans="1:17" s="98" customFormat="1" ht="20.25" customHeight="1">
      <c r="A21" s="123" t="s">
        <v>81</v>
      </c>
      <c r="B21" s="123"/>
      <c r="C21" s="123"/>
      <c r="D21" s="123"/>
      <c r="E21" s="123"/>
      <c r="F21" s="123"/>
      <c r="G21" s="123"/>
      <c r="H21" s="124">
        <f>SUM(H6:H20)</f>
        <v>36</v>
      </c>
      <c r="I21" s="134">
        <f>SUM(I6:I20)</f>
        <v>34</v>
      </c>
      <c r="J21" s="123"/>
      <c r="K21" s="123"/>
      <c r="L21" s="123"/>
      <c r="M21" s="123"/>
      <c r="N21" s="123"/>
      <c r="O21" s="119"/>
      <c r="P21" s="135">
        <f>SUM(P6:P20)</f>
        <v>70.97</v>
      </c>
      <c r="Q21" s="135">
        <f>SUM(Q6:Q20)</f>
        <v>75.699326499118158</v>
      </c>
    </row>
    <row r="22" spans="1:17" s="55" customFormat="1">
      <c r="B22" s="125" t="s">
        <v>137</v>
      </c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1:17" s="55" customFormat="1">
      <c r="B23" s="126" t="s">
        <v>138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</row>
    <row r="24" spans="1:17" s="55" customFormat="1">
      <c r="B24" s="126" t="s">
        <v>139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</row>
    <row r="25" spans="1:17" s="55" customFormat="1">
      <c r="B25" s="126" t="s">
        <v>140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</row>
    <row r="26" spans="1:17" s="55" customFormat="1">
      <c r="B26" s="56" t="s">
        <v>141</v>
      </c>
      <c r="K26" s="136"/>
      <c r="L26" s="136"/>
      <c r="M26" s="136"/>
      <c r="N26" s="136"/>
      <c r="O26" s="136"/>
    </row>
    <row r="27" spans="1:17" s="55" customFormat="1">
      <c r="K27" s="136"/>
      <c r="L27" s="136"/>
      <c r="M27" s="136"/>
      <c r="N27" s="136"/>
      <c r="O27" s="136"/>
    </row>
    <row r="28" spans="1:17" s="55" customFormat="1">
      <c r="K28" s="136"/>
      <c r="L28" s="136"/>
      <c r="M28" s="136"/>
      <c r="N28" s="136"/>
      <c r="O28" s="136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view="pageBreakPreview" topLeftCell="D1" zoomScaleNormal="100" zoomScaleSheetLayoutView="100" workbookViewId="0">
      <selection activeCell="V7" sqref="V7"/>
    </sheetView>
  </sheetViews>
  <sheetFormatPr defaultColWidth="9" defaultRowHeight="13.5"/>
  <cols>
    <col min="1" max="1" width="4.625" style="86" customWidth="1"/>
    <col min="2" max="2" width="10.5" customWidth="1"/>
    <col min="3" max="3" width="12.625" customWidth="1"/>
    <col min="4" max="4" width="15" customWidth="1"/>
    <col min="5" max="5" width="12.125" customWidth="1"/>
    <col min="6" max="6" width="9" customWidth="1"/>
    <col min="7" max="7" width="8.5" customWidth="1"/>
    <col min="8" max="12" width="6.75" customWidth="1"/>
    <col min="13" max="13" width="7.625" style="86" customWidth="1"/>
    <col min="14" max="14" width="6.875" style="86" customWidth="1"/>
    <col min="15" max="15" width="11.75" style="86" customWidth="1"/>
    <col min="16" max="16" width="7.25" style="86" customWidth="1"/>
    <col min="17" max="17" width="9.25" style="86" customWidth="1"/>
    <col min="18" max="18" width="8.375" style="86" customWidth="1"/>
    <col min="19" max="19" width="8.5" style="86" customWidth="1"/>
    <col min="20" max="20" width="9" customWidth="1"/>
    <col min="21" max="21" width="8.125" customWidth="1"/>
    <col min="22" max="22" width="9" customWidth="1"/>
  </cols>
  <sheetData>
    <row r="1" spans="1:22" ht="20.25">
      <c r="A1" s="310" t="s">
        <v>142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2"/>
    </row>
    <row r="2" spans="1:22" s="1" customFormat="1">
      <c r="A2" s="313" t="s">
        <v>85</v>
      </c>
      <c r="B2" s="313"/>
      <c r="C2" s="313"/>
      <c r="D2" s="314" t="str">
        <f>原材料明细!C2</f>
        <v>北京光华荣昌汽车部件有限公司</v>
      </c>
      <c r="E2" s="315"/>
      <c r="F2" s="315"/>
      <c r="G2" s="315"/>
      <c r="H2" s="316"/>
      <c r="I2" s="101" t="s">
        <v>2</v>
      </c>
      <c r="J2" s="317"/>
      <c r="K2" s="318"/>
      <c r="L2" s="318"/>
      <c r="M2" s="318"/>
      <c r="N2" s="318"/>
      <c r="O2" s="318"/>
      <c r="P2" s="318"/>
      <c r="Q2" s="319"/>
      <c r="R2" s="320" t="s">
        <v>54</v>
      </c>
      <c r="S2" s="320"/>
      <c r="T2" s="320"/>
      <c r="U2" s="320"/>
      <c r="V2" s="320"/>
    </row>
    <row r="3" spans="1:22" s="1" customFormat="1">
      <c r="A3" s="277" t="s">
        <v>55</v>
      </c>
      <c r="B3" s="277"/>
      <c r="C3" s="277"/>
      <c r="D3" s="321" t="str">
        <f>原材料明细!C3</f>
        <v>X168100000003</v>
      </c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3"/>
      <c r="R3" s="313" t="str">
        <f>原材料明细!N3</f>
        <v>报价填写日期: 2022-3-22</v>
      </c>
      <c r="S3" s="313"/>
      <c r="T3" s="313"/>
      <c r="U3" s="313"/>
      <c r="V3" s="313"/>
    </row>
    <row r="4" spans="1:22" ht="21.75" customHeight="1">
      <c r="A4" s="326" t="s">
        <v>56</v>
      </c>
      <c r="B4" s="326" t="s">
        <v>111</v>
      </c>
      <c r="C4" s="324" t="s">
        <v>143</v>
      </c>
      <c r="D4" s="325"/>
      <c r="E4" s="325"/>
      <c r="F4" s="325"/>
      <c r="G4" s="325"/>
      <c r="H4" s="325"/>
      <c r="I4" s="325"/>
      <c r="J4" s="326" t="s">
        <v>144</v>
      </c>
      <c r="K4" s="326"/>
      <c r="L4" s="326"/>
      <c r="M4" s="326"/>
      <c r="N4" s="326"/>
      <c r="O4" s="102" t="s">
        <v>145</v>
      </c>
      <c r="P4" s="103"/>
      <c r="Q4" s="327" t="s">
        <v>146</v>
      </c>
      <c r="R4" s="327"/>
      <c r="S4" s="327"/>
      <c r="T4" s="328" t="s">
        <v>147</v>
      </c>
      <c r="U4" s="328" t="s">
        <v>148</v>
      </c>
      <c r="V4" s="328" t="s">
        <v>149</v>
      </c>
    </row>
    <row r="5" spans="1:22" ht="54.75" customHeight="1">
      <c r="A5" s="326"/>
      <c r="B5" s="326"/>
      <c r="C5" s="88" t="s">
        <v>118</v>
      </c>
      <c r="D5" s="88" t="s">
        <v>67</v>
      </c>
      <c r="E5" s="89" t="s">
        <v>150</v>
      </c>
      <c r="F5" s="89" t="s">
        <v>151</v>
      </c>
      <c r="G5" s="89" t="s">
        <v>152</v>
      </c>
      <c r="H5" s="90" t="s">
        <v>153</v>
      </c>
      <c r="I5" s="104" t="s">
        <v>154</v>
      </c>
      <c r="J5" s="105" t="s">
        <v>155</v>
      </c>
      <c r="K5" s="105" t="s">
        <v>156</v>
      </c>
      <c r="L5" s="105" t="s">
        <v>157</v>
      </c>
      <c r="M5" s="89" t="s">
        <v>158</v>
      </c>
      <c r="N5" s="89" t="s">
        <v>159</v>
      </c>
      <c r="O5" s="89" t="s">
        <v>160</v>
      </c>
      <c r="P5" s="89" t="s">
        <v>161</v>
      </c>
      <c r="Q5" s="90" t="s">
        <v>162</v>
      </c>
      <c r="R5" s="90" t="s">
        <v>163</v>
      </c>
      <c r="S5" s="90" t="s">
        <v>164</v>
      </c>
      <c r="T5" s="328"/>
      <c r="U5" s="328"/>
      <c r="V5" s="328"/>
    </row>
    <row r="6" spans="1:22">
      <c r="A6" s="87">
        <v>1</v>
      </c>
      <c r="B6" s="91" t="s">
        <v>126</v>
      </c>
      <c r="C6" s="92" t="s">
        <v>127</v>
      </c>
      <c r="D6" s="92" t="s">
        <v>128</v>
      </c>
      <c r="E6" s="93">
        <v>22000000</v>
      </c>
      <c r="F6" s="94">
        <v>0.05</v>
      </c>
      <c r="G6" s="95">
        <f>E6*0.95*9/15</f>
        <v>12540000</v>
      </c>
      <c r="H6" s="92">
        <v>15</v>
      </c>
      <c r="I6" s="106">
        <v>6</v>
      </c>
      <c r="J6" s="87">
        <v>80</v>
      </c>
      <c r="K6" s="94">
        <v>0.95</v>
      </c>
      <c r="L6" s="87"/>
      <c r="M6" s="107">
        <v>1</v>
      </c>
      <c r="N6" s="107"/>
      <c r="O6" s="108">
        <f>P6*0.5</f>
        <v>366666.66666666669</v>
      </c>
      <c r="P6" s="108">
        <f>E6*0.5/H6</f>
        <v>733333.33333333337</v>
      </c>
      <c r="Q6" s="110">
        <v>12</v>
      </c>
      <c r="R6" s="110">
        <v>300</v>
      </c>
      <c r="S6" s="110">
        <v>7200</v>
      </c>
      <c r="T6" s="111">
        <f>(E6-E6*F6)/(H6-I6)/(Q6*R6)/60</f>
        <v>10.751028806584362</v>
      </c>
      <c r="U6" s="111">
        <f>(J6*K6*M6+L6*N6)/60</f>
        <v>1.2666666666666666</v>
      </c>
      <c r="V6" s="111">
        <f>(O6+P6)/S6/60</f>
        <v>2.5462962962962963</v>
      </c>
    </row>
    <row r="7" spans="1:22">
      <c r="A7" s="87">
        <v>2</v>
      </c>
      <c r="B7" s="96" t="s">
        <v>129</v>
      </c>
      <c r="C7" s="92" t="s">
        <v>130</v>
      </c>
      <c r="D7" s="92" t="s">
        <v>131</v>
      </c>
      <c r="E7" s="93">
        <v>2000000</v>
      </c>
      <c r="F7" s="94">
        <v>0.05</v>
      </c>
      <c r="G7" s="95">
        <f t="shared" ref="G7" si="0">E7*0.95*9/15</f>
        <v>1140000</v>
      </c>
      <c r="H7" s="92">
        <v>10</v>
      </c>
      <c r="I7" s="106">
        <v>3</v>
      </c>
      <c r="J7" s="87">
        <v>10</v>
      </c>
      <c r="K7" s="94">
        <v>0.95</v>
      </c>
      <c r="L7" s="87"/>
      <c r="M7" s="107">
        <v>1</v>
      </c>
      <c r="N7" s="107"/>
      <c r="O7" s="108">
        <f t="shared" ref="O7" si="1">P7*0.5</f>
        <v>50000</v>
      </c>
      <c r="P7" s="108">
        <f t="shared" ref="P7" si="2">E7*0.5/H7</f>
        <v>100000</v>
      </c>
      <c r="Q7" s="110">
        <v>12</v>
      </c>
      <c r="R7" s="110">
        <v>300</v>
      </c>
      <c r="S7" s="110">
        <v>3600</v>
      </c>
      <c r="T7" s="111">
        <f t="shared" ref="T7:T10" si="3">(E7-E7*F7)/(H7-I7)/(Q7*R7)/60</f>
        <v>1.2566137566137565</v>
      </c>
      <c r="U7" s="111">
        <f t="shared" ref="U7:U10" si="4">(J7*K7*M7+L7*N7)/60</f>
        <v>0.15833333333333333</v>
      </c>
      <c r="V7" s="111">
        <f t="shared" ref="V7:V10" si="5">(O7+P7)/S7/60</f>
        <v>0.69444444444444442</v>
      </c>
    </row>
    <row r="8" spans="1:22">
      <c r="A8" s="87">
        <v>3</v>
      </c>
      <c r="B8" s="87" t="s">
        <v>132</v>
      </c>
      <c r="C8" s="92" t="s">
        <v>133</v>
      </c>
      <c r="D8" s="92"/>
      <c r="E8" s="95">
        <v>32000</v>
      </c>
      <c r="F8" s="94">
        <v>0.05</v>
      </c>
      <c r="G8" s="95">
        <f>E8*0.95*7/10</f>
        <v>21280</v>
      </c>
      <c r="H8" s="92">
        <v>10</v>
      </c>
      <c r="I8" s="106">
        <v>3</v>
      </c>
      <c r="J8" s="87">
        <v>40</v>
      </c>
      <c r="K8" s="94">
        <v>0.95</v>
      </c>
      <c r="L8" s="87"/>
      <c r="M8" s="107">
        <v>1</v>
      </c>
      <c r="N8" s="107"/>
      <c r="O8" s="108">
        <f t="shared" ref="O8:O10" si="6">P8*0.5</f>
        <v>160</v>
      </c>
      <c r="P8" s="108">
        <f t="shared" ref="P8:P10" si="7">E8*0.1/H8</f>
        <v>320</v>
      </c>
      <c r="Q8" s="110">
        <v>8</v>
      </c>
      <c r="R8" s="110">
        <v>300</v>
      </c>
      <c r="S8" s="110">
        <f t="shared" ref="S8:S10" si="8">Q8*R8</f>
        <v>2400</v>
      </c>
      <c r="T8" s="111">
        <f t="shared" si="3"/>
        <v>3.0158730158730159E-2</v>
      </c>
      <c r="U8" s="111">
        <f t="shared" si="4"/>
        <v>0.6333333333333333</v>
      </c>
      <c r="V8" s="111">
        <f t="shared" si="5"/>
        <v>3.3333333333333335E-3</v>
      </c>
    </row>
    <row r="9" spans="1:22">
      <c r="A9" s="87">
        <v>4</v>
      </c>
      <c r="B9" s="87" t="s">
        <v>134</v>
      </c>
      <c r="C9" s="92" t="s">
        <v>135</v>
      </c>
      <c r="D9" s="92"/>
      <c r="E9" s="95">
        <v>21000</v>
      </c>
      <c r="F9" s="94">
        <v>0.05</v>
      </c>
      <c r="G9" s="95">
        <f t="shared" ref="G9:G10" si="9">E9*0.95*7/10</f>
        <v>13965</v>
      </c>
      <c r="H9" s="92">
        <v>10</v>
      </c>
      <c r="I9" s="106">
        <v>3</v>
      </c>
      <c r="J9" s="87">
        <v>40</v>
      </c>
      <c r="K9" s="94">
        <v>0.95</v>
      </c>
      <c r="L9" s="87"/>
      <c r="M9" s="107">
        <v>1</v>
      </c>
      <c r="N9" s="107"/>
      <c r="O9" s="108">
        <f t="shared" si="6"/>
        <v>105</v>
      </c>
      <c r="P9" s="108">
        <f t="shared" si="7"/>
        <v>210</v>
      </c>
      <c r="Q9" s="110">
        <v>8</v>
      </c>
      <c r="R9" s="110">
        <v>300</v>
      </c>
      <c r="S9" s="110">
        <f t="shared" si="8"/>
        <v>2400</v>
      </c>
      <c r="T9" s="111">
        <f t="shared" si="3"/>
        <v>1.9791666666666666E-2</v>
      </c>
      <c r="U9" s="111">
        <f t="shared" si="4"/>
        <v>0.6333333333333333</v>
      </c>
      <c r="V9" s="111">
        <f t="shared" si="5"/>
        <v>2.1875000000000002E-3</v>
      </c>
    </row>
    <row r="10" spans="1:22">
      <c r="A10" s="87">
        <v>5</v>
      </c>
      <c r="B10" s="87" t="s">
        <v>132</v>
      </c>
      <c r="C10" s="92" t="s">
        <v>136</v>
      </c>
      <c r="D10" s="92"/>
      <c r="E10" s="95">
        <v>1100000</v>
      </c>
      <c r="F10" s="94">
        <v>0.05</v>
      </c>
      <c r="G10" s="95">
        <f t="shared" si="9"/>
        <v>731500</v>
      </c>
      <c r="H10" s="92">
        <v>10</v>
      </c>
      <c r="I10" s="106">
        <v>3</v>
      </c>
      <c r="J10" s="87">
        <v>40</v>
      </c>
      <c r="K10" s="94">
        <v>0.95</v>
      </c>
      <c r="L10" s="87"/>
      <c r="M10" s="107">
        <v>1</v>
      </c>
      <c r="N10" s="107"/>
      <c r="O10" s="108">
        <f t="shared" si="6"/>
        <v>5500</v>
      </c>
      <c r="P10" s="108">
        <f t="shared" si="7"/>
        <v>11000</v>
      </c>
      <c r="Q10" s="110">
        <v>8</v>
      </c>
      <c r="R10" s="110">
        <v>300</v>
      </c>
      <c r="S10" s="110">
        <f t="shared" si="8"/>
        <v>2400</v>
      </c>
      <c r="T10" s="111">
        <f t="shared" si="3"/>
        <v>1.0367063492063493</v>
      </c>
      <c r="U10" s="111">
        <f t="shared" si="4"/>
        <v>0.6333333333333333</v>
      </c>
      <c r="V10" s="111">
        <f t="shared" si="5"/>
        <v>0.11458333333333333</v>
      </c>
    </row>
    <row r="11" spans="1:22">
      <c r="A11" s="87">
        <v>6</v>
      </c>
      <c r="B11" s="92"/>
      <c r="C11" s="92"/>
      <c r="D11" s="92"/>
      <c r="E11" s="95"/>
      <c r="F11" s="94"/>
      <c r="G11" s="95"/>
      <c r="H11" s="92"/>
      <c r="I11" s="106"/>
      <c r="J11" s="87"/>
      <c r="K11" s="94"/>
      <c r="L11" s="87"/>
      <c r="M11" s="107"/>
      <c r="N11" s="107"/>
      <c r="O11" s="108"/>
      <c r="P11" s="108"/>
      <c r="Q11" s="87"/>
      <c r="R11" s="87"/>
      <c r="S11" s="87"/>
      <c r="T11" s="112"/>
      <c r="U11" s="112"/>
      <c r="V11" s="112"/>
    </row>
    <row r="12" spans="1:22">
      <c r="A12" s="87">
        <v>7</v>
      </c>
      <c r="B12" s="92"/>
      <c r="C12" s="92"/>
      <c r="D12" s="92"/>
      <c r="E12" s="95"/>
      <c r="F12" s="94"/>
      <c r="G12" s="95"/>
      <c r="H12" s="92"/>
      <c r="I12" s="106"/>
      <c r="J12" s="87"/>
      <c r="K12" s="94"/>
      <c r="L12" s="87"/>
      <c r="M12" s="107"/>
      <c r="N12" s="107"/>
      <c r="O12" s="108"/>
      <c r="P12" s="108"/>
      <c r="Q12" s="87"/>
      <c r="R12" s="87"/>
      <c r="S12" s="87"/>
      <c r="T12" s="112"/>
      <c r="U12" s="112"/>
      <c r="V12" s="112"/>
    </row>
    <row r="13" spans="1:22">
      <c r="B13" s="97" t="s">
        <v>137</v>
      </c>
    </row>
    <row r="14" spans="1:22">
      <c r="B14" s="98" t="s">
        <v>165</v>
      </c>
      <c r="C14" s="85"/>
    </row>
    <row r="15" spans="1:22">
      <c r="B15" s="98" t="s">
        <v>166</v>
      </c>
      <c r="C15" s="85"/>
    </row>
    <row r="16" spans="1:22">
      <c r="B16" s="98" t="s">
        <v>167</v>
      </c>
      <c r="C16" s="85"/>
    </row>
    <row r="17" spans="2:16">
      <c r="B17" s="98" t="s">
        <v>168</v>
      </c>
      <c r="C17" s="85"/>
    </row>
    <row r="18" spans="2:16">
      <c r="B18" s="85" t="s">
        <v>169</v>
      </c>
      <c r="P18" s="109"/>
    </row>
    <row r="21" spans="2:16" ht="20.25">
      <c r="E21" s="99"/>
      <c r="F21" s="100"/>
      <c r="G21" s="99"/>
    </row>
    <row r="22" spans="2:16" ht="20.25">
      <c r="E22" s="99"/>
      <c r="F22" s="99"/>
      <c r="G22" s="99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7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D9" sqref="D9"/>
    </sheetView>
  </sheetViews>
  <sheetFormatPr defaultColWidth="9" defaultRowHeight="13.5"/>
  <cols>
    <col min="1" max="1" width="7.375" style="71" customWidth="1"/>
    <col min="2" max="2" width="19.875" style="71" customWidth="1"/>
    <col min="3" max="3" width="18.5" style="71" customWidth="1"/>
    <col min="4" max="4" width="12.25" style="71" customWidth="1"/>
    <col min="5" max="5" width="12.125" style="71" customWidth="1"/>
    <col min="6" max="6" width="10.125" style="71" customWidth="1"/>
    <col min="7" max="7" width="12.25" style="71" customWidth="1"/>
    <col min="8" max="8" width="12.75" style="71" customWidth="1"/>
    <col min="9" max="16384" width="9" style="71"/>
  </cols>
  <sheetData>
    <row r="1" spans="1:7" ht="20.25" customHeight="1">
      <c r="A1" s="329" t="s">
        <v>170</v>
      </c>
      <c r="B1" s="329"/>
      <c r="C1" s="329"/>
      <c r="D1" s="329"/>
      <c r="E1" s="329"/>
      <c r="F1" s="329"/>
      <c r="G1" s="329"/>
    </row>
    <row r="2" spans="1:7" s="21" customFormat="1" ht="18.75" customHeight="1">
      <c r="A2" s="330" t="s">
        <v>52</v>
      </c>
      <c r="B2" s="331"/>
      <c r="C2" s="23" t="str">
        <f>原材料明细!C2</f>
        <v>北京光华荣昌汽车部件有限公司</v>
      </c>
      <c r="D2" s="23"/>
      <c r="E2" s="23"/>
      <c r="F2" s="268" t="s">
        <v>54</v>
      </c>
      <c r="G2" s="268"/>
    </row>
    <row r="3" spans="1:7" s="21" customFormat="1" ht="18.75" customHeight="1">
      <c r="A3" s="72" t="s">
        <v>55</v>
      </c>
      <c r="B3" s="73"/>
      <c r="C3" s="73" t="str">
        <f>原材料明细!C3</f>
        <v>X168100000003</v>
      </c>
      <c r="D3" s="73"/>
      <c r="E3" s="73"/>
      <c r="F3" s="269" t="str">
        <f>原材料明细!N3</f>
        <v>报价填写日期: 2022-3-22</v>
      </c>
      <c r="G3" s="269"/>
    </row>
    <row r="4" spans="1:7" ht="27" customHeight="1">
      <c r="A4" s="333" t="s">
        <v>56</v>
      </c>
      <c r="B4" s="333" t="s">
        <v>171</v>
      </c>
      <c r="C4" s="333" t="s">
        <v>172</v>
      </c>
      <c r="D4" s="333" t="s">
        <v>173</v>
      </c>
      <c r="E4" s="333" t="s">
        <v>174</v>
      </c>
      <c r="F4" s="333" t="s">
        <v>175</v>
      </c>
      <c r="G4" s="333" t="s">
        <v>176</v>
      </c>
    </row>
    <row r="5" spans="1:7" ht="27" customHeight="1">
      <c r="A5" s="333"/>
      <c r="B5" s="333"/>
      <c r="C5" s="333"/>
      <c r="D5" s="333"/>
      <c r="E5" s="333"/>
      <c r="F5" s="333"/>
      <c r="G5" s="333"/>
    </row>
    <row r="6" spans="1:7">
      <c r="A6" s="74">
        <v>1</v>
      </c>
      <c r="B6" s="75" t="s">
        <v>32</v>
      </c>
      <c r="C6" s="76">
        <f>汇总表!D15*D6</f>
        <v>8.9935114939823642</v>
      </c>
      <c r="D6" s="77">
        <v>0.02</v>
      </c>
      <c r="E6" s="78"/>
      <c r="F6" s="78"/>
      <c r="G6" s="79" t="e">
        <f>E6/F6</f>
        <v>#DIV/0!</v>
      </c>
    </row>
    <row r="7" spans="1:7">
      <c r="A7" s="74">
        <v>2</v>
      </c>
      <c r="B7" s="75" t="s">
        <v>33</v>
      </c>
      <c r="C7" s="76">
        <f>汇总表!D15*D7</f>
        <v>4.4967557469911821</v>
      </c>
      <c r="D7" s="77">
        <v>0.01</v>
      </c>
      <c r="E7" s="78"/>
      <c r="F7" s="78"/>
      <c r="G7" s="79" t="e">
        <f>E7/F7</f>
        <v>#DIV/0!</v>
      </c>
    </row>
    <row r="8" spans="1:7" ht="21" customHeight="1">
      <c r="A8" s="74">
        <v>3</v>
      </c>
      <c r="B8" s="75" t="s">
        <v>177</v>
      </c>
      <c r="C8" s="76">
        <f>汇总表!D15*D8</f>
        <v>8.9935114939823642</v>
      </c>
      <c r="D8" s="77">
        <v>0.02</v>
      </c>
      <c r="E8" s="78"/>
      <c r="F8" s="78"/>
      <c r="G8" s="79" t="e">
        <f>E8/F8</f>
        <v>#DIV/0!</v>
      </c>
    </row>
    <row r="10" spans="1:7" ht="24.75" customHeight="1">
      <c r="A10" s="329" t="s">
        <v>178</v>
      </c>
      <c r="B10" s="329" t="s">
        <v>179</v>
      </c>
      <c r="C10" s="329"/>
      <c r="D10" s="329"/>
      <c r="E10" s="329"/>
      <c r="F10" s="329"/>
      <c r="G10" s="329"/>
    </row>
    <row r="11" spans="1:7">
      <c r="A11" s="78" t="s">
        <v>56</v>
      </c>
      <c r="B11" s="332" t="s">
        <v>180</v>
      </c>
      <c r="C11" s="332"/>
      <c r="D11" s="332" t="s">
        <v>181</v>
      </c>
      <c r="E11" s="332"/>
      <c r="F11" s="332" t="s">
        <v>182</v>
      </c>
      <c r="G11" s="332"/>
    </row>
    <row r="12" spans="1:7">
      <c r="A12" s="78">
        <v>1</v>
      </c>
      <c r="B12" s="332" t="s">
        <v>183</v>
      </c>
      <c r="C12" s="332"/>
      <c r="D12" s="332"/>
      <c r="E12" s="332"/>
      <c r="F12" s="332"/>
      <c r="G12" s="332"/>
    </row>
    <row r="13" spans="1:7">
      <c r="A13" s="78">
        <v>2</v>
      </c>
      <c r="B13" s="332" t="s">
        <v>184</v>
      </c>
      <c r="C13" s="332"/>
      <c r="D13" s="332"/>
      <c r="E13" s="332"/>
      <c r="F13" s="332"/>
      <c r="G13" s="332"/>
    </row>
    <row r="14" spans="1:7">
      <c r="A14" s="332">
        <v>3</v>
      </c>
      <c r="B14" s="332" t="s">
        <v>185</v>
      </c>
      <c r="C14" s="80" t="s">
        <v>186</v>
      </c>
      <c r="D14" s="332"/>
      <c r="E14" s="332"/>
      <c r="F14" s="332"/>
      <c r="G14" s="332"/>
    </row>
    <row r="15" spans="1:7">
      <c r="A15" s="332"/>
      <c r="B15" s="332"/>
      <c r="C15" s="78" t="s">
        <v>187</v>
      </c>
      <c r="D15" s="332"/>
      <c r="E15" s="332"/>
      <c r="F15" s="332"/>
      <c r="G15" s="332"/>
    </row>
    <row r="16" spans="1:7">
      <c r="A16" s="81"/>
      <c r="B16" s="82" t="s">
        <v>137</v>
      </c>
      <c r="C16" s="81"/>
      <c r="D16" s="81"/>
      <c r="E16" s="83"/>
    </row>
    <row r="17" spans="1:5">
      <c r="A17" s="81"/>
      <c r="B17" s="84" t="s">
        <v>188</v>
      </c>
      <c r="C17" s="81"/>
      <c r="D17" s="81"/>
      <c r="E17" s="83"/>
    </row>
    <row r="18" spans="1:5">
      <c r="A18" s="81"/>
      <c r="B18" s="84" t="s">
        <v>189</v>
      </c>
      <c r="C18" s="81"/>
      <c r="D18" s="81"/>
      <c r="E18" s="83"/>
    </row>
    <row r="19" spans="1:5">
      <c r="A19" s="81"/>
      <c r="B19" s="84" t="s">
        <v>190</v>
      </c>
      <c r="C19" s="81"/>
      <c r="D19" s="81"/>
      <c r="E19" s="83"/>
    </row>
    <row r="20" spans="1:5" customFormat="1">
      <c r="B20" s="85" t="s">
        <v>191</v>
      </c>
    </row>
  </sheetData>
  <mergeCells count="27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B11:C11"/>
    <mergeCell ref="D11:E11"/>
    <mergeCell ref="F11:G11"/>
    <mergeCell ref="B12:C12"/>
    <mergeCell ref="D12:E12"/>
    <mergeCell ref="F12:G12"/>
    <mergeCell ref="A1:G1"/>
    <mergeCell ref="A2:B2"/>
    <mergeCell ref="F2:G2"/>
    <mergeCell ref="F3:G3"/>
    <mergeCell ref="A10:G10"/>
  </mergeCells>
  <phoneticPr fontId="27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I17" sqref="I16:I17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34" t="s">
        <v>192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s="21" customFormat="1" ht="18.75" customHeight="1">
      <c r="A2" s="269" t="s">
        <v>52</v>
      </c>
      <c r="B2" s="269"/>
      <c r="C2" s="335" t="str">
        <f>原材料明细!C2</f>
        <v>北京光华荣昌汽车部件有限公司</v>
      </c>
      <c r="D2" s="335"/>
      <c r="E2" s="335"/>
      <c r="F2" s="23" t="s">
        <v>2</v>
      </c>
      <c r="G2" s="335"/>
      <c r="H2" s="335"/>
      <c r="I2" s="335"/>
      <c r="J2" s="335"/>
      <c r="K2" s="335"/>
      <c r="L2" s="336" t="s">
        <v>54</v>
      </c>
      <c r="M2" s="337"/>
      <c r="N2" s="338"/>
    </row>
    <row r="3" spans="1:14" s="21" customFormat="1" ht="18.75" customHeight="1">
      <c r="A3" s="24" t="s">
        <v>55</v>
      </c>
      <c r="B3" s="24"/>
      <c r="C3" s="339" t="str">
        <f>原材料明细!C3</f>
        <v>X168100000003</v>
      </c>
      <c r="D3" s="340"/>
      <c r="E3" s="340"/>
      <c r="F3" s="340"/>
      <c r="G3" s="340"/>
      <c r="H3" s="340"/>
      <c r="I3" s="340"/>
      <c r="J3" s="340"/>
      <c r="K3" s="341"/>
      <c r="L3" s="330" t="str">
        <f>原材料明细!N3</f>
        <v>报价填写日期: 2022-3-22</v>
      </c>
      <c r="M3" s="342"/>
      <c r="N3" s="331"/>
    </row>
    <row r="4" spans="1:14" ht="15">
      <c r="A4" s="25" t="s">
        <v>193</v>
      </c>
      <c r="B4" s="26"/>
      <c r="C4" s="27"/>
      <c r="D4" s="27"/>
      <c r="E4" s="27"/>
      <c r="F4" s="27"/>
      <c r="G4" s="28"/>
      <c r="H4" s="29"/>
      <c r="I4" s="57" t="s">
        <v>194</v>
      </c>
      <c r="J4" s="34"/>
      <c r="K4" s="34"/>
      <c r="L4" s="34"/>
      <c r="M4" s="34"/>
      <c r="N4" s="58"/>
    </row>
    <row r="5" spans="1:14">
      <c r="A5" s="30" t="s">
        <v>56</v>
      </c>
      <c r="B5" s="343" t="s">
        <v>21</v>
      </c>
      <c r="C5" s="344"/>
      <c r="D5" s="344"/>
      <c r="E5" s="345"/>
      <c r="F5" s="346" t="s">
        <v>195</v>
      </c>
      <c r="G5" s="347"/>
      <c r="H5" s="29"/>
      <c r="I5" s="59" t="s">
        <v>56</v>
      </c>
      <c r="J5" s="348" t="s">
        <v>21</v>
      </c>
      <c r="K5" s="349"/>
      <c r="L5" s="349"/>
      <c r="M5" s="349"/>
      <c r="N5" s="60" t="s">
        <v>195</v>
      </c>
    </row>
    <row r="6" spans="1:14">
      <c r="A6" s="31">
        <v>1</v>
      </c>
      <c r="B6" s="350" t="s">
        <v>196</v>
      </c>
      <c r="C6" s="351"/>
      <c r="D6" s="351"/>
      <c r="E6" s="352"/>
      <c r="F6" s="353"/>
      <c r="G6" s="354"/>
      <c r="H6" s="29"/>
      <c r="I6" s="39">
        <v>1</v>
      </c>
      <c r="J6" s="355" t="s">
        <v>197</v>
      </c>
      <c r="K6" s="356"/>
      <c r="L6" s="356"/>
      <c r="M6" s="356"/>
      <c r="N6" s="61" t="s">
        <v>292</v>
      </c>
    </row>
    <row r="7" spans="1:14">
      <c r="A7" s="32">
        <v>2</v>
      </c>
      <c r="B7" s="350" t="s">
        <v>198</v>
      </c>
      <c r="C7" s="351"/>
      <c r="D7" s="351"/>
      <c r="E7" s="352"/>
      <c r="F7" s="357"/>
      <c r="G7" s="358"/>
      <c r="H7" s="29"/>
      <c r="I7" s="39">
        <v>2</v>
      </c>
      <c r="J7" s="355" t="s">
        <v>199</v>
      </c>
      <c r="K7" s="356"/>
      <c r="L7" s="356"/>
      <c r="M7" s="356"/>
      <c r="N7" s="61" t="s">
        <v>293</v>
      </c>
    </row>
    <row r="8" spans="1:14">
      <c r="A8" s="32">
        <v>3</v>
      </c>
      <c r="B8" s="350" t="s">
        <v>200</v>
      </c>
      <c r="C8" s="351"/>
      <c r="D8" s="351"/>
      <c r="E8" s="352"/>
      <c r="F8" s="359"/>
      <c r="G8" s="354"/>
      <c r="H8" s="29"/>
      <c r="I8" s="39">
        <v>3</v>
      </c>
      <c r="J8" s="355" t="s">
        <v>201</v>
      </c>
      <c r="K8" s="356"/>
      <c r="L8" s="356"/>
      <c r="M8" s="356"/>
      <c r="N8" s="61" t="s">
        <v>294</v>
      </c>
    </row>
    <row r="9" spans="1:14">
      <c r="A9" s="31">
        <v>4</v>
      </c>
      <c r="B9" s="350" t="s">
        <v>202</v>
      </c>
      <c r="C9" s="351"/>
      <c r="D9" s="351"/>
      <c r="E9" s="352"/>
      <c r="F9" s="359"/>
      <c r="G9" s="354"/>
      <c r="H9" s="29"/>
      <c r="I9" s="39">
        <v>4</v>
      </c>
      <c r="J9" s="355" t="s">
        <v>203</v>
      </c>
      <c r="K9" s="356"/>
      <c r="L9" s="356"/>
      <c r="M9" s="356"/>
      <c r="N9" s="226" t="s">
        <v>295</v>
      </c>
    </row>
    <row r="10" spans="1:14">
      <c r="A10" s="32">
        <v>5</v>
      </c>
      <c r="B10" s="350" t="s">
        <v>204</v>
      </c>
      <c r="C10" s="351"/>
      <c r="D10" s="351"/>
      <c r="E10" s="352"/>
      <c r="F10" s="360" t="e">
        <f>F8/F9</f>
        <v>#DIV/0!</v>
      </c>
      <c r="G10" s="361"/>
      <c r="H10" s="29"/>
      <c r="I10" s="39">
        <v>5</v>
      </c>
      <c r="J10" s="355" t="s">
        <v>205</v>
      </c>
      <c r="K10" s="356"/>
      <c r="L10" s="356"/>
      <c r="M10" s="356"/>
      <c r="N10" s="61"/>
    </row>
    <row r="11" spans="1:14" ht="15">
      <c r="A11" s="33" t="s">
        <v>206</v>
      </c>
      <c r="B11" s="34"/>
      <c r="C11" s="34"/>
      <c r="D11" s="34"/>
      <c r="E11" s="34"/>
      <c r="F11" s="35"/>
      <c r="G11" s="36"/>
      <c r="H11" s="29"/>
      <c r="I11" s="39">
        <v>6</v>
      </c>
      <c r="J11" s="355" t="s">
        <v>207</v>
      </c>
      <c r="K11" s="356"/>
      <c r="L11" s="356"/>
      <c r="M11" s="356"/>
      <c r="N11" s="227">
        <f>48/1.13</f>
        <v>42.477876106194692</v>
      </c>
    </row>
    <row r="12" spans="1:14">
      <c r="A12" s="32">
        <v>1</v>
      </c>
      <c r="B12" s="350" t="s">
        <v>208</v>
      </c>
      <c r="C12" s="351"/>
      <c r="D12" s="351"/>
      <c r="E12" s="352"/>
      <c r="F12" s="359"/>
      <c r="G12" s="354"/>
      <c r="H12" s="29"/>
      <c r="I12" s="39">
        <v>7</v>
      </c>
      <c r="J12" s="355" t="s">
        <v>209</v>
      </c>
      <c r="K12" s="356"/>
      <c r="L12" s="356"/>
      <c r="M12" s="356"/>
      <c r="N12" s="227">
        <f>N11</f>
        <v>42.477876106194692</v>
      </c>
    </row>
    <row r="13" spans="1:14">
      <c r="A13" s="32">
        <v>2</v>
      </c>
      <c r="B13" s="350" t="s">
        <v>210</v>
      </c>
      <c r="C13" s="351"/>
      <c r="D13" s="351"/>
      <c r="E13" s="352"/>
      <c r="F13" s="359"/>
      <c r="G13" s="354"/>
      <c r="H13" s="29"/>
      <c r="I13" s="39">
        <v>8</v>
      </c>
      <c r="J13" s="355" t="s">
        <v>211</v>
      </c>
      <c r="K13" s="356"/>
      <c r="L13" s="356"/>
      <c r="M13" s="356"/>
      <c r="N13" s="61">
        <v>1</v>
      </c>
    </row>
    <row r="14" spans="1:14">
      <c r="A14" s="32">
        <v>3</v>
      </c>
      <c r="B14" s="350" t="s">
        <v>212</v>
      </c>
      <c r="C14" s="351"/>
      <c r="D14" s="351"/>
      <c r="E14" s="352"/>
      <c r="F14" s="359"/>
      <c r="G14" s="354"/>
      <c r="H14" s="29"/>
      <c r="I14" s="39">
        <v>9</v>
      </c>
      <c r="J14" s="355" t="s">
        <v>213</v>
      </c>
      <c r="K14" s="356"/>
      <c r="L14" s="356"/>
      <c r="M14" s="356"/>
      <c r="N14" s="61">
        <v>3</v>
      </c>
    </row>
    <row r="15" spans="1:14">
      <c r="A15" s="32">
        <v>4</v>
      </c>
      <c r="B15" s="350" t="s">
        <v>214</v>
      </c>
      <c r="C15" s="351"/>
      <c r="D15" s="351"/>
      <c r="E15" s="352"/>
      <c r="F15" s="359"/>
      <c r="G15" s="354"/>
      <c r="H15" s="29"/>
      <c r="I15" s="39">
        <v>10</v>
      </c>
      <c r="J15" s="355" t="s">
        <v>215</v>
      </c>
      <c r="K15" s="356"/>
      <c r="L15" s="356"/>
      <c r="M15" s="356"/>
      <c r="N15" s="62">
        <f>N12/N14</f>
        <v>14.159292035398231</v>
      </c>
    </row>
    <row r="16" spans="1:14">
      <c r="A16" s="32">
        <v>5</v>
      </c>
      <c r="B16" s="350" t="s">
        <v>216</v>
      </c>
      <c r="C16" s="351"/>
      <c r="D16" s="351"/>
      <c r="E16" s="352"/>
      <c r="F16" s="360" t="e">
        <f>F14/F15</f>
        <v>#DIV/0!</v>
      </c>
      <c r="G16" s="361"/>
      <c r="H16" s="29"/>
      <c r="I16" s="29"/>
      <c r="J16" s="29"/>
      <c r="K16" s="29"/>
      <c r="L16" s="29"/>
      <c r="M16" s="29"/>
      <c r="N16" s="63"/>
    </row>
    <row r="17" spans="1:14" ht="15">
      <c r="A17" s="37" t="s">
        <v>217</v>
      </c>
      <c r="B17" s="38"/>
      <c r="C17" s="38"/>
      <c r="D17" s="38"/>
      <c r="E17" s="38"/>
      <c r="F17" s="38"/>
      <c r="G17" s="38"/>
      <c r="H17" s="38"/>
      <c r="I17" s="38"/>
      <c r="J17" s="64"/>
      <c r="K17" s="65"/>
      <c r="L17" s="65"/>
      <c r="M17" s="65"/>
      <c r="N17" s="66"/>
    </row>
    <row r="18" spans="1:14" ht="24" customHeight="1">
      <c r="A18" s="362" t="s">
        <v>218</v>
      </c>
      <c r="B18" s="363"/>
      <c r="C18" s="40" t="s">
        <v>219</v>
      </c>
      <c r="D18" s="364" t="s">
        <v>220</v>
      </c>
      <c r="E18" s="365"/>
      <c r="F18" s="40" t="s">
        <v>221</v>
      </c>
      <c r="G18" s="40" t="s">
        <v>222</v>
      </c>
      <c r="H18" s="366" t="s">
        <v>223</v>
      </c>
      <c r="I18" s="367"/>
      <c r="J18" s="368" t="s">
        <v>224</v>
      </c>
      <c r="K18" s="369"/>
      <c r="L18" s="369"/>
      <c r="M18" s="364" t="s">
        <v>225</v>
      </c>
      <c r="N18" s="370"/>
    </row>
    <row r="19" spans="1:14">
      <c r="A19" s="371"/>
      <c r="B19" s="372"/>
      <c r="C19" s="41"/>
      <c r="D19" s="363"/>
      <c r="E19" s="363"/>
      <c r="F19" s="42"/>
      <c r="G19" s="39"/>
      <c r="H19" s="373"/>
      <c r="I19" s="372"/>
      <c r="J19" s="363"/>
      <c r="K19" s="363"/>
      <c r="L19" s="363"/>
      <c r="M19" s="374" t="e">
        <f t="shared" ref="M19:M24" si="0">G19/J19</f>
        <v>#DIV/0!</v>
      </c>
      <c r="N19" s="375"/>
    </row>
    <row r="20" spans="1:14">
      <c r="A20" s="371"/>
      <c r="B20" s="372"/>
      <c r="C20" s="41"/>
      <c r="D20" s="363"/>
      <c r="E20" s="363"/>
      <c r="F20" s="223"/>
      <c r="G20" s="39"/>
      <c r="H20" s="373"/>
      <c r="I20" s="372"/>
      <c r="J20" s="363"/>
      <c r="K20" s="363"/>
      <c r="L20" s="363"/>
      <c r="M20" s="374" t="e">
        <f t="shared" si="0"/>
        <v>#DIV/0!</v>
      </c>
      <c r="N20" s="375"/>
    </row>
    <row r="21" spans="1:14">
      <c r="A21" s="376"/>
      <c r="B21" s="363"/>
      <c r="C21" s="41"/>
      <c r="D21" s="377"/>
      <c r="E21" s="363"/>
      <c r="F21" s="42"/>
      <c r="G21" s="39"/>
      <c r="H21" s="359"/>
      <c r="I21" s="354"/>
      <c r="J21" s="363"/>
      <c r="K21" s="363"/>
      <c r="L21" s="363"/>
      <c r="M21" s="374" t="e">
        <f t="shared" si="0"/>
        <v>#DIV/0!</v>
      </c>
      <c r="N21" s="375"/>
    </row>
    <row r="22" spans="1:14">
      <c r="A22" s="376"/>
      <c r="B22" s="363"/>
      <c r="C22" s="41"/>
      <c r="D22" s="363"/>
      <c r="E22" s="363"/>
      <c r="F22" s="39"/>
      <c r="G22" s="39"/>
      <c r="H22" s="359"/>
      <c r="I22" s="354"/>
      <c r="J22" s="363"/>
      <c r="K22" s="363"/>
      <c r="L22" s="363"/>
      <c r="M22" s="374" t="e">
        <f t="shared" si="0"/>
        <v>#DIV/0!</v>
      </c>
      <c r="N22" s="375"/>
    </row>
    <row r="23" spans="1:14">
      <c r="A23" s="376"/>
      <c r="B23" s="363"/>
      <c r="C23" s="41"/>
      <c r="D23" s="363"/>
      <c r="E23" s="363"/>
      <c r="F23" s="39"/>
      <c r="G23" s="39"/>
      <c r="H23" s="359"/>
      <c r="I23" s="354"/>
      <c r="J23" s="363"/>
      <c r="K23" s="363"/>
      <c r="L23" s="363"/>
      <c r="M23" s="374" t="e">
        <f t="shared" si="0"/>
        <v>#DIV/0!</v>
      </c>
      <c r="N23" s="375"/>
    </row>
    <row r="24" spans="1:14">
      <c r="A24" s="376"/>
      <c r="B24" s="363"/>
      <c r="C24" s="41"/>
      <c r="D24" s="363"/>
      <c r="E24" s="363"/>
      <c r="F24" s="39"/>
      <c r="G24" s="39"/>
      <c r="H24" s="359"/>
      <c r="I24" s="354"/>
      <c r="J24" s="363"/>
      <c r="K24" s="363"/>
      <c r="L24" s="363"/>
      <c r="M24" s="374" t="e">
        <f t="shared" si="0"/>
        <v>#DIV/0!</v>
      </c>
      <c r="N24" s="375"/>
    </row>
    <row r="25" spans="1:14">
      <c r="A25" s="376"/>
      <c r="B25" s="363"/>
      <c r="C25" s="41"/>
      <c r="D25" s="363"/>
      <c r="E25" s="363"/>
      <c r="F25" s="42"/>
      <c r="G25" s="39"/>
      <c r="H25" s="359"/>
      <c r="I25" s="354"/>
      <c r="J25" s="363"/>
      <c r="K25" s="363"/>
      <c r="L25" s="363"/>
      <c r="M25" s="374" t="e">
        <f t="shared" ref="M25:M27" si="1">G25/J25</f>
        <v>#DIV/0!</v>
      </c>
      <c r="N25" s="375"/>
    </row>
    <row r="26" spans="1:14">
      <c r="A26" s="376"/>
      <c r="B26" s="363"/>
      <c r="C26" s="41"/>
      <c r="D26" s="363"/>
      <c r="E26" s="363"/>
      <c r="F26" s="39"/>
      <c r="G26" s="39"/>
      <c r="H26" s="359"/>
      <c r="I26" s="354"/>
      <c r="J26" s="363"/>
      <c r="K26" s="363"/>
      <c r="L26" s="363"/>
      <c r="M26" s="374" t="e">
        <f t="shared" si="1"/>
        <v>#DIV/0!</v>
      </c>
      <c r="N26" s="375"/>
    </row>
    <row r="27" spans="1:14">
      <c r="A27" s="376"/>
      <c r="B27" s="363"/>
      <c r="C27" s="41"/>
      <c r="D27" s="363"/>
      <c r="E27" s="363"/>
      <c r="F27" s="39"/>
      <c r="G27" s="39"/>
      <c r="H27" s="359"/>
      <c r="I27" s="354"/>
      <c r="J27" s="363"/>
      <c r="K27" s="363"/>
      <c r="L27" s="363"/>
      <c r="M27" s="378" t="e">
        <f t="shared" si="1"/>
        <v>#DIV/0!</v>
      </c>
      <c r="N27" s="379"/>
    </row>
    <row r="28" spans="1:14">
      <c r="A28" s="380" t="s">
        <v>226</v>
      </c>
      <c r="B28" s="381"/>
      <c r="C28" s="381"/>
      <c r="D28" s="381"/>
      <c r="E28" s="381"/>
      <c r="F28" s="381"/>
      <c r="G28" s="381"/>
      <c r="H28" s="381"/>
      <c r="I28" s="381"/>
      <c r="J28" s="381"/>
      <c r="K28" s="381"/>
      <c r="L28" s="382"/>
      <c r="M28" s="383" t="e">
        <f>SUM(M19:N20)</f>
        <v>#DIV/0!</v>
      </c>
      <c r="N28" s="384"/>
    </row>
    <row r="29" spans="1:14">
      <c r="A29" s="4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63"/>
    </row>
    <row r="30" spans="1:14">
      <c r="A30" s="385" t="s">
        <v>227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7"/>
      <c r="M30" s="388">
        <f>N15</f>
        <v>14.159292035398231</v>
      </c>
      <c r="N30" s="389"/>
    </row>
    <row r="32" spans="1:14" ht="13.5" customHeight="1">
      <c r="A32" s="390" t="s">
        <v>228</v>
      </c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2"/>
    </row>
    <row r="33" spans="1:14" ht="13.5" customHeight="1">
      <c r="A33" s="393" t="s">
        <v>229</v>
      </c>
      <c r="B33" s="393"/>
      <c r="C33" s="394" t="s">
        <v>296</v>
      </c>
      <c r="D33" s="394"/>
      <c r="E33" s="44" t="s">
        <v>230</v>
      </c>
      <c r="F33" s="256" t="s">
        <v>298</v>
      </c>
      <c r="G33" s="256"/>
      <c r="H33" s="256"/>
      <c r="I33" s="393" t="s">
        <v>231</v>
      </c>
      <c r="J33" s="393"/>
      <c r="K33" s="393"/>
      <c r="L33" s="393"/>
      <c r="M33" s="256">
        <f>88*2</f>
        <v>176</v>
      </c>
      <c r="N33" s="256"/>
    </row>
    <row r="34" spans="1:14" ht="13.5" customHeight="1">
      <c r="A34" s="393" t="s">
        <v>232</v>
      </c>
      <c r="B34" s="393"/>
      <c r="C34" s="394" t="s">
        <v>297</v>
      </c>
      <c r="D34" s="394"/>
      <c r="E34" s="44" t="s">
        <v>233</v>
      </c>
      <c r="F34" s="256" t="s">
        <v>299</v>
      </c>
      <c r="G34" s="256"/>
      <c r="H34" s="256"/>
      <c r="I34" s="393" t="s">
        <v>234</v>
      </c>
      <c r="J34" s="393"/>
      <c r="K34" s="393"/>
      <c r="L34" s="393"/>
      <c r="M34" s="256">
        <f>88*2</f>
        <v>176</v>
      </c>
      <c r="N34" s="256"/>
    </row>
    <row r="35" spans="1:14" ht="13.5" customHeight="1">
      <c r="A35" s="393" t="s">
        <v>235</v>
      </c>
      <c r="B35" s="393"/>
      <c r="C35" s="394">
        <v>540</v>
      </c>
      <c r="D35" s="394"/>
      <c r="E35" s="394" t="s">
        <v>236</v>
      </c>
      <c r="F35" s="256" t="s">
        <v>300</v>
      </c>
      <c r="G35" s="256"/>
      <c r="H35" s="256"/>
      <c r="I35" s="393" t="s">
        <v>237</v>
      </c>
      <c r="J35" s="393"/>
      <c r="K35" s="393"/>
      <c r="L35" s="393"/>
      <c r="M35" s="256">
        <v>4500</v>
      </c>
      <c r="N35" s="256"/>
    </row>
    <row r="36" spans="1:14" ht="13.5" customHeight="1">
      <c r="A36" s="393" t="s">
        <v>238</v>
      </c>
      <c r="B36" s="393"/>
      <c r="C36" s="394"/>
      <c r="D36" s="394"/>
      <c r="E36" s="394"/>
      <c r="F36" s="256"/>
      <c r="G36" s="256"/>
      <c r="H36" s="256"/>
      <c r="I36" s="393" t="s">
        <v>239</v>
      </c>
      <c r="J36" s="393"/>
      <c r="K36" s="393"/>
      <c r="L36" s="393"/>
      <c r="M36" s="383">
        <f>M35/M34</f>
        <v>25.568181818181817</v>
      </c>
      <c r="N36" s="383"/>
    </row>
    <row r="37" spans="1:14" ht="13.5" customHeight="1">
      <c r="A37" s="398"/>
      <c r="B37" s="398"/>
      <c r="C37" s="46"/>
      <c r="D37" s="47"/>
      <c r="E37" s="48"/>
      <c r="F37" s="49"/>
      <c r="G37" s="49"/>
      <c r="H37" s="49"/>
      <c r="I37" s="49"/>
      <c r="J37" s="49"/>
      <c r="K37" s="52"/>
      <c r="L37" s="52"/>
      <c r="M37" s="47"/>
      <c r="N37" s="67"/>
    </row>
    <row r="38" spans="1:14" ht="19.5" customHeight="1">
      <c r="A38" s="399" t="s">
        <v>240</v>
      </c>
      <c r="B38" s="400"/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1"/>
    </row>
    <row r="39" spans="1:14">
      <c r="A39" s="263" t="s">
        <v>241</v>
      </c>
      <c r="B39" s="263"/>
      <c r="C39" s="263"/>
      <c r="D39" s="263"/>
      <c r="E39" s="256" t="s">
        <v>301</v>
      </c>
      <c r="F39" s="256"/>
      <c r="G39" s="256" t="s">
        <v>137</v>
      </c>
      <c r="H39" s="256"/>
      <c r="I39" s="256"/>
      <c r="J39" s="256"/>
      <c r="K39" s="256"/>
      <c r="L39" s="256"/>
      <c r="M39" s="256"/>
      <c r="N39" s="256"/>
    </row>
    <row r="40" spans="1:14">
      <c r="A40" s="263" t="s">
        <v>242</v>
      </c>
      <c r="B40" s="263"/>
      <c r="C40" s="263"/>
      <c r="D40" s="263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 ht="13.5" customHeight="1">
      <c r="A41" s="263" t="s">
        <v>243</v>
      </c>
      <c r="B41" s="263"/>
      <c r="C41" s="263"/>
      <c r="D41" s="263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395" t="s">
        <v>244</v>
      </c>
      <c r="B42" s="395"/>
      <c r="C42" s="395"/>
      <c r="D42" s="395"/>
      <c r="E42" s="396">
        <v>6.21</v>
      </c>
      <c r="F42" s="396"/>
      <c r="G42" s="256"/>
      <c r="H42" s="256"/>
      <c r="I42" s="256"/>
      <c r="J42" s="256"/>
      <c r="K42" s="256"/>
      <c r="L42" s="256"/>
      <c r="M42" s="256"/>
      <c r="N42" s="256"/>
    </row>
    <row r="43" spans="1:14" s="22" customFormat="1">
      <c r="A43" s="50"/>
      <c r="B43" s="51"/>
      <c r="C43" s="51"/>
      <c r="D43" s="51"/>
      <c r="E43" s="52"/>
      <c r="F43" s="52"/>
      <c r="G43" s="53"/>
      <c r="H43" s="53"/>
      <c r="I43" s="53"/>
      <c r="J43" s="53"/>
      <c r="K43" s="53"/>
      <c r="L43" s="53"/>
      <c r="M43" s="53"/>
      <c r="N43" s="68"/>
    </row>
    <row r="44" spans="1:14">
      <c r="A44" s="385" t="s">
        <v>245</v>
      </c>
      <c r="B44" s="386"/>
      <c r="C44" s="386"/>
      <c r="D44" s="386"/>
      <c r="E44" s="386"/>
      <c r="F44" s="386"/>
      <c r="G44" s="386"/>
      <c r="H44" s="386"/>
      <c r="I44" s="386"/>
      <c r="J44" s="386"/>
      <c r="K44" s="386"/>
      <c r="L44" s="387"/>
      <c r="M44" s="397">
        <f>M36+E42</f>
        <v>31.778181818181817</v>
      </c>
      <c r="N44" s="396"/>
    </row>
    <row r="45" spans="1:14">
      <c r="A45" s="54"/>
      <c r="B45" s="54"/>
      <c r="C45" s="54"/>
      <c r="D45" s="54"/>
      <c r="E45" s="54"/>
      <c r="F45" s="54"/>
      <c r="G45" s="54"/>
      <c r="H45" s="54"/>
      <c r="I45" s="54"/>
      <c r="J45" s="69"/>
      <c r="K45" s="52"/>
      <c r="L45" s="52"/>
      <c r="M45" s="70"/>
      <c r="N45" s="55"/>
    </row>
    <row r="46" spans="1:14">
      <c r="A46" s="55"/>
      <c r="B46" s="56" t="s">
        <v>246</v>
      </c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</sheetData>
  <autoFilter ref="A1:N28"/>
  <mergeCells count="129">
    <mergeCell ref="A41:D41"/>
    <mergeCell ref="E41:F41"/>
    <mergeCell ref="A42:D42"/>
    <mergeCell ref="E42:F42"/>
    <mergeCell ref="A44:L44"/>
    <mergeCell ref="M44:N44"/>
    <mergeCell ref="E35:E36"/>
    <mergeCell ref="G39:G42"/>
    <mergeCell ref="F35:H36"/>
    <mergeCell ref="H39:N42"/>
    <mergeCell ref="A36:B36"/>
    <mergeCell ref="C36:D36"/>
    <mergeCell ref="I36:L36"/>
    <mergeCell ref="M36:N36"/>
    <mergeCell ref="A37:B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30:L30"/>
    <mergeCell ref="M30:N30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7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view="pageBreakPreview" zoomScaleNormal="100" zoomScaleSheetLayoutView="100" workbookViewId="0">
      <selection activeCell="O9" sqref="O9"/>
    </sheetView>
  </sheetViews>
  <sheetFormatPr defaultColWidth="9" defaultRowHeight="13.5"/>
  <cols>
    <col min="1" max="1" width="4.25" customWidth="1"/>
    <col min="2" max="2" width="7.375" style="2" customWidth="1"/>
    <col min="3" max="3" width="10.875" style="2" customWidth="1"/>
    <col min="4" max="4" width="14.8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402" t="s">
        <v>247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18"/>
      <c r="S1" s="18"/>
      <c r="T1" s="18"/>
      <c r="U1" s="18"/>
    </row>
    <row r="2" spans="1:21" s="1" customFormat="1">
      <c r="A2" s="313" t="s">
        <v>85</v>
      </c>
      <c r="B2" s="313"/>
      <c r="C2" s="313"/>
      <c r="D2" s="303" t="str">
        <f>[1]原材料明细!C2</f>
        <v>北京光华荣昌汽车部件有限公司</v>
      </c>
      <c r="E2" s="303"/>
      <c r="F2" s="303"/>
      <c r="G2" s="303"/>
      <c r="H2" s="3" t="s">
        <v>2</v>
      </c>
      <c r="I2" s="304"/>
      <c r="J2" s="304"/>
      <c r="K2" s="304"/>
      <c r="L2" s="304"/>
      <c r="M2" s="403" t="s">
        <v>54</v>
      </c>
      <c r="N2" s="403"/>
      <c r="O2" s="403"/>
      <c r="P2" s="403"/>
      <c r="Q2" s="403"/>
    </row>
    <row r="3" spans="1:21" s="1" customFormat="1">
      <c r="A3" s="277" t="s">
        <v>55</v>
      </c>
      <c r="B3" s="277"/>
      <c r="C3" s="277"/>
      <c r="D3" s="404"/>
      <c r="E3" s="404"/>
      <c r="F3" s="404"/>
      <c r="G3" s="404"/>
      <c r="H3" s="404"/>
      <c r="I3" s="404"/>
      <c r="J3" s="404"/>
      <c r="K3" s="404"/>
      <c r="L3" s="404"/>
      <c r="M3" s="307" t="str">
        <f>原材料明细!N3</f>
        <v>报价填写日期: 2022-3-22</v>
      </c>
      <c r="N3" s="307"/>
      <c r="O3" s="307"/>
      <c r="P3" s="307"/>
      <c r="Q3" s="307"/>
    </row>
    <row r="4" spans="1:21" ht="13.5" customHeight="1">
      <c r="A4" s="405" t="s">
        <v>56</v>
      </c>
      <c r="B4" s="405" t="s">
        <v>58</v>
      </c>
      <c r="C4" s="405" t="s">
        <v>248</v>
      </c>
      <c r="D4" s="405" t="s">
        <v>111</v>
      </c>
      <c r="E4" s="405" t="s">
        <v>99</v>
      </c>
      <c r="F4" s="405" t="s">
        <v>249</v>
      </c>
      <c r="G4" s="405" t="s">
        <v>250</v>
      </c>
      <c r="H4" s="405" t="s">
        <v>251</v>
      </c>
      <c r="I4" s="405" t="s">
        <v>252</v>
      </c>
      <c r="J4" s="405" t="s">
        <v>253</v>
      </c>
      <c r="K4" s="405"/>
      <c r="L4" s="406" t="s">
        <v>254</v>
      </c>
      <c r="M4" s="406"/>
      <c r="N4" s="406"/>
      <c r="O4" s="407" t="s">
        <v>255</v>
      </c>
      <c r="P4" s="407" t="s">
        <v>256</v>
      </c>
      <c r="Q4" s="407" t="s">
        <v>24</v>
      </c>
    </row>
    <row r="5" spans="1:21" ht="24" customHeight="1">
      <c r="A5" s="405"/>
      <c r="B5" s="405"/>
      <c r="C5" s="405"/>
      <c r="D5" s="405"/>
      <c r="E5" s="405"/>
      <c r="F5" s="405"/>
      <c r="G5" s="405"/>
      <c r="H5" s="405"/>
      <c r="I5" s="405"/>
      <c r="J5" s="4" t="s">
        <v>65</v>
      </c>
      <c r="K5" s="4" t="s">
        <v>257</v>
      </c>
      <c r="L5" s="4" t="s">
        <v>258</v>
      </c>
      <c r="M5" s="10" t="s">
        <v>259</v>
      </c>
      <c r="N5" s="10" t="s">
        <v>81</v>
      </c>
      <c r="O5" s="408"/>
      <c r="P5" s="408"/>
      <c r="Q5" s="408"/>
    </row>
    <row r="6" spans="1:21">
      <c r="A6" s="4">
        <v>1</v>
      </c>
      <c r="B6" s="5"/>
      <c r="C6" s="6"/>
      <c r="D6" s="5"/>
      <c r="E6" s="7"/>
      <c r="F6" s="8"/>
      <c r="G6" s="5"/>
      <c r="H6" s="5"/>
      <c r="I6" s="5"/>
      <c r="J6" s="5"/>
      <c r="K6" s="5"/>
      <c r="L6" s="5"/>
      <c r="M6" s="11"/>
      <c r="N6" s="11"/>
      <c r="O6" s="12">
        <v>10000</v>
      </c>
      <c r="P6" s="13">
        <f>M6/O6</f>
        <v>0</v>
      </c>
      <c r="Q6" s="19"/>
    </row>
    <row r="7" spans="1:21">
      <c r="A7" s="4">
        <v>2</v>
      </c>
      <c r="B7" s="5"/>
      <c r="C7" s="6"/>
      <c r="D7" s="5"/>
      <c r="E7" s="7"/>
      <c r="F7" s="8"/>
      <c r="G7" s="5"/>
      <c r="H7" s="5"/>
      <c r="I7" s="5"/>
      <c r="J7" s="5"/>
      <c r="K7" s="5"/>
      <c r="L7" s="5"/>
      <c r="M7" s="11"/>
      <c r="N7" s="11"/>
      <c r="O7" s="12">
        <v>10000</v>
      </c>
      <c r="P7" s="13">
        <f>M7/O7</f>
        <v>0</v>
      </c>
      <c r="Q7" s="19"/>
    </row>
    <row r="8" spans="1:21">
      <c r="A8" s="4">
        <v>3</v>
      </c>
      <c r="B8" s="5"/>
      <c r="C8" s="6"/>
      <c r="D8" s="5"/>
      <c r="E8" s="7"/>
      <c r="F8" s="8"/>
      <c r="G8" s="5"/>
      <c r="H8" s="5"/>
      <c r="I8" s="5"/>
      <c r="J8" s="5"/>
      <c r="K8" s="5"/>
      <c r="L8" s="5"/>
      <c r="M8" s="11"/>
      <c r="N8" s="11"/>
      <c r="O8" s="12">
        <v>10000</v>
      </c>
      <c r="P8" s="13">
        <f>M8/O8</f>
        <v>0</v>
      </c>
      <c r="Q8" s="19"/>
    </row>
    <row r="9" spans="1:21">
      <c r="A9" s="4">
        <v>4</v>
      </c>
      <c r="B9" s="5"/>
      <c r="C9" s="6"/>
      <c r="D9" s="5"/>
      <c r="E9" s="7"/>
      <c r="F9" s="8"/>
      <c r="G9" s="5"/>
      <c r="H9" s="5"/>
      <c r="I9" s="5"/>
      <c r="J9" s="5"/>
      <c r="K9" s="5"/>
      <c r="L9" s="5"/>
      <c r="M9" s="11"/>
      <c r="N9" s="11"/>
      <c r="O9" s="12">
        <v>10000</v>
      </c>
      <c r="P9" s="13">
        <f>M9/O9</f>
        <v>0</v>
      </c>
      <c r="Q9" s="19"/>
    </row>
    <row r="10" spans="1:21">
      <c r="A10" s="4">
        <v>5</v>
      </c>
      <c r="B10" s="5"/>
      <c r="C10" s="6"/>
      <c r="D10" s="5"/>
      <c r="E10" s="7"/>
      <c r="F10" s="8"/>
      <c r="G10" s="5"/>
      <c r="H10" s="5"/>
      <c r="I10" s="5"/>
      <c r="J10" s="5"/>
      <c r="K10" s="5"/>
      <c r="L10" s="5"/>
      <c r="M10" s="14"/>
      <c r="N10" s="14"/>
      <c r="O10" s="12">
        <v>10000</v>
      </c>
      <c r="P10" s="13">
        <f>M10/O10</f>
        <v>0</v>
      </c>
      <c r="Q10" s="19"/>
    </row>
    <row r="11" spans="1:21">
      <c r="A11" s="4"/>
      <c r="B11" s="5"/>
      <c r="C11" s="6"/>
      <c r="D11" s="5"/>
      <c r="E11" s="7"/>
      <c r="F11" s="8"/>
      <c r="G11" s="5"/>
      <c r="H11" s="5"/>
      <c r="I11" s="5"/>
      <c r="J11" s="5"/>
      <c r="K11" s="5"/>
      <c r="L11" s="5"/>
      <c r="M11" s="11"/>
      <c r="N11" s="11"/>
      <c r="O11" s="12"/>
      <c r="P11" s="13"/>
      <c r="Q11" s="19"/>
    </row>
    <row r="12" spans="1:21">
      <c r="A12" s="4"/>
      <c r="B12" s="5"/>
      <c r="C12" s="6"/>
      <c r="D12" s="5"/>
      <c r="E12" s="7"/>
      <c r="F12" s="8"/>
      <c r="G12" s="5"/>
      <c r="H12" s="5"/>
      <c r="I12" s="5"/>
      <c r="J12" s="5"/>
      <c r="K12" s="5"/>
      <c r="L12" s="5"/>
      <c r="M12" s="11"/>
      <c r="N12" s="11"/>
      <c r="O12" s="12"/>
      <c r="P12" s="13"/>
      <c r="Q12" s="19"/>
    </row>
    <row r="13" spans="1:21">
      <c r="A13" s="4"/>
      <c r="B13" s="5"/>
      <c r="C13" s="6"/>
      <c r="D13" s="5"/>
      <c r="E13" s="7"/>
      <c r="F13" s="8"/>
      <c r="G13" s="5"/>
      <c r="H13" s="5"/>
      <c r="I13" s="5"/>
      <c r="J13" s="5"/>
      <c r="K13" s="5"/>
      <c r="L13" s="5"/>
      <c r="M13" s="11"/>
      <c r="N13" s="11"/>
      <c r="O13" s="12"/>
      <c r="P13" s="13"/>
      <c r="Q13" s="19"/>
    </row>
    <row r="14" spans="1:21">
      <c r="A14" s="4"/>
      <c r="B14" s="5"/>
      <c r="C14" s="6"/>
      <c r="D14" s="5"/>
      <c r="E14" s="7"/>
      <c r="F14" s="8"/>
      <c r="G14" s="5"/>
      <c r="H14" s="5"/>
      <c r="I14" s="5"/>
      <c r="J14" s="5"/>
      <c r="K14" s="5"/>
      <c r="L14" s="5"/>
      <c r="M14" s="14"/>
      <c r="N14" s="14"/>
      <c r="O14" s="12"/>
      <c r="P14" s="13"/>
      <c r="Q14" s="19"/>
    </row>
    <row r="15" spans="1:21">
      <c r="A15" s="4"/>
      <c r="B15" s="5"/>
      <c r="C15" s="6"/>
      <c r="D15" s="5"/>
      <c r="E15" s="7"/>
      <c r="F15" s="8"/>
      <c r="G15" s="5"/>
      <c r="H15" s="5"/>
      <c r="I15" s="5"/>
      <c r="J15" s="5"/>
      <c r="K15" s="5"/>
      <c r="L15" s="5"/>
      <c r="M15" s="11"/>
      <c r="N15" s="11"/>
      <c r="O15" s="12"/>
      <c r="P15" s="13"/>
      <c r="Q15" s="19"/>
    </row>
    <row r="16" spans="1:21">
      <c r="A16" s="4"/>
      <c r="B16" s="5"/>
      <c r="C16" s="6"/>
      <c r="D16" s="8"/>
      <c r="E16" s="7"/>
      <c r="F16" s="8"/>
      <c r="G16" s="8"/>
      <c r="H16" s="8"/>
      <c r="I16" s="5"/>
      <c r="J16" s="5"/>
      <c r="K16" s="5"/>
      <c r="L16" s="5"/>
      <c r="M16" s="15"/>
      <c r="N16" s="15"/>
      <c r="O16" s="12"/>
      <c r="P16" s="13"/>
      <c r="Q16" s="19"/>
    </row>
    <row r="17" spans="1:17">
      <c r="A17" s="409" t="s">
        <v>81</v>
      </c>
      <c r="B17" s="409"/>
      <c r="C17" s="409"/>
      <c r="D17" s="409"/>
      <c r="E17" s="409"/>
      <c r="F17" s="409"/>
      <c r="G17" s="409"/>
      <c r="H17" s="409"/>
      <c r="I17" s="409"/>
      <c r="J17" s="409"/>
      <c r="K17" s="409"/>
      <c r="L17" s="16">
        <f>SUM(L6:L16)</f>
        <v>0</v>
      </c>
      <c r="M17" s="16">
        <f>SUM(M6:M16)</f>
        <v>0</v>
      </c>
      <c r="N17" s="16">
        <f>SUM(N6:N16)</f>
        <v>0</v>
      </c>
      <c r="O17" s="8" t="e">
        <f>N17/P17</f>
        <v>#DIV/0!</v>
      </c>
      <c r="P17" s="17">
        <f>SUM(P6:P16)</f>
        <v>0</v>
      </c>
      <c r="Q17" s="20"/>
    </row>
    <row r="18" spans="1:17">
      <c r="C18"/>
    </row>
    <row r="19" spans="1:17">
      <c r="B19" s="9" t="s">
        <v>260</v>
      </c>
      <c r="C19"/>
    </row>
  </sheetData>
  <mergeCells count="23">
    <mergeCell ref="A17:K1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7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Administrator</cp:lastModifiedBy>
  <cp:lastPrinted>2017-08-17T08:20:00Z</cp:lastPrinted>
  <dcterms:created xsi:type="dcterms:W3CDTF">2014-04-03T05:19:00Z</dcterms:created>
  <dcterms:modified xsi:type="dcterms:W3CDTF">2022-03-25T09:37:27Z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144C8C43">
    <vt:lpwstr/>
  </property>
  <property fmtid="{D5CDD505-2E9C-101B-9397-08002B2CF9AE}" pid="168" name="IVIDC048C5D8">
    <vt:lpwstr/>
  </property>
  <property fmtid="{D5CDD505-2E9C-101B-9397-08002B2CF9AE}" pid="169" name="IVIDB2A39FF9">
    <vt:lpwstr/>
  </property>
  <property fmtid="{D5CDD505-2E9C-101B-9397-08002B2CF9AE}" pid="170" name="IVIDD41DB7A3">
    <vt:lpwstr/>
  </property>
  <property fmtid="{D5CDD505-2E9C-101B-9397-08002B2CF9AE}" pid="171" name="IVID487AE45D">
    <vt:lpwstr/>
  </property>
  <property fmtid="{D5CDD505-2E9C-101B-9397-08002B2CF9AE}" pid="172" name="IVID9814B48D">
    <vt:lpwstr/>
  </property>
  <property fmtid="{D5CDD505-2E9C-101B-9397-08002B2CF9AE}" pid="173" name="IVIDCCE7DC23">
    <vt:lpwstr/>
  </property>
  <property fmtid="{D5CDD505-2E9C-101B-9397-08002B2CF9AE}" pid="174" name="IVIDC08AE90E">
    <vt:lpwstr/>
  </property>
  <property fmtid="{D5CDD505-2E9C-101B-9397-08002B2CF9AE}" pid="175" name="IVID548D2AA1">
    <vt:lpwstr/>
  </property>
  <property fmtid="{D5CDD505-2E9C-101B-9397-08002B2CF9AE}" pid="176" name="IVID4823">
    <vt:lpwstr/>
  </property>
  <property fmtid="{D5CDD505-2E9C-101B-9397-08002B2CF9AE}" pid="177" name="IVID563693E4">
    <vt:lpwstr/>
  </property>
  <property fmtid="{D5CDD505-2E9C-101B-9397-08002B2CF9AE}" pid="178" name="IVIDCA8340AC">
    <vt:lpwstr/>
  </property>
  <property fmtid="{D5CDD505-2E9C-101B-9397-08002B2CF9AE}" pid="179" name="IVID46575F96">
    <vt:lpwstr/>
  </property>
  <property fmtid="{D5CDD505-2E9C-101B-9397-08002B2CF9AE}" pid="180" name="IVIDBA9D53E1">
    <vt:lpwstr/>
  </property>
  <property fmtid="{D5CDD505-2E9C-101B-9397-08002B2CF9AE}" pid="181" name="IVID966020AD">
    <vt:lpwstr/>
  </property>
  <property fmtid="{D5CDD505-2E9C-101B-9397-08002B2CF9AE}" pid="182" name="IVID8269DF02">
    <vt:lpwstr/>
  </property>
  <property fmtid="{D5CDD505-2E9C-101B-9397-08002B2CF9AE}" pid="183" name="IVIDC015BD51">
    <vt:lpwstr/>
  </property>
  <property fmtid="{D5CDD505-2E9C-101B-9397-08002B2CF9AE}" pid="184" name="IVID4C7171E">
    <vt:lpwstr/>
  </property>
  <property fmtid="{D5CDD505-2E9C-101B-9397-08002B2CF9AE}" pid="185" name="IVIDF2D5B556">
    <vt:lpwstr/>
  </property>
  <property fmtid="{D5CDD505-2E9C-101B-9397-08002B2CF9AE}" pid="186" name="IVIDC0E5902D">
    <vt:lpwstr/>
  </property>
  <property fmtid="{D5CDD505-2E9C-101B-9397-08002B2CF9AE}" pid="187" name="KSOProductBuildVer">
    <vt:lpwstr>2052-11.1.0.8661</vt:lpwstr>
  </property>
</Properties>
</file>