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680" tabRatio="725"/>
  </bookViews>
  <sheets>
    <sheet name="汇总表" sheetId="1" r:id="rId1"/>
    <sheet name="原材料明细" sheetId="2" r:id="rId2"/>
    <sheet name="外购外协件明细" sheetId="3" r:id="rId3"/>
    <sheet name="加工明细" sheetId="4" r:id="rId4"/>
    <sheet name="制造费率测算明细" sheetId="15" r:id="rId5"/>
    <sheet name="期间费用" sheetId="9" r:id="rId6"/>
    <sheet name="包装运输明细" sheetId="10" r:id="rId7"/>
    <sheet name="工装明细" sheetId="14" r:id="rId8"/>
  </sheets>
  <externalReferences>
    <externalReference r:id="rId9"/>
  </externalReferences>
  <definedNames>
    <definedName name="_xlnm._FilterDatabase" localSheetId="6" hidden="1">包装运输明细!$A$1:$N$28</definedName>
    <definedName name="_xlnm.Print_Area" localSheetId="5">期间费用!$A$1:$G$20</definedName>
  </definedNames>
  <calcPr calcId="144525"/>
</workbook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charset val="134"/>
          </rPr>
          <t>管理人员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charset val="134"/>
          </rPr>
          <t>如10m*3m*2m</t>
        </r>
        <r>
          <rPr>
            <sz val="9"/>
            <rFont val="宋体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charset val="134"/>
          </rPr>
          <t>如厢式货车、仓栅式货车、栏板式货车、平板式货车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<sst xmlns="http://schemas.openxmlformats.org/spreadsheetml/2006/main" count="846" uniqueCount="308">
  <si>
    <t>北汽福田汽车股份有限公司采购零部件报价表(试行)</t>
  </si>
  <si>
    <t>供应商名称（盖章）：</t>
  </si>
  <si>
    <t>车型：智蓝</t>
  </si>
  <si>
    <t>币种：人民币（元）</t>
  </si>
  <si>
    <t>供应商代码：A1093</t>
  </si>
  <si>
    <t>车型代码:EVC3</t>
  </si>
  <si>
    <t>税：不含税(注明除外)</t>
  </si>
  <si>
    <t>零件件号：</t>
  </si>
  <si>
    <t>年份</t>
  </si>
  <si>
    <t>SOP+1</t>
  </si>
  <si>
    <t>SOP+2</t>
  </si>
  <si>
    <t>SOP+3</t>
  </si>
  <si>
    <t>SOP+4</t>
  </si>
  <si>
    <t>SOP+5</t>
  </si>
  <si>
    <t>零件名称：</t>
  </si>
  <si>
    <t>驾驶员座椅总成</t>
  </si>
  <si>
    <t>每年降幅〔%〕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</si>
  <si>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charset val="134"/>
      </rPr>
      <t xml:space="preserve"> :             1   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车</t>
    </r>
  </si>
  <si>
    <t>每年单价</t>
  </si>
  <si>
    <r>
      <rPr>
        <b/>
        <sz val="10"/>
        <rFont val="宋体"/>
        <charset val="134"/>
      </rPr>
      <t xml:space="preserve">开发周期：      </t>
    </r>
    <r>
      <rPr>
        <sz val="10"/>
        <rFont val="宋体"/>
        <charset val="134"/>
      </rPr>
      <t>周</t>
    </r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</si>
  <si>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</si>
  <si>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</si>
  <si>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</si>
  <si>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</si>
  <si>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</si>
  <si>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</si>
  <si>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rgb="FF0000CC"/>
        <rFont val="宋体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</si>
  <si>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</si>
  <si>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</si>
  <si>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</si>
  <si>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</si>
  <si>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rgb="FF0000CC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</si>
  <si>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rgb="FF0000CC"/>
        <rFont val="宋体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</si>
  <si>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</si>
  <si>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</si>
  <si>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</si>
  <si>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</si>
  <si>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charset val="134"/>
      </rPr>
      <t>G、不含税出厂单价合计</t>
    </r>
    <r>
      <rPr>
        <b/>
        <sz val="10"/>
        <color rgb="FF0000CC"/>
        <rFont val="宋体"/>
        <charset val="134"/>
      </rPr>
      <t>=（D+E+F）</t>
    </r>
  </si>
  <si>
    <t>H、增值税</t>
  </si>
  <si>
    <t>增值税税率： 13%</t>
  </si>
  <si>
    <r>
      <rPr>
        <sz val="10"/>
        <rFont val="宋体"/>
        <charset val="134"/>
      </rPr>
      <t>I、含税出厂单价合计</t>
    </r>
    <r>
      <rPr>
        <b/>
        <sz val="10"/>
        <color rgb="FF0000CC"/>
        <rFont val="宋体"/>
        <charset val="134"/>
      </rPr>
      <t>=（G+H）</t>
    </r>
  </si>
  <si>
    <t>J、工装模具分摊费用</t>
  </si>
  <si>
    <t>含税，增值税税率： 13 %</t>
  </si>
  <si>
    <t>K、包装费用</t>
  </si>
  <si>
    <t>L、运输费用</t>
  </si>
  <si>
    <t>含税，增值税税率： 9 %</t>
  </si>
  <si>
    <r>
      <rPr>
        <sz val="10"/>
        <rFont val="宋体"/>
        <charset val="134"/>
      </rPr>
      <t>M、含税到厂单价合计</t>
    </r>
    <r>
      <rPr>
        <b/>
        <sz val="10"/>
        <color rgb="FF0000CC"/>
        <rFont val="宋体"/>
        <charset val="134"/>
      </rPr>
      <t>=（I+J+K+L）</t>
    </r>
  </si>
  <si>
    <t>（第1页，共8页）</t>
  </si>
  <si>
    <r>
      <rPr>
        <sz val="10"/>
        <rFont val="宋体"/>
        <charset val="134"/>
      </rPr>
      <t>供应商报价联系人姓名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王庆岭</t>
    </r>
  </si>
  <si>
    <t>Email :wangqingling@bjghrc.com</t>
  </si>
  <si>
    <t>电话 及手机：18601235506</t>
  </si>
  <si>
    <t>Fax:</t>
  </si>
  <si>
    <t>原材料明细表</t>
  </si>
  <si>
    <t>供应商 (盖章):</t>
  </si>
  <si>
    <t>北京光华荣昌汽车部件有限公司</t>
  </si>
  <si>
    <t>车型：</t>
  </si>
  <si>
    <t>EVC3</t>
  </si>
  <si>
    <t>以下不含税</t>
  </si>
  <si>
    <t>零件图号/名称:</t>
  </si>
  <si>
    <t>X168100000004</t>
  </si>
  <si>
    <t>报价填写日期: 2022-3-4</t>
  </si>
  <si>
    <t>序号</t>
  </si>
  <si>
    <t>零件号</t>
  </si>
  <si>
    <t>零件名称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</si>
  <si>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</si>
  <si>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</si>
  <si>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</si>
  <si>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rgb="FFFF0000"/>
        <rFont val="宋体"/>
        <charset val="134"/>
        <scheme val="minor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</si>
  <si>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  <scheme val="minor"/>
      </rPr>
      <t>F=A*E*(C-D)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</si>
  <si>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</si>
  <si>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</si>
  <si>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</si>
  <si>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</si>
  <si>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</si>
  <si>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  <scheme val="minor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</si>
  <si>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</si>
  <si>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</si>
  <si>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  <scheme val="minor"/>
      </rPr>
      <t>C</t>
    </r>
  </si>
  <si>
    <r>
      <rPr>
        <sz val="10"/>
        <rFont val="宋体"/>
        <charset val="134"/>
        <scheme val="minor"/>
      </rPr>
      <t xml:space="preserve">净重
</t>
    </r>
    <r>
      <rPr>
        <sz val="10"/>
        <color indexed="10"/>
        <rFont val="宋体"/>
        <charset val="134"/>
        <scheme val="minor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</si>
  <si>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  <scheme val="minor"/>
      </rPr>
      <t>(D/C*100%)</t>
    </r>
  </si>
  <si>
    <t>NEW</t>
  </si>
  <si>
    <t>靠背护面总成</t>
  </si>
  <si>
    <t>主料</t>
  </si>
  <si>
    <t>TR5216（压花）</t>
  </si>
  <si>
    <t>/</t>
  </si>
  <si>
    <t>延米</t>
  </si>
  <si>
    <t>辅料1</t>
  </si>
  <si>
    <t>TR5249</t>
  </si>
  <si>
    <t>辅料2</t>
  </si>
  <si>
    <t>TR5216</t>
  </si>
  <si>
    <t>辅料3</t>
  </si>
  <si>
    <t>PAQ0022-U0A1</t>
  </si>
  <si>
    <t>辅料4</t>
  </si>
  <si>
    <t>PAQ0012-U0</t>
  </si>
  <si>
    <t>刺绣标识</t>
  </si>
  <si>
    <t xml:space="preserve">银色绣线 </t>
  </si>
  <si>
    <t>个</t>
  </si>
  <si>
    <t>毛毡</t>
  </si>
  <si>
    <t>辅材</t>
  </si>
  <si>
    <t>缝纫线</t>
  </si>
  <si>
    <t>银色M3238</t>
  </si>
  <si>
    <t>米</t>
  </si>
  <si>
    <t>拉链</t>
  </si>
  <si>
    <t>根</t>
  </si>
  <si>
    <t>坐垫护面总成</t>
  </si>
  <si>
    <t>泡沫</t>
  </si>
  <si>
    <t>聚氨酯</t>
  </si>
  <si>
    <t>KG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</si>
  <si>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</si>
  <si>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</si>
  <si>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</si>
  <si>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</si>
  <si>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charset val="134"/>
      </rPr>
      <t>供应商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盖章</t>
    </r>
    <r>
      <rPr>
        <b/>
        <sz val="10"/>
        <rFont val="Times New Roman"/>
        <charset val="134"/>
      </rPr>
      <t>):</t>
    </r>
  </si>
  <si>
    <t>外购件明细</t>
  </si>
  <si>
    <t>零件供应商</t>
  </si>
  <si>
    <r>
      <rPr>
        <sz val="10"/>
        <rFont val="宋体"/>
        <charset val="134"/>
      </rPr>
      <t xml:space="preserve">零件用量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</si>
  <si>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</rPr>
      <t xml:space="preserve">零件单价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</si>
  <si>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</rPr>
      <t xml:space="preserve">合计金额
</t>
    </r>
    <r>
      <rPr>
        <sz val="10"/>
        <color indexed="10"/>
        <rFont val="宋体"/>
        <charset val="134"/>
      </rPr>
      <t>A*B</t>
    </r>
  </si>
  <si>
    <t>材料名称</t>
  </si>
  <si>
    <t>净重</t>
  </si>
  <si>
    <t>靠背骨架</t>
  </si>
  <si>
    <t>件</t>
  </si>
  <si>
    <t>滑轨总成</t>
  </si>
  <si>
    <t>座垫前横梁总成</t>
  </si>
  <si>
    <t>主驾支腿焊接总成</t>
  </si>
  <si>
    <t>座垫框架总成</t>
  </si>
  <si>
    <t>标准件及其他</t>
  </si>
  <si>
    <t>驾驶员U型把手</t>
  </si>
  <si>
    <t>驾驶员右侧护板</t>
  </si>
  <si>
    <t>调角器总成</t>
  </si>
  <si>
    <t>k1司机座包装膜窄车</t>
  </si>
  <si>
    <t>外协件明细</t>
  </si>
  <si>
    <t>外协生产商</t>
  </si>
  <si>
    <r>
      <rPr>
        <sz val="10"/>
        <rFont val="宋体"/>
        <charset val="134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</si>
  <si>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</si>
  <si>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</si>
  <si>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</si>
  <si>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</si>
  <si>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</si>
  <si>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</si>
  <si>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</si>
  <si>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</si>
  <si>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</si>
  <si>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</si>
  <si>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</si>
  <si>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</si>
  <si>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</si>
  <si>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sz val="10"/>
        <rFont val="宋体"/>
        <charset val="134"/>
        <scheme val="minor"/>
      </rPr>
      <t xml:space="preserve">用量
</t>
    </r>
    <r>
      <rPr>
        <sz val="10"/>
        <color rgb="FFFF0000"/>
        <rFont val="宋体"/>
        <charset val="134"/>
        <scheme val="minor"/>
      </rPr>
      <t>A</t>
    </r>
  </si>
  <si>
    <t>工序名称</t>
  </si>
  <si>
    <t>设备</t>
  </si>
  <si>
    <r>
      <rPr>
        <sz val="10"/>
        <rFont val="宋体"/>
        <charset val="134"/>
        <scheme val="minor"/>
      </rPr>
      <t xml:space="preserve">工时(分)
</t>
    </r>
    <r>
      <rPr>
        <sz val="10"/>
        <color rgb="FFFF0000"/>
        <rFont val="宋体"/>
        <charset val="134"/>
        <scheme val="minor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</si>
  <si>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rgb="FFFF0000"/>
        <rFont val="宋体"/>
        <charset val="134"/>
        <scheme val="minor"/>
      </rPr>
      <t>C</t>
    </r>
  </si>
  <si>
    <r>
      <rPr>
        <sz val="10"/>
        <rFont val="宋体"/>
        <charset val="134"/>
        <scheme val="minor"/>
      </rPr>
      <t xml:space="preserve">直接人工费率
（元/分）
</t>
    </r>
    <r>
      <rPr>
        <sz val="10"/>
        <color rgb="FFFF0000"/>
        <rFont val="宋体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</si>
  <si>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</si>
  <si>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</si>
  <si>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</si>
  <si>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charset val="134"/>
        <scheme val="minor"/>
      </rPr>
      <t xml:space="preserve">间接人工费率
</t>
    </r>
    <r>
      <rPr>
        <sz val="10"/>
        <color rgb="FFFF0000"/>
        <rFont val="宋体"/>
        <charset val="134"/>
        <scheme val="minor"/>
      </rPr>
      <t>E</t>
    </r>
  </si>
  <si>
    <r>
      <rPr>
        <sz val="10"/>
        <rFont val="宋体"/>
        <charset val="134"/>
        <scheme val="minor"/>
      </rPr>
      <t xml:space="preserve">设备折旧率
</t>
    </r>
    <r>
      <rPr>
        <sz val="10"/>
        <color rgb="FFFF0000"/>
        <rFont val="宋体"/>
        <charset val="134"/>
        <scheme val="minor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</si>
  <si>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rgb="FFFF0000"/>
        <rFont val="宋体"/>
        <charset val="134"/>
        <scheme val="minor"/>
      </rPr>
      <t>H</t>
    </r>
  </si>
  <si>
    <r>
      <rPr>
        <sz val="10"/>
        <rFont val="宋体"/>
        <charset val="134"/>
        <scheme val="minor"/>
      </rPr>
      <t xml:space="preserve">机物料消耗及维修费率
</t>
    </r>
    <r>
      <rPr>
        <sz val="10"/>
        <color rgb="FFFF0000"/>
        <rFont val="宋体"/>
        <charset val="134"/>
        <scheme val="minor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</si>
  <si>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rgb="FFFF0000"/>
        <rFont val="宋体"/>
        <charset val="134"/>
        <scheme val="minor"/>
      </rPr>
      <t>J=E+F+G+H+I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</si>
  <si>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rgb="FFFF0000"/>
        <rFont val="宋体"/>
        <charset val="134"/>
        <scheme val="minor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</si>
  <si>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rgb="FFFF0000"/>
        <rFont val="宋体"/>
        <charset val="134"/>
        <scheme val="minor"/>
      </rPr>
      <t>L=A*B*J</t>
    </r>
  </si>
  <si>
    <t>发泡</t>
  </si>
  <si>
    <t>发泡机</t>
  </si>
  <si>
    <t xml:space="preserve">KM四组份发泡机 </t>
  </si>
  <si>
    <t>组装、包装、入库</t>
  </si>
  <si>
    <t>组装线/检具</t>
  </si>
  <si>
    <t>21m*1.1m/GR-Aumark-CF-01</t>
  </si>
  <si>
    <t>裁剪</t>
  </si>
  <si>
    <t>冲床</t>
  </si>
  <si>
    <t>缝纫</t>
  </si>
  <si>
    <t>缝纫机</t>
  </si>
  <si>
    <t>裁床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</si>
  <si>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</si>
  <si>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</si>
  <si>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</si>
  <si>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</si>
  <si>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</si>
  <si>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</si>
  <si>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</si>
  <si>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</si>
  <si>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</si>
  <si>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</si>
  <si>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charset val="134"/>
        <scheme val="minor"/>
      </rPr>
      <t>设备折旧率
（元/分）
(</t>
    </r>
    <r>
      <rPr>
        <sz val="9"/>
        <color rgb="FFFF0000"/>
        <rFont val="宋体"/>
        <charset val="134"/>
        <scheme val="minor"/>
      </rPr>
      <t>A3-A1*A2)/(A4-A5)/E3/60</t>
    </r>
  </si>
  <si>
    <r>
      <rPr>
        <sz val="9"/>
        <color theme="1"/>
        <rFont val="宋体"/>
        <charset val="134"/>
        <scheme val="minor"/>
      </rPr>
      <t xml:space="preserve">燃动费率（元/分）
</t>
    </r>
    <r>
      <rPr>
        <sz val="9"/>
        <color rgb="FFFF0000"/>
        <rFont val="宋体"/>
        <charset val="134"/>
        <scheme val="minor"/>
      </rPr>
      <t>(B1*B2*B4+B3*B5)/60</t>
    </r>
  </si>
  <si>
    <r>
      <rPr>
        <sz val="9"/>
        <color theme="1"/>
        <rFont val="宋体"/>
        <charset val="134"/>
        <scheme val="minor"/>
      </rPr>
      <t xml:space="preserve">机物料消耗及维修费率（元/分）
</t>
    </r>
    <r>
      <rPr>
        <sz val="9"/>
        <color rgb="FFFF0000"/>
        <rFont val="宋体"/>
        <charset val="134"/>
        <scheme val="minor"/>
      </rPr>
      <t>(D1+D2)/E3/60</t>
    </r>
  </si>
  <si>
    <r>
      <rPr>
        <sz val="9"/>
        <color theme="1"/>
        <rFont val="宋体"/>
        <charset val="134"/>
        <scheme val="minor"/>
      </rPr>
      <t xml:space="preserve">设备原值
(元)
</t>
    </r>
    <r>
      <rPr>
        <sz val="9"/>
        <color rgb="FFFF0000"/>
        <rFont val="宋体"/>
        <charset val="134"/>
        <scheme val="minor"/>
      </rPr>
      <t>A1</t>
    </r>
  </si>
  <si>
    <r>
      <rPr>
        <sz val="9"/>
        <color theme="1"/>
        <rFont val="宋体"/>
        <charset val="134"/>
        <scheme val="minor"/>
      </rPr>
      <t xml:space="preserve">设备残值率
(元)
</t>
    </r>
    <r>
      <rPr>
        <sz val="9"/>
        <color rgb="FFFF0000"/>
        <rFont val="宋体"/>
        <charset val="134"/>
        <scheme val="minor"/>
      </rPr>
      <t>A2</t>
    </r>
  </si>
  <si>
    <r>
      <rPr>
        <sz val="9"/>
        <color theme="1"/>
        <rFont val="宋体"/>
        <charset val="134"/>
        <scheme val="minor"/>
      </rPr>
      <t xml:space="preserve">设备净值
(元)
</t>
    </r>
    <r>
      <rPr>
        <sz val="9"/>
        <color rgb="FFFF0000"/>
        <rFont val="宋体"/>
        <charset val="134"/>
        <scheme val="minor"/>
      </rPr>
      <t>A3</t>
    </r>
  </si>
  <si>
    <r>
      <rPr>
        <sz val="9"/>
        <color theme="1"/>
        <rFont val="宋体"/>
        <charset val="134"/>
        <scheme val="minor"/>
      </rPr>
      <t xml:space="preserve">折旧年限（年)
</t>
    </r>
    <r>
      <rPr>
        <sz val="9"/>
        <color rgb="FFFF0000"/>
        <rFont val="宋体"/>
        <charset val="134"/>
        <scheme val="minor"/>
      </rPr>
      <t>A4</t>
    </r>
  </si>
  <si>
    <r>
      <rPr>
        <sz val="9"/>
        <color theme="1"/>
        <rFont val="宋体"/>
        <charset val="134"/>
        <scheme val="minor"/>
      </rPr>
      <t xml:space="preserve">已提折旧年限（年)
</t>
    </r>
    <r>
      <rPr>
        <sz val="9"/>
        <color rgb="FFFF0000"/>
        <rFont val="宋体"/>
        <charset val="134"/>
        <scheme val="minor"/>
      </rPr>
      <t>A5</t>
    </r>
  </si>
  <si>
    <r>
      <rPr>
        <sz val="9"/>
        <color theme="1"/>
        <rFont val="宋体"/>
        <charset val="134"/>
        <scheme val="minor"/>
      </rPr>
      <t>设备额定功率（kw/h）</t>
    </r>
    <r>
      <rPr>
        <sz val="9"/>
        <color rgb="FFFF0000"/>
        <rFont val="宋体"/>
        <charset val="134"/>
        <scheme val="minor"/>
      </rPr>
      <t>B1</t>
    </r>
  </si>
  <si>
    <r>
      <rPr>
        <sz val="9"/>
        <color theme="1"/>
        <rFont val="宋体"/>
        <charset val="134"/>
        <scheme val="minor"/>
      </rPr>
      <t xml:space="preserve">设备功率有效输出（%）
</t>
    </r>
    <r>
      <rPr>
        <sz val="9"/>
        <color rgb="FFFF0000"/>
        <rFont val="宋体"/>
        <charset val="134"/>
        <scheme val="minor"/>
      </rPr>
      <t>B2</t>
    </r>
  </si>
  <si>
    <r>
      <rPr>
        <sz val="9"/>
        <color theme="1"/>
        <rFont val="宋体"/>
        <charset val="134"/>
        <scheme val="minor"/>
      </rPr>
      <t>天然气单位耗量（m</t>
    </r>
    <r>
      <rPr>
        <vertAlign val="superscript"/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 xml:space="preserve">/h）
</t>
    </r>
    <r>
      <rPr>
        <sz val="9"/>
        <color rgb="FFFF0000"/>
        <rFont val="宋体"/>
        <charset val="134"/>
        <scheme val="minor"/>
      </rPr>
      <t>B3</t>
    </r>
  </si>
  <si>
    <r>
      <rPr>
        <sz val="9"/>
        <color theme="1"/>
        <rFont val="宋体"/>
        <charset val="134"/>
        <scheme val="minor"/>
      </rPr>
      <t xml:space="preserve">电费
（元/kw）
</t>
    </r>
    <r>
      <rPr>
        <sz val="9"/>
        <color rgb="FFFF0000"/>
        <rFont val="宋体"/>
        <charset val="134"/>
        <scheme val="minor"/>
      </rPr>
      <t>B4</t>
    </r>
  </si>
  <si>
    <r>
      <rPr>
        <sz val="9"/>
        <color theme="1"/>
        <rFont val="宋体"/>
        <charset val="134"/>
        <scheme val="minor"/>
      </rPr>
      <t>气费（元/m</t>
    </r>
    <r>
      <rPr>
        <vertAlign val="superscript"/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 xml:space="preserve">）
</t>
    </r>
    <r>
      <rPr>
        <sz val="9"/>
        <color rgb="FFFF0000"/>
        <rFont val="宋体"/>
        <charset val="134"/>
        <scheme val="minor"/>
      </rPr>
      <t>B5</t>
    </r>
  </si>
  <si>
    <r>
      <rPr>
        <sz val="9"/>
        <color theme="1"/>
        <rFont val="宋体"/>
        <charset val="134"/>
        <scheme val="minor"/>
      </rPr>
      <t xml:space="preserve">机物料消耗费用（元/年）
</t>
    </r>
    <r>
      <rPr>
        <sz val="9"/>
        <color rgb="FFFF0000"/>
        <rFont val="宋体"/>
        <charset val="134"/>
        <scheme val="minor"/>
      </rPr>
      <t>D1</t>
    </r>
  </si>
  <si>
    <r>
      <rPr>
        <sz val="9"/>
        <color theme="1"/>
        <rFont val="宋体"/>
        <charset val="134"/>
        <scheme val="minor"/>
      </rPr>
      <t xml:space="preserve">维修保养费用（元/年）
</t>
    </r>
    <r>
      <rPr>
        <sz val="9"/>
        <color rgb="FFFF0000"/>
        <rFont val="宋体"/>
        <charset val="134"/>
        <scheme val="minor"/>
      </rPr>
      <t>D2</t>
    </r>
  </si>
  <si>
    <r>
      <rPr>
        <sz val="9"/>
        <color theme="1"/>
        <rFont val="宋体"/>
        <charset val="134"/>
        <scheme val="minor"/>
      </rPr>
      <t xml:space="preserve">设备日有效工作小时数（h/日）
</t>
    </r>
    <r>
      <rPr>
        <sz val="9"/>
        <color rgb="FFFF0000"/>
        <rFont val="宋体"/>
        <charset val="134"/>
        <scheme val="minor"/>
      </rPr>
      <t>E1</t>
    </r>
  </si>
  <si>
    <r>
      <rPr>
        <sz val="9"/>
        <color theme="1"/>
        <rFont val="宋体"/>
        <charset val="134"/>
        <scheme val="minor"/>
      </rPr>
      <t xml:space="preserve">设备年有效工作天数 （日/年）
</t>
    </r>
    <r>
      <rPr>
        <sz val="9"/>
        <color rgb="FFFF0000"/>
        <rFont val="宋体"/>
        <charset val="134"/>
        <scheme val="minor"/>
      </rPr>
      <t>E2</t>
    </r>
  </si>
  <si>
    <r>
      <rPr>
        <sz val="9"/>
        <color theme="1"/>
        <rFont val="宋体"/>
        <charset val="134"/>
        <scheme val="minor"/>
      </rPr>
      <t xml:space="preserve">设备全年有效工作小时数（h/年）
</t>
    </r>
    <r>
      <rPr>
        <sz val="9"/>
        <color rgb="FFFF0000"/>
        <rFont val="宋体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</si>
  <si>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</si>
  <si>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</si>
  <si>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</si>
  <si>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</si>
  <si>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</si>
  <si>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</si>
  <si>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</si>
  <si>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</si>
  <si>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charset val="134"/>
      </rPr>
      <t>制造成本的百分比</t>
    </r>
    <r>
      <rPr>
        <sz val="9"/>
        <rFont val="Arial"/>
        <charset val="134"/>
      </rPr>
      <t>%</t>
    </r>
  </si>
  <si>
    <r>
      <rPr>
        <sz val="9"/>
        <rFont val="宋体"/>
        <charset val="134"/>
      </rPr>
      <t xml:space="preserve">上年会计报表中费用总额
</t>
    </r>
    <r>
      <rPr>
        <sz val="9"/>
        <color rgb="FFFF0000"/>
        <rFont val="宋体"/>
        <charset val="134"/>
      </rPr>
      <t>A</t>
    </r>
  </si>
  <si>
    <r>
      <rPr>
        <sz val="9"/>
        <rFont val="宋体"/>
        <charset val="134"/>
      </rPr>
      <t xml:space="preserve">上年总工时(h/年)
</t>
    </r>
    <r>
      <rPr>
        <sz val="9"/>
        <color rgb="FFFF0000"/>
        <rFont val="宋体"/>
        <charset val="134"/>
      </rPr>
      <t>B</t>
    </r>
  </si>
  <si>
    <r>
      <rPr>
        <sz val="9"/>
        <rFont val="宋体"/>
        <charset val="134"/>
      </rPr>
      <t xml:space="preserve">分配率(元/h)
</t>
    </r>
    <r>
      <rPr>
        <sz val="9"/>
        <color rgb="FFFF0000"/>
        <rFont val="宋体"/>
        <charset val="134"/>
      </rPr>
      <t>C=A/B</t>
    </r>
  </si>
  <si>
    <r>
      <rPr>
        <sz val="9"/>
        <rFont val="宋体"/>
        <charset val="134"/>
      </rPr>
      <t>销售费用</t>
    </r>
    <r>
      <rPr>
        <sz val="9"/>
        <rFont val="Arial"/>
        <charset val="134"/>
      </rPr>
      <t xml:space="preserve"> (</t>
    </r>
    <r>
      <rPr>
        <sz val="9"/>
        <rFont val="宋体"/>
        <charset val="134"/>
      </rPr>
      <t>不含包装和运输费用</t>
    </r>
    <r>
      <rPr>
        <sz val="9"/>
        <rFont val="Arial"/>
        <charset val="134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</si>
  <si>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</si>
  <si>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</si>
  <si>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</si>
  <si>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</si>
  <si>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</si>
  <si>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</si>
  <si>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</si>
  <si>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</si>
  <si>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</si>
  <si>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</si>
  <si>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管理费用包含行政管理人员工资福利、差旅费、办公楼折旧、修理水电费、保险等、设计研发费等，一般不超过5%；</t>
  </si>
  <si>
    <t>财务费用包含利息净支出（减利息收入）、金融机构手续费等，一般不超过1；</t>
  </si>
  <si>
    <r>
      <rPr>
        <sz val="9"/>
        <color theme="1"/>
        <rFont val="宋体"/>
        <charset val="134"/>
        <scheme val="minor"/>
      </rPr>
      <t>销售费用包含销售人员工资福利、差旅费、广告、三包费等，一般不超过4%；</t>
    </r>
    <r>
      <rPr>
        <b/>
        <sz val="9"/>
        <color rgb="FFFF0000"/>
        <rFont val="宋体"/>
        <charset val="134"/>
        <scheme val="minor"/>
      </rPr>
      <t>不包含包装、运输费用；</t>
    </r>
  </si>
  <si>
    <t>（第6页，共8页）</t>
  </si>
  <si>
    <t>包装运输明细表</t>
  </si>
  <si>
    <r>
      <rPr>
        <b/>
        <sz val="11"/>
        <color indexed="8"/>
        <rFont val="Arial"/>
        <charset val="134"/>
      </rPr>
      <t xml:space="preserve"> 1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 </t>
    </r>
    <r>
      <rPr>
        <b/>
        <sz val="11"/>
        <color indexed="8"/>
        <rFont val="宋体"/>
        <charset val="134"/>
      </rPr>
      <t>纸箱包装</t>
    </r>
    <r>
      <rPr>
        <b/>
        <sz val="11"/>
        <color indexed="8"/>
        <rFont val="Arial"/>
        <charset val="134"/>
      </rPr>
      <t xml:space="preserve"> </t>
    </r>
  </si>
  <si>
    <r>
      <rPr>
        <b/>
        <sz val="11"/>
        <color indexed="8"/>
        <rFont val="Arial"/>
        <charset val="134"/>
      </rPr>
      <t xml:space="preserve"> 3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可重复使用包装</t>
    </r>
    <r>
      <rPr>
        <b/>
        <sz val="11"/>
        <color indexed="8"/>
        <rFont val="Arial"/>
        <charset val="134"/>
      </rPr>
      <t xml:space="preserve"> </t>
    </r>
  </si>
  <si>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数据</t>
    </r>
  </si>
  <si>
    <r>
      <rPr>
        <sz val="10"/>
        <color indexed="8"/>
        <rFont val="宋体"/>
        <charset val="134"/>
      </rPr>
      <t>纸箱包装的长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宽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高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</si>
  <si>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长</t>
    </r>
    <r>
      <rPr>
        <sz val="10"/>
        <color indexed="8"/>
        <rFont val="Arial"/>
        <charset val="134"/>
      </rPr>
      <t xml:space="preserve"> </t>
    </r>
  </si>
  <si>
    <t>720mm</t>
  </si>
  <si>
    <r>
      <rPr>
        <sz val="10"/>
        <color indexed="8"/>
        <rFont val="宋体"/>
        <charset val="134"/>
      </rPr>
      <t>纸箱材料的规格</t>
    </r>
    <r>
      <rPr>
        <sz val="10"/>
        <color indexed="8"/>
        <rFont val="Arial"/>
        <charset val="134"/>
      </rPr>
      <t xml:space="preserve"> </t>
    </r>
  </si>
  <si>
    <t>宽</t>
  </si>
  <si>
    <t>520mm</t>
  </si>
  <si>
    <r>
      <rPr>
        <sz val="10"/>
        <color indexed="8"/>
        <rFont val="宋体"/>
        <charset val="134"/>
      </rPr>
      <t>一个纸箱的成本（元）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A</t>
    </r>
  </si>
  <si>
    <r>
      <rPr>
        <sz val="10"/>
        <color indexed="8"/>
        <rFont val="宋体"/>
        <charset val="134"/>
      </rPr>
      <t>高</t>
    </r>
    <r>
      <rPr>
        <sz val="10"/>
        <color indexed="8"/>
        <rFont val="Arial"/>
        <charset val="134"/>
      </rPr>
      <t xml:space="preserve"> </t>
    </r>
  </si>
  <si>
    <t>1185mm</t>
  </si>
  <si>
    <r>
      <rPr>
        <sz val="10"/>
        <color indexed="8"/>
        <rFont val="宋体"/>
        <charset val="134"/>
      </rPr>
      <t>每箱零件数</t>
    </r>
    <r>
      <rPr>
        <sz val="10"/>
        <color rgb="FFFF0000"/>
        <rFont val="Arial"/>
        <charset val="134"/>
      </rPr>
      <t xml:space="preserve"> B</t>
    </r>
  </si>
  <si>
    <r>
      <rPr>
        <sz val="10"/>
        <color indexed="8"/>
        <rFont val="宋体"/>
        <charset val="134"/>
      </rPr>
      <t>可回收包装的材料及规格</t>
    </r>
    <r>
      <rPr>
        <sz val="10"/>
        <color indexed="8"/>
        <rFont val="Arial"/>
        <charset val="134"/>
      </rPr>
      <t xml:space="preserve"> </t>
    </r>
  </si>
  <si>
    <r>
      <rPr>
        <sz val="8"/>
        <color rgb="FF000000"/>
        <rFont val="宋体"/>
        <charset val="134"/>
      </rPr>
      <t>五层</t>
    </r>
    <r>
      <rPr>
        <sz val="8"/>
        <color rgb="FF000000"/>
        <rFont val="Arial"/>
        <charset val="134"/>
      </rPr>
      <t>AB</t>
    </r>
    <r>
      <rPr>
        <sz val="8"/>
        <color rgb="FF000000"/>
        <rFont val="宋体"/>
        <charset val="134"/>
      </rPr>
      <t>瓦楞纸</t>
    </r>
  </si>
  <si>
    <r>
      <rPr>
        <sz val="10"/>
        <color indexed="8"/>
        <rFont val="宋体"/>
        <charset val="134"/>
      </rPr>
      <t>零件纸箱包装单价（元）</t>
    </r>
    <r>
      <rPr>
        <sz val="10"/>
        <color rgb="FFFF0000"/>
        <rFont val="宋体"/>
        <charset val="134"/>
      </rPr>
      <t xml:space="preserve">A/B </t>
    </r>
  </si>
  <si>
    <r>
      <rPr>
        <sz val="10"/>
        <color indexed="8"/>
        <rFont val="宋体"/>
        <charset val="134"/>
      </rPr>
      <t>可回收包装的总数量</t>
    </r>
    <r>
      <rPr>
        <sz val="10"/>
        <color indexed="8"/>
        <rFont val="Arial"/>
        <charset val="134"/>
      </rPr>
      <t xml:space="preserve">  </t>
    </r>
  </si>
  <si>
    <r>
      <rPr>
        <b/>
        <sz val="11"/>
        <color indexed="8"/>
        <rFont val="Arial"/>
        <charset val="134"/>
      </rPr>
      <t>2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木箱包装或托盘</t>
    </r>
    <r>
      <rPr>
        <b/>
        <sz val="11"/>
        <color indexed="8"/>
        <rFont val="Arial"/>
        <charset val="134"/>
      </rPr>
      <t xml:space="preserve"> </t>
    </r>
  </si>
  <si>
    <t xml:space="preserve">每个可回收包装的成本（元） </t>
  </si>
  <si>
    <r>
      <rPr>
        <sz val="10"/>
        <color indexed="8"/>
        <rFont val="宋体"/>
        <charset val="134"/>
      </rPr>
      <t>长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宽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高</t>
    </r>
  </si>
  <si>
    <r>
      <rPr>
        <sz val="10"/>
        <color indexed="8"/>
        <rFont val="宋体"/>
        <charset val="134"/>
      </rPr>
      <t>可回收包装的总成本（元）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E</t>
    </r>
  </si>
  <si>
    <t>木箱或托盘材料的规格</t>
  </si>
  <si>
    <r>
      <rPr>
        <sz val="10"/>
        <color indexed="8"/>
        <rFont val="宋体"/>
        <charset val="134"/>
      </rPr>
      <t>每个包装的零件数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F</t>
    </r>
  </si>
  <si>
    <r>
      <rPr>
        <sz val="10"/>
        <color indexed="8"/>
        <rFont val="宋体"/>
        <charset val="134"/>
      </rPr>
      <t>一个木箱或托盘的总价（元）</t>
    </r>
    <r>
      <rPr>
        <sz val="10"/>
        <color rgb="FFFF0000"/>
        <rFont val="宋体"/>
        <charset val="134"/>
      </rPr>
      <t xml:space="preserve">C </t>
    </r>
  </si>
  <si>
    <r>
      <rPr>
        <sz val="10"/>
        <color indexed="8"/>
        <rFont val="宋体"/>
        <charset val="134"/>
      </rPr>
      <t>寿命周期</t>
    </r>
    <r>
      <rPr>
        <sz val="10"/>
        <color indexed="8"/>
        <rFont val="Arial"/>
        <charset val="134"/>
      </rPr>
      <t>(</t>
    </r>
    <r>
      <rPr>
        <sz val="10"/>
        <color indexed="8"/>
        <rFont val="宋体"/>
        <charset val="134"/>
      </rPr>
      <t>件数</t>
    </r>
    <r>
      <rPr>
        <sz val="10"/>
        <color indexed="8"/>
        <rFont val="Arial"/>
        <charset val="134"/>
      </rPr>
      <t xml:space="preserve">) </t>
    </r>
  </si>
  <si>
    <r>
      <rPr>
        <sz val="10"/>
        <color indexed="8"/>
        <rFont val="宋体"/>
        <charset val="134"/>
      </rPr>
      <t>每箱零件数</t>
    </r>
    <r>
      <rPr>
        <sz val="10"/>
        <color rgb="FFFF0000"/>
        <rFont val="Arial"/>
        <charset val="134"/>
      </rPr>
      <t xml:space="preserve">D </t>
    </r>
  </si>
  <si>
    <r>
      <rPr>
        <sz val="10"/>
        <color indexed="8"/>
        <rFont val="宋体"/>
        <charset val="134"/>
      </rPr>
      <t>每个零件的包装成本（元）</t>
    </r>
    <r>
      <rPr>
        <sz val="10"/>
        <color rgb="FFFF0000"/>
        <rFont val="Arial"/>
        <charset val="134"/>
      </rPr>
      <t xml:space="preserve">E/F  </t>
    </r>
  </si>
  <si>
    <r>
      <rPr>
        <sz val="10"/>
        <color indexed="8"/>
        <rFont val="宋体"/>
        <charset val="134"/>
      </rPr>
      <t>零件包装单价（元）</t>
    </r>
    <r>
      <rPr>
        <sz val="10"/>
        <color rgb="FFFF0000"/>
        <rFont val="宋体"/>
        <charset val="134"/>
      </rPr>
      <t xml:space="preserve"> C/D</t>
    </r>
  </si>
  <si>
    <r>
      <rPr>
        <b/>
        <sz val="11"/>
        <color indexed="8"/>
        <rFont val="Arial"/>
        <charset val="134"/>
      </rPr>
      <t>4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</si>
  <si>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</si>
  <si>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</si>
  <si>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</si>
  <si>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</si>
  <si>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</si>
  <si>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charset val="134"/>
      </rPr>
      <t>材料用量</t>
    </r>
    <r>
      <rPr>
        <sz val="9"/>
        <color indexed="8"/>
        <rFont val="Arial"/>
        <charset val="134"/>
      </rPr>
      <t xml:space="preserve"> </t>
    </r>
  </si>
  <si>
    <r>
      <rPr>
        <sz val="10"/>
        <rFont val="宋体"/>
        <charset val="134"/>
      </rPr>
      <t>包装零件件数</t>
    </r>
  </si>
  <si>
    <r>
      <rPr>
        <sz val="10"/>
        <color indexed="8"/>
        <rFont val="宋体"/>
        <charset val="134"/>
      </rPr>
      <t>单件包装成本
（元）</t>
    </r>
    <r>
      <rPr>
        <sz val="10"/>
        <color indexed="8"/>
        <rFont val="Arial"/>
        <charset val="134"/>
      </rPr>
      <t xml:space="preserve">  </t>
    </r>
  </si>
  <si>
    <r>
      <rPr>
        <b/>
        <sz val="10"/>
        <rFont val="宋体"/>
        <charset val="134"/>
      </rPr>
      <t>其它包装材料成本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小计</t>
    </r>
    <r>
      <rPr>
        <b/>
        <sz val="10"/>
        <rFont val="Arial"/>
        <charset val="134"/>
      </rPr>
      <t xml:space="preserve"> </t>
    </r>
  </si>
  <si>
    <r>
      <rPr>
        <b/>
        <sz val="11"/>
        <color indexed="8"/>
        <rFont val="宋体"/>
        <charset val="134"/>
      </rPr>
      <t>单件包装费用合计</t>
    </r>
  </si>
  <si>
    <t>5、汽车运输费用</t>
  </si>
  <si>
    <t>发货地：</t>
  </si>
  <si>
    <t>河北黄骅</t>
  </si>
  <si>
    <r>
      <rPr>
        <sz val="10"/>
        <rFont val="宋体"/>
        <charset val="134"/>
      </rPr>
      <t>车辆吨位数：</t>
    </r>
    <r>
      <rPr>
        <sz val="10"/>
        <rFont val="Arial"/>
        <charset val="134"/>
      </rPr>
      <t xml:space="preserve"> </t>
    </r>
  </si>
  <si>
    <t>9吨</t>
  </si>
  <si>
    <t xml:space="preserve">包装箱（或料架）数/车： </t>
  </si>
  <si>
    <t>交货地：</t>
  </si>
  <si>
    <t>河南商丘</t>
  </si>
  <si>
    <t>车辆长宽高：</t>
  </si>
  <si>
    <t>9.6m*2.4m*2.5m</t>
  </si>
  <si>
    <r>
      <rPr>
        <sz val="10"/>
        <rFont val="宋体"/>
        <charset val="134"/>
      </rPr>
      <t>零件数/车</t>
    </r>
    <r>
      <rPr>
        <sz val="10"/>
        <color rgb="FFFF0000"/>
        <rFont val="宋体"/>
        <charset val="134"/>
      </rPr>
      <t>A</t>
    </r>
    <r>
      <rPr>
        <sz val="10"/>
        <rFont val="宋体"/>
        <charset val="134"/>
      </rPr>
      <t>：</t>
    </r>
  </si>
  <si>
    <t>运输距（Km）：</t>
  </si>
  <si>
    <t xml:space="preserve">车辆类型： </t>
  </si>
  <si>
    <t>仓栅式货车</t>
  </si>
  <si>
    <r>
      <rPr>
        <sz val="10"/>
        <rFont val="宋体"/>
        <charset val="134"/>
      </rPr>
      <t>每辆运输车运输费用（元）</t>
    </r>
    <r>
      <rPr>
        <sz val="10"/>
        <color rgb="FFFF0000"/>
        <rFont val="宋体"/>
        <charset val="134"/>
      </rPr>
      <t>B</t>
    </r>
    <r>
      <rPr>
        <sz val="10"/>
        <rFont val="宋体"/>
        <charset val="134"/>
      </rPr>
      <t xml:space="preserve">： </t>
    </r>
  </si>
  <si>
    <t>运输公司：</t>
  </si>
  <si>
    <r>
      <rPr>
        <sz val="10"/>
        <rFont val="宋体"/>
        <charset val="134"/>
      </rPr>
      <t>每个零件运输费用（元）</t>
    </r>
    <r>
      <rPr>
        <sz val="10"/>
        <color rgb="FFFF0000"/>
        <rFont val="宋体"/>
        <charset val="134"/>
      </rPr>
      <t>B/A</t>
    </r>
    <r>
      <rPr>
        <sz val="10"/>
        <rFont val="宋体"/>
        <charset val="134"/>
      </rPr>
      <t>：</t>
    </r>
  </si>
  <si>
    <t>6、其它运输费</t>
  </si>
  <si>
    <t>运输形式：</t>
  </si>
  <si>
    <t>工装车运输</t>
  </si>
  <si>
    <r>
      <rPr>
        <sz val="10"/>
        <color theme="1"/>
        <rFont val="宋体"/>
        <charset val="134"/>
        <scheme val="minor"/>
      </rPr>
      <t>零件数/每包装</t>
    </r>
    <r>
      <rPr>
        <sz val="10"/>
        <color rgb="FFFF0000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:</t>
    </r>
  </si>
  <si>
    <r>
      <rPr>
        <sz val="10"/>
        <color theme="1"/>
        <rFont val="宋体"/>
        <charset val="134"/>
        <scheme val="minor"/>
      </rPr>
      <t>运输费用/每包装</t>
    </r>
    <r>
      <rPr>
        <sz val="10"/>
        <color rgb="FFFF0000"/>
        <rFont val="宋体"/>
        <charset val="134"/>
        <scheme val="minor"/>
      </rPr>
      <t>D</t>
    </r>
    <r>
      <rPr>
        <sz val="10"/>
        <color theme="1"/>
        <rFont val="宋体"/>
        <charset val="134"/>
        <scheme val="minor"/>
      </rPr>
      <t>:</t>
    </r>
  </si>
  <si>
    <r>
      <rPr>
        <sz val="10"/>
        <color theme="1"/>
        <rFont val="宋体"/>
        <charset val="134"/>
        <scheme val="minor"/>
      </rPr>
      <t>每个零件运输费用（元）</t>
    </r>
    <r>
      <rPr>
        <sz val="10"/>
        <color rgb="FFFF0000"/>
        <rFont val="宋体"/>
        <charset val="134"/>
        <scheme val="minor"/>
      </rPr>
      <t>D/C</t>
    </r>
    <r>
      <rPr>
        <sz val="10"/>
        <color theme="1"/>
        <rFont val="宋体"/>
        <charset val="134"/>
        <scheme val="minor"/>
      </rPr>
      <t>:</t>
    </r>
  </si>
  <si>
    <r>
      <rPr>
        <b/>
        <sz val="11"/>
        <color indexed="8"/>
        <rFont val="宋体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</si>
  <si>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</si>
  <si>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</si>
  <si>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</si>
  <si>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</si>
  <si>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</si>
  <si>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</si>
  <si>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</si>
  <si>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</si>
  <si>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</si>
  <si>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</rPr>
      <t xml:space="preserve">分摊数量（件）
</t>
    </r>
    <r>
      <rPr>
        <sz val="10"/>
        <color rgb="FFFF0000"/>
        <rFont val="宋体"/>
        <charset val="134"/>
      </rPr>
      <t>B</t>
    </r>
  </si>
  <si>
    <r>
      <rPr>
        <sz val="10"/>
        <rFont val="宋体"/>
        <charset val="134"/>
      </rPr>
      <t xml:space="preserve">分摊额
（元/件）
</t>
    </r>
    <r>
      <rPr>
        <sz val="10"/>
        <color rgb="FFFF000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</si>
  <si>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</si>
  <si>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</si>
  <si>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</rPr>
      <t xml:space="preserve">分摊
</t>
    </r>
    <r>
      <rPr>
        <sz val="10"/>
        <color rgb="FFFF0000"/>
        <rFont val="宋体"/>
        <charset val="134"/>
      </rPr>
      <t>A</t>
    </r>
  </si>
  <si>
    <t>（第8页，共8页）</t>
  </si>
</sst>
</file>

<file path=xl/styles.xml><?xml version="1.0" encoding="utf-8"?>
<styleSheet xmlns="http://schemas.openxmlformats.org/spreadsheetml/2006/main">
  <numFmts count="14">
    <numFmt numFmtId="176" formatCode="0.0_ "/>
    <numFmt numFmtId="177" formatCode="#,##0.0000_ ;\-#,##0.0000\ "/>
    <numFmt numFmtId="178" formatCode="0_ "/>
    <numFmt numFmtId="179" formatCode="_-* #,##0_-;\-* #,##0_-;_-* &quot;-&quot;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\$#,##0.00\ ;\(\$#,##0.00\)"/>
    <numFmt numFmtId="43" formatCode="_ * #,##0.00_ ;_ * \-#,##0.00_ ;_ * &quot;-&quot;??_ ;_ @_ "/>
    <numFmt numFmtId="181" formatCode="_(* #,##0.00_);_(* \(#,##0.00\);_(* &quot;-&quot;??_);_(@_)"/>
    <numFmt numFmtId="182" formatCode="0.00_ "/>
    <numFmt numFmtId="183" formatCode="0.00_);[Red]\(0.00\)"/>
    <numFmt numFmtId="184" formatCode="0.0"/>
    <numFmt numFmtId="185" formatCode="#,##0.00_ ;\-#,##0.00\ "/>
    <numFmt numFmtId="186" formatCode="0.000_ "/>
  </numFmts>
  <fonts count="8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.5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indexed="8"/>
      <name val="Arial"/>
      <charset val="134"/>
    </font>
    <font>
      <sz val="10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rgb="FF000000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rgb="FF000000"/>
      <name val="Arial Unicode MS"/>
      <charset val="134"/>
    </font>
    <font>
      <sz val="10"/>
      <color rgb="FF000000"/>
      <name val="Arial Unicode MS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sz val="8"/>
      <name val="Arial"/>
      <charset val="134"/>
    </font>
    <font>
      <b/>
      <sz val="14"/>
      <color theme="1"/>
      <name val="宋体"/>
      <charset val="134"/>
      <scheme val="minor"/>
    </font>
    <font>
      <b/>
      <sz val="1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sz val="10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indexed="24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MS Sans Serif"/>
      <charset val="134"/>
    </font>
    <font>
      <b/>
      <sz val="1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8"/>
      <color rgb="FF000000"/>
      <name val="Arial"/>
      <charset val="134"/>
    </font>
    <font>
      <sz val="9"/>
      <color indexed="8"/>
      <name val="Arial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vertAlign val="superscript"/>
      <sz val="9"/>
      <color theme="1"/>
      <name val="宋体"/>
      <charset val="134"/>
      <scheme val="minor"/>
    </font>
    <font>
      <sz val="10"/>
      <color indexed="10"/>
      <name val="宋体"/>
      <charset val="134"/>
    </font>
    <font>
      <sz val="10"/>
      <color indexed="10"/>
      <name val="宋体"/>
      <charset val="134"/>
      <scheme val="minor"/>
    </font>
    <font>
      <b/>
      <sz val="10"/>
      <color rgb="FF0000CC"/>
      <name val="宋体"/>
      <charset val="134"/>
    </font>
    <font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/>
    <xf numFmtId="9" fontId="53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0" fillId="27" borderId="24" applyNumberFormat="0" applyFont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61" fillId="12" borderId="28" applyNumberFormat="0" applyAlignment="0" applyProtection="0">
      <alignment vertical="center"/>
    </xf>
    <xf numFmtId="0" fontId="44" fillId="12" borderId="23" applyNumberFormat="0" applyAlignment="0" applyProtection="0">
      <alignment vertical="center"/>
    </xf>
    <xf numFmtId="0" fontId="63" fillId="34" borderId="30" applyNumberFormat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45" fillId="0" borderId="0">
      <alignment vertical="center"/>
    </xf>
    <xf numFmtId="0" fontId="55" fillId="0" borderId="25" applyNumberFormat="0" applyFill="0" applyAlignment="0" applyProtection="0">
      <alignment vertical="center"/>
    </xf>
    <xf numFmtId="0" fontId="45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10" fontId="46" fillId="0" borderId="0" applyFont="0" applyFill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64" fillId="0" borderId="0"/>
    <xf numFmtId="0" fontId="47" fillId="1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180" fontId="46" fillId="0" borderId="0" applyFont="0" applyFill="0" applyBorder="0" applyAlignment="0" applyProtection="0"/>
    <xf numFmtId="0" fontId="46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13" fillId="0" borderId="0"/>
    <xf numFmtId="0" fontId="45" fillId="0" borderId="0">
      <alignment vertical="center"/>
    </xf>
    <xf numFmtId="0" fontId="7" fillId="0" borderId="0">
      <alignment vertical="top"/>
    </xf>
    <xf numFmtId="44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0" fontId="7" fillId="0" borderId="0">
      <alignment vertical="top"/>
    </xf>
    <xf numFmtId="0" fontId="45" fillId="0" borderId="0"/>
  </cellStyleXfs>
  <cellXfs count="36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63" applyFont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5" fillId="0" borderId="1" xfId="1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7" fillId="5" borderId="2" xfId="61" applyNumberFormat="1" applyFont="1" applyFill="1" applyBorder="1" applyAlignment="1">
      <alignment horizontal="center" vertical="center"/>
    </xf>
    <xf numFmtId="182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8" fillId="6" borderId="1" xfId="6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2" fillId="2" borderId="5" xfId="61" applyFont="1" applyFill="1" applyBorder="1" applyAlignment="1">
      <alignment horizontal="left" vertical="center"/>
    </xf>
    <xf numFmtId="0" fontId="13" fillId="2" borderId="0" xfId="61" applyFont="1" applyFill="1" applyBorder="1" applyAlignment="1">
      <alignment vertical="center"/>
    </xf>
    <xf numFmtId="0" fontId="8" fillId="2" borderId="0" xfId="61" applyFont="1" applyFill="1" applyBorder="1" applyAlignment="1">
      <alignment horizontal="left" vertical="center"/>
    </xf>
    <xf numFmtId="0" fontId="8" fillId="2" borderId="0" xfId="61" applyFont="1" applyFill="1" applyBorder="1" applyAlignment="1">
      <alignment vertical="center"/>
    </xf>
    <xf numFmtId="0" fontId="0" fillId="0" borderId="0" xfId="0" applyBorder="1" applyAlignment="1"/>
    <xf numFmtId="0" fontId="14" fillId="2" borderId="6" xfId="61" applyFont="1" applyFill="1" applyBorder="1" applyAlignment="1">
      <alignment horizontal="center" vertical="center" wrapText="1"/>
    </xf>
    <xf numFmtId="0" fontId="14" fillId="2" borderId="7" xfId="61" applyFont="1" applyFill="1" applyBorder="1" applyAlignment="1">
      <alignment horizontal="center" vertical="center" wrapText="1"/>
    </xf>
    <xf numFmtId="0" fontId="8" fillId="2" borderId="8" xfId="61" applyFont="1" applyFill="1" applyBorder="1" applyAlignment="1">
      <alignment horizontal="center" vertical="center" wrapText="1"/>
    </xf>
    <xf numFmtId="0" fontId="8" fillId="2" borderId="9" xfId="61" applyFont="1" applyFill="1" applyBorder="1" applyAlignment="1">
      <alignment horizontal="center" vertical="center" wrapText="1"/>
    </xf>
    <xf numFmtId="0" fontId="8" fillId="2" borderId="3" xfId="61" applyFont="1" applyFill="1" applyBorder="1" applyAlignment="1">
      <alignment horizontal="center" vertical="center" wrapText="1"/>
    </xf>
    <xf numFmtId="0" fontId="8" fillId="2" borderId="10" xfId="61" applyFont="1" applyFill="1" applyBorder="1" applyAlignment="1">
      <alignment horizontal="center" vertical="center" wrapText="1"/>
    </xf>
    <xf numFmtId="0" fontId="7" fillId="2" borderId="11" xfId="61" applyFont="1" applyFill="1" applyBorder="1" applyAlignment="1">
      <alignment horizontal="center" vertical="center"/>
    </xf>
    <xf numFmtId="0" fontId="15" fillId="2" borderId="3" xfId="61" applyFont="1" applyFill="1" applyBorder="1" applyAlignment="1">
      <alignment vertical="center"/>
    </xf>
    <xf numFmtId="0" fontId="15" fillId="2" borderId="4" xfId="61" applyFont="1" applyFill="1" applyBorder="1" applyAlignment="1">
      <alignment vertical="center"/>
    </xf>
    <xf numFmtId="0" fontId="15" fillId="2" borderId="10" xfId="61" applyFont="1" applyFill="1" applyBorder="1" applyAlignment="1">
      <alignment vertical="center"/>
    </xf>
    <xf numFmtId="0" fontId="7" fillId="2" borderId="4" xfId="61" applyFont="1" applyFill="1" applyBorder="1" applyAlignment="1">
      <alignment horizontal="center" vertical="center"/>
    </xf>
    <xf numFmtId="0" fontId="7" fillId="2" borderId="10" xfId="61" applyFont="1" applyFill="1" applyBorder="1" applyAlignment="1">
      <alignment horizontal="center" vertical="center"/>
    </xf>
    <xf numFmtId="0" fontId="7" fillId="2" borderId="6" xfId="61" applyFont="1" applyFill="1" applyBorder="1" applyAlignment="1">
      <alignment horizontal="center" vertical="center"/>
    </xf>
    <xf numFmtId="2" fontId="8" fillId="6" borderId="3" xfId="61" applyNumberFormat="1" applyFont="1" applyFill="1" applyBorder="1" applyAlignment="1">
      <alignment horizontal="center" vertical="center"/>
    </xf>
    <xf numFmtId="2" fontId="8" fillId="6" borderId="10" xfId="61" applyNumberFormat="1" applyFont="1" applyFill="1" applyBorder="1" applyAlignment="1">
      <alignment horizontal="center" vertical="center"/>
    </xf>
    <xf numFmtId="0" fontId="12" fillId="2" borderId="12" xfId="61" applyFont="1" applyFill="1" applyBorder="1" applyAlignment="1">
      <alignment horizontal="left" vertical="center"/>
    </xf>
    <xf numFmtId="0" fontId="8" fillId="2" borderId="13" xfId="61" applyFont="1" applyFill="1" applyBorder="1" applyAlignment="1">
      <alignment horizontal="left" vertical="center"/>
    </xf>
    <xf numFmtId="0" fontId="7" fillId="2" borderId="0" xfId="61" applyFont="1" applyFill="1" applyBorder="1" applyAlignment="1">
      <alignment horizontal="left" vertical="center"/>
    </xf>
    <xf numFmtId="0" fontId="7" fillId="2" borderId="0" xfId="61" applyFont="1" applyFill="1" applyBorder="1" applyAlignment="1">
      <alignment vertical="center"/>
    </xf>
    <xf numFmtId="0" fontId="12" fillId="0" borderId="5" xfId="61" applyFont="1" applyFill="1" applyBorder="1" applyAlignment="1">
      <alignment horizontal="left" vertical="center"/>
    </xf>
    <xf numFmtId="0" fontId="8" fillId="0" borderId="0" xfId="61" applyFont="1" applyFill="1" applyBorder="1" applyAlignment="1">
      <alignment horizontal="left" vertical="center"/>
    </xf>
    <xf numFmtId="0" fontId="15" fillId="2" borderId="6" xfId="61" applyFont="1" applyFill="1" applyBorder="1" applyAlignment="1">
      <alignment horizontal="center" vertical="center" wrapText="1"/>
    </xf>
    <xf numFmtId="0" fontId="7" fillId="2" borderId="1" xfId="61" applyFont="1" applyFill="1" applyBorder="1" applyAlignment="1">
      <alignment horizontal="center" vertical="center"/>
    </xf>
    <xf numFmtId="0" fontId="15" fillId="2" borderId="1" xfId="61" applyFont="1" applyFill="1" applyBorder="1" applyAlignment="1">
      <alignment horizontal="center" vertical="center" wrapText="1"/>
    </xf>
    <xf numFmtId="0" fontId="7" fillId="2" borderId="1" xfId="61" applyFont="1" applyFill="1" applyBorder="1" applyAlignment="1">
      <alignment horizontal="center" vertical="center" wrapText="1"/>
    </xf>
    <xf numFmtId="0" fontId="16" fillId="2" borderId="3" xfId="61" applyFont="1" applyFill="1" applyBorder="1" applyAlignment="1">
      <alignment horizontal="center" vertical="center" wrapText="1"/>
    </xf>
    <xf numFmtId="0" fontId="15" fillId="2" borderId="11" xfId="61" applyFont="1" applyFill="1" applyBorder="1" applyAlignment="1">
      <alignment horizontal="center" vertical="center"/>
    </xf>
    <xf numFmtId="0" fontId="15" fillId="2" borderId="10" xfId="61" applyFont="1" applyFill="1" applyBorder="1" applyAlignment="1">
      <alignment horizontal="center" vertical="center"/>
    </xf>
    <xf numFmtId="0" fontId="15" fillId="2" borderId="1" xfId="61" applyFont="1" applyFill="1" applyBorder="1" applyAlignment="1">
      <alignment horizontal="center" vertical="center"/>
    </xf>
    <xf numFmtId="0" fontId="15" fillId="2" borderId="3" xfId="61" applyFont="1" applyFill="1" applyBorder="1" applyAlignment="1">
      <alignment horizontal="center" vertical="center"/>
    </xf>
    <xf numFmtId="0" fontId="2" fillId="2" borderId="11" xfId="61" applyFont="1" applyFill="1" applyBorder="1" applyAlignment="1">
      <alignment horizontal="left" vertical="center"/>
    </xf>
    <xf numFmtId="0" fontId="2" fillId="2" borderId="4" xfId="61" applyFont="1" applyFill="1" applyBorder="1" applyAlignment="1">
      <alignment horizontal="left" vertical="center"/>
    </xf>
    <xf numFmtId="0" fontId="0" fillId="0" borderId="5" xfId="0" applyBorder="1" applyAlignment="1"/>
    <xf numFmtId="0" fontId="17" fillId="2" borderId="3" xfId="61" applyFont="1" applyFill="1" applyBorder="1" applyAlignment="1">
      <alignment horizontal="left" vertical="center"/>
    </xf>
    <xf numFmtId="0" fontId="17" fillId="2" borderId="4" xfId="61" applyFont="1" applyFill="1" applyBorder="1" applyAlignment="1">
      <alignment horizontal="left" vertical="center"/>
    </xf>
    <xf numFmtId="0" fontId="18" fillId="0" borderId="3" xfId="33" applyFont="1" applyFill="1" applyBorder="1" applyAlignment="1">
      <alignment horizontal="left" vertical="center" wrapText="1"/>
    </xf>
    <xf numFmtId="0" fontId="18" fillId="0" borderId="4" xfId="33" applyFont="1" applyFill="1" applyBorder="1" applyAlignment="1">
      <alignment horizontal="left" vertical="center" wrapText="1"/>
    </xf>
    <xf numFmtId="0" fontId="5" fillId="0" borderId="1" xfId="33" applyFont="1" applyFill="1" applyBorder="1" applyAlignment="1">
      <alignment horizontal="left" vertical="center" wrapText="1"/>
    </xf>
    <xf numFmtId="0" fontId="5" fillId="0" borderId="1" xfId="33" applyFont="1" applyFill="1" applyBorder="1" applyAlignment="1">
      <alignment horizontal="center" vertical="center" wrapText="1"/>
    </xf>
    <xf numFmtId="0" fontId="5" fillId="0" borderId="1" xfId="33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0" xfId="33" applyFont="1" applyFill="1" applyBorder="1" applyAlignment="1">
      <alignment horizontal="center" vertical="center" wrapText="1"/>
    </xf>
    <xf numFmtId="0" fontId="5" fillId="0" borderId="0" xfId="33" applyFont="1" applyFill="1" applyBorder="1" applyAlignment="1">
      <alignment vertical="center" wrapText="1"/>
    </xf>
    <xf numFmtId="0" fontId="19" fillId="0" borderId="0" xfId="0" applyFont="1" applyFill="1" applyBorder="1">
      <alignment vertical="center"/>
    </xf>
    <xf numFmtId="0" fontId="19" fillId="0" borderId="0" xfId="0" applyFont="1" applyBorder="1">
      <alignment vertical="center"/>
    </xf>
    <xf numFmtId="0" fontId="5" fillId="0" borderId="0" xfId="33" applyFont="1" applyFill="1" applyBorder="1" applyAlignment="1">
      <alignment horizontal="left" vertical="center" wrapText="1"/>
    </xf>
    <xf numFmtId="0" fontId="2" fillId="0" borderId="3" xfId="33" applyFont="1" applyFill="1" applyBorder="1" applyAlignment="1">
      <alignment horizontal="left" vertical="center" wrapText="1"/>
    </xf>
    <xf numFmtId="0" fontId="2" fillId="0" borderId="4" xfId="33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7" fillId="2" borderId="0" xfId="6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2" fillId="2" borderId="13" xfId="61" applyFont="1" applyFill="1" applyBorder="1" applyAlignment="1">
      <alignment horizontal="left" vertical="center"/>
    </xf>
    <xf numFmtId="0" fontId="8" fillId="2" borderId="14" xfId="61" applyFont="1" applyFill="1" applyBorder="1" applyAlignment="1">
      <alignment horizontal="left" vertical="center"/>
    </xf>
    <xf numFmtId="0" fontId="14" fillId="2" borderId="1" xfId="61" applyFont="1" applyFill="1" applyBorder="1" applyAlignment="1">
      <alignment horizontal="center" vertical="center" wrapText="1"/>
    </xf>
    <xf numFmtId="0" fontId="8" fillId="2" borderId="1" xfId="61" applyFont="1" applyFill="1" applyBorder="1" applyAlignment="1">
      <alignment horizontal="center" vertical="center" wrapText="1"/>
    </xf>
    <xf numFmtId="0" fontId="8" fillId="2" borderId="15" xfId="61" applyFont="1" applyFill="1" applyBorder="1" applyAlignment="1">
      <alignment horizontal="center" vertical="center" wrapText="1"/>
    </xf>
    <xf numFmtId="0" fontId="15" fillId="2" borderId="1" xfId="61" applyFont="1" applyFill="1" applyBorder="1" applyAlignment="1">
      <alignment horizontal="left" vertical="center"/>
    </xf>
    <xf numFmtId="0" fontId="7" fillId="2" borderId="1" xfId="61" applyFont="1" applyFill="1" applyBorder="1" applyAlignment="1">
      <alignment horizontal="left" vertical="center"/>
    </xf>
    <xf numFmtId="0" fontId="7" fillId="2" borderId="15" xfId="61" applyFont="1" applyFill="1" applyBorder="1" applyAlignment="1">
      <alignment horizontal="center" vertical="center"/>
    </xf>
    <xf numFmtId="0" fontId="21" fillId="2" borderId="15" xfId="61" applyFont="1" applyFill="1" applyBorder="1" applyAlignment="1">
      <alignment horizontal="center" vertical="center"/>
    </xf>
    <xf numFmtId="183" fontId="7" fillId="2" borderId="15" xfId="61" applyNumberFormat="1" applyFont="1" applyFill="1" applyBorder="1" applyAlignment="1">
      <alignment horizontal="center" vertical="center"/>
    </xf>
    <xf numFmtId="2" fontId="8" fillId="6" borderId="15" xfId="61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8" fillId="0" borderId="0" xfId="61" applyFont="1" applyFill="1" applyBorder="1" applyAlignment="1">
      <alignment vertical="center"/>
    </xf>
    <xf numFmtId="0" fontId="13" fillId="0" borderId="0" xfId="61" applyFont="1" applyFill="1" applyBorder="1" applyAlignment="1">
      <alignment vertical="center"/>
    </xf>
    <xf numFmtId="0" fontId="0" fillId="0" borderId="16" xfId="0" applyFill="1" applyBorder="1" applyAlignment="1"/>
    <xf numFmtId="0" fontId="7" fillId="2" borderId="10" xfId="61" applyFont="1" applyFill="1" applyBorder="1" applyAlignment="1">
      <alignment horizontal="center" vertical="center" wrapText="1"/>
    </xf>
    <xf numFmtId="0" fontId="5" fillId="2" borderId="1" xfId="61" applyFont="1" applyFill="1" applyBorder="1" applyAlignment="1">
      <alignment horizontal="center" vertical="center" wrapText="1"/>
    </xf>
    <xf numFmtId="0" fontId="13" fillId="2" borderId="1" xfId="61" applyFont="1" applyFill="1" applyBorder="1" applyAlignment="1">
      <alignment horizontal="center" vertical="center" wrapText="1"/>
    </xf>
    <xf numFmtId="0" fontId="15" fillId="2" borderId="15" xfId="61" applyFont="1" applyFill="1" applyBorder="1" applyAlignment="1">
      <alignment horizontal="center" vertical="center" wrapText="1"/>
    </xf>
    <xf numFmtId="184" fontId="7" fillId="2" borderId="3" xfId="61" applyNumberFormat="1" applyFont="1" applyFill="1" applyBorder="1" applyAlignment="1">
      <alignment horizontal="center" vertical="center"/>
    </xf>
    <xf numFmtId="184" fontId="7" fillId="2" borderId="17" xfId="61" applyNumberFormat="1" applyFont="1" applyFill="1" applyBorder="1" applyAlignment="1">
      <alignment horizontal="center" vertical="center"/>
    </xf>
    <xf numFmtId="184" fontId="7" fillId="2" borderId="1" xfId="61" applyNumberFormat="1" applyFont="1" applyFill="1" applyBorder="1" applyAlignment="1">
      <alignment horizontal="center" vertical="center"/>
    </xf>
    <xf numFmtId="184" fontId="7" fillId="2" borderId="15" xfId="61" applyNumberFormat="1" applyFont="1" applyFill="1" applyBorder="1" applyAlignment="1">
      <alignment horizontal="center" vertical="center"/>
    </xf>
    <xf numFmtId="0" fontId="2" fillId="2" borderId="10" xfId="61" applyFont="1" applyFill="1" applyBorder="1" applyAlignment="1">
      <alignment horizontal="left" vertical="center"/>
    </xf>
    <xf numFmtId="185" fontId="8" fillId="6" borderId="1" xfId="61" applyNumberFormat="1" applyFont="1" applyFill="1" applyBorder="1" applyAlignment="1">
      <alignment horizontal="center" vertical="center"/>
    </xf>
    <xf numFmtId="185" fontId="8" fillId="6" borderId="15" xfId="61" applyNumberFormat="1" applyFont="1" applyFill="1" applyBorder="1" applyAlignment="1">
      <alignment horizontal="center" vertical="center"/>
    </xf>
    <xf numFmtId="0" fontId="17" fillId="2" borderId="10" xfId="61" applyFont="1" applyFill="1" applyBorder="1" applyAlignment="1">
      <alignment horizontal="left" vertical="center"/>
    </xf>
    <xf numFmtId="185" fontId="8" fillId="6" borderId="3" xfId="61" applyNumberFormat="1" applyFont="1" applyFill="1" applyBorder="1" applyAlignment="1">
      <alignment horizontal="center" vertical="center"/>
    </xf>
    <xf numFmtId="0" fontId="8" fillId="6" borderId="10" xfId="61" applyNumberFormat="1" applyFont="1" applyFill="1" applyBorder="1" applyAlignment="1">
      <alignment horizontal="center" vertical="center"/>
    </xf>
    <xf numFmtId="0" fontId="18" fillId="0" borderId="10" xfId="33" applyFont="1" applyFill="1" applyBorder="1" applyAlignment="1">
      <alignment horizontal="left" vertical="center" wrapText="1"/>
    </xf>
    <xf numFmtId="0" fontId="19" fillId="0" borderId="16" xfId="0" applyFont="1" applyBorder="1">
      <alignment vertical="center"/>
    </xf>
    <xf numFmtId="0" fontId="2" fillId="0" borderId="10" xfId="33" applyFont="1" applyFill="1" applyBorder="1" applyAlignment="1">
      <alignment horizontal="left" vertical="center" wrapText="1"/>
    </xf>
    <xf numFmtId="0" fontId="19" fillId="0" borderId="16" xfId="0" applyFont="1" applyFill="1" applyBorder="1">
      <alignment vertical="center"/>
    </xf>
    <xf numFmtId="185" fontId="20" fillId="6" borderId="1" xfId="0" applyNumberFormat="1" applyFont="1" applyFill="1" applyBorder="1" applyAlignment="1">
      <alignment horizontal="center" vertical="center"/>
    </xf>
    <xf numFmtId="0" fontId="17" fillId="0" borderId="0" xfId="6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63" applyFont="1" applyAlignment="1">
      <alignment vertical="center" wrapText="1"/>
    </xf>
    <xf numFmtId="0" fontId="10" fillId="0" borderId="1" xfId="63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2" fontId="24" fillId="0" borderId="1" xfId="63" applyNumberFormat="1" applyFont="1" applyBorder="1" applyAlignment="1">
      <alignment horizontal="center" vertical="center" wrapText="1"/>
    </xf>
    <xf numFmtId="9" fontId="24" fillId="0" borderId="1" xfId="12" applyNumberFormat="1" applyFont="1" applyBorder="1" applyAlignment="1">
      <alignment horizontal="center" vertical="center" wrapText="1"/>
    </xf>
    <xf numFmtId="0" fontId="24" fillId="0" borderId="1" xfId="63" applyFont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24" fillId="0" borderId="1" xfId="63" applyFont="1" applyBorder="1" applyAlignment="1">
      <alignment vertical="center" wrapText="1"/>
    </xf>
    <xf numFmtId="0" fontId="24" fillId="0" borderId="0" xfId="63" applyFont="1" applyBorder="1" applyAlignment="1">
      <alignment horizontal="center" vertical="center" wrapText="1"/>
    </xf>
    <xf numFmtId="0" fontId="25" fillId="0" borderId="0" xfId="63" applyFont="1" applyBorder="1" applyAlignment="1">
      <alignment vertical="center" wrapText="1"/>
    </xf>
    <xf numFmtId="0" fontId="0" fillId="0" borderId="0" xfId="63" applyFont="1" applyBorder="1" applyAlignment="1">
      <alignment vertical="center" wrapText="1"/>
    </xf>
    <xf numFmtId="0" fontId="24" fillId="0" borderId="0" xfId="63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6" fillId="0" borderId="3" xfId="58" applyFont="1" applyFill="1" applyBorder="1" applyAlignment="1">
      <alignment horizontal="center" vertical="center"/>
    </xf>
    <xf numFmtId="0" fontId="26" fillId="0" borderId="4" xfId="58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7" fillId="0" borderId="3" xfId="59" applyFont="1" applyFill="1" applyBorder="1" applyAlignment="1">
      <alignment horizontal="center" vertical="center" wrapText="1"/>
    </xf>
    <xf numFmtId="0" fontId="27" fillId="0" borderId="4" xfId="59" applyFont="1" applyFill="1" applyBorder="1" applyAlignment="1">
      <alignment horizontal="center" vertical="center" wrapText="1"/>
    </xf>
    <xf numFmtId="0" fontId="27" fillId="0" borderId="1" xfId="59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43" fontId="29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  <xf numFmtId="184" fontId="24" fillId="0" borderId="1" xfId="0" applyNumberFormat="1" applyFont="1" applyBorder="1">
      <alignment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30" fillId="0" borderId="0" xfId="0" applyFont="1" applyAlignment="1">
      <alignment horizontal="left" vertical="center" readingOrder="1"/>
    </xf>
    <xf numFmtId="182" fontId="31" fillId="0" borderId="0" xfId="0" applyNumberFormat="1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3" xfId="0" applyFont="1" applyBorder="1">
      <alignment vertical="center"/>
    </xf>
    <xf numFmtId="18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6" fillId="0" borderId="10" xfId="58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33" fillId="0" borderId="1" xfId="59" applyNumberFormat="1" applyFont="1" applyFill="1" applyBorder="1" applyAlignment="1">
      <alignment horizontal="center" vertical="center" wrapText="1"/>
    </xf>
    <xf numFmtId="0" fontId="33" fillId="0" borderId="1" xfId="59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3" fillId="0" borderId="1" xfId="58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2" fontId="28" fillId="0" borderId="18" xfId="0" applyNumberFormat="1" applyFont="1" applyFill="1" applyBorder="1" applyAlignment="1">
      <alignment horizontal="center" vertical="center"/>
    </xf>
    <xf numFmtId="186" fontId="28" fillId="0" borderId="18" xfId="0" applyNumberFormat="1" applyFont="1" applyFill="1" applyBorder="1" applyAlignment="1">
      <alignment horizontal="center" vertical="center"/>
    </xf>
    <xf numFmtId="2" fontId="28" fillId="0" borderId="18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76" fontId="28" fillId="0" borderId="18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2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4" fillId="3" borderId="1" xfId="58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3" borderId="1" xfId="0" applyFill="1" applyBorder="1">
      <alignment vertical="center"/>
    </xf>
    <xf numFmtId="0" fontId="35" fillId="3" borderId="1" xfId="5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 wrapText="1"/>
    </xf>
    <xf numFmtId="0" fontId="33" fillId="0" borderId="1" xfId="58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3" fontId="33" fillId="0" borderId="1" xfId="58" applyNumberFormat="1" applyFont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2" fillId="2" borderId="1" xfId="58" applyFont="1" applyFill="1" applyBorder="1" applyAlignment="1">
      <alignment horizontal="center" vertical="center" wrapText="1"/>
    </xf>
    <xf numFmtId="43" fontId="0" fillId="0" borderId="1" xfId="0" applyNumberFormat="1" applyBorder="1">
      <alignment vertical="center"/>
    </xf>
    <xf numFmtId="0" fontId="13" fillId="2" borderId="1" xfId="58" applyFont="1" applyFill="1" applyBorder="1" applyAlignment="1">
      <alignment vertical="center" wrapText="1"/>
    </xf>
    <xf numFmtId="0" fontId="35" fillId="0" borderId="13" xfId="58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 wrapText="1"/>
    </xf>
    <xf numFmtId="0" fontId="5" fillId="0" borderId="3" xfId="58" applyFont="1" applyFill="1" applyBorder="1" applyAlignment="1">
      <alignment horizontal="center" vertical="center" wrapText="1"/>
    </xf>
    <xf numFmtId="0" fontId="5" fillId="0" borderId="10" xfId="58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5" fillId="0" borderId="18" xfId="58" applyFont="1" applyFill="1" applyBorder="1" applyAlignment="1">
      <alignment horizontal="center" vertical="center" wrapText="1"/>
    </xf>
    <xf numFmtId="0" fontId="13" fillId="2" borderId="1" xfId="58" applyFont="1" applyFill="1" applyBorder="1" applyAlignment="1">
      <alignment horizontal="left" vertical="center"/>
    </xf>
    <xf numFmtId="0" fontId="5" fillId="0" borderId="0" xfId="58" applyFont="1" applyFill="1" applyBorder="1" applyAlignment="1">
      <alignment horizontal="center" vertical="center" wrapText="1"/>
    </xf>
    <xf numFmtId="0" fontId="13" fillId="0" borderId="0" xfId="58" applyFont="1" applyFill="1" applyBorder="1" applyAlignment="1">
      <alignment horizontal="left" vertical="center"/>
    </xf>
    <xf numFmtId="0" fontId="13" fillId="0" borderId="0" xfId="58" applyFont="1" applyFill="1" applyBorder="1" applyAlignment="1">
      <alignment vertical="center" wrapText="1"/>
    </xf>
    <xf numFmtId="0" fontId="36" fillId="0" borderId="0" xfId="58" applyFont="1" applyFill="1" applyBorder="1" applyAlignment="1">
      <alignment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3" fillId="0" borderId="0" xfId="58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2" fontId="33" fillId="3" borderId="1" xfId="58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>
      <alignment vertical="center"/>
    </xf>
    <xf numFmtId="182" fontId="38" fillId="6" borderId="1" xfId="58" applyNumberFormat="1" applyFont="1" applyFill="1" applyBorder="1" applyAlignment="1">
      <alignment horizontal="center" vertical="center" wrapText="1"/>
    </xf>
    <xf numFmtId="0" fontId="5" fillId="0" borderId="4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vertical="center" wrapText="1"/>
    </xf>
    <xf numFmtId="182" fontId="13" fillId="3" borderId="1" xfId="58" applyNumberFormat="1" applyFont="1" applyFill="1" applyBorder="1" applyAlignment="1">
      <alignment horizontal="center" vertical="center" wrapText="1"/>
    </xf>
    <xf numFmtId="0" fontId="13" fillId="2" borderId="1" xfId="58" applyFont="1" applyFill="1" applyBorder="1" applyAlignment="1">
      <alignment horizontal="center" vertical="center"/>
    </xf>
    <xf numFmtId="0" fontId="38" fillId="2" borderId="1" xfId="58" applyFont="1" applyFill="1" applyBorder="1" applyAlignment="1">
      <alignment horizontal="center" vertical="center"/>
    </xf>
    <xf numFmtId="0" fontId="13" fillId="0" borderId="0" xfId="58" applyFont="1" applyFill="1" applyBorder="1" applyAlignment="1">
      <alignment vertical="center"/>
    </xf>
    <xf numFmtId="0" fontId="38" fillId="0" borderId="0" xfId="58" applyFont="1" applyFill="1" applyBorder="1" applyAlignment="1">
      <alignment horizontal="right" vertical="center"/>
    </xf>
    <xf numFmtId="0" fontId="37" fillId="0" borderId="10" xfId="0" applyFont="1" applyBorder="1" applyAlignment="1">
      <alignment horizontal="center" vertical="center"/>
    </xf>
    <xf numFmtId="0" fontId="33" fillId="2" borderId="1" xfId="58" applyFont="1" applyFill="1" applyBorder="1" applyAlignment="1">
      <alignment vertical="top" wrapText="1"/>
    </xf>
    <xf numFmtId="0" fontId="13" fillId="2" borderId="1" xfId="58" applyFont="1" applyFill="1" applyBorder="1" applyAlignment="1">
      <alignment vertical="center"/>
    </xf>
    <xf numFmtId="0" fontId="38" fillId="0" borderId="1" xfId="58" applyFont="1" applyFill="1" applyBorder="1" applyAlignment="1">
      <alignment horizontal="right" vertical="center"/>
    </xf>
    <xf numFmtId="182" fontId="39" fillId="0" borderId="0" xfId="58" applyNumberFormat="1" applyFont="1" applyFill="1" applyBorder="1" applyAlignment="1">
      <alignment vertical="center" wrapText="1"/>
    </xf>
    <xf numFmtId="0" fontId="37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83" fontId="0" fillId="0" borderId="0" xfId="0" applyNumberFormat="1" applyFont="1" applyFill="1" applyAlignment="1">
      <alignment vertical="center"/>
    </xf>
    <xf numFmtId="0" fontId="26" fillId="0" borderId="1" xfId="58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3" fillId="0" borderId="3" xfId="58" applyFont="1" applyFill="1" applyBorder="1" applyAlignment="1">
      <alignment vertical="center"/>
    </xf>
    <xf numFmtId="0" fontId="33" fillId="0" borderId="4" xfId="58" applyFont="1" applyFill="1" applyBorder="1" applyAlignment="1">
      <alignment vertical="center"/>
    </xf>
    <xf numFmtId="0" fontId="33" fillId="0" borderId="10" xfId="58" applyFont="1" applyFill="1" applyBorder="1" applyAlignment="1">
      <alignment vertical="center"/>
    </xf>
    <xf numFmtId="0" fontId="33" fillId="0" borderId="1" xfId="58" applyFont="1" applyFill="1" applyBorder="1" applyAlignment="1">
      <alignment vertical="center"/>
    </xf>
    <xf numFmtId="0" fontId="33" fillId="0" borderId="1" xfId="58" applyFont="1" applyFill="1" applyBorder="1" applyAlignment="1">
      <alignment horizontal="center" vertical="center"/>
    </xf>
    <xf numFmtId="0" fontId="11" fillId="0" borderId="3" xfId="58" applyFont="1" applyFill="1" applyBorder="1" applyAlignment="1">
      <alignment horizontal="center" vertical="center"/>
    </xf>
    <xf numFmtId="0" fontId="11" fillId="0" borderId="4" xfId="58" applyFont="1" applyFill="1" applyBorder="1" applyAlignment="1">
      <alignment horizontal="center" vertical="center"/>
    </xf>
    <xf numFmtId="0" fontId="11" fillId="0" borderId="10" xfId="58" applyFont="1" applyFill="1" applyBorder="1" applyAlignment="1">
      <alignment horizontal="center" vertical="center"/>
    </xf>
    <xf numFmtId="0" fontId="33" fillId="0" borderId="1" xfId="58" applyFont="1" applyFill="1" applyBorder="1" applyAlignment="1">
      <alignment vertical="center" wrapText="1"/>
    </xf>
    <xf numFmtId="0" fontId="11" fillId="0" borderId="0" xfId="58" applyFont="1" applyFill="1" applyBorder="1" applyAlignment="1">
      <alignment horizontal="center" vertical="center"/>
    </xf>
    <xf numFmtId="0" fontId="33" fillId="0" borderId="0" xfId="58" applyFont="1" applyFill="1" applyBorder="1" applyAlignment="1">
      <alignment horizontal="center" vertical="center" wrapText="1"/>
    </xf>
    <xf numFmtId="0" fontId="33" fillId="0" borderId="0" xfId="5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3" fontId="11" fillId="0" borderId="1" xfId="0" applyNumberFormat="1" applyFont="1" applyFill="1" applyBorder="1" applyAlignment="1">
      <alignment horizontal="left" vertical="center"/>
    </xf>
    <xf numFmtId="183" fontId="11" fillId="3" borderId="4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183" fontId="33" fillId="0" borderId="1" xfId="58" applyNumberFormat="1" applyFont="1" applyFill="1" applyBorder="1" applyAlignment="1">
      <alignment horizontal="center" vertical="center" wrapText="1"/>
    </xf>
    <xf numFmtId="183" fontId="5" fillId="2" borderId="1" xfId="5" applyNumberFormat="1" applyFont="1" applyFill="1" applyBorder="1" applyAlignment="1">
      <alignment horizontal="center" vertical="center"/>
    </xf>
    <xf numFmtId="9" fontId="33" fillId="0" borderId="1" xfId="12" applyFont="1" applyFill="1" applyBorder="1" applyAlignment="1">
      <alignment horizontal="center" vertical="center" wrapText="1"/>
    </xf>
    <xf numFmtId="183" fontId="5" fillId="3" borderId="1" xfId="5" applyNumberFormat="1" applyFont="1" applyFill="1" applyBorder="1" applyAlignment="1">
      <alignment horizontal="center" vertical="center"/>
    </xf>
    <xf numFmtId="183" fontId="33" fillId="0" borderId="1" xfId="58" applyNumberFormat="1" applyFont="1" applyBorder="1" applyAlignment="1">
      <alignment horizontal="center" vertical="center" wrapText="1"/>
    </xf>
    <xf numFmtId="183" fontId="33" fillId="0" borderId="1" xfId="58" applyNumberFormat="1" applyFont="1" applyFill="1" applyBorder="1" applyAlignment="1">
      <alignment vertical="center"/>
    </xf>
    <xf numFmtId="2" fontId="33" fillId="0" borderId="1" xfId="58" applyNumberFormat="1" applyFont="1" applyFill="1" applyBorder="1" applyAlignment="1">
      <alignment horizontal="center" vertical="center" wrapText="1"/>
    </xf>
    <xf numFmtId="183" fontId="33" fillId="0" borderId="1" xfId="58" applyNumberFormat="1" applyFont="1" applyFill="1" applyBorder="1" applyAlignment="1">
      <alignment horizontal="center" vertical="center"/>
    </xf>
    <xf numFmtId="182" fontId="11" fillId="6" borderId="1" xfId="58" applyNumberFormat="1" applyFont="1" applyFill="1" applyBorder="1" applyAlignment="1">
      <alignment horizontal="center" vertical="center" wrapText="1"/>
    </xf>
    <xf numFmtId="9" fontId="11" fillId="6" borderId="1" xfId="12" applyFont="1" applyFill="1" applyBorder="1" applyAlignment="1">
      <alignment horizontal="center" vertical="center" wrapText="1"/>
    </xf>
    <xf numFmtId="0" fontId="11" fillId="0" borderId="1" xfId="58" applyFont="1" applyFill="1" applyBorder="1" applyAlignment="1">
      <alignment horizontal="center" vertical="center" wrapText="1"/>
    </xf>
    <xf numFmtId="183" fontId="33" fillId="0" borderId="0" xfId="58" applyNumberFormat="1" applyFont="1" applyFill="1" applyBorder="1" applyAlignment="1">
      <alignment horizontal="center" vertical="center"/>
    </xf>
    <xf numFmtId="0" fontId="33" fillId="0" borderId="0" xfId="58" applyFont="1" applyFill="1" applyBorder="1" applyAlignment="1">
      <alignment horizontal="center" vertical="center"/>
    </xf>
    <xf numFmtId="182" fontId="11" fillId="0" borderId="0" xfId="58" applyNumberFormat="1" applyFont="1" applyFill="1" applyBorder="1" applyAlignment="1">
      <alignment horizontal="center" vertical="center" wrapText="1"/>
    </xf>
    <xf numFmtId="9" fontId="11" fillId="0" borderId="0" xfId="12" applyFont="1" applyFill="1" applyBorder="1" applyAlignment="1">
      <alignment horizontal="center" vertical="center" wrapText="1"/>
    </xf>
    <xf numFmtId="0" fontId="11" fillId="0" borderId="0" xfId="58" applyFont="1" applyFill="1" applyBorder="1" applyAlignment="1">
      <alignment horizontal="center" vertical="center" wrapText="1"/>
    </xf>
    <xf numFmtId="183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84" fontId="33" fillId="0" borderId="1" xfId="58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/>
    <xf numFmtId="0" fontId="40" fillId="2" borderId="0" xfId="62" applyFont="1" applyFill="1" applyBorder="1" applyAlignment="1" applyProtection="1">
      <alignment horizontal="center" vertical="center"/>
      <protection locked="0"/>
    </xf>
    <xf numFmtId="0" fontId="2" fillId="2" borderId="3" xfId="62" applyFont="1" applyFill="1" applyBorder="1" applyAlignment="1" applyProtection="1">
      <alignment vertical="center"/>
      <protection locked="0"/>
    </xf>
    <xf numFmtId="0" fontId="2" fillId="2" borderId="4" xfId="62" applyFont="1" applyFill="1" applyBorder="1" applyAlignment="1" applyProtection="1">
      <alignment horizontal="center" vertical="center"/>
      <protection locked="0"/>
    </xf>
    <xf numFmtId="0" fontId="2" fillId="2" borderId="10" xfId="62" applyFont="1" applyFill="1" applyBorder="1" applyAlignment="1" applyProtection="1">
      <alignment horizontal="center" vertical="center"/>
      <protection locked="0"/>
    </xf>
    <xf numFmtId="0" fontId="2" fillId="2" borderId="10" xfId="62" applyFont="1" applyFill="1" applyBorder="1" applyAlignment="1" applyProtection="1">
      <alignment vertical="center"/>
      <protection locked="0"/>
    </xf>
    <xf numFmtId="0" fontId="2" fillId="2" borderId="3" xfId="62" applyFont="1" applyFill="1" applyBorder="1" applyAlignment="1" applyProtection="1">
      <alignment horizontal="left" vertical="center"/>
      <protection locked="0"/>
    </xf>
    <xf numFmtId="0" fontId="2" fillId="2" borderId="4" xfId="62" applyFont="1" applyFill="1" applyBorder="1" applyAlignment="1" applyProtection="1">
      <alignment horizontal="left" vertical="center"/>
      <protection locked="0"/>
    </xf>
    <xf numFmtId="0" fontId="2" fillId="2" borderId="1" xfId="62" applyFont="1" applyFill="1" applyBorder="1" applyAlignment="1" applyProtection="1">
      <alignment horizontal="left" vertical="center"/>
      <protection locked="0"/>
    </xf>
    <xf numFmtId="0" fontId="2" fillId="7" borderId="1" xfId="62" applyFont="1" applyFill="1" applyBorder="1" applyAlignment="1" applyProtection="1">
      <alignment horizontal="left" vertical="center"/>
      <protection locked="0"/>
    </xf>
    <xf numFmtId="0" fontId="2" fillId="8" borderId="1" xfId="62" applyFont="1" applyFill="1" applyBorder="1" applyAlignment="1" applyProtection="1">
      <alignment horizontal="left" vertical="center"/>
      <protection locked="0"/>
    </xf>
    <xf numFmtId="1" fontId="2" fillId="8" borderId="3" xfId="62" applyNumberFormat="1" applyFont="1" applyFill="1" applyBorder="1" applyAlignment="1" applyProtection="1">
      <alignment horizontal="center" vertical="center"/>
      <protection locked="0"/>
    </xf>
    <xf numFmtId="1" fontId="2" fillId="8" borderId="10" xfId="62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2" fillId="8" borderId="3" xfId="62" applyFont="1" applyFill="1" applyBorder="1" applyAlignment="1" applyProtection="1">
      <alignment horizontal="center" vertical="center"/>
      <protection locked="0"/>
    </xf>
    <xf numFmtId="0" fontId="2" fillId="8" borderId="10" xfId="62" applyFont="1" applyFill="1" applyBorder="1" applyAlignment="1" applyProtection="1">
      <alignment horizontal="center" vertical="center"/>
      <protection locked="0"/>
    </xf>
    <xf numFmtId="0" fontId="19" fillId="8" borderId="1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center" vertical="center"/>
    </xf>
    <xf numFmtId="0" fontId="2" fillId="8" borderId="2" xfId="62" applyFont="1" applyFill="1" applyBorder="1" applyAlignment="1" applyProtection="1">
      <alignment horizontal="left" vertical="center"/>
      <protection locked="0"/>
    </xf>
    <xf numFmtId="0" fontId="2" fillId="8" borderId="19" xfId="0" applyFont="1" applyFill="1" applyBorder="1" applyAlignment="1">
      <alignment horizontal="left" vertical="center" wrapText="1"/>
    </xf>
    <xf numFmtId="0" fontId="19" fillId="8" borderId="19" xfId="0" applyFont="1" applyFill="1" applyBorder="1" applyAlignment="1">
      <alignment horizontal="left" vertical="center"/>
    </xf>
    <xf numFmtId="0" fontId="19" fillId="8" borderId="19" xfId="0" applyFont="1" applyFill="1" applyBorder="1" applyAlignment="1">
      <alignment horizontal="center" vertical="center"/>
    </xf>
    <xf numFmtId="0" fontId="5" fillId="0" borderId="20" xfId="62" applyFont="1" applyFill="1" applyBorder="1" applyAlignment="1" applyProtection="1">
      <alignment horizontal="center" vertical="center"/>
      <protection locked="0"/>
    </xf>
    <xf numFmtId="0" fontId="5" fillId="0" borderId="21" xfId="62" applyFont="1" applyFill="1" applyBorder="1" applyAlignment="1" applyProtection="1">
      <alignment horizontal="center" vertical="center"/>
      <protection locked="0"/>
    </xf>
    <xf numFmtId="0" fontId="5" fillId="0" borderId="1" xfId="62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9" borderId="1" xfId="62" applyFont="1" applyFill="1" applyBorder="1" applyAlignment="1" applyProtection="1">
      <alignment horizontal="left" vertical="center" wrapText="1"/>
      <protection locked="0"/>
    </xf>
    <xf numFmtId="2" fontId="5" fillId="9" borderId="1" xfId="62" applyNumberFormat="1" applyFont="1" applyFill="1" applyBorder="1" applyAlignment="1" applyProtection="1">
      <alignment horizontal="center" vertical="center" wrapText="1"/>
      <protection locked="0"/>
    </xf>
    <xf numFmtId="9" fontId="19" fillId="9" borderId="1" xfId="12" applyFont="1" applyFill="1" applyBorder="1" applyAlignment="1">
      <alignment horizontal="center" vertical="center"/>
    </xf>
    <xf numFmtId="0" fontId="5" fillId="2" borderId="1" xfId="62" applyFont="1" applyFill="1" applyBorder="1" applyAlignment="1" applyProtection="1">
      <alignment horizontal="center" vertical="center"/>
      <protection locked="0"/>
    </xf>
    <xf numFmtId="2" fontId="5" fillId="2" borderId="1" xfId="62" applyNumberFormat="1" applyFont="1" applyFill="1" applyBorder="1" applyAlignment="1" applyProtection="1">
      <alignment horizontal="center" vertical="center"/>
      <protection locked="0"/>
    </xf>
    <xf numFmtId="9" fontId="19" fillId="0" borderId="1" xfId="12" applyFont="1" applyFill="1" applyBorder="1" applyAlignment="1">
      <alignment horizontal="center" vertical="center"/>
    </xf>
    <xf numFmtId="2" fontId="5" fillId="0" borderId="1" xfId="6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2" fillId="2" borderId="10" xfId="62" applyFont="1" applyFill="1" applyBorder="1" applyAlignment="1" applyProtection="1">
      <alignment horizontal="left" vertical="center"/>
      <protection locked="0"/>
    </xf>
    <xf numFmtId="0" fontId="5" fillId="0" borderId="22" xfId="62" applyFont="1" applyFill="1" applyBorder="1" applyAlignment="1" applyProtection="1">
      <alignment horizontal="center" vertical="center"/>
      <protection locked="0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上汽汽车零部件包装，运输仓储费用报价表 " xfId="33"/>
    <cellStyle name="汇总" xfId="34" builtinId="25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Pourcentage_VA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Monétaire_matière" xfId="56"/>
    <cellStyle name="Normal_matière" xfId="57"/>
    <cellStyle name="常规 2" xfId="58"/>
    <cellStyle name="常规 3" xfId="59"/>
    <cellStyle name="常规 4" xfId="60"/>
    <cellStyle name="常规_包装报价表1" xfId="61"/>
    <cellStyle name="常规_产品报价单" xfId="62"/>
    <cellStyle name="常规_东风神龙成本报价单（中文版）" xfId="63"/>
    <cellStyle name="货币 2" xfId="64"/>
    <cellStyle name="千位分隔 2" xfId="65"/>
    <cellStyle name="千位分隔 3" xfId="66"/>
    <cellStyle name="样式 1" xfId="67"/>
    <cellStyle name="一般_自制件明细 0729" xfId="68"/>
  </cellStyles>
  <tableStyles count="0" defaultTableStyle="TableStyleMedium9" defaultPivotStyle="PivotStyleLight16"/>
  <colors>
    <mruColors>
      <color rgb="00FFFF99"/>
      <color rgb="000000CC"/>
      <color rgb="00FFFFCC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57151</xdr:colOff>
      <xdr:row>0</xdr:row>
      <xdr:rowOff>28575</xdr:rowOff>
    </xdr:from>
    <xdr:to>
      <xdr:col>1</xdr:col>
      <xdr:colOff>95250</xdr:colOff>
      <xdr:row>0</xdr:row>
      <xdr:rowOff>409575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" y="28575"/>
          <a:ext cx="124333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2352;&#26885;\&#27431;&#26364;&#24231;&#26885;&#23450;&#20215;\&#31119;&#30000;&#25253;&#20215;\P1681010135A0&#39550;&#39542;&#21592;&#24231;&#26885;&#24635;&#251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2">
          <cell r="C2" t="str">
            <v>北京光华荣昌汽车部件有限公司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view="pageBreakPreview" zoomScale="85" zoomScaleNormal="100" workbookViewId="0">
      <selection activeCell="D3" sqref="D3:E3"/>
    </sheetView>
  </sheetViews>
  <sheetFormatPr defaultColWidth="9" defaultRowHeight="14"/>
  <cols>
    <col min="1" max="1" width="17.2545454545455" customWidth="1"/>
    <col min="2" max="2" width="12.6272727272727" customWidth="1"/>
    <col min="3" max="3" width="15" customWidth="1"/>
    <col min="4" max="4" width="12.1272727272727" customWidth="1"/>
    <col min="5" max="8" width="10.8727272727273" customWidth="1"/>
    <col min="9" max="9" width="13.2545454545455" customWidth="1"/>
  </cols>
  <sheetData>
    <row r="1" s="96" customFormat="1" ht="33" customHeight="1" spans="1:9">
      <c r="A1" s="323" t="s">
        <v>0</v>
      </c>
      <c r="B1" s="323"/>
      <c r="C1" s="323"/>
      <c r="D1" s="323"/>
      <c r="E1" s="323"/>
      <c r="F1" s="323"/>
      <c r="G1" s="323"/>
      <c r="H1" s="323"/>
      <c r="I1" s="323"/>
    </row>
    <row r="2" s="321" customFormat="1" ht="20.25" customHeight="1" spans="1:9">
      <c r="A2" s="324" t="s">
        <v>1</v>
      </c>
      <c r="B2" s="325" t="str">
        <f>原材料明细!C2</f>
        <v>北京光华荣昌汽车部件有限公司</v>
      </c>
      <c r="C2" s="326"/>
      <c r="D2" s="324" t="s">
        <v>2</v>
      </c>
      <c r="E2" s="327" t="str">
        <f>原材料明细!J2</f>
        <v>EVC3</v>
      </c>
      <c r="F2" s="328" t="s">
        <v>3</v>
      </c>
      <c r="G2" s="329"/>
      <c r="H2" s="329"/>
      <c r="I2" s="360"/>
    </row>
    <row r="3" s="321" customFormat="1" ht="20.25" customHeight="1" spans="1:9">
      <c r="A3" s="330" t="s">
        <v>4</v>
      </c>
      <c r="B3" s="330"/>
      <c r="C3" s="330"/>
      <c r="D3" s="324" t="s">
        <v>5</v>
      </c>
      <c r="E3" s="327"/>
      <c r="F3" s="331" t="s">
        <v>6</v>
      </c>
      <c r="G3" s="331"/>
      <c r="H3" s="330" t="str">
        <f>原材料明细!N3</f>
        <v>报价填写日期: 2022-3-4</v>
      </c>
      <c r="I3" s="330"/>
    </row>
    <row r="4" s="321" customFormat="1" ht="20.25" customHeight="1" spans="1:9">
      <c r="A4" s="332" t="s">
        <v>7</v>
      </c>
      <c r="B4" s="333" t="str">
        <f>原材料明细!C3</f>
        <v>X168100000004</v>
      </c>
      <c r="C4" s="334"/>
      <c r="D4" s="335" t="s">
        <v>8</v>
      </c>
      <c r="E4" s="336" t="s">
        <v>9</v>
      </c>
      <c r="F4" s="336" t="s">
        <v>10</v>
      </c>
      <c r="G4" s="336" t="s">
        <v>11</v>
      </c>
      <c r="H4" s="336" t="s">
        <v>12</v>
      </c>
      <c r="I4" s="336" t="s">
        <v>13</v>
      </c>
    </row>
    <row r="5" s="321" customFormat="1" ht="20.25" customHeight="1" spans="1:9">
      <c r="A5" s="332" t="s">
        <v>14</v>
      </c>
      <c r="B5" s="337" t="s">
        <v>15</v>
      </c>
      <c r="C5" s="338"/>
      <c r="D5" s="335" t="s">
        <v>16</v>
      </c>
      <c r="E5" s="339"/>
      <c r="F5" s="339"/>
      <c r="G5" s="339"/>
      <c r="H5" s="339"/>
      <c r="I5" s="339"/>
    </row>
    <row r="6" s="321" customFormat="1" ht="20.25" customHeight="1" spans="1:9">
      <c r="A6" s="332" t="s">
        <v>17</v>
      </c>
      <c r="B6" s="332"/>
      <c r="C6" s="332"/>
      <c r="D6" s="340" t="s">
        <v>18</v>
      </c>
      <c r="E6" s="341"/>
      <c r="F6" s="342"/>
      <c r="G6" s="342"/>
      <c r="H6" s="342"/>
      <c r="I6" s="342"/>
    </row>
    <row r="7" s="321" customFormat="1" ht="20.25" customHeight="1" spans="1:9">
      <c r="A7" s="343" t="s">
        <v>19</v>
      </c>
      <c r="B7" s="343"/>
      <c r="C7" s="343"/>
      <c r="D7" s="344"/>
      <c r="E7" s="345"/>
      <c r="F7" s="346"/>
      <c r="G7" s="346"/>
      <c r="H7" s="346"/>
      <c r="I7" s="346"/>
    </row>
    <row r="8" ht="21.75" customHeight="1" spans="1:9">
      <c r="A8" s="347" t="s">
        <v>20</v>
      </c>
      <c r="B8" s="348"/>
      <c r="C8" s="348"/>
      <c r="D8" s="348"/>
      <c r="E8" s="348"/>
      <c r="F8" s="348"/>
      <c r="G8" s="348"/>
      <c r="H8" s="348"/>
      <c r="I8" s="361"/>
    </row>
    <row r="9" ht="21.75" customHeight="1" spans="1:9">
      <c r="A9" s="349" t="s">
        <v>21</v>
      </c>
      <c r="B9" s="349" t="s">
        <v>22</v>
      </c>
      <c r="C9" s="349"/>
      <c r="D9" s="349" t="s">
        <v>23</v>
      </c>
      <c r="E9" s="349"/>
      <c r="F9" s="350" t="s">
        <v>24</v>
      </c>
      <c r="G9" s="350"/>
      <c r="H9" s="80" t="s">
        <v>25</v>
      </c>
      <c r="I9" s="80"/>
    </row>
    <row r="10" ht="21.75" customHeight="1" spans="1:9">
      <c r="A10" s="351" t="s">
        <v>26</v>
      </c>
      <c r="B10" s="351"/>
      <c r="C10" s="351"/>
      <c r="D10" s="352">
        <f>D11+D12</f>
        <v>370.8831482</v>
      </c>
      <c r="E10" s="352"/>
      <c r="F10" s="353">
        <f>D10/D$27</f>
        <v>0.534447685450719</v>
      </c>
      <c r="G10" s="353"/>
      <c r="H10" s="80"/>
      <c r="I10" s="80"/>
    </row>
    <row r="11" ht="21.75" customHeight="1" spans="1:9">
      <c r="A11" s="354">
        <v>1</v>
      </c>
      <c r="B11" s="349" t="s">
        <v>27</v>
      </c>
      <c r="C11" s="349"/>
      <c r="D11" s="355">
        <f>原材料明细!R28</f>
        <v>107.1368482</v>
      </c>
      <c r="E11" s="355"/>
      <c r="F11" s="356">
        <f t="shared" ref="F11:F27" si="0">D11/D$27</f>
        <v>0.15438566250548</v>
      </c>
      <c r="G11" s="356"/>
      <c r="H11" s="80"/>
      <c r="I11" s="80"/>
    </row>
    <row r="12" ht="21.75" customHeight="1" spans="1:9">
      <c r="A12" s="354">
        <v>2</v>
      </c>
      <c r="B12" s="349" t="s">
        <v>28</v>
      </c>
      <c r="C12" s="349"/>
      <c r="D12" s="355">
        <f>外购外协件明细!P31</f>
        <v>263.7463</v>
      </c>
      <c r="E12" s="355"/>
      <c r="F12" s="356">
        <f t="shared" si="0"/>
        <v>0.380062022945239</v>
      </c>
      <c r="G12" s="356"/>
      <c r="H12" s="80"/>
      <c r="I12" s="80"/>
    </row>
    <row r="13" ht="21.75" customHeight="1" spans="1:9">
      <c r="A13" s="351" t="s">
        <v>29</v>
      </c>
      <c r="B13" s="351"/>
      <c r="C13" s="351"/>
      <c r="D13" s="352">
        <f>加工明细!P11</f>
        <v>70.97</v>
      </c>
      <c r="E13" s="352"/>
      <c r="F13" s="353">
        <f t="shared" si="0"/>
        <v>0.102268739953598</v>
      </c>
      <c r="G13" s="353"/>
      <c r="H13" s="80"/>
      <c r="I13" s="80"/>
    </row>
    <row r="14" ht="21.75" customHeight="1" spans="1:9">
      <c r="A14" s="351" t="s">
        <v>30</v>
      </c>
      <c r="B14" s="351"/>
      <c r="C14" s="351"/>
      <c r="D14" s="352">
        <f>加工明细!Q11</f>
        <v>75.6993264991182</v>
      </c>
      <c r="E14" s="352"/>
      <c r="F14" s="353">
        <f t="shared" si="0"/>
        <v>0.109083764074973</v>
      </c>
      <c r="G14" s="353"/>
      <c r="H14" s="80"/>
      <c r="I14" s="80"/>
    </row>
    <row r="15" ht="21.75" customHeight="1" spans="1:9">
      <c r="A15" s="351" t="s">
        <v>31</v>
      </c>
      <c r="B15" s="351"/>
      <c r="C15" s="351"/>
      <c r="D15" s="352">
        <f>D10+D13+D14</f>
        <v>517.552474699118</v>
      </c>
      <c r="E15" s="352"/>
      <c r="F15" s="353">
        <f t="shared" si="0"/>
        <v>0.74580018947929</v>
      </c>
      <c r="G15" s="353"/>
      <c r="H15" s="80"/>
      <c r="I15" s="80"/>
    </row>
    <row r="16" ht="21.75" customHeight="1" spans="1:9">
      <c r="A16" s="351" t="s">
        <v>32</v>
      </c>
      <c r="B16" s="351"/>
      <c r="C16" s="351"/>
      <c r="D16" s="352">
        <f>D17+D18+D19</f>
        <v>25.8776237349559</v>
      </c>
      <c r="E16" s="352"/>
      <c r="F16" s="353">
        <f t="shared" si="0"/>
        <v>0.0372900094739645</v>
      </c>
      <c r="G16" s="353"/>
      <c r="H16" s="80"/>
      <c r="I16" s="80"/>
    </row>
    <row r="17" ht="21.75" customHeight="1" spans="1:9">
      <c r="A17" s="354">
        <v>3</v>
      </c>
      <c r="B17" s="349" t="s">
        <v>33</v>
      </c>
      <c r="C17" s="349"/>
      <c r="D17" s="357">
        <f>期间费用!C6</f>
        <v>10.3510494939824</v>
      </c>
      <c r="E17" s="357"/>
      <c r="F17" s="356">
        <f>D17/D15</f>
        <v>0.02</v>
      </c>
      <c r="G17" s="356"/>
      <c r="H17" s="80"/>
      <c r="I17" s="80"/>
    </row>
    <row r="18" ht="21.75" customHeight="1" spans="1:9">
      <c r="A18" s="354">
        <v>4</v>
      </c>
      <c r="B18" s="349" t="s">
        <v>34</v>
      </c>
      <c r="C18" s="349"/>
      <c r="D18" s="357">
        <f>期间费用!C7</f>
        <v>5.17552474699118</v>
      </c>
      <c r="E18" s="357"/>
      <c r="F18" s="356">
        <f>D18/D15</f>
        <v>0.01</v>
      </c>
      <c r="G18" s="356"/>
      <c r="H18" s="80"/>
      <c r="I18" s="80"/>
    </row>
    <row r="19" ht="21.75" customHeight="1" spans="1:9">
      <c r="A19" s="354">
        <v>5</v>
      </c>
      <c r="B19" s="349" t="s">
        <v>35</v>
      </c>
      <c r="C19" s="349"/>
      <c r="D19" s="357">
        <f>期间费用!C8</f>
        <v>10.3510494939824</v>
      </c>
      <c r="E19" s="357"/>
      <c r="F19" s="356">
        <f>D19/D15</f>
        <v>0.02</v>
      </c>
      <c r="G19" s="356"/>
      <c r="H19" s="80"/>
      <c r="I19" s="80"/>
    </row>
    <row r="20" ht="21.75" customHeight="1" spans="1:9">
      <c r="A20" s="351" t="s">
        <v>36</v>
      </c>
      <c r="B20" s="351"/>
      <c r="C20" s="351"/>
      <c r="D20" s="352">
        <f>D15*0.05</f>
        <v>25.8776237349559</v>
      </c>
      <c r="E20" s="352"/>
      <c r="F20" s="353">
        <f>D20/D15</f>
        <v>0.05</v>
      </c>
      <c r="G20" s="353"/>
      <c r="H20" s="80"/>
      <c r="I20" s="80"/>
    </row>
    <row r="21" ht="21.75" customHeight="1" spans="1:9">
      <c r="A21" s="351" t="s">
        <v>37</v>
      </c>
      <c r="B21" s="351"/>
      <c r="C21" s="351"/>
      <c r="D21" s="352">
        <f>D20+D16+D15</f>
        <v>569.30772216903</v>
      </c>
      <c r="E21" s="352"/>
      <c r="F21" s="353">
        <f t="shared" si="0"/>
        <v>0.820380208427219</v>
      </c>
      <c r="G21" s="353"/>
      <c r="H21" s="80"/>
      <c r="I21" s="80"/>
    </row>
    <row r="22" ht="21.75" customHeight="1" spans="1:9">
      <c r="A22" s="351" t="s">
        <v>38</v>
      </c>
      <c r="B22" s="351"/>
      <c r="C22" s="351"/>
      <c r="D22" s="352">
        <f>(D21)*0.13</f>
        <v>74.0100038819739</v>
      </c>
      <c r="E22" s="352"/>
      <c r="F22" s="353">
        <f t="shared" si="0"/>
        <v>0.106649427095538</v>
      </c>
      <c r="G22" s="353"/>
      <c r="H22" s="88" t="s">
        <v>39</v>
      </c>
      <c r="I22" s="88"/>
    </row>
    <row r="23" ht="21.75" customHeight="1" spans="1:9">
      <c r="A23" s="351" t="s">
        <v>40</v>
      </c>
      <c r="B23" s="351"/>
      <c r="C23" s="351"/>
      <c r="D23" s="352">
        <f>D22+D21</f>
        <v>643.317726051004</v>
      </c>
      <c r="E23" s="352"/>
      <c r="F23" s="353">
        <f t="shared" si="0"/>
        <v>0.927029635522757</v>
      </c>
      <c r="G23" s="353"/>
      <c r="H23" s="88"/>
      <c r="I23" s="88"/>
    </row>
    <row r="24" ht="21.75" customHeight="1" spans="1:9">
      <c r="A24" s="351" t="s">
        <v>41</v>
      </c>
      <c r="B24" s="351"/>
      <c r="C24" s="351"/>
      <c r="D24" s="352">
        <f>工装明细!P11*1.13</f>
        <v>0</v>
      </c>
      <c r="E24" s="352"/>
      <c r="F24" s="353">
        <f t="shared" si="0"/>
        <v>0</v>
      </c>
      <c r="G24" s="353"/>
      <c r="H24" s="88" t="s">
        <v>42</v>
      </c>
      <c r="I24" s="88"/>
    </row>
    <row r="25" ht="21.75" customHeight="1" spans="1:9">
      <c r="A25" s="351" t="s">
        <v>43</v>
      </c>
      <c r="B25" s="351"/>
      <c r="C25" s="351"/>
      <c r="D25" s="352">
        <f>包装运输明细!M30*1.13</f>
        <v>16</v>
      </c>
      <c r="E25" s="352"/>
      <c r="F25" s="353">
        <f t="shared" si="0"/>
        <v>0.0230562186734897</v>
      </c>
      <c r="G25" s="353"/>
      <c r="H25" s="88" t="s">
        <v>42</v>
      </c>
      <c r="I25" s="88"/>
    </row>
    <row r="26" ht="21.75" customHeight="1" spans="1:9">
      <c r="A26" s="351" t="s">
        <v>44</v>
      </c>
      <c r="B26" s="351"/>
      <c r="C26" s="351"/>
      <c r="D26" s="352">
        <f>包装运输明细!M44*1.09</f>
        <v>34.6382181818182</v>
      </c>
      <c r="E26" s="352"/>
      <c r="F26" s="353">
        <f t="shared" si="0"/>
        <v>0.049914145803753</v>
      </c>
      <c r="G26" s="353"/>
      <c r="H26" s="88" t="s">
        <v>45</v>
      </c>
      <c r="I26" s="88"/>
    </row>
    <row r="27" ht="21.75" customHeight="1" spans="1:9">
      <c r="A27" s="351" t="s">
        <v>46</v>
      </c>
      <c r="B27" s="351"/>
      <c r="C27" s="351"/>
      <c r="D27" s="352">
        <f>D23+D24+D25+D26</f>
        <v>693.955944232822</v>
      </c>
      <c r="E27" s="352"/>
      <c r="F27" s="353">
        <f t="shared" si="0"/>
        <v>1</v>
      </c>
      <c r="G27" s="353"/>
      <c r="H27" s="80"/>
      <c r="I27" s="80"/>
    </row>
    <row r="28" ht="20.25" customHeight="1" spans="2:4">
      <c r="B28" s="158" t="s">
        <v>47</v>
      </c>
      <c r="C28" s="158"/>
      <c r="D28" s="158"/>
    </row>
    <row r="29" s="322" customFormat="1" ht="33.75" customHeight="1" spans="1:9">
      <c r="A29" s="358" t="s">
        <v>48</v>
      </c>
      <c r="B29" s="358"/>
      <c r="C29" s="358"/>
      <c r="D29" s="359" t="s">
        <v>49</v>
      </c>
      <c r="E29" s="359"/>
      <c r="F29" s="358" t="s">
        <v>50</v>
      </c>
      <c r="G29" s="358"/>
      <c r="H29" s="359" t="s">
        <v>51</v>
      </c>
      <c r="I29" s="359"/>
    </row>
    <row r="30" ht="13.5" customHeight="1"/>
  </sheetData>
  <mergeCells count="98">
    <mergeCell ref="A1:I1"/>
    <mergeCell ref="B2:C2"/>
    <mergeCell ref="F2:I2"/>
    <mergeCell ref="A3:C3"/>
    <mergeCell ref="D3:E3"/>
    <mergeCell ref="F3:G3"/>
    <mergeCell ref="H3:I3"/>
    <mergeCell ref="B4:C4"/>
    <mergeCell ref="B5:C5"/>
    <mergeCell ref="A6:C6"/>
    <mergeCell ref="A7:C7"/>
    <mergeCell ref="A8:I8"/>
    <mergeCell ref="B9:C9"/>
    <mergeCell ref="D9:E9"/>
    <mergeCell ref="F9:G9"/>
    <mergeCell ref="H9:I9"/>
    <mergeCell ref="A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C25"/>
    <mergeCell ref="D25:E25"/>
    <mergeCell ref="F25:G25"/>
    <mergeCell ref="H25:I25"/>
    <mergeCell ref="A26:C26"/>
    <mergeCell ref="D26:E26"/>
    <mergeCell ref="F26:G26"/>
    <mergeCell ref="H26:I26"/>
    <mergeCell ref="A27:C27"/>
    <mergeCell ref="D27:E27"/>
    <mergeCell ref="F27:G27"/>
    <mergeCell ref="H27:I27"/>
    <mergeCell ref="A29:C29"/>
    <mergeCell ref="D29:E29"/>
    <mergeCell ref="F29:G29"/>
    <mergeCell ref="H29:I29"/>
    <mergeCell ref="D6:D7"/>
    <mergeCell ref="E6:E7"/>
    <mergeCell ref="F6:F7"/>
    <mergeCell ref="G6:G7"/>
    <mergeCell ref="H6:H7"/>
    <mergeCell ref="I6:I7"/>
  </mergeCells>
  <pageMargins left="0.31496062992126" right="0.118110236220472" top="0.748031496062992" bottom="0.748031496062992" header="0.31496062992126" footer="0.31496062992126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view="pageBreakPreview" zoomScaleNormal="100" workbookViewId="0">
      <selection activeCell="K11" sqref="K11"/>
    </sheetView>
  </sheetViews>
  <sheetFormatPr defaultColWidth="9" defaultRowHeight="14"/>
  <cols>
    <col min="1" max="1" width="5.25454545454545" style="27" customWidth="1"/>
    <col min="2" max="2" width="8.25454545454545" style="27" customWidth="1"/>
    <col min="3" max="3" width="15.6272727272727" style="27" customWidth="1"/>
    <col min="4" max="4" width="5.12727272727273" style="27" customWidth="1"/>
    <col min="5" max="5" width="9.25454545454545" style="27" customWidth="1"/>
    <col min="6" max="6" width="18.7545454545455" style="280" customWidth="1"/>
    <col min="7" max="7" width="4.75454545454545" style="27" customWidth="1"/>
    <col min="8" max="8" width="4.37272727272727" style="27" customWidth="1"/>
    <col min="9" max="9" width="7.75454545454545" style="281" customWidth="1"/>
    <col min="10" max="10" width="9.12727272727273" style="27" customWidth="1"/>
    <col min="11" max="11" width="12.2545454545455" style="27" customWidth="1"/>
    <col min="12" max="12" width="6.5" style="27" customWidth="1"/>
    <col min="13" max="13" width="6.62727272727273" style="27" customWidth="1"/>
    <col min="14" max="14" width="6" style="27" customWidth="1"/>
    <col min="15" max="15" width="7.62727272727273" style="27" customWidth="1"/>
    <col min="16" max="16" width="5.62727272727273" style="27" customWidth="1"/>
    <col min="17" max="17" width="9.75454545454545" style="27" customWidth="1"/>
    <col min="18" max="18" width="9.62727272727273" style="27" customWidth="1"/>
    <col min="19" max="16384" width="9" style="27"/>
  </cols>
  <sheetData>
    <row r="1" ht="27.75" customHeight="1" spans="1:19">
      <c r="A1" s="282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</row>
    <row r="2" ht="18.75" customHeight="1" spans="1:19">
      <c r="A2" s="283" t="s">
        <v>53</v>
      </c>
      <c r="B2" s="283"/>
      <c r="C2" s="283" t="s">
        <v>54</v>
      </c>
      <c r="D2" s="283"/>
      <c r="E2" s="283"/>
      <c r="F2" s="283"/>
      <c r="G2" s="283"/>
      <c r="H2" s="283"/>
      <c r="I2" s="298" t="s">
        <v>55</v>
      </c>
      <c r="J2" s="283" t="s">
        <v>56</v>
      </c>
      <c r="K2" s="283"/>
      <c r="L2" s="283"/>
      <c r="M2" s="283"/>
      <c r="N2" s="143" t="s">
        <v>57</v>
      </c>
      <c r="O2" s="143"/>
      <c r="P2" s="143"/>
      <c r="Q2" s="143"/>
      <c r="R2" s="143"/>
      <c r="S2" s="143"/>
    </row>
    <row r="3" ht="18.75" customHeight="1" spans="1:19">
      <c r="A3" s="144" t="s">
        <v>58</v>
      </c>
      <c r="B3" s="145"/>
      <c r="C3" s="145" t="s">
        <v>59</v>
      </c>
      <c r="D3" s="145"/>
      <c r="E3" s="145"/>
      <c r="F3" s="145"/>
      <c r="G3" s="145"/>
      <c r="H3" s="145"/>
      <c r="I3" s="299"/>
      <c r="J3" s="145"/>
      <c r="K3" s="145"/>
      <c r="L3" s="145"/>
      <c r="M3" s="300"/>
      <c r="N3" s="30" t="s">
        <v>60</v>
      </c>
      <c r="O3" s="30"/>
      <c r="P3" s="30"/>
      <c r="Q3" s="30"/>
      <c r="R3" s="30"/>
      <c r="S3" s="30"/>
    </row>
    <row r="4" ht="18" customHeight="1" spans="1:19">
      <c r="A4" s="210" t="s">
        <v>61</v>
      </c>
      <c r="B4" s="210" t="s">
        <v>62</v>
      </c>
      <c r="C4" s="210" t="s">
        <v>63</v>
      </c>
      <c r="D4" s="210" t="s">
        <v>64</v>
      </c>
      <c r="E4" s="219" t="s">
        <v>27</v>
      </c>
      <c r="F4" s="219"/>
      <c r="G4" s="219"/>
      <c r="H4" s="219"/>
      <c r="I4" s="219"/>
      <c r="J4" s="219"/>
      <c r="K4" s="210" t="s">
        <v>65</v>
      </c>
      <c r="L4" s="210"/>
      <c r="M4" s="210" t="s">
        <v>66</v>
      </c>
      <c r="N4" s="210"/>
      <c r="O4" s="210"/>
      <c r="P4" s="210" t="s">
        <v>67</v>
      </c>
      <c r="Q4" s="210" t="s">
        <v>68</v>
      </c>
      <c r="R4" s="210" t="s">
        <v>69</v>
      </c>
      <c r="S4" s="210" t="s">
        <v>25</v>
      </c>
    </row>
    <row r="5" ht="52" spans="1:19">
      <c r="A5" s="210"/>
      <c r="B5" s="210"/>
      <c r="C5" s="210"/>
      <c r="D5" s="210"/>
      <c r="E5" s="210" t="s">
        <v>70</v>
      </c>
      <c r="F5" s="210" t="s">
        <v>71</v>
      </c>
      <c r="G5" s="210" t="s">
        <v>72</v>
      </c>
      <c r="H5" s="210" t="s">
        <v>73</v>
      </c>
      <c r="I5" s="301" t="s">
        <v>74</v>
      </c>
      <c r="J5" s="210" t="s">
        <v>75</v>
      </c>
      <c r="K5" s="210" t="s">
        <v>70</v>
      </c>
      <c r="L5" s="210" t="s">
        <v>76</v>
      </c>
      <c r="M5" s="210" t="s">
        <v>77</v>
      </c>
      <c r="N5" s="210" t="s">
        <v>78</v>
      </c>
      <c r="O5" s="210" t="s">
        <v>79</v>
      </c>
      <c r="P5" s="210"/>
      <c r="Q5" s="210"/>
      <c r="R5" s="210"/>
      <c r="S5" s="210"/>
    </row>
    <row r="6" spans="1:19">
      <c r="A6" s="210">
        <f>ROW()-5</f>
        <v>1</v>
      </c>
      <c r="B6" s="210" t="s">
        <v>80</v>
      </c>
      <c r="C6" s="210" t="s">
        <v>81</v>
      </c>
      <c r="D6" s="210">
        <v>1</v>
      </c>
      <c r="E6" s="210" t="s">
        <v>82</v>
      </c>
      <c r="F6" s="210" t="s">
        <v>83</v>
      </c>
      <c r="G6" s="210" t="s">
        <v>84</v>
      </c>
      <c r="H6" s="210" t="s">
        <v>85</v>
      </c>
      <c r="I6" s="301">
        <v>33.73</v>
      </c>
      <c r="J6" s="80" t="s">
        <v>84</v>
      </c>
      <c r="K6" s="80" t="s">
        <v>84</v>
      </c>
      <c r="L6" s="80" t="s">
        <v>84</v>
      </c>
      <c r="M6" s="302">
        <v>0.15</v>
      </c>
      <c r="N6" s="302">
        <v>0.15</v>
      </c>
      <c r="O6" s="303">
        <v>0.999</v>
      </c>
      <c r="P6" s="80">
        <v>0</v>
      </c>
      <c r="Q6" s="307">
        <f>D6*P6*(M6-N6)</f>
        <v>0</v>
      </c>
      <c r="R6" s="307">
        <f>D6*I6*M6-Q6</f>
        <v>5.0595</v>
      </c>
      <c r="S6" s="210"/>
    </row>
    <row r="7" spans="1:19">
      <c r="A7" s="210">
        <f t="shared" ref="A7:A26" si="0">ROW()-5</f>
        <v>2</v>
      </c>
      <c r="B7" s="210" t="s">
        <v>80</v>
      </c>
      <c r="C7" s="210" t="s">
        <v>81</v>
      </c>
      <c r="D7" s="210">
        <v>1</v>
      </c>
      <c r="E7" s="210" t="s">
        <v>86</v>
      </c>
      <c r="F7" s="210" t="s">
        <v>87</v>
      </c>
      <c r="G7" s="210" t="s">
        <v>84</v>
      </c>
      <c r="H7" s="210" t="s">
        <v>85</v>
      </c>
      <c r="I7" s="301">
        <v>25.06</v>
      </c>
      <c r="J7" s="80" t="s">
        <v>84</v>
      </c>
      <c r="K7" s="80" t="s">
        <v>84</v>
      </c>
      <c r="L7" s="80" t="s">
        <v>84</v>
      </c>
      <c r="M7" s="304">
        <v>0.11</v>
      </c>
      <c r="N7" s="304">
        <v>0.11</v>
      </c>
      <c r="O7" s="303">
        <v>0.999</v>
      </c>
      <c r="P7" s="80">
        <v>0</v>
      </c>
      <c r="Q7" s="307">
        <f t="shared" ref="Q7:Q21" si="1">D7*P7*(M7-N7)</f>
        <v>0</v>
      </c>
      <c r="R7" s="307">
        <f t="shared" ref="R7:R21" si="2">D7*I7*M7-Q7</f>
        <v>2.7566</v>
      </c>
      <c r="S7" s="210"/>
    </row>
    <row r="8" spans="1:19">
      <c r="A8" s="210">
        <f t="shared" si="0"/>
        <v>3</v>
      </c>
      <c r="B8" s="210" t="s">
        <v>80</v>
      </c>
      <c r="C8" s="210" t="s">
        <v>81</v>
      </c>
      <c r="D8" s="210">
        <v>1</v>
      </c>
      <c r="E8" s="210" t="s">
        <v>88</v>
      </c>
      <c r="F8" s="210" t="s">
        <v>89</v>
      </c>
      <c r="G8" s="210" t="s">
        <v>84</v>
      </c>
      <c r="H8" s="210" t="s">
        <v>85</v>
      </c>
      <c r="I8" s="301">
        <v>29.5</v>
      </c>
      <c r="J8" s="80" t="s">
        <v>84</v>
      </c>
      <c r="K8" s="80" t="s">
        <v>84</v>
      </c>
      <c r="L8" s="80" t="s">
        <v>84</v>
      </c>
      <c r="M8" s="302">
        <v>0.56</v>
      </c>
      <c r="N8" s="302">
        <v>0.56</v>
      </c>
      <c r="O8" s="303">
        <v>0.999</v>
      </c>
      <c r="P8" s="80">
        <v>0</v>
      </c>
      <c r="Q8" s="307">
        <f t="shared" si="1"/>
        <v>0</v>
      </c>
      <c r="R8" s="307">
        <f t="shared" si="2"/>
        <v>16.52</v>
      </c>
      <c r="S8" s="210"/>
    </row>
    <row r="9" spans="1:19">
      <c r="A9" s="210">
        <f t="shared" si="0"/>
        <v>4</v>
      </c>
      <c r="B9" s="210" t="s">
        <v>80</v>
      </c>
      <c r="C9" s="210" t="s">
        <v>81</v>
      </c>
      <c r="D9" s="210">
        <v>1</v>
      </c>
      <c r="E9" s="210" t="s">
        <v>90</v>
      </c>
      <c r="F9" s="210" t="s">
        <v>91</v>
      </c>
      <c r="G9" s="210" t="s">
        <v>84</v>
      </c>
      <c r="H9" s="210" t="s">
        <v>85</v>
      </c>
      <c r="I9" s="301">
        <v>44.2477</v>
      </c>
      <c r="J9" s="80" t="s">
        <v>84</v>
      </c>
      <c r="K9" s="80" t="s">
        <v>84</v>
      </c>
      <c r="L9" s="80" t="s">
        <v>84</v>
      </c>
      <c r="M9" s="302">
        <v>0.3</v>
      </c>
      <c r="N9" s="302">
        <v>0.3</v>
      </c>
      <c r="O9" s="303">
        <v>0.999</v>
      </c>
      <c r="P9" s="80">
        <v>0</v>
      </c>
      <c r="Q9" s="307">
        <f t="shared" si="1"/>
        <v>0</v>
      </c>
      <c r="R9" s="307">
        <f t="shared" si="2"/>
        <v>13.27431</v>
      </c>
      <c r="S9" s="318"/>
    </row>
    <row r="10" s="280" customFormat="1" spans="1:19">
      <c r="A10" s="210">
        <f t="shared" si="0"/>
        <v>5</v>
      </c>
      <c r="B10" s="210" t="s">
        <v>80</v>
      </c>
      <c r="C10" s="210" t="s">
        <v>81</v>
      </c>
      <c r="D10" s="210">
        <v>1</v>
      </c>
      <c r="E10" s="210" t="s">
        <v>92</v>
      </c>
      <c r="F10" s="210" t="s">
        <v>93</v>
      </c>
      <c r="G10" s="210" t="s">
        <v>84</v>
      </c>
      <c r="H10" s="210" t="s">
        <v>85</v>
      </c>
      <c r="I10" s="301">
        <v>36.2832</v>
      </c>
      <c r="J10" s="80" t="s">
        <v>84</v>
      </c>
      <c r="K10" s="80" t="s">
        <v>84</v>
      </c>
      <c r="L10" s="80" t="s">
        <v>84</v>
      </c>
      <c r="M10" s="301">
        <v>0.02</v>
      </c>
      <c r="N10" s="301">
        <v>0.02</v>
      </c>
      <c r="O10" s="303">
        <v>0.999</v>
      </c>
      <c r="P10" s="80">
        <v>0</v>
      </c>
      <c r="Q10" s="307">
        <f t="shared" si="1"/>
        <v>0</v>
      </c>
      <c r="R10" s="307">
        <f t="shared" si="2"/>
        <v>0.725664</v>
      </c>
      <c r="S10" s="319"/>
    </row>
    <row r="11" s="280" customFormat="1" spans="1:19">
      <c r="A11" s="210">
        <f t="shared" si="0"/>
        <v>6</v>
      </c>
      <c r="B11" s="210" t="s">
        <v>80</v>
      </c>
      <c r="C11" s="210" t="s">
        <v>81</v>
      </c>
      <c r="D11" s="236">
        <v>1</v>
      </c>
      <c r="E11" s="210" t="s">
        <v>94</v>
      </c>
      <c r="F11" s="210" t="s">
        <v>95</v>
      </c>
      <c r="G11" s="210" t="s">
        <v>84</v>
      </c>
      <c r="H11" s="210" t="s">
        <v>96</v>
      </c>
      <c r="I11" s="305">
        <v>5</v>
      </c>
      <c r="J11" s="80" t="s">
        <v>84</v>
      </c>
      <c r="K11" s="80" t="s">
        <v>84</v>
      </c>
      <c r="L11" s="80" t="s">
        <v>84</v>
      </c>
      <c r="M11" s="301">
        <v>1</v>
      </c>
      <c r="N11" s="301">
        <v>1</v>
      </c>
      <c r="O11" s="303">
        <v>0.999</v>
      </c>
      <c r="P11" s="80">
        <v>0</v>
      </c>
      <c r="Q11" s="307">
        <f t="shared" si="1"/>
        <v>0</v>
      </c>
      <c r="R11" s="307">
        <f t="shared" si="2"/>
        <v>5</v>
      </c>
      <c r="S11" s="319"/>
    </row>
    <row r="12" s="280" customFormat="1" spans="1:19">
      <c r="A12" s="210">
        <f t="shared" si="0"/>
        <v>7</v>
      </c>
      <c r="B12" s="210" t="s">
        <v>80</v>
      </c>
      <c r="C12" s="210" t="s">
        <v>81</v>
      </c>
      <c r="D12" s="236">
        <v>1</v>
      </c>
      <c r="E12" s="210" t="s">
        <v>97</v>
      </c>
      <c r="F12" s="210" t="s">
        <v>84</v>
      </c>
      <c r="G12" s="210" t="s">
        <v>84</v>
      </c>
      <c r="H12" s="210" t="s">
        <v>85</v>
      </c>
      <c r="I12" s="305">
        <v>5.74483</v>
      </c>
      <c r="J12" s="80" t="s">
        <v>84</v>
      </c>
      <c r="K12" s="80" t="s">
        <v>84</v>
      </c>
      <c r="L12" s="80" t="s">
        <v>84</v>
      </c>
      <c r="M12" s="301">
        <v>0.07</v>
      </c>
      <c r="N12" s="301">
        <v>0.07</v>
      </c>
      <c r="O12" s="303">
        <v>0.999</v>
      </c>
      <c r="P12" s="80">
        <v>0</v>
      </c>
      <c r="Q12" s="307">
        <f t="shared" ref="Q12:Q16" si="3">D12*P12*(M12-N12)</f>
        <v>0</v>
      </c>
      <c r="R12" s="307">
        <f t="shared" ref="R12:R16" si="4">D12*I12*M12-Q12</f>
        <v>0.4021381</v>
      </c>
      <c r="S12" s="319"/>
    </row>
    <row r="13" s="280" customFormat="1" spans="1:19">
      <c r="A13" s="210">
        <f t="shared" si="0"/>
        <v>8</v>
      </c>
      <c r="B13" s="210" t="s">
        <v>80</v>
      </c>
      <c r="C13" s="210" t="s">
        <v>81</v>
      </c>
      <c r="D13" s="236">
        <v>1</v>
      </c>
      <c r="E13" s="210" t="s">
        <v>98</v>
      </c>
      <c r="F13" s="210" t="s">
        <v>84</v>
      </c>
      <c r="G13" s="210" t="s">
        <v>84</v>
      </c>
      <c r="H13" s="210"/>
      <c r="I13" s="305">
        <f>1.4419+0.3</f>
        <v>1.7419</v>
      </c>
      <c r="J13" s="80" t="s">
        <v>84</v>
      </c>
      <c r="K13" s="80" t="s">
        <v>84</v>
      </c>
      <c r="L13" s="80" t="s">
        <v>84</v>
      </c>
      <c r="M13" s="301">
        <v>1</v>
      </c>
      <c r="N13" s="301">
        <v>1</v>
      </c>
      <c r="O13" s="303">
        <v>0.999</v>
      </c>
      <c r="P13" s="80">
        <v>0</v>
      </c>
      <c r="Q13" s="307">
        <f t="shared" si="3"/>
        <v>0</v>
      </c>
      <c r="R13" s="307">
        <f t="shared" si="4"/>
        <v>1.7419</v>
      </c>
      <c r="S13" s="319"/>
    </row>
    <row r="14" s="280" customFormat="1" spans="1:19">
      <c r="A14" s="210">
        <f t="shared" si="0"/>
        <v>9</v>
      </c>
      <c r="B14" s="210" t="s">
        <v>80</v>
      </c>
      <c r="C14" s="210" t="s">
        <v>81</v>
      </c>
      <c r="D14" s="236">
        <v>1</v>
      </c>
      <c r="E14" s="210" t="s">
        <v>99</v>
      </c>
      <c r="F14" s="210" t="s">
        <v>100</v>
      </c>
      <c r="G14" s="210" t="s">
        <v>84</v>
      </c>
      <c r="H14" s="210" t="s">
        <v>101</v>
      </c>
      <c r="I14" s="305">
        <v>0.0082</v>
      </c>
      <c r="J14" s="80" t="s">
        <v>84</v>
      </c>
      <c r="K14" s="80" t="s">
        <v>84</v>
      </c>
      <c r="L14" s="80" t="s">
        <v>84</v>
      </c>
      <c r="M14" s="301">
        <v>15</v>
      </c>
      <c r="N14" s="301">
        <v>15</v>
      </c>
      <c r="O14" s="303">
        <v>0.999</v>
      </c>
      <c r="P14" s="80">
        <v>0</v>
      </c>
      <c r="Q14" s="307">
        <f t="shared" si="3"/>
        <v>0</v>
      </c>
      <c r="R14" s="307">
        <f t="shared" si="4"/>
        <v>0.123</v>
      </c>
      <c r="S14" s="319"/>
    </row>
    <row r="15" s="280" customFormat="1" spans="1:19">
      <c r="A15" s="210">
        <f t="shared" si="0"/>
        <v>10</v>
      </c>
      <c r="B15" s="210" t="s">
        <v>80</v>
      </c>
      <c r="C15" s="210" t="s">
        <v>81</v>
      </c>
      <c r="D15" s="236">
        <v>1</v>
      </c>
      <c r="E15" s="210" t="s">
        <v>99</v>
      </c>
      <c r="F15" s="210" t="s">
        <v>84</v>
      </c>
      <c r="G15" s="210" t="s">
        <v>84</v>
      </c>
      <c r="H15" s="210" t="s">
        <v>101</v>
      </c>
      <c r="I15" s="305">
        <v>0.0082</v>
      </c>
      <c r="J15" s="80" t="s">
        <v>84</v>
      </c>
      <c r="K15" s="80" t="s">
        <v>84</v>
      </c>
      <c r="L15" s="80" t="s">
        <v>84</v>
      </c>
      <c r="M15" s="301">
        <v>60</v>
      </c>
      <c r="N15" s="301">
        <v>60</v>
      </c>
      <c r="O15" s="303">
        <v>0.999</v>
      </c>
      <c r="P15" s="80">
        <v>0</v>
      </c>
      <c r="Q15" s="307">
        <f t="shared" si="3"/>
        <v>0</v>
      </c>
      <c r="R15" s="307">
        <f t="shared" si="4"/>
        <v>0.492</v>
      </c>
      <c r="S15" s="319"/>
    </row>
    <row r="16" s="280" customFormat="1" spans="1:19">
      <c r="A16" s="210">
        <f t="shared" si="0"/>
        <v>11</v>
      </c>
      <c r="B16" s="210" t="s">
        <v>80</v>
      </c>
      <c r="C16" s="210" t="s">
        <v>81</v>
      </c>
      <c r="D16" s="236">
        <v>1</v>
      </c>
      <c r="E16" s="210" t="s">
        <v>102</v>
      </c>
      <c r="F16" s="210" t="s">
        <v>84</v>
      </c>
      <c r="G16" s="210" t="s">
        <v>84</v>
      </c>
      <c r="H16" s="210" t="s">
        <v>103</v>
      </c>
      <c r="I16" s="305">
        <v>1.15</v>
      </c>
      <c r="J16" s="80" t="s">
        <v>84</v>
      </c>
      <c r="K16" s="80" t="s">
        <v>84</v>
      </c>
      <c r="L16" s="80" t="s">
        <v>84</v>
      </c>
      <c r="M16" s="301">
        <v>1</v>
      </c>
      <c r="N16" s="301">
        <v>1</v>
      </c>
      <c r="O16" s="303">
        <v>0.999</v>
      </c>
      <c r="P16" s="80">
        <v>0</v>
      </c>
      <c r="Q16" s="307">
        <f t="shared" si="3"/>
        <v>0</v>
      </c>
      <c r="R16" s="307">
        <f t="shared" si="4"/>
        <v>1.15</v>
      </c>
      <c r="S16" s="319"/>
    </row>
    <row r="17" s="280" customFormat="1" spans="1:19">
      <c r="A17" s="210">
        <f t="shared" si="0"/>
        <v>12</v>
      </c>
      <c r="B17" s="210" t="s">
        <v>80</v>
      </c>
      <c r="C17" s="210" t="s">
        <v>104</v>
      </c>
      <c r="D17" s="236">
        <v>1</v>
      </c>
      <c r="E17" s="210" t="s">
        <v>82</v>
      </c>
      <c r="F17" s="210" t="s">
        <v>83</v>
      </c>
      <c r="G17" s="210" t="s">
        <v>84</v>
      </c>
      <c r="H17" s="210" t="s">
        <v>85</v>
      </c>
      <c r="I17" s="301">
        <v>33.73</v>
      </c>
      <c r="J17" s="80" t="s">
        <v>84</v>
      </c>
      <c r="K17" s="80" t="s">
        <v>84</v>
      </c>
      <c r="L17" s="80" t="s">
        <v>84</v>
      </c>
      <c r="M17" s="301">
        <v>0.16</v>
      </c>
      <c r="N17" s="301">
        <v>0.16</v>
      </c>
      <c r="O17" s="303">
        <v>0.999</v>
      </c>
      <c r="P17" s="80">
        <v>0</v>
      </c>
      <c r="Q17" s="307">
        <f t="shared" si="1"/>
        <v>0</v>
      </c>
      <c r="R17" s="307">
        <f t="shared" si="2"/>
        <v>5.3968</v>
      </c>
      <c r="S17" s="319"/>
    </row>
    <row r="18" s="280" customFormat="1" ht="15" customHeight="1" spans="1:19">
      <c r="A18" s="210">
        <f t="shared" si="0"/>
        <v>13</v>
      </c>
      <c r="B18" s="210" t="s">
        <v>80</v>
      </c>
      <c r="C18" s="210" t="s">
        <v>104</v>
      </c>
      <c r="D18" s="236">
        <v>1</v>
      </c>
      <c r="E18" s="210" t="s">
        <v>86</v>
      </c>
      <c r="F18" s="210" t="s">
        <v>87</v>
      </c>
      <c r="G18" s="210" t="s">
        <v>84</v>
      </c>
      <c r="H18" s="210" t="s">
        <v>85</v>
      </c>
      <c r="I18" s="301">
        <v>25.06</v>
      </c>
      <c r="J18" s="80" t="s">
        <v>84</v>
      </c>
      <c r="K18" s="80" t="s">
        <v>84</v>
      </c>
      <c r="L18" s="80" t="s">
        <v>84</v>
      </c>
      <c r="M18" s="301">
        <v>0.12</v>
      </c>
      <c r="N18" s="301">
        <v>0.12</v>
      </c>
      <c r="O18" s="303">
        <v>0.999</v>
      </c>
      <c r="P18" s="80">
        <v>0</v>
      </c>
      <c r="Q18" s="307">
        <f t="shared" si="1"/>
        <v>0</v>
      </c>
      <c r="R18" s="320">
        <f t="shared" si="2"/>
        <v>3.0072</v>
      </c>
      <c r="S18" s="319"/>
    </row>
    <row r="19" s="280" customFormat="1" spans="1:19">
      <c r="A19" s="210">
        <f t="shared" si="0"/>
        <v>14</v>
      </c>
      <c r="B19" s="210" t="s">
        <v>80</v>
      </c>
      <c r="C19" s="210" t="s">
        <v>104</v>
      </c>
      <c r="D19" s="236">
        <v>1</v>
      </c>
      <c r="E19" s="210" t="s">
        <v>88</v>
      </c>
      <c r="F19" s="210" t="s">
        <v>89</v>
      </c>
      <c r="G19" s="210" t="s">
        <v>84</v>
      </c>
      <c r="H19" s="210" t="s">
        <v>85</v>
      </c>
      <c r="I19" s="301">
        <v>29.5</v>
      </c>
      <c r="J19" s="80" t="s">
        <v>84</v>
      </c>
      <c r="K19" s="80" t="s">
        <v>84</v>
      </c>
      <c r="L19" s="80" t="s">
        <v>84</v>
      </c>
      <c r="M19" s="301">
        <v>0.22</v>
      </c>
      <c r="N19" s="301">
        <v>0.22</v>
      </c>
      <c r="O19" s="303">
        <v>0.999</v>
      </c>
      <c r="P19" s="80">
        <v>0</v>
      </c>
      <c r="Q19" s="307">
        <f t="shared" si="1"/>
        <v>0</v>
      </c>
      <c r="R19" s="320">
        <f t="shared" si="2"/>
        <v>6.49</v>
      </c>
      <c r="S19" s="319"/>
    </row>
    <row r="20" spans="1:19">
      <c r="A20" s="210">
        <f t="shared" si="0"/>
        <v>15</v>
      </c>
      <c r="B20" s="210" t="s">
        <v>80</v>
      </c>
      <c r="C20" s="210" t="s">
        <v>104</v>
      </c>
      <c r="D20" s="236">
        <v>1</v>
      </c>
      <c r="E20" s="210" t="s">
        <v>90</v>
      </c>
      <c r="F20" s="210" t="s">
        <v>91</v>
      </c>
      <c r="G20" s="210" t="s">
        <v>84</v>
      </c>
      <c r="H20" s="210" t="s">
        <v>85</v>
      </c>
      <c r="I20" s="301">
        <v>44.2477</v>
      </c>
      <c r="J20" s="80" t="s">
        <v>84</v>
      </c>
      <c r="K20" s="80" t="s">
        <v>84</v>
      </c>
      <c r="L20" s="80" t="s">
        <v>84</v>
      </c>
      <c r="M20" s="301">
        <v>0.1</v>
      </c>
      <c r="N20" s="301">
        <v>0.1</v>
      </c>
      <c r="O20" s="303">
        <v>0.999</v>
      </c>
      <c r="P20" s="80">
        <v>0</v>
      </c>
      <c r="Q20" s="307">
        <f t="shared" si="1"/>
        <v>0</v>
      </c>
      <c r="R20" s="320">
        <f t="shared" si="2"/>
        <v>4.42477</v>
      </c>
      <c r="S20" s="318"/>
    </row>
    <row r="21" spans="1:19">
      <c r="A21" s="210">
        <f t="shared" si="0"/>
        <v>16</v>
      </c>
      <c r="B21" s="210" t="s">
        <v>80</v>
      </c>
      <c r="C21" s="210" t="s">
        <v>104</v>
      </c>
      <c r="D21" s="236">
        <v>1</v>
      </c>
      <c r="E21" s="210" t="s">
        <v>92</v>
      </c>
      <c r="F21" s="210" t="s">
        <v>93</v>
      </c>
      <c r="G21" s="210" t="s">
        <v>84</v>
      </c>
      <c r="H21" s="210" t="s">
        <v>85</v>
      </c>
      <c r="I21" s="301">
        <v>36.2832</v>
      </c>
      <c r="J21" s="80" t="s">
        <v>84</v>
      </c>
      <c r="K21" s="80" t="s">
        <v>84</v>
      </c>
      <c r="L21" s="80" t="s">
        <v>84</v>
      </c>
      <c r="M21" s="301">
        <v>0.014</v>
      </c>
      <c r="N21" s="301">
        <v>0.014</v>
      </c>
      <c r="O21" s="303">
        <v>0.999</v>
      </c>
      <c r="P21" s="80">
        <v>0</v>
      </c>
      <c r="Q21" s="307">
        <f t="shared" si="1"/>
        <v>0</v>
      </c>
      <c r="R21" s="320">
        <f t="shared" si="2"/>
        <v>0.5079648</v>
      </c>
      <c r="S21" s="318"/>
    </row>
    <row r="22" spans="1:19">
      <c r="A22" s="210">
        <f t="shared" si="0"/>
        <v>17</v>
      </c>
      <c r="B22" s="210" t="s">
        <v>80</v>
      </c>
      <c r="C22" s="210" t="s">
        <v>104</v>
      </c>
      <c r="D22" s="236">
        <v>1</v>
      </c>
      <c r="E22" s="210" t="s">
        <v>97</v>
      </c>
      <c r="F22" s="210" t="s">
        <v>84</v>
      </c>
      <c r="G22" s="210" t="s">
        <v>84</v>
      </c>
      <c r="H22" s="210" t="s">
        <v>85</v>
      </c>
      <c r="I22" s="305">
        <v>5.74483</v>
      </c>
      <c r="J22" s="80" t="s">
        <v>84</v>
      </c>
      <c r="K22" s="80" t="s">
        <v>84</v>
      </c>
      <c r="L22" s="80" t="s">
        <v>84</v>
      </c>
      <c r="M22" s="301">
        <v>0.11</v>
      </c>
      <c r="N22" s="301">
        <v>0.11</v>
      </c>
      <c r="O22" s="303">
        <v>1.999</v>
      </c>
      <c r="P22" s="80">
        <v>0</v>
      </c>
      <c r="Q22" s="307">
        <f t="shared" ref="Q22:Q26" si="5">D22*P22*(M22-N22)</f>
        <v>0</v>
      </c>
      <c r="R22" s="320">
        <f t="shared" ref="R22:R26" si="6">D22*I22*M22-Q22</f>
        <v>0.6319313</v>
      </c>
      <c r="S22" s="318"/>
    </row>
    <row r="23" spans="1:19">
      <c r="A23" s="210">
        <f t="shared" si="0"/>
        <v>18</v>
      </c>
      <c r="B23" s="210" t="s">
        <v>80</v>
      </c>
      <c r="C23" s="210" t="s">
        <v>104</v>
      </c>
      <c r="D23" s="236">
        <v>1</v>
      </c>
      <c r="E23" s="210" t="s">
        <v>99</v>
      </c>
      <c r="F23" s="210" t="s">
        <v>100</v>
      </c>
      <c r="G23" s="210" t="s">
        <v>84</v>
      </c>
      <c r="H23" s="210" t="s">
        <v>101</v>
      </c>
      <c r="I23" s="301">
        <v>0.0082</v>
      </c>
      <c r="J23" s="80" t="s">
        <v>84</v>
      </c>
      <c r="K23" s="80" t="s">
        <v>84</v>
      </c>
      <c r="L23" s="80" t="s">
        <v>84</v>
      </c>
      <c r="M23" s="301">
        <v>13</v>
      </c>
      <c r="N23" s="301">
        <v>13</v>
      </c>
      <c r="O23" s="303">
        <v>2.999</v>
      </c>
      <c r="P23" s="80">
        <v>0</v>
      </c>
      <c r="Q23" s="307">
        <f t="shared" si="5"/>
        <v>0</v>
      </c>
      <c r="R23" s="320">
        <f t="shared" si="6"/>
        <v>0.1066</v>
      </c>
      <c r="S23" s="318"/>
    </row>
    <row r="24" spans="1:19">
      <c r="A24" s="210">
        <f t="shared" si="0"/>
        <v>19</v>
      </c>
      <c r="B24" s="210" t="s">
        <v>80</v>
      </c>
      <c r="C24" s="210" t="s">
        <v>104</v>
      </c>
      <c r="D24" s="236">
        <v>1</v>
      </c>
      <c r="E24" s="210" t="s">
        <v>99</v>
      </c>
      <c r="F24" s="210" t="s">
        <v>84</v>
      </c>
      <c r="G24" s="210" t="s">
        <v>84</v>
      </c>
      <c r="H24" s="210" t="s">
        <v>101</v>
      </c>
      <c r="I24" s="301">
        <v>0.0082</v>
      </c>
      <c r="J24" s="80" t="s">
        <v>84</v>
      </c>
      <c r="K24" s="80" t="s">
        <v>84</v>
      </c>
      <c r="L24" s="80" t="s">
        <v>84</v>
      </c>
      <c r="M24" s="301">
        <v>35</v>
      </c>
      <c r="N24" s="301">
        <v>35</v>
      </c>
      <c r="O24" s="303">
        <v>3.999</v>
      </c>
      <c r="P24" s="80">
        <v>0</v>
      </c>
      <c r="Q24" s="307">
        <f t="shared" si="5"/>
        <v>0</v>
      </c>
      <c r="R24" s="320">
        <f t="shared" si="6"/>
        <v>0.287</v>
      </c>
      <c r="S24" s="318"/>
    </row>
    <row r="25" spans="1:19">
      <c r="A25" s="210">
        <f t="shared" si="0"/>
        <v>20</v>
      </c>
      <c r="B25" s="210" t="s">
        <v>80</v>
      </c>
      <c r="C25" s="210" t="s">
        <v>104</v>
      </c>
      <c r="D25" s="236">
        <v>1</v>
      </c>
      <c r="E25" s="210" t="s">
        <v>98</v>
      </c>
      <c r="F25" s="210" t="s">
        <v>84</v>
      </c>
      <c r="G25" s="210" t="s">
        <v>84</v>
      </c>
      <c r="H25" s="210"/>
      <c r="I25" s="301">
        <v>0.38119</v>
      </c>
      <c r="J25" s="80" t="s">
        <v>84</v>
      </c>
      <c r="K25" s="80" t="s">
        <v>84</v>
      </c>
      <c r="L25" s="80" t="s">
        <v>84</v>
      </c>
      <c r="M25" s="301">
        <v>1</v>
      </c>
      <c r="N25" s="301">
        <v>1</v>
      </c>
      <c r="O25" s="303">
        <v>4.999</v>
      </c>
      <c r="P25" s="80">
        <v>0</v>
      </c>
      <c r="Q25" s="307">
        <f t="shared" si="5"/>
        <v>0</v>
      </c>
      <c r="R25" s="320">
        <f t="shared" si="6"/>
        <v>0.38119</v>
      </c>
      <c r="S25" s="318"/>
    </row>
    <row r="26" spans="1:19">
      <c r="A26" s="210">
        <f t="shared" si="0"/>
        <v>21</v>
      </c>
      <c r="B26" s="210" t="s">
        <v>80</v>
      </c>
      <c r="C26" s="210" t="s">
        <v>105</v>
      </c>
      <c r="D26" s="236">
        <v>1</v>
      </c>
      <c r="E26" s="236" t="s">
        <v>106</v>
      </c>
      <c r="F26" s="210" t="s">
        <v>84</v>
      </c>
      <c r="G26" s="210" t="s">
        <v>84</v>
      </c>
      <c r="H26" s="210" t="s">
        <v>107</v>
      </c>
      <c r="I26" s="305">
        <v>17.62</v>
      </c>
      <c r="J26" s="80" t="s">
        <v>84</v>
      </c>
      <c r="K26" s="80" t="s">
        <v>84</v>
      </c>
      <c r="L26" s="80" t="s">
        <v>84</v>
      </c>
      <c r="M26" s="301">
        <f>1.3+0.894</f>
        <v>2.194</v>
      </c>
      <c r="N26" s="301">
        <f>1.3+0.894</f>
        <v>2.194</v>
      </c>
      <c r="O26" s="303">
        <v>5.999</v>
      </c>
      <c r="P26" s="80">
        <v>0</v>
      </c>
      <c r="Q26" s="307">
        <f t="shared" si="5"/>
        <v>0</v>
      </c>
      <c r="R26" s="320">
        <f t="shared" si="6"/>
        <v>38.65828</v>
      </c>
      <c r="S26" s="318"/>
    </row>
    <row r="27" spans="1:19">
      <c r="A27" s="284"/>
      <c r="B27" s="285"/>
      <c r="C27" s="286"/>
      <c r="D27" s="287"/>
      <c r="E27" s="287"/>
      <c r="F27" s="288"/>
      <c r="G27" s="287"/>
      <c r="H27" s="287"/>
      <c r="I27" s="306"/>
      <c r="J27" s="287"/>
      <c r="K27" s="287"/>
      <c r="L27" s="287"/>
      <c r="M27" s="210"/>
      <c r="N27" s="303"/>
      <c r="O27" s="303"/>
      <c r="P27" s="307"/>
      <c r="Q27" s="210"/>
      <c r="R27" s="210"/>
      <c r="S27" s="318"/>
    </row>
    <row r="28" ht="21" customHeight="1" spans="1:19">
      <c r="A28" s="289" t="s">
        <v>108</v>
      </c>
      <c r="B28" s="290"/>
      <c r="C28" s="291"/>
      <c r="D28" s="210"/>
      <c r="E28" s="292"/>
      <c r="F28" s="210"/>
      <c r="G28" s="292"/>
      <c r="H28" s="292"/>
      <c r="I28" s="308"/>
      <c r="J28" s="292"/>
      <c r="K28" s="292"/>
      <c r="L28" s="288"/>
      <c r="M28" s="309">
        <f>SUM(M6:M20)</f>
        <v>79.81</v>
      </c>
      <c r="N28" s="309">
        <f>SUM(N6:N20)</f>
        <v>79.81</v>
      </c>
      <c r="O28" s="310">
        <f>N28/M28</f>
        <v>1</v>
      </c>
      <c r="P28" s="311"/>
      <c r="Q28" s="309">
        <f>SUM(Q6:Q20)</f>
        <v>0</v>
      </c>
      <c r="R28" s="309">
        <f>SUM(R6:R26)</f>
        <v>107.1368482</v>
      </c>
      <c r="S28" s="318"/>
    </row>
    <row r="29" ht="21" customHeight="1" spans="1:19">
      <c r="A29" s="293"/>
      <c r="B29" s="257" t="s">
        <v>109</v>
      </c>
      <c r="C29" s="293"/>
      <c r="D29" s="294"/>
      <c r="E29" s="295"/>
      <c r="F29" s="294"/>
      <c r="G29" s="295"/>
      <c r="H29" s="295"/>
      <c r="I29" s="312"/>
      <c r="J29" s="295"/>
      <c r="K29" s="295"/>
      <c r="L29" s="313"/>
      <c r="M29" s="314"/>
      <c r="N29" s="314"/>
      <c r="O29" s="315"/>
      <c r="P29" s="316"/>
      <c r="Q29" s="314"/>
      <c r="R29" s="314"/>
      <c r="S29" s="297"/>
    </row>
    <row r="30" ht="27" customHeight="1" spans="1:19">
      <c r="A30" s="296" t="s">
        <v>110</v>
      </c>
      <c r="B30" s="296"/>
      <c r="C30" s="296"/>
      <c r="D30" s="297"/>
      <c r="E30" s="297"/>
      <c r="F30" s="296"/>
      <c r="G30" s="297"/>
      <c r="H30" s="297"/>
      <c r="I30" s="317"/>
      <c r="J30" s="297"/>
      <c r="K30" s="297"/>
      <c r="L30" s="297"/>
      <c r="M30" s="297"/>
      <c r="N30" s="297"/>
      <c r="O30" s="297"/>
      <c r="P30" s="297"/>
      <c r="Q30" s="297"/>
      <c r="R30" s="297"/>
      <c r="S30" s="297"/>
    </row>
  </sheetData>
  <mergeCells count="19">
    <mergeCell ref="A1:S1"/>
    <mergeCell ref="A2:B2"/>
    <mergeCell ref="C2:H2"/>
    <mergeCell ref="J2:M2"/>
    <mergeCell ref="N2:S2"/>
    <mergeCell ref="N3:S3"/>
    <mergeCell ref="E4:J4"/>
    <mergeCell ref="K4:L4"/>
    <mergeCell ref="M4:O4"/>
    <mergeCell ref="A28:C28"/>
    <mergeCell ref="A30:C30"/>
    <mergeCell ref="A4:A5"/>
    <mergeCell ref="B4:B5"/>
    <mergeCell ref="C4:C5"/>
    <mergeCell ref="D4:D5"/>
    <mergeCell ref="P4:P5"/>
    <mergeCell ref="Q4:Q5"/>
    <mergeCell ref="R4:R5"/>
    <mergeCell ref="S4:S5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workbookViewId="0">
      <selection activeCell="N28" sqref="N28"/>
    </sheetView>
  </sheetViews>
  <sheetFormatPr defaultColWidth="9" defaultRowHeight="14"/>
  <cols>
    <col min="1" max="1" width="5.37272727272727" customWidth="1"/>
    <col min="2" max="2" width="10.2545454545455" customWidth="1"/>
    <col min="3" max="3" width="22.6272727272727" customWidth="1"/>
    <col min="4" max="4" width="6.75454545454545" customWidth="1"/>
    <col min="5" max="5" width="6.25454545454545" customWidth="1"/>
    <col min="6" max="6" width="5.12727272727273" customWidth="1"/>
    <col min="7" max="7" width="9.12727272727273" customWidth="1"/>
    <col min="8" max="8" width="9.25454545454545" customWidth="1"/>
    <col min="9" max="9" width="6.62727272727273" customWidth="1"/>
    <col min="10" max="10" width="9.37272727272727" customWidth="1"/>
    <col min="11" max="11" width="6.5" customWidth="1"/>
    <col min="12" max="12" width="4.87272727272727" customWidth="1"/>
    <col min="13" max="13" width="5.25454545454545" customWidth="1"/>
    <col min="14" max="14" width="5.87272727272727" customWidth="1"/>
    <col min="15" max="15" width="6.87272727272727" customWidth="1"/>
    <col min="16" max="16" width="7.62727272727273" customWidth="1"/>
    <col min="17" max="17" width="15.3727272727273" customWidth="1"/>
  </cols>
  <sheetData>
    <row r="1" ht="21" spans="1:17">
      <c r="A1" s="228" t="s">
        <v>111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="1" customFormat="1" spans="1:17">
      <c r="A2" s="229" t="s">
        <v>112</v>
      </c>
      <c r="B2" s="230"/>
      <c r="C2" s="230" t="str">
        <f>原材料明细!C2</f>
        <v>北京光华荣昌汽车部件有限公司</v>
      </c>
      <c r="D2" s="230"/>
      <c r="E2" s="230"/>
      <c r="F2" s="230"/>
      <c r="G2" s="230"/>
      <c r="H2" s="231"/>
      <c r="I2" s="7" t="s">
        <v>55</v>
      </c>
      <c r="J2" s="7"/>
      <c r="K2" s="258" t="s">
        <v>56</v>
      </c>
      <c r="L2" s="258"/>
      <c r="M2" s="258"/>
      <c r="N2" s="258"/>
      <c r="O2" s="258"/>
      <c r="P2" s="259" t="s">
        <v>57</v>
      </c>
      <c r="Q2" s="259"/>
    </row>
    <row r="3" s="1" customFormat="1" spans="1:17">
      <c r="A3" s="229" t="s">
        <v>58</v>
      </c>
      <c r="B3" s="230"/>
      <c r="C3" s="230" t="str">
        <f>原材料明细!C3</f>
        <v>X168100000004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1"/>
      <c r="P3" s="7" t="str">
        <f>原材料明细!N3</f>
        <v>报价填写日期: 2022-3-4</v>
      </c>
      <c r="Q3" s="7"/>
    </row>
    <row r="4" ht="17.5" spans="1:17">
      <c r="A4" s="232"/>
      <c r="B4" s="233" t="s">
        <v>113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</row>
    <row r="5" s="28" customFormat="1" ht="21.75" customHeight="1" spans="1:17">
      <c r="A5" s="219" t="s">
        <v>61</v>
      </c>
      <c r="B5" s="234" t="s">
        <v>62</v>
      </c>
      <c r="C5" s="234" t="s">
        <v>63</v>
      </c>
      <c r="D5" s="234" t="s">
        <v>114</v>
      </c>
      <c r="E5" s="235"/>
      <c r="F5" s="234" t="s">
        <v>115</v>
      </c>
      <c r="G5" s="234" t="s">
        <v>116</v>
      </c>
      <c r="H5" s="234" t="s">
        <v>75</v>
      </c>
      <c r="I5" s="219" t="s">
        <v>27</v>
      </c>
      <c r="J5" s="219"/>
      <c r="K5" s="219"/>
      <c r="L5" s="219"/>
      <c r="M5" s="219"/>
      <c r="N5" s="219"/>
      <c r="O5" s="219"/>
      <c r="P5" s="234" t="s">
        <v>117</v>
      </c>
      <c r="Q5" s="234" t="s">
        <v>25</v>
      </c>
    </row>
    <row r="6" s="28" customFormat="1" ht="26" spans="1:17">
      <c r="A6" s="219"/>
      <c r="B6" s="235"/>
      <c r="C6" s="235"/>
      <c r="D6" s="234" t="s">
        <v>70</v>
      </c>
      <c r="E6" s="234" t="s">
        <v>76</v>
      </c>
      <c r="F6" s="235"/>
      <c r="G6" s="235"/>
      <c r="H6" s="234"/>
      <c r="I6" s="260" t="s">
        <v>118</v>
      </c>
      <c r="J6" s="260" t="s">
        <v>71</v>
      </c>
      <c r="K6" s="260" t="s">
        <v>72</v>
      </c>
      <c r="L6" s="260"/>
      <c r="M6" s="260"/>
      <c r="N6" s="260" t="s">
        <v>73</v>
      </c>
      <c r="O6" s="260" t="s">
        <v>119</v>
      </c>
      <c r="P6" s="234"/>
      <c r="Q6" s="234"/>
    </row>
    <row r="7" s="158" customFormat="1" spans="1:17">
      <c r="A7" s="80">
        <f>ROW()-6</f>
        <v>1</v>
      </c>
      <c r="B7" s="236" t="s">
        <v>80</v>
      </c>
      <c r="C7" s="237" t="s">
        <v>120</v>
      </c>
      <c r="D7" s="236" t="s">
        <v>84</v>
      </c>
      <c r="E7" s="236" t="s">
        <v>84</v>
      </c>
      <c r="F7" s="236">
        <v>1</v>
      </c>
      <c r="G7" s="238">
        <v>31.21</v>
      </c>
      <c r="H7" s="80" t="s">
        <v>84</v>
      </c>
      <c r="I7" s="80" t="s">
        <v>84</v>
      </c>
      <c r="J7" s="80" t="s">
        <v>84</v>
      </c>
      <c r="K7" s="80" t="s">
        <v>84</v>
      </c>
      <c r="L7" s="80" t="s">
        <v>84</v>
      </c>
      <c r="M7" s="80" t="s">
        <v>84</v>
      </c>
      <c r="N7" s="239" t="s">
        <v>121</v>
      </c>
      <c r="O7" s="80">
        <v>0</v>
      </c>
      <c r="P7" s="261">
        <f>F7*G7</f>
        <v>31.21</v>
      </c>
      <c r="Q7" s="275"/>
    </row>
    <row r="8" s="158" customFormat="1" spans="1:17">
      <c r="A8" s="80">
        <f>ROW()-6</f>
        <v>2</v>
      </c>
      <c r="B8" s="236" t="s">
        <v>80</v>
      </c>
      <c r="C8" s="237" t="s">
        <v>122</v>
      </c>
      <c r="D8" s="236" t="s">
        <v>84</v>
      </c>
      <c r="E8" s="236" t="s">
        <v>84</v>
      </c>
      <c r="F8" s="236">
        <v>2</v>
      </c>
      <c r="G8" s="238">
        <v>26.67</v>
      </c>
      <c r="H8" s="80" t="s">
        <v>84</v>
      </c>
      <c r="I8" s="80" t="s">
        <v>84</v>
      </c>
      <c r="J8" s="80" t="s">
        <v>84</v>
      </c>
      <c r="K8" s="80" t="s">
        <v>84</v>
      </c>
      <c r="L8" s="80" t="s">
        <v>84</v>
      </c>
      <c r="M8" s="80" t="s">
        <v>84</v>
      </c>
      <c r="N8" s="239" t="s">
        <v>121</v>
      </c>
      <c r="O8" s="80">
        <v>0</v>
      </c>
      <c r="P8" s="261">
        <f>F8*G8</f>
        <v>53.34</v>
      </c>
      <c r="Q8" s="275"/>
    </row>
    <row r="9" s="158" customFormat="1" spans="1:17">
      <c r="A9" s="80"/>
      <c r="B9" s="236" t="s">
        <v>80</v>
      </c>
      <c r="C9" s="237" t="s">
        <v>123</v>
      </c>
      <c r="D9" s="236" t="s">
        <v>84</v>
      </c>
      <c r="E9" s="236" t="s">
        <v>84</v>
      </c>
      <c r="F9" s="236">
        <v>1</v>
      </c>
      <c r="G9" s="238">
        <v>5.6</v>
      </c>
      <c r="H9" s="80" t="s">
        <v>84</v>
      </c>
      <c r="I9" s="80" t="s">
        <v>84</v>
      </c>
      <c r="J9" s="80" t="s">
        <v>84</v>
      </c>
      <c r="K9" s="80" t="s">
        <v>84</v>
      </c>
      <c r="L9" s="80" t="s">
        <v>84</v>
      </c>
      <c r="M9" s="80" t="s">
        <v>84</v>
      </c>
      <c r="N9" s="239" t="s">
        <v>121</v>
      </c>
      <c r="O9" s="80">
        <v>0</v>
      </c>
      <c r="P9" s="261">
        <f>F9*G9</f>
        <v>5.6</v>
      </c>
      <c r="Q9" s="275"/>
    </row>
    <row r="10" s="158" customFormat="1" spans="1:17">
      <c r="A10" s="80">
        <f>ROW()-6</f>
        <v>4</v>
      </c>
      <c r="B10" s="236" t="s">
        <v>80</v>
      </c>
      <c r="C10" s="237" t="s">
        <v>124</v>
      </c>
      <c r="D10" s="236" t="s">
        <v>84</v>
      </c>
      <c r="E10" s="236" t="s">
        <v>84</v>
      </c>
      <c r="F10" s="236">
        <v>1</v>
      </c>
      <c r="G10" s="238">
        <v>77.5</v>
      </c>
      <c r="H10" s="80" t="s">
        <v>84</v>
      </c>
      <c r="I10" s="80" t="s">
        <v>84</v>
      </c>
      <c r="J10" s="80" t="s">
        <v>84</v>
      </c>
      <c r="K10" s="80" t="s">
        <v>84</v>
      </c>
      <c r="L10" s="80" t="s">
        <v>84</v>
      </c>
      <c r="M10" s="80" t="s">
        <v>84</v>
      </c>
      <c r="N10" s="239" t="s">
        <v>121</v>
      </c>
      <c r="O10" s="80">
        <v>0</v>
      </c>
      <c r="P10" s="261">
        <f t="shared" ref="P10:P17" si="0">F10*G10</f>
        <v>77.5</v>
      </c>
      <c r="Q10" s="275"/>
    </row>
    <row r="11" s="158" customFormat="1" spans="1:17">
      <c r="A11" s="80">
        <f t="shared" ref="A11:A17" si="1">ROW()-6</f>
        <v>5</v>
      </c>
      <c r="B11" s="236" t="s">
        <v>80</v>
      </c>
      <c r="C11" s="237" t="s">
        <v>125</v>
      </c>
      <c r="D11" s="236" t="s">
        <v>84</v>
      </c>
      <c r="E11" s="236" t="s">
        <v>84</v>
      </c>
      <c r="F11" s="236">
        <v>1</v>
      </c>
      <c r="G11" s="238">
        <v>23.28</v>
      </c>
      <c r="H11" s="80" t="s">
        <v>84</v>
      </c>
      <c r="I11" s="80" t="s">
        <v>84</v>
      </c>
      <c r="J11" s="80" t="s">
        <v>84</v>
      </c>
      <c r="K11" s="80" t="s">
        <v>84</v>
      </c>
      <c r="L11" s="80" t="s">
        <v>84</v>
      </c>
      <c r="M11" s="80" t="s">
        <v>84</v>
      </c>
      <c r="N11" s="239" t="s">
        <v>121</v>
      </c>
      <c r="O11" s="80">
        <v>0</v>
      </c>
      <c r="P11" s="261">
        <f t="shared" si="0"/>
        <v>23.28</v>
      </c>
      <c r="Q11" s="275"/>
    </row>
    <row r="12" s="158" customFormat="1" spans="1:17">
      <c r="A12" s="80">
        <f t="shared" si="1"/>
        <v>6</v>
      </c>
      <c r="B12" s="236" t="s">
        <v>80</v>
      </c>
      <c r="C12" s="237" t="s">
        <v>126</v>
      </c>
      <c r="D12" s="236" t="s">
        <v>84</v>
      </c>
      <c r="E12" s="236" t="s">
        <v>84</v>
      </c>
      <c r="F12" s="236">
        <v>1</v>
      </c>
      <c r="G12" s="238">
        <v>7.09</v>
      </c>
      <c r="H12" s="80" t="s">
        <v>84</v>
      </c>
      <c r="I12" s="80" t="s">
        <v>84</v>
      </c>
      <c r="J12" s="80" t="s">
        <v>84</v>
      </c>
      <c r="K12" s="80" t="s">
        <v>84</v>
      </c>
      <c r="L12" s="80" t="s">
        <v>84</v>
      </c>
      <c r="M12" s="80" t="s">
        <v>84</v>
      </c>
      <c r="N12" s="239" t="s">
        <v>121</v>
      </c>
      <c r="O12" s="80">
        <v>0</v>
      </c>
      <c r="P12" s="261">
        <f t="shared" si="0"/>
        <v>7.09</v>
      </c>
      <c r="Q12" s="275"/>
    </row>
    <row r="13" s="158" customFormat="1" spans="1:17">
      <c r="A13" s="80">
        <f t="shared" si="1"/>
        <v>7</v>
      </c>
      <c r="B13" s="236" t="s">
        <v>80</v>
      </c>
      <c r="C13" s="237" t="s">
        <v>127</v>
      </c>
      <c r="D13" s="236" t="s">
        <v>84</v>
      </c>
      <c r="E13" s="236" t="s">
        <v>84</v>
      </c>
      <c r="F13" s="236">
        <v>1</v>
      </c>
      <c r="G13" s="238">
        <v>1.95</v>
      </c>
      <c r="H13" s="80" t="s">
        <v>84</v>
      </c>
      <c r="I13" s="80" t="s">
        <v>84</v>
      </c>
      <c r="J13" s="80" t="s">
        <v>84</v>
      </c>
      <c r="K13" s="80" t="s">
        <v>84</v>
      </c>
      <c r="L13" s="80" t="s">
        <v>84</v>
      </c>
      <c r="M13" s="80" t="s">
        <v>84</v>
      </c>
      <c r="N13" s="239" t="s">
        <v>121</v>
      </c>
      <c r="O13" s="80">
        <v>0</v>
      </c>
      <c r="P13" s="261">
        <f t="shared" si="0"/>
        <v>1.95</v>
      </c>
      <c r="Q13" s="275"/>
    </row>
    <row r="14" s="158" customFormat="1" spans="1:17">
      <c r="A14" s="80">
        <f t="shared" si="1"/>
        <v>8</v>
      </c>
      <c r="B14" s="236" t="s">
        <v>80</v>
      </c>
      <c r="C14" s="237" t="s">
        <v>128</v>
      </c>
      <c r="D14" s="236" t="s">
        <v>84</v>
      </c>
      <c r="E14" s="236" t="s">
        <v>84</v>
      </c>
      <c r="F14" s="236">
        <v>1</v>
      </c>
      <c r="G14" s="238">
        <v>25</v>
      </c>
      <c r="H14" s="80" t="s">
        <v>84</v>
      </c>
      <c r="I14" s="80" t="s">
        <v>84</v>
      </c>
      <c r="J14" s="80" t="s">
        <v>84</v>
      </c>
      <c r="K14" s="80" t="s">
        <v>84</v>
      </c>
      <c r="L14" s="80" t="s">
        <v>84</v>
      </c>
      <c r="M14" s="80" t="s">
        <v>84</v>
      </c>
      <c r="N14" s="239" t="s">
        <v>121</v>
      </c>
      <c r="O14" s="80">
        <v>0</v>
      </c>
      <c r="P14" s="261">
        <f t="shared" si="0"/>
        <v>25</v>
      </c>
      <c r="Q14" s="275"/>
    </row>
    <row r="15" s="158" customFormat="1" spans="1:17">
      <c r="A15" s="80">
        <f t="shared" si="1"/>
        <v>9</v>
      </c>
      <c r="B15" s="236" t="s">
        <v>80</v>
      </c>
      <c r="C15" s="237" t="s">
        <v>129</v>
      </c>
      <c r="D15" s="236" t="s">
        <v>84</v>
      </c>
      <c r="E15" s="236" t="s">
        <v>84</v>
      </c>
      <c r="F15" s="236">
        <v>1</v>
      </c>
      <c r="G15" s="238">
        <v>36.99</v>
      </c>
      <c r="H15" s="80" t="s">
        <v>84</v>
      </c>
      <c r="I15" s="80" t="s">
        <v>84</v>
      </c>
      <c r="J15" s="80" t="s">
        <v>84</v>
      </c>
      <c r="K15" s="80" t="s">
        <v>84</v>
      </c>
      <c r="L15" s="80" t="s">
        <v>84</v>
      </c>
      <c r="M15" s="80" t="s">
        <v>84</v>
      </c>
      <c r="N15" s="239" t="s">
        <v>121</v>
      </c>
      <c r="O15" s="80">
        <v>0</v>
      </c>
      <c r="P15" s="261">
        <f t="shared" si="0"/>
        <v>36.99</v>
      </c>
      <c r="Q15" s="275"/>
    </row>
    <row r="16" s="158" customFormat="1" spans="1:17">
      <c r="A16" s="80">
        <f t="shared" si="1"/>
        <v>10</v>
      </c>
      <c r="B16" s="236" t="s">
        <v>80</v>
      </c>
      <c r="C16" s="237" t="s">
        <v>130</v>
      </c>
      <c r="D16" s="236" t="s">
        <v>84</v>
      </c>
      <c r="E16" s="236" t="s">
        <v>84</v>
      </c>
      <c r="F16" s="236">
        <v>1</v>
      </c>
      <c r="G16" s="238">
        <v>0.8034</v>
      </c>
      <c r="H16" s="80" t="s">
        <v>84</v>
      </c>
      <c r="I16" s="80" t="s">
        <v>84</v>
      </c>
      <c r="J16" s="80" t="s">
        <v>84</v>
      </c>
      <c r="K16" s="80" t="s">
        <v>84</v>
      </c>
      <c r="L16" s="80" t="s">
        <v>84</v>
      </c>
      <c r="M16" s="80" t="s">
        <v>84</v>
      </c>
      <c r="N16" s="239" t="s">
        <v>121</v>
      </c>
      <c r="O16" s="80">
        <v>0</v>
      </c>
      <c r="P16" s="261">
        <f t="shared" si="0"/>
        <v>0.8034</v>
      </c>
      <c r="Q16" s="275"/>
    </row>
    <row r="17" s="158" customFormat="1" spans="1:17">
      <c r="A17" s="80">
        <f t="shared" si="1"/>
        <v>11</v>
      </c>
      <c r="B17" s="236" t="s">
        <v>80</v>
      </c>
      <c r="C17" s="237" t="s">
        <v>130</v>
      </c>
      <c r="D17" s="236" t="s">
        <v>84</v>
      </c>
      <c r="E17" s="236" t="s">
        <v>84</v>
      </c>
      <c r="F17" s="236">
        <v>1</v>
      </c>
      <c r="G17" s="238">
        <v>0.9829</v>
      </c>
      <c r="H17" s="80" t="s">
        <v>84</v>
      </c>
      <c r="I17" s="80" t="s">
        <v>84</v>
      </c>
      <c r="J17" s="80" t="s">
        <v>84</v>
      </c>
      <c r="K17" s="80" t="s">
        <v>84</v>
      </c>
      <c r="L17" s="80" t="s">
        <v>84</v>
      </c>
      <c r="M17" s="80" t="s">
        <v>84</v>
      </c>
      <c r="N17" s="239" t="s">
        <v>121</v>
      </c>
      <c r="O17" s="80">
        <v>0</v>
      </c>
      <c r="P17" s="261">
        <f t="shared" si="0"/>
        <v>0.9829</v>
      </c>
      <c r="Q17" s="275"/>
    </row>
    <row r="18" spans="1:17">
      <c r="A18" s="239"/>
      <c r="B18" s="240" t="s">
        <v>108</v>
      </c>
      <c r="C18" s="25"/>
      <c r="D18" s="25"/>
      <c r="E18" s="25"/>
      <c r="F18" s="25"/>
      <c r="G18" s="241"/>
      <c r="H18" s="242"/>
      <c r="I18" s="239"/>
      <c r="J18" s="239"/>
      <c r="K18" s="262"/>
      <c r="L18" s="263"/>
      <c r="M18" s="264"/>
      <c r="N18" s="239"/>
      <c r="O18" s="265"/>
      <c r="P18" s="266">
        <f>SUM(P7:P17)</f>
        <v>263.7463</v>
      </c>
      <c r="Q18" s="276"/>
    </row>
    <row r="20" ht="17.5" spans="2:17">
      <c r="B20" s="243" t="s">
        <v>131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</row>
    <row r="21" s="28" customFormat="1" ht="13.5" customHeight="1" spans="1:17">
      <c r="A21" s="244" t="s">
        <v>61</v>
      </c>
      <c r="B21" s="245" t="s">
        <v>62</v>
      </c>
      <c r="C21" s="245" t="s">
        <v>63</v>
      </c>
      <c r="D21" s="246" t="s">
        <v>132</v>
      </c>
      <c r="E21" s="247"/>
      <c r="F21" s="245" t="s">
        <v>115</v>
      </c>
      <c r="G21" s="245" t="s">
        <v>133</v>
      </c>
      <c r="H21" s="245" t="s">
        <v>134</v>
      </c>
      <c r="I21" s="246" t="s">
        <v>135</v>
      </c>
      <c r="J21" s="267"/>
      <c r="K21" s="267"/>
      <c r="L21" s="267"/>
      <c r="M21" s="267"/>
      <c r="N21" s="267"/>
      <c r="O21" s="247"/>
      <c r="P21" s="245" t="s">
        <v>117</v>
      </c>
      <c r="Q21" s="245" t="s">
        <v>25</v>
      </c>
    </row>
    <row r="22" s="28" customFormat="1" ht="24" customHeight="1" spans="1:17">
      <c r="A22" s="248"/>
      <c r="B22" s="249"/>
      <c r="C22" s="249"/>
      <c r="D22" s="234" t="s">
        <v>70</v>
      </c>
      <c r="E22" s="234" t="s">
        <v>76</v>
      </c>
      <c r="F22" s="249"/>
      <c r="G22" s="249"/>
      <c r="H22" s="249"/>
      <c r="I22" s="268" t="s">
        <v>136</v>
      </c>
      <c r="J22" s="268" t="s">
        <v>137</v>
      </c>
      <c r="K22" s="268" t="s">
        <v>138</v>
      </c>
      <c r="L22" s="234" t="s">
        <v>139</v>
      </c>
      <c r="M22" s="234" t="s">
        <v>140</v>
      </c>
      <c r="N22" s="234" t="s">
        <v>141</v>
      </c>
      <c r="O22" s="234" t="s">
        <v>142</v>
      </c>
      <c r="P22" s="249"/>
      <c r="Q22" s="249"/>
    </row>
    <row r="23" spans="1:17">
      <c r="A23" s="80"/>
      <c r="B23" s="80" t="s">
        <v>84</v>
      </c>
      <c r="C23" s="80" t="s">
        <v>84</v>
      </c>
      <c r="D23" s="80" t="s">
        <v>84</v>
      </c>
      <c r="E23" s="80" t="s">
        <v>84</v>
      </c>
      <c r="F23" s="80">
        <v>0</v>
      </c>
      <c r="G23" s="80">
        <v>0</v>
      </c>
      <c r="H23" s="80" t="s">
        <v>84</v>
      </c>
      <c r="I23" s="80" t="s">
        <v>84</v>
      </c>
      <c r="J23" s="80" t="s">
        <v>84</v>
      </c>
      <c r="K23" s="80" t="s">
        <v>84</v>
      </c>
      <c r="L23" s="80">
        <v>0</v>
      </c>
      <c r="M23" s="80">
        <v>0</v>
      </c>
      <c r="N23" s="80">
        <v>0</v>
      </c>
      <c r="O23" s="80">
        <v>0</v>
      </c>
      <c r="P23" s="269">
        <f>F23*G23</f>
        <v>0</v>
      </c>
      <c r="Q23" s="234"/>
    </row>
    <row r="24" ht="13.5" hidden="1" customHeight="1" spans="1:17">
      <c r="A24" s="80"/>
      <c r="B24" s="80" t="s">
        <v>84</v>
      </c>
      <c r="C24" s="80" t="s">
        <v>84</v>
      </c>
      <c r="D24" s="80" t="s">
        <v>84</v>
      </c>
      <c r="E24" s="80" t="s">
        <v>84</v>
      </c>
      <c r="F24" s="80"/>
      <c r="G24" s="80"/>
      <c r="H24" s="80" t="s">
        <v>84</v>
      </c>
      <c r="I24" s="80" t="s">
        <v>84</v>
      </c>
      <c r="J24" s="80" t="s">
        <v>84</v>
      </c>
      <c r="K24" s="80" t="s">
        <v>84</v>
      </c>
      <c r="L24" s="80" t="s">
        <v>84</v>
      </c>
      <c r="M24" s="80" t="s">
        <v>84</v>
      </c>
      <c r="N24" s="80" t="s">
        <v>84</v>
      </c>
      <c r="O24" s="80" t="s">
        <v>84</v>
      </c>
      <c r="P24" s="269">
        <f t="shared" ref="P24:P28" si="2">F24*G24</f>
        <v>0</v>
      </c>
      <c r="Q24" s="234"/>
    </row>
    <row r="25" ht="13.5" hidden="1" customHeight="1" spans="1:17">
      <c r="A25" s="80"/>
      <c r="B25" s="80" t="s">
        <v>84</v>
      </c>
      <c r="C25" s="80" t="s">
        <v>84</v>
      </c>
      <c r="D25" s="80" t="s">
        <v>84</v>
      </c>
      <c r="E25" s="80" t="s">
        <v>84</v>
      </c>
      <c r="F25" s="80"/>
      <c r="G25" s="80"/>
      <c r="H25" s="80" t="s">
        <v>84</v>
      </c>
      <c r="I25" s="80" t="s">
        <v>84</v>
      </c>
      <c r="J25" s="80" t="s">
        <v>84</v>
      </c>
      <c r="K25" s="80" t="s">
        <v>84</v>
      </c>
      <c r="L25" s="80" t="s">
        <v>84</v>
      </c>
      <c r="M25" s="80" t="s">
        <v>84</v>
      </c>
      <c r="N25" s="80" t="s">
        <v>84</v>
      </c>
      <c r="O25" s="80" t="s">
        <v>84</v>
      </c>
      <c r="P25" s="269">
        <f t="shared" si="2"/>
        <v>0</v>
      </c>
      <c r="Q25" s="234"/>
    </row>
    <row r="26" ht="13.5" hidden="1" customHeight="1" spans="1:17">
      <c r="A26" s="80"/>
      <c r="B26" s="80" t="s">
        <v>84</v>
      </c>
      <c r="C26" s="80" t="s">
        <v>84</v>
      </c>
      <c r="D26" s="80" t="s">
        <v>84</v>
      </c>
      <c r="E26" s="80" t="s">
        <v>84</v>
      </c>
      <c r="F26" s="80"/>
      <c r="G26" s="80"/>
      <c r="H26" s="80" t="s">
        <v>84</v>
      </c>
      <c r="I26" s="80" t="s">
        <v>84</v>
      </c>
      <c r="J26" s="80" t="s">
        <v>84</v>
      </c>
      <c r="K26" s="80" t="s">
        <v>84</v>
      </c>
      <c r="L26" s="80" t="s">
        <v>84</v>
      </c>
      <c r="M26" s="80" t="s">
        <v>84</v>
      </c>
      <c r="N26" s="80" t="s">
        <v>84</v>
      </c>
      <c r="O26" s="80" t="s">
        <v>84</v>
      </c>
      <c r="P26" s="269">
        <f t="shared" si="2"/>
        <v>0</v>
      </c>
      <c r="Q26" s="234"/>
    </row>
    <row r="27" ht="13.5" hidden="1" customHeight="1" spans="1:17">
      <c r="A27" s="239"/>
      <c r="B27" s="80" t="s">
        <v>84</v>
      </c>
      <c r="C27" s="80" t="s">
        <v>84</v>
      </c>
      <c r="D27" s="80" t="s">
        <v>84</v>
      </c>
      <c r="E27" s="80" t="s">
        <v>84</v>
      </c>
      <c r="F27" s="80"/>
      <c r="G27" s="80"/>
      <c r="H27" s="80" t="s">
        <v>84</v>
      </c>
      <c r="I27" s="80" t="s">
        <v>84</v>
      </c>
      <c r="J27" s="80" t="s">
        <v>84</v>
      </c>
      <c r="K27" s="80" t="s">
        <v>84</v>
      </c>
      <c r="L27" s="80" t="s">
        <v>84</v>
      </c>
      <c r="M27" s="80" t="s">
        <v>84</v>
      </c>
      <c r="N27" s="80" t="s">
        <v>84</v>
      </c>
      <c r="O27" s="80" t="s">
        <v>84</v>
      </c>
      <c r="P27" s="269">
        <f t="shared" si="2"/>
        <v>0</v>
      </c>
      <c r="Q27" s="234"/>
    </row>
    <row r="28" spans="1:17">
      <c r="A28" s="239"/>
      <c r="B28" s="80" t="s">
        <v>84</v>
      </c>
      <c r="C28" s="80" t="s">
        <v>84</v>
      </c>
      <c r="D28" s="80" t="s">
        <v>84</v>
      </c>
      <c r="E28" s="80" t="s">
        <v>84</v>
      </c>
      <c r="F28" s="80">
        <v>0</v>
      </c>
      <c r="G28" s="80">
        <v>0</v>
      </c>
      <c r="H28" s="80" t="s">
        <v>84</v>
      </c>
      <c r="I28" s="80" t="s">
        <v>84</v>
      </c>
      <c r="J28" s="80" t="s">
        <v>84</v>
      </c>
      <c r="K28" s="80" t="s">
        <v>84</v>
      </c>
      <c r="L28" s="80">
        <v>0</v>
      </c>
      <c r="M28" s="80">
        <v>0</v>
      </c>
      <c r="N28" s="80">
        <v>0</v>
      </c>
      <c r="O28" s="80">
        <v>0</v>
      </c>
      <c r="P28" s="269">
        <f t="shared" si="2"/>
        <v>0</v>
      </c>
      <c r="Q28" s="234"/>
    </row>
    <row r="29" spans="1:17">
      <c r="A29" s="239"/>
      <c r="B29" s="240" t="s">
        <v>108</v>
      </c>
      <c r="C29" s="250"/>
      <c r="D29" s="242"/>
      <c r="E29" s="242"/>
      <c r="F29" s="242"/>
      <c r="G29" s="242"/>
      <c r="H29" s="242"/>
      <c r="I29" s="270"/>
      <c r="J29" s="270"/>
      <c r="K29" s="270"/>
      <c r="L29" s="242"/>
      <c r="M29" s="242"/>
      <c r="N29" s="271"/>
      <c r="O29" s="271"/>
      <c r="P29" s="266">
        <f>SUM(P23:P28)</f>
        <v>0</v>
      </c>
      <c r="Q29" s="277"/>
    </row>
    <row r="30" spans="1:17">
      <c r="A30" s="28"/>
      <c r="B30" s="251"/>
      <c r="C30" s="252"/>
      <c r="D30" s="253"/>
      <c r="E30" s="253"/>
      <c r="F30" s="254"/>
      <c r="G30" s="254"/>
      <c r="H30" s="254"/>
      <c r="I30" s="272"/>
      <c r="J30" s="253"/>
      <c r="K30" s="253"/>
      <c r="L30" s="273"/>
      <c r="M30" s="273"/>
      <c r="N30" s="273"/>
      <c r="O30" s="273"/>
      <c r="P30" s="273"/>
      <c r="Q30" s="278"/>
    </row>
    <row r="31" ht="17.5" spans="1:17">
      <c r="A31" s="255" t="s">
        <v>143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74"/>
      <c r="P31" s="266">
        <f>P18+P29</f>
        <v>263.7463</v>
      </c>
      <c r="Q31" s="279"/>
    </row>
    <row r="32" spans="2:2">
      <c r="B32" s="257" t="s">
        <v>144</v>
      </c>
    </row>
    <row r="33" spans="3:3">
      <c r="C33" s="158" t="s">
        <v>145</v>
      </c>
    </row>
  </sheetData>
  <mergeCells count="30">
    <mergeCell ref="A1:Q1"/>
    <mergeCell ref="I2:J2"/>
    <mergeCell ref="K2:O2"/>
    <mergeCell ref="P2:Q2"/>
    <mergeCell ref="P3:Q3"/>
    <mergeCell ref="B4:Q4"/>
    <mergeCell ref="D5:E5"/>
    <mergeCell ref="I5:O5"/>
    <mergeCell ref="K6:M6"/>
    <mergeCell ref="K18:M18"/>
    <mergeCell ref="B20:Q20"/>
    <mergeCell ref="D21:E21"/>
    <mergeCell ref="I21:O21"/>
    <mergeCell ref="A31:O31"/>
    <mergeCell ref="A5:A6"/>
    <mergeCell ref="A21:A22"/>
    <mergeCell ref="B5:B6"/>
    <mergeCell ref="B21:B22"/>
    <mergeCell ref="C5:C6"/>
    <mergeCell ref="C21:C22"/>
    <mergeCell ref="F5:F6"/>
    <mergeCell ref="F21:F22"/>
    <mergeCell ref="G5:G6"/>
    <mergeCell ref="G21:G22"/>
    <mergeCell ref="H5:H6"/>
    <mergeCell ref="H21:H22"/>
    <mergeCell ref="P5:P6"/>
    <mergeCell ref="P21:P22"/>
    <mergeCell ref="Q5:Q6"/>
    <mergeCell ref="Q21:Q22"/>
  </mergeCells>
  <printOptions horizontalCentered="1"/>
  <pageMargins left="0.31496062992126" right="0.31496062992126" top="0.748031496062992" bottom="0.748031496062992" header="0.31496062992126" footer="0.31496062992126"/>
  <pageSetup paperSize="9" scale="88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view="pageBreakPreview" zoomScaleNormal="100" workbookViewId="0">
      <selection activeCell="D13" sqref="D13"/>
    </sheetView>
  </sheetViews>
  <sheetFormatPr defaultColWidth="9" defaultRowHeight="14"/>
  <cols>
    <col min="1" max="1" width="4.62727272727273" customWidth="1"/>
    <col min="2" max="2" width="6.75454545454545" customWidth="1"/>
    <col min="3" max="3" width="14.3727272727273" customWidth="1"/>
    <col min="4" max="4" width="4.25454545454545" customWidth="1"/>
    <col min="5" max="5" width="13.5" customWidth="1"/>
    <col min="6" max="6" width="16" customWidth="1"/>
    <col min="7" max="7" width="21.5" customWidth="1"/>
    <col min="8" max="8" width="6" customWidth="1"/>
    <col min="9" max="9" width="5.25454545454545" customWidth="1"/>
    <col min="10" max="10" width="6" customWidth="1"/>
    <col min="11" max="11" width="6.37272727272727" style="159" customWidth="1"/>
    <col min="12" max="12" width="6.62727272727273" style="159" customWidth="1"/>
    <col min="13" max="13" width="6.87272727272727" style="159" customWidth="1"/>
    <col min="14" max="14" width="8.87272727272727" style="159" customWidth="1"/>
    <col min="15" max="15" width="8.12727272727273" style="159" customWidth="1"/>
    <col min="16" max="16" width="8.12727272727273" customWidth="1"/>
    <col min="17" max="17" width="12.1272727272727" customWidth="1"/>
  </cols>
  <sheetData>
    <row r="1" ht="23.25" customHeight="1" spans="1:17">
      <c r="A1" s="201" t="s">
        <v>146</v>
      </c>
      <c r="B1" s="201"/>
      <c r="C1" s="201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="1" customFormat="1" spans="1:17">
      <c r="A2" s="203" t="s">
        <v>112</v>
      </c>
      <c r="B2" s="204"/>
      <c r="C2" s="205"/>
      <c r="D2" s="5" t="str">
        <f>原材料明细!C2</f>
        <v>北京光华荣昌汽车部件有限公司</v>
      </c>
      <c r="E2" s="5"/>
      <c r="F2" s="5"/>
      <c r="G2" s="5"/>
      <c r="H2" s="5"/>
      <c r="I2" s="5"/>
      <c r="J2" s="6" t="s">
        <v>55</v>
      </c>
      <c r="K2" s="12" t="s">
        <v>56</v>
      </c>
      <c r="L2" s="13"/>
      <c r="M2" s="13"/>
      <c r="N2" s="13"/>
      <c r="O2" s="218" t="s">
        <v>57</v>
      </c>
      <c r="P2" s="218"/>
      <c r="Q2" s="218"/>
    </row>
    <row r="3" s="1" customFormat="1" spans="1:17">
      <c r="A3" s="7" t="s">
        <v>58</v>
      </c>
      <c r="B3" s="7"/>
      <c r="C3" s="7"/>
      <c r="D3" s="206" t="str">
        <f>原材料明细!C3</f>
        <v>X168100000004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15" t="str">
        <f>原材料明细!N3</f>
        <v>报价填写日期: 2022-3-4</v>
      </c>
      <c r="P3" s="15"/>
      <c r="Q3" s="15"/>
    </row>
    <row r="4" s="180" customFormat="1" ht="27" customHeight="1" spans="1:17">
      <c r="A4" s="207" t="s">
        <v>61</v>
      </c>
      <c r="B4" s="207" t="s">
        <v>62</v>
      </c>
      <c r="C4" s="207" t="s">
        <v>63</v>
      </c>
      <c r="D4" s="207" t="s">
        <v>147</v>
      </c>
      <c r="E4" s="208" t="s">
        <v>148</v>
      </c>
      <c r="F4" s="208" t="s">
        <v>149</v>
      </c>
      <c r="G4" s="208"/>
      <c r="H4" s="208" t="s">
        <v>150</v>
      </c>
      <c r="I4" s="208" t="s">
        <v>151</v>
      </c>
      <c r="J4" s="208" t="s">
        <v>152</v>
      </c>
      <c r="K4" s="219" t="s">
        <v>153</v>
      </c>
      <c r="L4" s="219"/>
      <c r="M4" s="219"/>
      <c r="N4" s="219"/>
      <c r="O4" s="219"/>
      <c r="P4" s="208" t="s">
        <v>154</v>
      </c>
      <c r="Q4" s="208"/>
    </row>
    <row r="5" s="180" customFormat="1" ht="33.75" customHeight="1" spans="1:17">
      <c r="A5" s="207"/>
      <c r="B5" s="207"/>
      <c r="C5" s="207"/>
      <c r="D5" s="207"/>
      <c r="E5" s="208"/>
      <c r="F5" s="208" t="s">
        <v>155</v>
      </c>
      <c r="G5" s="208" t="s">
        <v>72</v>
      </c>
      <c r="H5" s="208"/>
      <c r="I5" s="208"/>
      <c r="J5" s="208"/>
      <c r="K5" s="208" t="s">
        <v>156</v>
      </c>
      <c r="L5" s="208" t="s">
        <v>157</v>
      </c>
      <c r="M5" s="208" t="s">
        <v>158</v>
      </c>
      <c r="N5" s="208" t="s">
        <v>159</v>
      </c>
      <c r="O5" s="208" t="s">
        <v>160</v>
      </c>
      <c r="P5" s="208" t="s">
        <v>161</v>
      </c>
      <c r="Q5" s="208" t="s">
        <v>162</v>
      </c>
    </row>
    <row r="6" s="180" customFormat="1" ht="13" spans="1:17">
      <c r="A6" s="209">
        <v>1</v>
      </c>
      <c r="B6" s="210" t="s">
        <v>80</v>
      </c>
      <c r="C6" s="173" t="s">
        <v>163</v>
      </c>
      <c r="D6" s="211">
        <v>1</v>
      </c>
      <c r="E6" s="212" t="s">
        <v>84</v>
      </c>
      <c r="F6" s="212" t="s">
        <v>164</v>
      </c>
      <c r="G6" s="212" t="s">
        <v>165</v>
      </c>
      <c r="H6" s="213">
        <v>3</v>
      </c>
      <c r="I6" s="213">
        <v>12</v>
      </c>
      <c r="J6" s="220">
        <v>0.47</v>
      </c>
      <c r="K6" s="220">
        <v>0.6</v>
      </c>
      <c r="L6" s="220">
        <f>制造费率测算明细!T6</f>
        <v>10.7510288065844</v>
      </c>
      <c r="M6" s="220">
        <f>制造费率测算明细!U6</f>
        <v>1.26666666666667</v>
      </c>
      <c r="N6" s="220">
        <f>制造费率测算明细!V6</f>
        <v>2.5462962962963</v>
      </c>
      <c r="O6" s="221">
        <f>SUM(K6:N6)</f>
        <v>15.1639917695473</v>
      </c>
      <c r="P6" s="222">
        <f>D6*H6*I6*J6</f>
        <v>16.92</v>
      </c>
      <c r="Q6" s="222">
        <f>D6*H6*O6</f>
        <v>45.491975308642</v>
      </c>
    </row>
    <row r="7" s="180" customFormat="1" ht="13" spans="1:17">
      <c r="A7" s="209">
        <v>2</v>
      </c>
      <c r="B7" s="210" t="s">
        <v>80</v>
      </c>
      <c r="C7" s="178" t="s">
        <v>166</v>
      </c>
      <c r="D7" s="211">
        <v>1</v>
      </c>
      <c r="E7" s="212" t="s">
        <v>84</v>
      </c>
      <c r="F7" s="178" t="s">
        <v>167</v>
      </c>
      <c r="G7" s="178" t="s">
        <v>168</v>
      </c>
      <c r="H7" s="213">
        <v>3</v>
      </c>
      <c r="I7" s="223">
        <v>11</v>
      </c>
      <c r="J7" s="220">
        <v>0.47</v>
      </c>
      <c r="K7" s="220">
        <v>0.6</v>
      </c>
      <c r="L7" s="220">
        <f>制造费率测算明细!T7</f>
        <v>1.25661375661376</v>
      </c>
      <c r="M7" s="220">
        <f>制造费率测算明细!U7</f>
        <v>0.158333333333333</v>
      </c>
      <c r="N7" s="220">
        <f>制造费率测算明细!V7</f>
        <v>0.694444444444444</v>
      </c>
      <c r="O7" s="221">
        <f t="shared" ref="O7" si="0">SUM(K7:N7)</f>
        <v>2.70939153439153</v>
      </c>
      <c r="P7" s="222">
        <f t="shared" ref="P7:P10" si="1">D7*H7*I7*J7</f>
        <v>15.51</v>
      </c>
      <c r="Q7" s="222">
        <f t="shared" ref="Q7:Q10" si="2">D7*H7*O7</f>
        <v>8.1281746031746</v>
      </c>
    </row>
    <row r="8" s="180" customFormat="1" ht="13" spans="1:17">
      <c r="A8" s="209">
        <v>3</v>
      </c>
      <c r="B8" s="210" t="s">
        <v>80</v>
      </c>
      <c r="C8" s="178" t="s">
        <v>169</v>
      </c>
      <c r="D8" s="211">
        <v>1</v>
      </c>
      <c r="E8" s="212" t="s">
        <v>84</v>
      </c>
      <c r="F8" s="178" t="s">
        <v>170</v>
      </c>
      <c r="G8" s="212" t="s">
        <v>84</v>
      </c>
      <c r="H8" s="178">
        <v>14</v>
      </c>
      <c r="I8" s="178">
        <v>1</v>
      </c>
      <c r="J8" s="220">
        <v>0.47</v>
      </c>
      <c r="K8" s="224">
        <v>0.6</v>
      </c>
      <c r="L8" s="220">
        <f>制造费率测算明细!T8</f>
        <v>0.0301587301587302</v>
      </c>
      <c r="M8" s="220">
        <f>制造费率测算明细!U8</f>
        <v>0.633333333333333</v>
      </c>
      <c r="N8" s="220">
        <f>制造费率测算明细!V8</f>
        <v>0.00333333333333333</v>
      </c>
      <c r="O8" s="221">
        <f t="shared" ref="O8:O10" si="3">SUM(L8:N8)</f>
        <v>0.666825396825397</v>
      </c>
      <c r="P8" s="222">
        <f t="shared" si="1"/>
        <v>6.58</v>
      </c>
      <c r="Q8" s="222">
        <f t="shared" si="2"/>
        <v>9.33555555555555</v>
      </c>
    </row>
    <row r="9" s="180" customFormat="1" ht="13" spans="1:17">
      <c r="A9" s="209">
        <v>4</v>
      </c>
      <c r="B9" s="210" t="s">
        <v>80</v>
      </c>
      <c r="C9" s="167" t="s">
        <v>171</v>
      </c>
      <c r="D9" s="211">
        <v>1</v>
      </c>
      <c r="E9" s="212" t="s">
        <v>84</v>
      </c>
      <c r="F9" s="178" t="s">
        <v>172</v>
      </c>
      <c r="G9" s="212" t="s">
        <v>84</v>
      </c>
      <c r="H9" s="178">
        <v>14</v>
      </c>
      <c r="I9" s="178">
        <v>4</v>
      </c>
      <c r="J9" s="220">
        <v>0.47</v>
      </c>
      <c r="K9" s="224">
        <v>0.6</v>
      </c>
      <c r="L9" s="220">
        <f>制造费率测算明细!T9</f>
        <v>0.0197916666666667</v>
      </c>
      <c r="M9" s="220">
        <f>制造费率测算明细!U9</f>
        <v>0.633333333333333</v>
      </c>
      <c r="N9" s="220">
        <f>制造费率测算明细!V9</f>
        <v>0.0021875</v>
      </c>
      <c r="O9" s="221">
        <f t="shared" si="3"/>
        <v>0.6553125</v>
      </c>
      <c r="P9" s="222">
        <f t="shared" si="1"/>
        <v>26.32</v>
      </c>
      <c r="Q9" s="222">
        <f t="shared" si="2"/>
        <v>9.174375</v>
      </c>
    </row>
    <row r="10" s="180" customFormat="1" ht="13" spans="1:17">
      <c r="A10" s="209">
        <v>5</v>
      </c>
      <c r="B10" s="210" t="s">
        <v>80</v>
      </c>
      <c r="C10" s="178" t="s">
        <v>169</v>
      </c>
      <c r="D10" s="211">
        <v>1</v>
      </c>
      <c r="E10" s="212" t="s">
        <v>84</v>
      </c>
      <c r="F10" s="178" t="s">
        <v>173</v>
      </c>
      <c r="G10" s="212" t="s">
        <v>84</v>
      </c>
      <c r="H10" s="178">
        <v>2</v>
      </c>
      <c r="I10" s="178">
        <v>6</v>
      </c>
      <c r="J10" s="220">
        <v>0.47</v>
      </c>
      <c r="K10" s="224">
        <v>0.6</v>
      </c>
      <c r="L10" s="220">
        <f>制造费率测算明细!T10</f>
        <v>1.03670634920635</v>
      </c>
      <c r="M10" s="220">
        <f>制造费率测算明细!U10</f>
        <v>0.633333333333333</v>
      </c>
      <c r="N10" s="220">
        <f>制造费率测算明细!V10</f>
        <v>0.114583333333333</v>
      </c>
      <c r="O10" s="221">
        <f t="shared" si="3"/>
        <v>1.78462301587302</v>
      </c>
      <c r="P10" s="222">
        <f t="shared" si="1"/>
        <v>5.64</v>
      </c>
      <c r="Q10" s="222">
        <f t="shared" si="2"/>
        <v>3.56924603174603</v>
      </c>
    </row>
    <row r="11" s="180" customFormat="1" ht="20.25" customHeight="1" spans="1:17">
      <c r="A11" s="214" t="s">
        <v>108</v>
      </c>
      <c r="B11" s="214"/>
      <c r="C11" s="214"/>
      <c r="D11" s="214"/>
      <c r="E11" s="214"/>
      <c r="F11" s="214"/>
      <c r="G11" s="214"/>
      <c r="H11" s="215">
        <f>SUM(H6:H10)</f>
        <v>36</v>
      </c>
      <c r="I11" s="225">
        <f>SUM(I6:I10)</f>
        <v>34</v>
      </c>
      <c r="J11" s="214"/>
      <c r="K11" s="214"/>
      <c r="L11" s="214"/>
      <c r="M11" s="214"/>
      <c r="N11" s="214"/>
      <c r="O11" s="219"/>
      <c r="P11" s="226">
        <f>SUM(P6:P10)</f>
        <v>70.97</v>
      </c>
      <c r="Q11" s="226">
        <f>SUM(Q6:Q10)</f>
        <v>75.6993264991182</v>
      </c>
    </row>
    <row r="12" s="96" customFormat="1" spans="2:17">
      <c r="B12" s="216" t="s">
        <v>174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</row>
    <row r="13" s="96" customFormat="1" spans="2:17">
      <c r="B13" s="217" t="s">
        <v>175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</row>
    <row r="14" s="96" customFormat="1" spans="2:17">
      <c r="B14" s="217" t="s">
        <v>176</v>
      </c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</row>
    <row r="15" s="96" customFormat="1" spans="2:17">
      <c r="B15" s="217" t="s">
        <v>177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</row>
    <row r="16" s="96" customFormat="1" spans="2:15">
      <c r="B16" s="97" t="s">
        <v>178</v>
      </c>
      <c r="K16" s="227"/>
      <c r="L16" s="227"/>
      <c r="M16" s="227"/>
      <c r="N16" s="227"/>
      <c r="O16" s="227"/>
    </row>
    <row r="17" s="96" customFormat="1" spans="11:15">
      <c r="K17" s="227"/>
      <c r="L17" s="227"/>
      <c r="M17" s="227"/>
      <c r="N17" s="227"/>
      <c r="O17" s="227"/>
    </row>
    <row r="18" s="96" customFormat="1" spans="11:15">
      <c r="K18" s="227"/>
      <c r="L18" s="227"/>
      <c r="M18" s="227"/>
      <c r="N18" s="227"/>
      <c r="O18" s="227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rintOptions horizontalCentered="1"/>
  <pageMargins left="0.31496062992126" right="0.31496062992126" top="0.748031496062992" bottom="0.748031496062992" header="0.31496062992126" footer="0.31496062992126"/>
  <pageSetup paperSize="9" scale="90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view="pageBreakPreview" zoomScaleNormal="100" workbookViewId="0">
      <selection activeCell="L9" sqref="L9"/>
    </sheetView>
  </sheetViews>
  <sheetFormatPr defaultColWidth="9" defaultRowHeight="14"/>
  <cols>
    <col min="1" max="1" width="4.62727272727273" style="159" customWidth="1"/>
    <col min="2" max="2" width="10.5" customWidth="1"/>
    <col min="3" max="3" width="12.6272727272727" customWidth="1"/>
    <col min="4" max="4" width="15" customWidth="1"/>
    <col min="5" max="5" width="12.1272727272727" customWidth="1"/>
    <col min="6" max="6" width="9" customWidth="1"/>
    <col min="7" max="7" width="8.5" customWidth="1"/>
    <col min="8" max="12" width="6.75454545454545" customWidth="1"/>
    <col min="13" max="13" width="7.62727272727273" style="159" customWidth="1"/>
    <col min="14" max="14" width="6.87272727272727" style="159" customWidth="1"/>
    <col min="15" max="15" width="11.7545454545455" style="159" customWidth="1"/>
    <col min="16" max="16" width="7.25454545454545" style="159" customWidth="1"/>
    <col min="17" max="17" width="9.25454545454545" style="159" customWidth="1"/>
    <col min="18" max="18" width="8.37272727272727" style="159" customWidth="1"/>
    <col min="19" max="19" width="8.5" style="159" customWidth="1"/>
    <col min="20" max="20" width="9" customWidth="1"/>
    <col min="21" max="21" width="8.12727272727273" customWidth="1"/>
    <col min="22" max="22" width="9" customWidth="1"/>
  </cols>
  <sheetData>
    <row r="1" ht="21" spans="1:22">
      <c r="A1" s="160" t="s">
        <v>179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94"/>
    </row>
    <row r="2" s="1" customFormat="1" spans="1:22">
      <c r="A2" s="4" t="s">
        <v>112</v>
      </c>
      <c r="B2" s="4"/>
      <c r="C2" s="4"/>
      <c r="D2" s="162" t="str">
        <f>原材料明细!C2</f>
        <v>北京光华荣昌汽车部件有限公司</v>
      </c>
      <c r="E2" s="163"/>
      <c r="F2" s="163"/>
      <c r="G2" s="163"/>
      <c r="H2" s="164"/>
      <c r="I2" s="183" t="s">
        <v>55</v>
      </c>
      <c r="J2" s="184" t="s">
        <v>56</v>
      </c>
      <c r="K2" s="185"/>
      <c r="L2" s="185"/>
      <c r="M2" s="185"/>
      <c r="N2" s="185"/>
      <c r="O2" s="185"/>
      <c r="P2" s="185"/>
      <c r="Q2" s="195"/>
      <c r="R2" s="196" t="s">
        <v>57</v>
      </c>
      <c r="S2" s="196"/>
      <c r="T2" s="196"/>
      <c r="U2" s="196"/>
      <c r="V2" s="196"/>
    </row>
    <row r="3" s="1" customFormat="1" spans="1:22">
      <c r="A3" s="7" t="s">
        <v>58</v>
      </c>
      <c r="B3" s="7"/>
      <c r="C3" s="7"/>
      <c r="D3" s="165" t="str">
        <f>原材料明细!C3</f>
        <v>X168100000004</v>
      </c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97"/>
      <c r="R3" s="4" t="str">
        <f>原材料明细!N3</f>
        <v>报价填写日期: 2022-3-4</v>
      </c>
      <c r="S3" s="4"/>
      <c r="T3" s="4"/>
      <c r="U3" s="4"/>
      <c r="V3" s="4"/>
    </row>
    <row r="4" ht="21.75" customHeight="1" spans="1:22">
      <c r="A4" s="167" t="s">
        <v>61</v>
      </c>
      <c r="B4" s="167" t="s">
        <v>148</v>
      </c>
      <c r="C4" s="168" t="s">
        <v>180</v>
      </c>
      <c r="D4" s="169"/>
      <c r="E4" s="169"/>
      <c r="F4" s="169"/>
      <c r="G4" s="169"/>
      <c r="H4" s="169"/>
      <c r="I4" s="169"/>
      <c r="J4" s="167" t="s">
        <v>181</v>
      </c>
      <c r="K4" s="167"/>
      <c r="L4" s="167"/>
      <c r="M4" s="167"/>
      <c r="N4" s="167"/>
      <c r="O4" s="186" t="s">
        <v>182</v>
      </c>
      <c r="P4" s="187"/>
      <c r="Q4" s="198" t="s">
        <v>183</v>
      </c>
      <c r="R4" s="198"/>
      <c r="S4" s="198"/>
      <c r="T4" s="172" t="s">
        <v>184</v>
      </c>
      <c r="U4" s="172" t="s">
        <v>185</v>
      </c>
      <c r="V4" s="172" t="s">
        <v>186</v>
      </c>
    </row>
    <row r="5" ht="54.75" customHeight="1" spans="1:22">
      <c r="A5" s="167"/>
      <c r="B5" s="167"/>
      <c r="C5" s="170" t="s">
        <v>155</v>
      </c>
      <c r="D5" s="170" t="s">
        <v>72</v>
      </c>
      <c r="E5" s="171" t="s">
        <v>187</v>
      </c>
      <c r="F5" s="171" t="s">
        <v>188</v>
      </c>
      <c r="G5" s="171" t="s">
        <v>189</v>
      </c>
      <c r="H5" s="172" t="s">
        <v>190</v>
      </c>
      <c r="I5" s="188" t="s">
        <v>191</v>
      </c>
      <c r="J5" s="189" t="s">
        <v>192</v>
      </c>
      <c r="K5" s="189" t="s">
        <v>193</v>
      </c>
      <c r="L5" s="189" t="s">
        <v>194</v>
      </c>
      <c r="M5" s="171" t="s">
        <v>195</v>
      </c>
      <c r="N5" s="171" t="s">
        <v>196</v>
      </c>
      <c r="O5" s="171" t="s">
        <v>197</v>
      </c>
      <c r="P5" s="171" t="s">
        <v>198</v>
      </c>
      <c r="Q5" s="172" t="s">
        <v>199</v>
      </c>
      <c r="R5" s="172" t="s">
        <v>200</v>
      </c>
      <c r="S5" s="172" t="s">
        <v>201</v>
      </c>
      <c r="T5" s="172"/>
      <c r="U5" s="172"/>
      <c r="V5" s="172"/>
    </row>
    <row r="6" spans="1:22">
      <c r="A6" s="167">
        <v>1</v>
      </c>
      <c r="B6" s="173" t="s">
        <v>163</v>
      </c>
      <c r="C6" s="174" t="s">
        <v>164</v>
      </c>
      <c r="D6" s="174" t="s">
        <v>165</v>
      </c>
      <c r="E6" s="175">
        <v>22000000</v>
      </c>
      <c r="F6" s="176">
        <v>0.05</v>
      </c>
      <c r="G6" s="177">
        <f>E6*0.95*9/15</f>
        <v>12540000</v>
      </c>
      <c r="H6" s="174">
        <v>15</v>
      </c>
      <c r="I6" s="190">
        <v>6</v>
      </c>
      <c r="J6" s="167">
        <v>80</v>
      </c>
      <c r="K6" s="176">
        <v>0.95</v>
      </c>
      <c r="L6" s="167">
        <v>0</v>
      </c>
      <c r="M6" s="191">
        <v>1</v>
      </c>
      <c r="N6" s="191">
        <v>0</v>
      </c>
      <c r="O6" s="192">
        <f>P6*0.5</f>
        <v>366666.666666667</v>
      </c>
      <c r="P6" s="192">
        <f>E6*0.5/H6</f>
        <v>733333.333333333</v>
      </c>
      <c r="Q6" s="199">
        <v>12</v>
      </c>
      <c r="R6" s="199">
        <v>300</v>
      </c>
      <c r="S6" s="199">
        <v>7200</v>
      </c>
      <c r="T6" s="200">
        <f>(E6-E6*F6)/(H6-I6)/(Q6*R6)/60</f>
        <v>10.7510288065844</v>
      </c>
      <c r="U6" s="200">
        <f>(J6*K6*M6+L6*N6)/60</f>
        <v>1.26666666666667</v>
      </c>
      <c r="V6" s="200">
        <f>(O6+P6)/S6/60</f>
        <v>2.5462962962963</v>
      </c>
    </row>
    <row r="7" spans="1:22">
      <c r="A7" s="167">
        <v>2</v>
      </c>
      <c r="B7" s="178" t="s">
        <v>166</v>
      </c>
      <c r="C7" s="174" t="s">
        <v>167</v>
      </c>
      <c r="D7" s="174" t="s">
        <v>168</v>
      </c>
      <c r="E7" s="175">
        <v>2000000</v>
      </c>
      <c r="F7" s="176">
        <v>0.05</v>
      </c>
      <c r="G7" s="177">
        <f t="shared" ref="G7" si="0">E7*0.95*9/15</f>
        <v>1140000</v>
      </c>
      <c r="H7" s="174">
        <v>10</v>
      </c>
      <c r="I7" s="190">
        <v>3</v>
      </c>
      <c r="J7" s="167">
        <v>10</v>
      </c>
      <c r="K7" s="176">
        <v>0.95</v>
      </c>
      <c r="L7" s="167">
        <v>0</v>
      </c>
      <c r="M7" s="191">
        <v>1</v>
      </c>
      <c r="N7" s="191">
        <v>0</v>
      </c>
      <c r="O7" s="192">
        <f t="shared" ref="O7" si="1">P7*0.5</f>
        <v>50000</v>
      </c>
      <c r="P7" s="192">
        <f t="shared" ref="P7" si="2">E7*0.5/H7</f>
        <v>100000</v>
      </c>
      <c r="Q7" s="199">
        <v>12</v>
      </c>
      <c r="R7" s="199">
        <v>300</v>
      </c>
      <c r="S7" s="199">
        <v>3600</v>
      </c>
      <c r="T7" s="200">
        <f t="shared" ref="T7:T10" si="3">(E7-E7*F7)/(H7-I7)/(Q7*R7)/60</f>
        <v>1.25661375661376</v>
      </c>
      <c r="U7" s="200">
        <f t="shared" ref="U7:U10" si="4">(J7*K7*M7+L7*N7)/60</f>
        <v>0.158333333333333</v>
      </c>
      <c r="V7" s="200">
        <f t="shared" ref="V7:V10" si="5">(O7+P7)/S7/60</f>
        <v>0.694444444444444</v>
      </c>
    </row>
    <row r="8" spans="1:22">
      <c r="A8" s="167">
        <v>3</v>
      </c>
      <c r="B8" s="167" t="s">
        <v>169</v>
      </c>
      <c r="C8" s="174" t="s">
        <v>170</v>
      </c>
      <c r="D8" s="167" t="s">
        <v>84</v>
      </c>
      <c r="E8" s="177">
        <v>32000</v>
      </c>
      <c r="F8" s="176">
        <v>0.05</v>
      </c>
      <c r="G8" s="177">
        <f>E8*0.95*7/10</f>
        <v>21280</v>
      </c>
      <c r="H8" s="174">
        <v>10</v>
      </c>
      <c r="I8" s="190">
        <v>3</v>
      </c>
      <c r="J8" s="167">
        <v>40</v>
      </c>
      <c r="K8" s="176">
        <v>0.95</v>
      </c>
      <c r="L8" s="167">
        <v>0</v>
      </c>
      <c r="M8" s="191">
        <v>1</v>
      </c>
      <c r="N8" s="191">
        <v>0</v>
      </c>
      <c r="O8" s="192">
        <f t="shared" ref="O8:O10" si="6">P8*0.5</f>
        <v>160</v>
      </c>
      <c r="P8" s="192">
        <f t="shared" ref="P8:P10" si="7">E8*0.1/H8</f>
        <v>320</v>
      </c>
      <c r="Q8" s="199">
        <v>8</v>
      </c>
      <c r="R8" s="199">
        <v>300</v>
      </c>
      <c r="S8" s="199">
        <f t="shared" ref="S8:S10" si="8">Q8*R8</f>
        <v>2400</v>
      </c>
      <c r="T8" s="200">
        <f t="shared" si="3"/>
        <v>0.0301587301587302</v>
      </c>
      <c r="U8" s="200">
        <f t="shared" si="4"/>
        <v>0.633333333333333</v>
      </c>
      <c r="V8" s="200">
        <f t="shared" si="5"/>
        <v>0.00333333333333333</v>
      </c>
    </row>
    <row r="9" spans="1:22">
      <c r="A9" s="167">
        <v>4</v>
      </c>
      <c r="B9" s="167" t="s">
        <v>171</v>
      </c>
      <c r="C9" s="174" t="s">
        <v>172</v>
      </c>
      <c r="D9" s="167" t="s">
        <v>84</v>
      </c>
      <c r="E9" s="177">
        <v>21000</v>
      </c>
      <c r="F9" s="176">
        <v>0.05</v>
      </c>
      <c r="G9" s="177">
        <f t="shared" ref="G9:G10" si="9">E9*0.95*7/10</f>
        <v>13965</v>
      </c>
      <c r="H9" s="174">
        <v>10</v>
      </c>
      <c r="I9" s="190">
        <v>3</v>
      </c>
      <c r="J9" s="167">
        <v>40</v>
      </c>
      <c r="K9" s="176">
        <v>0.95</v>
      </c>
      <c r="L9" s="167">
        <v>0</v>
      </c>
      <c r="M9" s="191">
        <v>1</v>
      </c>
      <c r="N9" s="191">
        <v>0</v>
      </c>
      <c r="O9" s="192">
        <f t="shared" si="6"/>
        <v>105</v>
      </c>
      <c r="P9" s="192">
        <f t="shared" si="7"/>
        <v>210</v>
      </c>
      <c r="Q9" s="199">
        <v>8</v>
      </c>
      <c r="R9" s="199">
        <v>300</v>
      </c>
      <c r="S9" s="199">
        <f t="shared" si="8"/>
        <v>2400</v>
      </c>
      <c r="T9" s="200">
        <f t="shared" si="3"/>
        <v>0.0197916666666667</v>
      </c>
      <c r="U9" s="200">
        <f t="shared" si="4"/>
        <v>0.633333333333333</v>
      </c>
      <c r="V9" s="200">
        <f t="shared" si="5"/>
        <v>0.0021875</v>
      </c>
    </row>
    <row r="10" spans="1:22">
      <c r="A10" s="167">
        <v>5</v>
      </c>
      <c r="B10" s="167" t="s">
        <v>169</v>
      </c>
      <c r="C10" s="174" t="s">
        <v>173</v>
      </c>
      <c r="D10" s="167" t="s">
        <v>84</v>
      </c>
      <c r="E10" s="177">
        <v>1100000</v>
      </c>
      <c r="F10" s="176">
        <v>0.05</v>
      </c>
      <c r="G10" s="177">
        <f t="shared" si="9"/>
        <v>731500</v>
      </c>
      <c r="H10" s="174">
        <v>10</v>
      </c>
      <c r="I10" s="190">
        <v>3</v>
      </c>
      <c r="J10" s="167">
        <v>40</v>
      </c>
      <c r="K10" s="176">
        <v>0.95</v>
      </c>
      <c r="L10" s="167">
        <v>0</v>
      </c>
      <c r="M10" s="191">
        <v>1</v>
      </c>
      <c r="N10" s="191">
        <v>0</v>
      </c>
      <c r="O10" s="192">
        <f t="shared" si="6"/>
        <v>5500</v>
      </c>
      <c r="P10" s="192">
        <f t="shared" si="7"/>
        <v>11000</v>
      </c>
      <c r="Q10" s="199">
        <v>8</v>
      </c>
      <c r="R10" s="199">
        <v>300</v>
      </c>
      <c r="S10" s="199">
        <f t="shared" si="8"/>
        <v>2400</v>
      </c>
      <c r="T10" s="200">
        <f t="shared" si="3"/>
        <v>1.03670634920635</v>
      </c>
      <c r="U10" s="200">
        <f t="shared" si="4"/>
        <v>0.633333333333333</v>
      </c>
      <c r="V10" s="200">
        <f t="shared" si="5"/>
        <v>0.114583333333333</v>
      </c>
    </row>
    <row r="11" spans="2:2">
      <c r="B11" s="179" t="s">
        <v>174</v>
      </c>
    </row>
    <row r="12" spans="2:3">
      <c r="B12" s="180" t="s">
        <v>202</v>
      </c>
      <c r="C12" s="158"/>
    </row>
    <row r="13" spans="2:3">
      <c r="B13" s="180" t="s">
        <v>203</v>
      </c>
      <c r="C13" s="158"/>
    </row>
    <row r="14" spans="2:3">
      <c r="B14" s="180" t="s">
        <v>204</v>
      </c>
      <c r="C14" s="158"/>
    </row>
    <row r="15" spans="2:3">
      <c r="B15" s="180" t="s">
        <v>205</v>
      </c>
      <c r="C15" s="158"/>
    </row>
    <row r="16" spans="2:16">
      <c r="B16" s="158" t="s">
        <v>206</v>
      </c>
      <c r="P16" s="193"/>
    </row>
    <row r="19" ht="21" spans="5:7">
      <c r="E19" s="181"/>
      <c r="F19" s="182"/>
      <c r="G19" s="181"/>
    </row>
    <row r="20" ht="21" spans="5:7">
      <c r="E20" s="181"/>
      <c r="F20" s="181"/>
      <c r="G20" s="181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rintOptions horizontalCentered="1"/>
  <pageMargins left="0.393700787401575" right="0.393700787401575" top="0.748031496062992" bottom="0.748031496062992" header="0.31496062992126" footer="0.31496062992126"/>
  <pageSetup paperSize="9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workbookViewId="0">
      <selection activeCell="D13" sqref="D13:E13"/>
    </sheetView>
  </sheetViews>
  <sheetFormatPr defaultColWidth="9" defaultRowHeight="14" outlineLevelCol="6"/>
  <cols>
    <col min="1" max="1" width="7.37272727272727" style="141" customWidth="1"/>
    <col min="2" max="2" width="19.8727272727273" style="141" customWidth="1"/>
    <col min="3" max="3" width="18.5" style="141" customWidth="1"/>
    <col min="4" max="4" width="10.7545454545455" style="141" customWidth="1"/>
    <col min="5" max="5" width="9.12727272727273" style="141" customWidth="1"/>
    <col min="6" max="6" width="10.1272727272727" style="141" customWidth="1"/>
    <col min="7" max="7" width="12.2545454545455" style="141" customWidth="1"/>
    <col min="8" max="8" width="12.7545454545455" style="141" customWidth="1"/>
    <col min="9" max="16384" width="9" style="141"/>
  </cols>
  <sheetData>
    <row r="1" ht="20.25" customHeight="1" spans="1:7">
      <c r="A1" s="142" t="s">
        <v>207</v>
      </c>
      <c r="B1" s="142"/>
      <c r="C1" s="142"/>
      <c r="D1" s="142"/>
      <c r="E1" s="142"/>
      <c r="F1" s="142"/>
      <c r="G1" s="142"/>
    </row>
    <row r="2" s="27" customFormat="1" ht="18.75" customHeight="1" spans="1:7">
      <c r="A2" s="102" t="s">
        <v>53</v>
      </c>
      <c r="B2" s="104"/>
      <c r="C2" s="30" t="str">
        <f>原材料明细!C2</f>
        <v>北京光华荣昌汽车部件有限公司</v>
      </c>
      <c r="D2" s="30"/>
      <c r="E2" s="30"/>
      <c r="F2" s="143" t="s">
        <v>57</v>
      </c>
      <c r="G2" s="143"/>
    </row>
    <row r="3" s="27" customFormat="1" ht="18.75" customHeight="1" spans="1:7">
      <c r="A3" s="144" t="s">
        <v>58</v>
      </c>
      <c r="B3" s="145"/>
      <c r="C3" s="145" t="str">
        <f>原材料明细!C3</f>
        <v>X168100000004</v>
      </c>
      <c r="D3" s="145"/>
      <c r="E3" s="145"/>
      <c r="F3" s="30" t="str">
        <f>原材料明细!N3</f>
        <v>报价填写日期: 2022-3-4</v>
      </c>
      <c r="G3" s="30"/>
    </row>
    <row r="4" ht="27" customHeight="1" spans="1:7">
      <c r="A4" s="146" t="s">
        <v>61</v>
      </c>
      <c r="B4" s="146" t="s">
        <v>208</v>
      </c>
      <c r="C4" s="146" t="s">
        <v>209</v>
      </c>
      <c r="D4" s="146" t="s">
        <v>210</v>
      </c>
      <c r="E4" s="146" t="s">
        <v>211</v>
      </c>
      <c r="F4" s="146" t="s">
        <v>212</v>
      </c>
      <c r="G4" s="146" t="s">
        <v>213</v>
      </c>
    </row>
    <row r="5" ht="27" customHeight="1" spans="1:7">
      <c r="A5" s="146"/>
      <c r="B5" s="146"/>
      <c r="C5" s="146"/>
      <c r="D5" s="146"/>
      <c r="E5" s="146"/>
      <c r="F5" s="146"/>
      <c r="G5" s="146"/>
    </row>
    <row r="6" spans="1:7">
      <c r="A6" s="147">
        <v>1</v>
      </c>
      <c r="B6" s="148" t="s">
        <v>33</v>
      </c>
      <c r="C6" s="149">
        <f>汇总表!D15*D6</f>
        <v>10.3510494939824</v>
      </c>
      <c r="D6" s="150">
        <v>0.02</v>
      </c>
      <c r="E6" s="151">
        <v>0</v>
      </c>
      <c r="F6" s="151">
        <v>0</v>
      </c>
      <c r="G6" s="152" t="e">
        <f>E6/F6</f>
        <v>#DIV/0!</v>
      </c>
    </row>
    <row r="7" spans="1:7">
      <c r="A7" s="147">
        <v>2</v>
      </c>
      <c r="B7" s="148" t="s">
        <v>34</v>
      </c>
      <c r="C7" s="149">
        <f>汇总表!D15*D7</f>
        <v>5.17552474699118</v>
      </c>
      <c r="D7" s="150">
        <v>0.01</v>
      </c>
      <c r="E7" s="151">
        <v>0</v>
      </c>
      <c r="F7" s="151">
        <v>0</v>
      </c>
      <c r="G7" s="152" t="e">
        <f>E7/F7</f>
        <v>#DIV/0!</v>
      </c>
    </row>
    <row r="8" ht="21" customHeight="1" spans="1:7">
      <c r="A8" s="147">
        <v>3</v>
      </c>
      <c r="B8" s="148" t="s">
        <v>214</v>
      </c>
      <c r="C8" s="149">
        <f>汇总表!D15*D8</f>
        <v>10.3510494939824</v>
      </c>
      <c r="D8" s="150">
        <v>0.02</v>
      </c>
      <c r="E8" s="151">
        <v>0</v>
      </c>
      <c r="F8" s="151">
        <v>0</v>
      </c>
      <c r="G8" s="152" t="e">
        <f>E8/F8</f>
        <v>#DIV/0!</v>
      </c>
    </row>
    <row r="10" ht="24.75" customHeight="1" spans="1:7">
      <c r="A10" s="142" t="s">
        <v>215</v>
      </c>
      <c r="B10" s="142" t="s">
        <v>216</v>
      </c>
      <c r="C10" s="142"/>
      <c r="D10" s="142"/>
      <c r="E10" s="142"/>
      <c r="F10" s="142"/>
      <c r="G10" s="142"/>
    </row>
    <row r="11" spans="1:7">
      <c r="A11" s="151" t="s">
        <v>61</v>
      </c>
      <c r="B11" s="151" t="s">
        <v>217</v>
      </c>
      <c r="C11" s="151"/>
      <c r="D11" s="151" t="s">
        <v>218</v>
      </c>
      <c r="E11" s="151"/>
      <c r="F11" s="151" t="s">
        <v>219</v>
      </c>
      <c r="G11" s="151"/>
    </row>
    <row r="12" spans="1:7">
      <c r="A12" s="151">
        <v>1</v>
      </c>
      <c r="B12" s="151" t="s">
        <v>220</v>
      </c>
      <c r="C12" s="151"/>
      <c r="D12" s="151">
        <v>0</v>
      </c>
      <c r="E12" s="151"/>
      <c r="F12" s="151">
        <v>0</v>
      </c>
      <c r="G12" s="151"/>
    </row>
    <row r="13" spans="1:7">
      <c r="A13" s="151">
        <v>2</v>
      </c>
      <c r="B13" s="151" t="s">
        <v>221</v>
      </c>
      <c r="C13" s="151"/>
      <c r="D13" s="151">
        <v>0</v>
      </c>
      <c r="E13" s="151"/>
      <c r="F13" s="151">
        <v>0</v>
      </c>
      <c r="G13" s="151"/>
    </row>
    <row r="14" spans="1:7">
      <c r="A14" s="151">
        <v>3</v>
      </c>
      <c r="B14" s="151" t="s">
        <v>222</v>
      </c>
      <c r="C14" s="153" t="s">
        <v>223</v>
      </c>
      <c r="D14" s="151">
        <v>0</v>
      </c>
      <c r="E14" s="151"/>
      <c r="F14" s="151">
        <v>0</v>
      </c>
      <c r="G14" s="151"/>
    </row>
    <row r="15" spans="1:7">
      <c r="A15" s="151"/>
      <c r="B15" s="151"/>
      <c r="C15" s="151" t="s">
        <v>224</v>
      </c>
      <c r="D15" s="151">
        <v>0</v>
      </c>
      <c r="E15" s="151"/>
      <c r="F15" s="151">
        <v>0</v>
      </c>
      <c r="G15" s="151"/>
    </row>
    <row r="16" spans="1:5">
      <c r="A16" s="154"/>
      <c r="B16" s="155" t="s">
        <v>174</v>
      </c>
      <c r="C16" s="154"/>
      <c r="D16" s="154"/>
      <c r="E16" s="156"/>
    </row>
    <row r="17" spans="1:5">
      <c r="A17" s="154"/>
      <c r="B17" s="157" t="s">
        <v>225</v>
      </c>
      <c r="C17" s="154"/>
      <c r="D17" s="154"/>
      <c r="E17" s="156"/>
    </row>
    <row r="18" spans="1:5">
      <c r="A18" s="154"/>
      <c r="B18" s="157" t="s">
        <v>226</v>
      </c>
      <c r="C18" s="154"/>
      <c r="D18" s="154"/>
      <c r="E18" s="156"/>
    </row>
    <row r="19" spans="1:5">
      <c r="A19" s="154"/>
      <c r="B19" s="157" t="s">
        <v>227</v>
      </c>
      <c r="C19" s="154"/>
      <c r="D19" s="154"/>
      <c r="E19" s="156"/>
    </row>
    <row r="20" customFormat="1" spans="2:2">
      <c r="B20" s="158" t="s">
        <v>228</v>
      </c>
    </row>
  </sheetData>
  <mergeCells count="27">
    <mergeCell ref="A1:G1"/>
    <mergeCell ref="A2:B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D14:E14"/>
    <mergeCell ref="F14:G14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300" verticalDpi="3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view="pageBreakPreview" zoomScaleNormal="100" topLeftCell="A13" workbookViewId="0">
      <selection activeCell="F10" sqref="F10:G10"/>
    </sheetView>
  </sheetViews>
  <sheetFormatPr defaultColWidth="9" defaultRowHeight="14"/>
  <cols>
    <col min="1" max="1" width="4.5" customWidth="1"/>
    <col min="2" max="2" width="8.62727272727273" customWidth="1"/>
    <col min="3" max="3" width="8.12727272727273" customWidth="1"/>
    <col min="4" max="5" width="10.3727272727273" customWidth="1"/>
    <col min="6" max="6" width="7" customWidth="1"/>
    <col min="7" max="7" width="6.25454545454545" customWidth="1"/>
    <col min="8" max="8" width="2" customWidth="1"/>
    <col min="9" max="9" width="6.87272727272727" customWidth="1"/>
    <col min="10" max="10" width="6.62727272727273" customWidth="1"/>
    <col min="11" max="11" width="4.62727272727273" customWidth="1"/>
    <col min="12" max="12" width="5.5" customWidth="1"/>
    <col min="13" max="13" width="7.87272727272727" customWidth="1"/>
    <col min="14" max="14" width="10.2545454545455" customWidth="1"/>
    <col min="15" max="15" width="14.7545454545455" customWidth="1"/>
  </cols>
  <sheetData>
    <row r="1" ht="21" spans="1:14">
      <c r="A1" s="29" t="s">
        <v>229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7" customFormat="1" ht="18.75" customHeight="1" spans="1:14">
      <c r="A2" s="30" t="s">
        <v>53</v>
      </c>
      <c r="B2" s="30"/>
      <c r="C2" s="31" t="str">
        <f>原材料明细!C2</f>
        <v>北京光华荣昌汽车部件有限公司</v>
      </c>
      <c r="D2" s="31"/>
      <c r="E2" s="31"/>
      <c r="F2" s="30" t="s">
        <v>55</v>
      </c>
      <c r="G2" s="31" t="s">
        <v>56</v>
      </c>
      <c r="H2" s="31"/>
      <c r="I2" s="31"/>
      <c r="J2" s="31"/>
      <c r="K2" s="31"/>
      <c r="L2" s="98" t="s">
        <v>57</v>
      </c>
      <c r="M2" s="99"/>
      <c r="N2" s="100"/>
    </row>
    <row r="3" s="27" customFormat="1" ht="18.75" customHeight="1" spans="1:14">
      <c r="A3" s="32" t="s">
        <v>58</v>
      </c>
      <c r="B3" s="32"/>
      <c r="C3" s="33" t="str">
        <f>原材料明细!C3</f>
        <v>X168100000004</v>
      </c>
      <c r="D3" s="34"/>
      <c r="E3" s="34"/>
      <c r="F3" s="34"/>
      <c r="G3" s="34"/>
      <c r="H3" s="34"/>
      <c r="I3" s="34"/>
      <c r="J3" s="34"/>
      <c r="K3" s="101"/>
      <c r="L3" s="102" t="str">
        <f>原材料明细!N3</f>
        <v>报价填写日期: 2022-3-4</v>
      </c>
      <c r="M3" s="103"/>
      <c r="N3" s="104"/>
    </row>
    <row r="4" spans="1:14">
      <c r="A4" s="35" t="s">
        <v>230</v>
      </c>
      <c r="B4" s="36"/>
      <c r="C4" s="37"/>
      <c r="D4" s="37"/>
      <c r="E4" s="37"/>
      <c r="F4" s="37"/>
      <c r="G4" s="38"/>
      <c r="H4" s="39"/>
      <c r="I4" s="105" t="s">
        <v>231</v>
      </c>
      <c r="J4" s="56"/>
      <c r="K4" s="56"/>
      <c r="L4" s="56"/>
      <c r="M4" s="56"/>
      <c r="N4" s="106"/>
    </row>
    <row r="5" spans="1:14">
      <c r="A5" s="40" t="s">
        <v>61</v>
      </c>
      <c r="B5" s="41" t="s">
        <v>22</v>
      </c>
      <c r="C5" s="42"/>
      <c r="D5" s="42"/>
      <c r="E5" s="43"/>
      <c r="F5" s="44" t="s">
        <v>232</v>
      </c>
      <c r="G5" s="45"/>
      <c r="H5" s="39"/>
      <c r="I5" s="107" t="s">
        <v>61</v>
      </c>
      <c r="J5" s="107" t="s">
        <v>22</v>
      </c>
      <c r="K5" s="108"/>
      <c r="L5" s="108"/>
      <c r="M5" s="108"/>
      <c r="N5" s="109" t="s">
        <v>232</v>
      </c>
    </row>
    <row r="6" spans="1:14">
      <c r="A6" s="46">
        <v>1</v>
      </c>
      <c r="B6" s="47" t="s">
        <v>233</v>
      </c>
      <c r="C6" s="48"/>
      <c r="D6" s="48"/>
      <c r="E6" s="49"/>
      <c r="F6" s="50" t="s">
        <v>84</v>
      </c>
      <c r="G6" s="51"/>
      <c r="H6" s="39"/>
      <c r="I6" s="62">
        <v>1</v>
      </c>
      <c r="J6" s="110" t="s">
        <v>234</v>
      </c>
      <c r="K6" s="111"/>
      <c r="L6" s="111"/>
      <c r="M6" s="111"/>
      <c r="N6" s="112" t="s">
        <v>235</v>
      </c>
    </row>
    <row r="7" spans="1:14">
      <c r="A7" s="52">
        <v>2</v>
      </c>
      <c r="B7" s="47" t="s">
        <v>236</v>
      </c>
      <c r="C7" s="48"/>
      <c r="D7" s="48"/>
      <c r="E7" s="49"/>
      <c r="F7" s="50" t="s">
        <v>84</v>
      </c>
      <c r="G7" s="51"/>
      <c r="H7" s="39"/>
      <c r="I7" s="62">
        <v>2</v>
      </c>
      <c r="J7" s="110" t="s">
        <v>237</v>
      </c>
      <c r="K7" s="111"/>
      <c r="L7" s="111"/>
      <c r="M7" s="111"/>
      <c r="N7" s="112" t="s">
        <v>238</v>
      </c>
    </row>
    <row r="8" spans="1:14">
      <c r="A8" s="52">
        <v>3</v>
      </c>
      <c r="B8" s="47" t="s">
        <v>239</v>
      </c>
      <c r="C8" s="48"/>
      <c r="D8" s="48"/>
      <c r="E8" s="49"/>
      <c r="F8" s="50">
        <v>0</v>
      </c>
      <c r="G8" s="51"/>
      <c r="H8" s="39"/>
      <c r="I8" s="62">
        <v>3</v>
      </c>
      <c r="J8" s="110" t="s">
        <v>240</v>
      </c>
      <c r="K8" s="111"/>
      <c r="L8" s="111"/>
      <c r="M8" s="111"/>
      <c r="N8" s="112" t="s">
        <v>241</v>
      </c>
    </row>
    <row r="9" spans="1:14">
      <c r="A9" s="46">
        <v>4</v>
      </c>
      <c r="B9" s="47" t="s">
        <v>242</v>
      </c>
      <c r="C9" s="48"/>
      <c r="D9" s="48"/>
      <c r="E9" s="49"/>
      <c r="F9" s="50">
        <v>0</v>
      </c>
      <c r="G9" s="51"/>
      <c r="H9" s="39"/>
      <c r="I9" s="62">
        <v>4</v>
      </c>
      <c r="J9" s="110" t="s">
        <v>243</v>
      </c>
      <c r="K9" s="111"/>
      <c r="L9" s="111"/>
      <c r="M9" s="111"/>
      <c r="N9" s="113" t="s">
        <v>244</v>
      </c>
    </row>
    <row r="10" spans="1:14">
      <c r="A10" s="52">
        <v>5</v>
      </c>
      <c r="B10" s="47" t="s">
        <v>245</v>
      </c>
      <c r="C10" s="48"/>
      <c r="D10" s="48"/>
      <c r="E10" s="49"/>
      <c r="F10" s="53" t="e">
        <f>F8/F9</f>
        <v>#DIV/0!</v>
      </c>
      <c r="G10" s="54"/>
      <c r="H10" s="39"/>
      <c r="I10" s="62">
        <v>5</v>
      </c>
      <c r="J10" s="110" t="s">
        <v>246</v>
      </c>
      <c r="K10" s="111"/>
      <c r="L10" s="111"/>
      <c r="M10" s="111"/>
      <c r="N10" s="112"/>
    </row>
    <row r="11" spans="1:14">
      <c r="A11" s="55" t="s">
        <v>247</v>
      </c>
      <c r="B11" s="56"/>
      <c r="C11" s="56"/>
      <c r="D11" s="56"/>
      <c r="E11" s="56"/>
      <c r="F11" s="57"/>
      <c r="G11" s="58"/>
      <c r="H11" s="39"/>
      <c r="I11" s="62">
        <v>6</v>
      </c>
      <c r="J11" s="110" t="s">
        <v>248</v>
      </c>
      <c r="K11" s="111"/>
      <c r="L11" s="111"/>
      <c r="M11" s="111"/>
      <c r="N11" s="114">
        <f>48/1.13</f>
        <v>42.4778761061947</v>
      </c>
    </row>
    <row r="12" spans="1:14">
      <c r="A12" s="52">
        <v>1</v>
      </c>
      <c r="B12" s="47" t="s">
        <v>249</v>
      </c>
      <c r="C12" s="48"/>
      <c r="D12" s="48"/>
      <c r="E12" s="49"/>
      <c r="F12" s="50" t="s">
        <v>84</v>
      </c>
      <c r="G12" s="51"/>
      <c r="H12" s="39"/>
      <c r="I12" s="62">
        <v>7</v>
      </c>
      <c r="J12" s="110" t="s">
        <v>250</v>
      </c>
      <c r="K12" s="111"/>
      <c r="L12" s="111"/>
      <c r="M12" s="111"/>
      <c r="N12" s="114">
        <f>N11</f>
        <v>42.4778761061947</v>
      </c>
    </row>
    <row r="13" spans="1:14">
      <c r="A13" s="52">
        <v>2</v>
      </c>
      <c r="B13" s="47" t="s">
        <v>251</v>
      </c>
      <c r="C13" s="48"/>
      <c r="D13" s="48"/>
      <c r="E13" s="49"/>
      <c r="F13" s="50" t="s">
        <v>84</v>
      </c>
      <c r="G13" s="51"/>
      <c r="H13" s="39"/>
      <c r="I13" s="62">
        <v>8</v>
      </c>
      <c r="J13" s="110" t="s">
        <v>252</v>
      </c>
      <c r="K13" s="111"/>
      <c r="L13" s="111"/>
      <c r="M13" s="111"/>
      <c r="N13" s="112">
        <v>1</v>
      </c>
    </row>
    <row r="14" spans="1:14">
      <c r="A14" s="52">
        <v>3</v>
      </c>
      <c r="B14" s="47" t="s">
        <v>253</v>
      </c>
      <c r="C14" s="48"/>
      <c r="D14" s="48"/>
      <c r="E14" s="49"/>
      <c r="F14" s="50">
        <v>0</v>
      </c>
      <c r="G14" s="51"/>
      <c r="H14" s="39"/>
      <c r="I14" s="62">
        <v>9</v>
      </c>
      <c r="J14" s="110" t="s">
        <v>254</v>
      </c>
      <c r="K14" s="111"/>
      <c r="L14" s="111"/>
      <c r="M14" s="111"/>
      <c r="N14" s="112">
        <v>3</v>
      </c>
    </row>
    <row r="15" spans="1:14">
      <c r="A15" s="52">
        <v>4</v>
      </c>
      <c r="B15" s="47" t="s">
        <v>255</v>
      </c>
      <c r="C15" s="48"/>
      <c r="D15" s="48"/>
      <c r="E15" s="49"/>
      <c r="F15" s="50">
        <v>0</v>
      </c>
      <c r="G15" s="51"/>
      <c r="H15" s="39"/>
      <c r="I15" s="62">
        <v>10</v>
      </c>
      <c r="J15" s="110" t="s">
        <v>256</v>
      </c>
      <c r="K15" s="111"/>
      <c r="L15" s="111"/>
      <c r="M15" s="111"/>
      <c r="N15" s="115">
        <f>N12/N14</f>
        <v>14.1592920353982</v>
      </c>
    </row>
    <row r="16" spans="1:14">
      <c r="A16" s="52">
        <v>5</v>
      </c>
      <c r="B16" s="47" t="s">
        <v>257</v>
      </c>
      <c r="C16" s="48"/>
      <c r="D16" s="48"/>
      <c r="E16" s="49"/>
      <c r="F16" s="53" t="e">
        <f>F14/F15</f>
        <v>#DIV/0!</v>
      </c>
      <c r="G16" s="54"/>
      <c r="H16" s="39"/>
      <c r="I16" s="39"/>
      <c r="J16" s="39"/>
      <c r="K16" s="39"/>
      <c r="L16" s="39"/>
      <c r="M16" s="39"/>
      <c r="N16" s="116"/>
    </row>
    <row r="17" spans="1:14">
      <c r="A17" s="59" t="s">
        <v>258</v>
      </c>
      <c r="B17" s="60"/>
      <c r="C17" s="60"/>
      <c r="D17" s="60"/>
      <c r="E17" s="60"/>
      <c r="F17" s="60"/>
      <c r="G17" s="60"/>
      <c r="H17" s="60"/>
      <c r="I17" s="60"/>
      <c r="J17" s="117"/>
      <c r="K17" s="118"/>
      <c r="L17" s="118"/>
      <c r="M17" s="118"/>
      <c r="N17" s="119"/>
    </row>
    <row r="18" ht="24" customHeight="1" spans="1:14">
      <c r="A18" s="61" t="s">
        <v>259</v>
      </c>
      <c r="B18" s="62"/>
      <c r="C18" s="63" t="s">
        <v>260</v>
      </c>
      <c r="D18" s="63" t="s">
        <v>261</v>
      </c>
      <c r="E18" s="64"/>
      <c r="F18" s="63" t="s">
        <v>262</v>
      </c>
      <c r="G18" s="63" t="s">
        <v>263</v>
      </c>
      <c r="H18" s="65" t="s">
        <v>264</v>
      </c>
      <c r="I18" s="120"/>
      <c r="J18" s="121" t="s">
        <v>265</v>
      </c>
      <c r="K18" s="122"/>
      <c r="L18" s="122"/>
      <c r="M18" s="63" t="s">
        <v>266</v>
      </c>
      <c r="N18" s="123"/>
    </row>
    <row r="19" spans="1:14">
      <c r="A19" s="66" t="s">
        <v>84</v>
      </c>
      <c r="B19" s="67"/>
      <c r="C19" s="64" t="s">
        <v>84</v>
      </c>
      <c r="D19" s="62" t="s">
        <v>84</v>
      </c>
      <c r="E19" s="62"/>
      <c r="F19" s="68" t="s">
        <v>84</v>
      </c>
      <c r="G19" s="62">
        <v>0</v>
      </c>
      <c r="H19" s="69">
        <v>0</v>
      </c>
      <c r="I19" s="67"/>
      <c r="J19" s="62">
        <v>0</v>
      </c>
      <c r="K19" s="62"/>
      <c r="L19" s="62"/>
      <c r="M19" s="124" t="e">
        <f t="shared" ref="M19:M24" si="0">G19/J19</f>
        <v>#DIV/0!</v>
      </c>
      <c r="N19" s="125"/>
    </row>
    <row r="20" spans="1:14">
      <c r="A20" s="66" t="s">
        <v>84</v>
      </c>
      <c r="B20" s="67"/>
      <c r="C20" s="64" t="s">
        <v>84</v>
      </c>
      <c r="D20" s="62" t="s">
        <v>84</v>
      </c>
      <c r="E20" s="62"/>
      <c r="F20" s="68" t="s">
        <v>84</v>
      </c>
      <c r="G20" s="62">
        <v>0</v>
      </c>
      <c r="H20" s="69">
        <v>0</v>
      </c>
      <c r="I20" s="67"/>
      <c r="J20" s="62">
        <v>0</v>
      </c>
      <c r="K20" s="62"/>
      <c r="L20" s="62"/>
      <c r="M20" s="124" t="e">
        <f t="shared" si="0"/>
        <v>#DIV/0!</v>
      </c>
      <c r="N20" s="125"/>
    </row>
    <row r="21" spans="1:14">
      <c r="A21" s="66" t="s">
        <v>84</v>
      </c>
      <c r="B21" s="67"/>
      <c r="C21" s="64" t="s">
        <v>84</v>
      </c>
      <c r="D21" s="62" t="s">
        <v>84</v>
      </c>
      <c r="E21" s="62"/>
      <c r="F21" s="68" t="s">
        <v>84</v>
      </c>
      <c r="G21" s="62">
        <v>0</v>
      </c>
      <c r="H21" s="69">
        <v>0</v>
      </c>
      <c r="I21" s="67"/>
      <c r="J21" s="62">
        <v>0</v>
      </c>
      <c r="K21" s="62"/>
      <c r="L21" s="62"/>
      <c r="M21" s="124" t="e">
        <f t="shared" si="0"/>
        <v>#DIV/0!</v>
      </c>
      <c r="N21" s="125"/>
    </row>
    <row r="22" spans="1:14">
      <c r="A22" s="66" t="s">
        <v>84</v>
      </c>
      <c r="B22" s="67"/>
      <c r="C22" s="64" t="s">
        <v>84</v>
      </c>
      <c r="D22" s="62" t="s">
        <v>84</v>
      </c>
      <c r="E22" s="62"/>
      <c r="F22" s="68" t="s">
        <v>84</v>
      </c>
      <c r="G22" s="62">
        <v>0</v>
      </c>
      <c r="H22" s="69">
        <v>0</v>
      </c>
      <c r="I22" s="67"/>
      <c r="J22" s="62">
        <v>0</v>
      </c>
      <c r="K22" s="62"/>
      <c r="L22" s="62"/>
      <c r="M22" s="124" t="e">
        <f t="shared" si="0"/>
        <v>#DIV/0!</v>
      </c>
      <c r="N22" s="125"/>
    </row>
    <row r="23" spans="1:14">
      <c r="A23" s="66" t="s">
        <v>84</v>
      </c>
      <c r="B23" s="67"/>
      <c r="C23" s="64" t="s">
        <v>84</v>
      </c>
      <c r="D23" s="62" t="s">
        <v>84</v>
      </c>
      <c r="E23" s="62"/>
      <c r="F23" s="68" t="s">
        <v>84</v>
      </c>
      <c r="G23" s="62">
        <v>0</v>
      </c>
      <c r="H23" s="69">
        <v>0</v>
      </c>
      <c r="I23" s="67"/>
      <c r="J23" s="62">
        <v>0</v>
      </c>
      <c r="K23" s="62"/>
      <c r="L23" s="62"/>
      <c r="M23" s="124" t="e">
        <f t="shared" si="0"/>
        <v>#DIV/0!</v>
      </c>
      <c r="N23" s="125"/>
    </row>
    <row r="24" spans="1:14">
      <c r="A24" s="66" t="s">
        <v>84</v>
      </c>
      <c r="B24" s="67"/>
      <c r="C24" s="64" t="s">
        <v>84</v>
      </c>
      <c r="D24" s="62" t="s">
        <v>84</v>
      </c>
      <c r="E24" s="62"/>
      <c r="F24" s="68" t="s">
        <v>84</v>
      </c>
      <c r="G24" s="62">
        <v>0</v>
      </c>
      <c r="H24" s="69">
        <v>0</v>
      </c>
      <c r="I24" s="67"/>
      <c r="J24" s="62">
        <v>0</v>
      </c>
      <c r="K24" s="62"/>
      <c r="L24" s="62"/>
      <c r="M24" s="124" t="e">
        <f t="shared" si="0"/>
        <v>#DIV/0!</v>
      </c>
      <c r="N24" s="125"/>
    </row>
    <row r="25" spans="1:14">
      <c r="A25" s="66" t="s">
        <v>84</v>
      </c>
      <c r="B25" s="67"/>
      <c r="C25" s="64" t="s">
        <v>84</v>
      </c>
      <c r="D25" s="62" t="s">
        <v>84</v>
      </c>
      <c r="E25" s="62"/>
      <c r="F25" s="68" t="s">
        <v>84</v>
      </c>
      <c r="G25" s="62">
        <v>0</v>
      </c>
      <c r="H25" s="69">
        <v>0</v>
      </c>
      <c r="I25" s="67"/>
      <c r="J25" s="62">
        <v>0</v>
      </c>
      <c r="K25" s="62"/>
      <c r="L25" s="62"/>
      <c r="M25" s="124" t="e">
        <f t="shared" ref="M25:M27" si="1">G25/J25</f>
        <v>#DIV/0!</v>
      </c>
      <c r="N25" s="125"/>
    </row>
    <row r="26" spans="1:14">
      <c r="A26" s="66" t="s">
        <v>84</v>
      </c>
      <c r="B26" s="67"/>
      <c r="C26" s="64" t="s">
        <v>84</v>
      </c>
      <c r="D26" s="62" t="s">
        <v>84</v>
      </c>
      <c r="E26" s="62"/>
      <c r="F26" s="68" t="s">
        <v>84</v>
      </c>
      <c r="G26" s="62">
        <v>0</v>
      </c>
      <c r="H26" s="69">
        <v>0</v>
      </c>
      <c r="I26" s="67"/>
      <c r="J26" s="62">
        <v>0</v>
      </c>
      <c r="K26" s="62"/>
      <c r="L26" s="62"/>
      <c r="M26" s="124" t="e">
        <f t="shared" si="1"/>
        <v>#DIV/0!</v>
      </c>
      <c r="N26" s="125"/>
    </row>
    <row r="27" spans="1:14">
      <c r="A27" s="66" t="s">
        <v>84</v>
      </c>
      <c r="B27" s="67"/>
      <c r="C27" s="64" t="s">
        <v>84</v>
      </c>
      <c r="D27" s="62" t="s">
        <v>84</v>
      </c>
      <c r="E27" s="62"/>
      <c r="F27" s="68" t="s">
        <v>84</v>
      </c>
      <c r="G27" s="62">
        <v>0</v>
      </c>
      <c r="H27" s="69">
        <v>0</v>
      </c>
      <c r="I27" s="67"/>
      <c r="J27" s="62">
        <v>0</v>
      </c>
      <c r="K27" s="62"/>
      <c r="L27" s="62"/>
      <c r="M27" s="126" t="e">
        <f t="shared" si="1"/>
        <v>#DIV/0!</v>
      </c>
      <c r="N27" s="127"/>
    </row>
    <row r="28" spans="1:14">
      <c r="A28" s="70" t="s">
        <v>267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128"/>
      <c r="M28" s="129" t="e">
        <f>SUM(M19:N20)</f>
        <v>#DIV/0!</v>
      </c>
      <c r="N28" s="130"/>
    </row>
    <row r="29" spans="1:14">
      <c r="A29" s="72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116"/>
    </row>
    <row r="30" spans="1:14">
      <c r="A30" s="73" t="s">
        <v>268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131"/>
      <c r="M30" s="132">
        <f>N15</f>
        <v>14.1592920353982</v>
      </c>
      <c r="N30" s="133"/>
    </row>
    <row r="32" ht="13.5" customHeight="1" spans="1:14">
      <c r="A32" s="75" t="s">
        <v>269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134"/>
    </row>
    <row r="33" ht="13.5" customHeight="1" spans="1:14">
      <c r="A33" s="77" t="s">
        <v>270</v>
      </c>
      <c r="B33" s="77"/>
      <c r="C33" s="78" t="s">
        <v>271</v>
      </c>
      <c r="D33" s="78"/>
      <c r="E33" s="79" t="s">
        <v>272</v>
      </c>
      <c r="F33" s="80" t="s">
        <v>273</v>
      </c>
      <c r="G33" s="80"/>
      <c r="H33" s="80"/>
      <c r="I33" s="77" t="s">
        <v>274</v>
      </c>
      <c r="J33" s="77"/>
      <c r="K33" s="77"/>
      <c r="L33" s="77"/>
      <c r="M33" s="80">
        <f>88*2</f>
        <v>176</v>
      </c>
      <c r="N33" s="80"/>
    </row>
    <row r="34" ht="13.5" customHeight="1" spans="1:14">
      <c r="A34" s="77" t="s">
        <v>275</v>
      </c>
      <c r="B34" s="77"/>
      <c r="C34" s="78" t="s">
        <v>276</v>
      </c>
      <c r="D34" s="78"/>
      <c r="E34" s="79" t="s">
        <v>277</v>
      </c>
      <c r="F34" s="80" t="s">
        <v>278</v>
      </c>
      <c r="G34" s="80"/>
      <c r="H34" s="80"/>
      <c r="I34" s="77" t="s">
        <v>279</v>
      </c>
      <c r="J34" s="77"/>
      <c r="K34" s="77"/>
      <c r="L34" s="77"/>
      <c r="M34" s="80">
        <f>88*2</f>
        <v>176</v>
      </c>
      <c r="N34" s="80"/>
    </row>
    <row r="35" ht="13.5" customHeight="1" spans="1:14">
      <c r="A35" s="77" t="s">
        <v>280</v>
      </c>
      <c r="B35" s="77"/>
      <c r="C35" s="78">
        <v>481</v>
      </c>
      <c r="D35" s="78"/>
      <c r="E35" s="78" t="s">
        <v>281</v>
      </c>
      <c r="F35" s="80" t="s">
        <v>282</v>
      </c>
      <c r="G35" s="80"/>
      <c r="H35" s="80"/>
      <c r="I35" s="77" t="s">
        <v>283</v>
      </c>
      <c r="J35" s="77"/>
      <c r="K35" s="77"/>
      <c r="L35" s="77"/>
      <c r="M35" s="80">
        <v>4500</v>
      </c>
      <c r="N35" s="80"/>
    </row>
    <row r="36" ht="13.5" customHeight="1" spans="1:14">
      <c r="A36" s="77" t="s">
        <v>284</v>
      </c>
      <c r="B36" s="77"/>
      <c r="C36" s="78"/>
      <c r="D36" s="78"/>
      <c r="E36" s="78"/>
      <c r="F36" s="80"/>
      <c r="G36" s="80"/>
      <c r="H36" s="80"/>
      <c r="I36" s="77" t="s">
        <v>285</v>
      </c>
      <c r="J36" s="77"/>
      <c r="K36" s="77"/>
      <c r="L36" s="77"/>
      <c r="M36" s="129">
        <f>M35/M34</f>
        <v>25.5681818181818</v>
      </c>
      <c r="N36" s="129"/>
    </row>
    <row r="37" ht="13.5" customHeight="1" spans="1:14">
      <c r="A37" s="81"/>
      <c r="B37" s="81"/>
      <c r="C37" s="82"/>
      <c r="D37" s="83"/>
      <c r="E37" s="84"/>
      <c r="F37" s="85"/>
      <c r="G37" s="85"/>
      <c r="H37" s="85"/>
      <c r="I37" s="85"/>
      <c r="J37" s="85"/>
      <c r="K37" s="93"/>
      <c r="L37" s="93"/>
      <c r="M37" s="83"/>
      <c r="N37" s="135"/>
    </row>
    <row r="38" ht="19.5" customHeight="1" spans="1:14">
      <c r="A38" s="86" t="s">
        <v>286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36"/>
    </row>
    <row r="39" spans="1:14">
      <c r="A39" s="88" t="s">
        <v>287</v>
      </c>
      <c r="B39" s="88"/>
      <c r="C39" s="88"/>
      <c r="D39" s="88"/>
      <c r="E39" s="80" t="s">
        <v>288</v>
      </c>
      <c r="F39" s="80"/>
      <c r="G39" s="80" t="s">
        <v>174</v>
      </c>
      <c r="H39" s="80"/>
      <c r="I39" s="80"/>
      <c r="J39" s="80"/>
      <c r="K39" s="80"/>
      <c r="L39" s="80"/>
      <c r="M39" s="80"/>
      <c r="N39" s="80"/>
    </row>
    <row r="40" spans="1:14">
      <c r="A40" s="88" t="s">
        <v>289</v>
      </c>
      <c r="B40" s="88"/>
      <c r="C40" s="88"/>
      <c r="D40" s="88"/>
      <c r="E40" s="80">
        <v>0</v>
      </c>
      <c r="F40" s="80"/>
      <c r="G40" s="80"/>
      <c r="H40" s="80"/>
      <c r="I40" s="80"/>
      <c r="J40" s="80"/>
      <c r="K40" s="80"/>
      <c r="L40" s="80"/>
      <c r="M40" s="80"/>
      <c r="N40" s="80"/>
    </row>
    <row r="41" ht="13.5" customHeight="1" spans="1:14">
      <c r="A41" s="88" t="s">
        <v>290</v>
      </c>
      <c r="B41" s="88"/>
      <c r="C41" s="88"/>
      <c r="D41" s="88"/>
      <c r="E41" s="80">
        <v>0</v>
      </c>
      <c r="F41" s="80"/>
      <c r="G41" s="80"/>
      <c r="H41" s="80"/>
      <c r="I41" s="80"/>
      <c r="J41" s="80"/>
      <c r="K41" s="80"/>
      <c r="L41" s="80"/>
      <c r="M41" s="80"/>
      <c r="N41" s="80"/>
    </row>
    <row r="42" spans="1:14">
      <c r="A42" s="89" t="s">
        <v>291</v>
      </c>
      <c r="B42" s="89"/>
      <c r="C42" s="89"/>
      <c r="D42" s="89"/>
      <c r="E42" s="90">
        <v>6.21</v>
      </c>
      <c r="F42" s="90"/>
      <c r="G42" s="80"/>
      <c r="H42" s="80"/>
      <c r="I42" s="80"/>
      <c r="J42" s="80"/>
      <c r="K42" s="80"/>
      <c r="L42" s="80"/>
      <c r="M42" s="80"/>
      <c r="N42" s="80"/>
    </row>
    <row r="43" s="28" customFormat="1" spans="1:14">
      <c r="A43" s="91"/>
      <c r="B43" s="92"/>
      <c r="C43" s="92"/>
      <c r="D43" s="92"/>
      <c r="E43" s="93"/>
      <c r="F43" s="93"/>
      <c r="G43" s="94"/>
      <c r="H43" s="94"/>
      <c r="I43" s="94"/>
      <c r="J43" s="94"/>
      <c r="K43" s="94"/>
      <c r="L43" s="94"/>
      <c r="M43" s="94"/>
      <c r="N43" s="137"/>
    </row>
    <row r="44" spans="1:14">
      <c r="A44" s="73" t="s">
        <v>292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131"/>
      <c r="M44" s="138">
        <f>M36+E42</f>
        <v>31.7781818181818</v>
      </c>
      <c r="N44" s="90"/>
    </row>
    <row r="45" spans="1:14">
      <c r="A45" s="95"/>
      <c r="B45" s="95"/>
      <c r="C45" s="95"/>
      <c r="D45" s="95"/>
      <c r="E45" s="95"/>
      <c r="F45" s="95"/>
      <c r="G45" s="95"/>
      <c r="H45" s="95"/>
      <c r="I45" s="95"/>
      <c r="J45" s="139"/>
      <c r="K45" s="93"/>
      <c r="L45" s="93"/>
      <c r="M45" s="140"/>
      <c r="N45" s="96"/>
    </row>
    <row r="46" spans="1:14">
      <c r="A46" s="96"/>
      <c r="B46" s="97" t="s">
        <v>293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</row>
  </sheetData>
  <autoFilter ref="A1:N28">
    <extLst/>
  </autoFilter>
  <mergeCells count="129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30:L30"/>
    <mergeCell ref="M30:N30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36:B36"/>
    <mergeCell ref="C36:D36"/>
    <mergeCell ref="I36:L36"/>
    <mergeCell ref="M36:N36"/>
    <mergeCell ref="A37:B37"/>
    <mergeCell ref="A38:N38"/>
    <mergeCell ref="A39:D39"/>
    <mergeCell ref="E39:F39"/>
    <mergeCell ref="A40:D40"/>
    <mergeCell ref="E40:F40"/>
    <mergeCell ref="A41:D41"/>
    <mergeCell ref="E41:F41"/>
    <mergeCell ref="A42:D42"/>
    <mergeCell ref="E42:F42"/>
    <mergeCell ref="A44:L44"/>
    <mergeCell ref="M44:N44"/>
    <mergeCell ref="E35:E36"/>
    <mergeCell ref="G39:G42"/>
    <mergeCell ref="F35:H36"/>
    <mergeCell ref="H39:N42"/>
  </mergeCells>
  <printOptions horizontalCentered="1"/>
  <pageMargins left="0.31496062992126" right="0.31496062992126" top="0.551181102362205" bottom="0.354330708661417" header="0.31496062992126" footer="0.31496062992126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view="pageBreakPreview" zoomScaleNormal="100" workbookViewId="0">
      <selection activeCell="O12" sqref="O12"/>
    </sheetView>
  </sheetViews>
  <sheetFormatPr defaultColWidth="9" defaultRowHeight="14"/>
  <cols>
    <col min="1" max="1" width="4.25454545454545" customWidth="1"/>
    <col min="2" max="2" width="7.37272727272727" style="2" customWidth="1"/>
    <col min="3" max="3" width="10.8727272727273" style="2" customWidth="1"/>
    <col min="4" max="4" width="14.8727272727273" customWidth="1"/>
    <col min="5" max="5" width="7.62727272727273" customWidth="1"/>
    <col min="6" max="6" width="6.12727272727273" customWidth="1"/>
    <col min="7" max="7" width="6.87272727272727" customWidth="1"/>
    <col min="8" max="8" width="6.62727272727273" customWidth="1"/>
    <col min="10" max="11" width="6.75454545454545" customWidth="1"/>
    <col min="12" max="12" width="8" customWidth="1"/>
    <col min="13" max="13" width="11" customWidth="1"/>
    <col min="14" max="14" width="9.12727272727273" customWidth="1"/>
    <col min="15" max="15" width="8.25454545454545" customWidth="1"/>
    <col min="16" max="16" width="8.75454545454545" customWidth="1"/>
    <col min="17" max="17" width="4.75454545454545" customWidth="1"/>
  </cols>
  <sheetData>
    <row r="1" ht="21" spans="1:21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4"/>
      <c r="S1" s="24"/>
      <c r="T1" s="24"/>
      <c r="U1" s="24"/>
    </row>
    <row r="2" s="1" customFormat="1" spans="1:17">
      <c r="A2" s="4" t="s">
        <v>112</v>
      </c>
      <c r="B2" s="4"/>
      <c r="C2" s="4"/>
      <c r="D2" s="5" t="str">
        <f>[1]原材料明细!C2</f>
        <v>北京光华荣昌汽车部件有限公司</v>
      </c>
      <c r="E2" s="5"/>
      <c r="F2" s="5"/>
      <c r="G2" s="5"/>
      <c r="H2" s="6" t="s">
        <v>55</v>
      </c>
      <c r="I2" s="12" t="s">
        <v>56</v>
      </c>
      <c r="J2" s="13"/>
      <c r="K2" s="13"/>
      <c r="L2" s="13"/>
      <c r="M2" s="14" t="s">
        <v>57</v>
      </c>
      <c r="N2" s="14"/>
      <c r="O2" s="14"/>
      <c r="P2" s="14"/>
      <c r="Q2" s="14"/>
    </row>
    <row r="3" s="1" customFormat="1" spans="1:17">
      <c r="A3" s="7" t="s">
        <v>58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15" t="str">
        <f>原材料明细!N3</f>
        <v>报价填写日期: 2022-3-4</v>
      </c>
      <c r="N3" s="15"/>
      <c r="O3" s="15"/>
      <c r="P3" s="15"/>
      <c r="Q3" s="15"/>
    </row>
    <row r="4" ht="13.5" customHeight="1" spans="1:17">
      <c r="A4" s="9" t="s">
        <v>61</v>
      </c>
      <c r="B4" s="9" t="s">
        <v>63</v>
      </c>
      <c r="C4" s="9" t="s">
        <v>295</v>
      </c>
      <c r="D4" s="9" t="s">
        <v>148</v>
      </c>
      <c r="E4" s="9" t="s">
        <v>136</v>
      </c>
      <c r="F4" s="9" t="s">
        <v>296</v>
      </c>
      <c r="G4" s="9" t="s">
        <v>297</v>
      </c>
      <c r="H4" s="9" t="s">
        <v>298</v>
      </c>
      <c r="I4" s="9" t="s">
        <v>299</v>
      </c>
      <c r="J4" s="9" t="s">
        <v>300</v>
      </c>
      <c r="K4" s="9"/>
      <c r="L4" s="16" t="s">
        <v>301</v>
      </c>
      <c r="M4" s="16"/>
      <c r="N4" s="16"/>
      <c r="O4" s="17" t="s">
        <v>302</v>
      </c>
      <c r="P4" s="17" t="s">
        <v>303</v>
      </c>
      <c r="Q4" s="17" t="s">
        <v>25</v>
      </c>
    </row>
    <row r="5" ht="24" customHeight="1" spans="1:17">
      <c r="A5" s="9"/>
      <c r="B5" s="9"/>
      <c r="C5" s="9"/>
      <c r="D5" s="9"/>
      <c r="E5" s="9"/>
      <c r="F5" s="9"/>
      <c r="G5" s="9"/>
      <c r="H5" s="9"/>
      <c r="I5" s="9"/>
      <c r="J5" s="9" t="s">
        <v>70</v>
      </c>
      <c r="K5" s="9" t="s">
        <v>304</v>
      </c>
      <c r="L5" s="9" t="s">
        <v>305</v>
      </c>
      <c r="M5" s="16" t="s">
        <v>306</v>
      </c>
      <c r="N5" s="16" t="s">
        <v>108</v>
      </c>
      <c r="O5" s="18"/>
      <c r="P5" s="18"/>
      <c r="Q5" s="18"/>
    </row>
    <row r="6" spans="1:17">
      <c r="A6" s="9">
        <v>1</v>
      </c>
      <c r="B6" s="10" t="s">
        <v>84</v>
      </c>
      <c r="C6" s="10" t="s">
        <v>84</v>
      </c>
      <c r="D6" s="10" t="s">
        <v>84</v>
      </c>
      <c r="E6" s="10" t="s">
        <v>84</v>
      </c>
      <c r="F6" s="10" t="s">
        <v>84</v>
      </c>
      <c r="G6" s="10" t="s">
        <v>84</v>
      </c>
      <c r="H6" s="10" t="s">
        <v>84</v>
      </c>
      <c r="I6" s="10" t="s">
        <v>84</v>
      </c>
      <c r="J6" s="10" t="s">
        <v>84</v>
      </c>
      <c r="K6" s="10" t="s">
        <v>84</v>
      </c>
      <c r="L6" s="10" t="s">
        <v>84</v>
      </c>
      <c r="M6" s="10">
        <v>0</v>
      </c>
      <c r="N6" s="10">
        <v>0</v>
      </c>
      <c r="O6" s="19">
        <v>10000</v>
      </c>
      <c r="P6" s="20">
        <f>M6/O6</f>
        <v>0</v>
      </c>
      <c r="Q6" s="25"/>
    </row>
    <row r="7" spans="1:17">
      <c r="A7" s="9">
        <v>2</v>
      </c>
      <c r="B7" s="10" t="s">
        <v>84</v>
      </c>
      <c r="C7" s="10" t="s">
        <v>84</v>
      </c>
      <c r="D7" s="10" t="s">
        <v>84</v>
      </c>
      <c r="E7" s="10" t="s">
        <v>84</v>
      </c>
      <c r="F7" s="10" t="s">
        <v>84</v>
      </c>
      <c r="G7" s="10" t="s">
        <v>84</v>
      </c>
      <c r="H7" s="10" t="s">
        <v>84</v>
      </c>
      <c r="I7" s="10" t="s">
        <v>84</v>
      </c>
      <c r="J7" s="10" t="s">
        <v>84</v>
      </c>
      <c r="K7" s="10" t="s">
        <v>84</v>
      </c>
      <c r="L7" s="10" t="s">
        <v>84</v>
      </c>
      <c r="M7" s="10">
        <v>0</v>
      </c>
      <c r="N7" s="10">
        <v>0</v>
      </c>
      <c r="O7" s="19">
        <v>10000</v>
      </c>
      <c r="P7" s="20">
        <f>M7/O7</f>
        <v>0</v>
      </c>
      <c r="Q7" s="25"/>
    </row>
    <row r="8" spans="1:17">
      <c r="A8" s="9">
        <v>3</v>
      </c>
      <c r="B8" s="10" t="s">
        <v>84</v>
      </c>
      <c r="C8" s="10" t="s">
        <v>84</v>
      </c>
      <c r="D8" s="10" t="s">
        <v>84</v>
      </c>
      <c r="E8" s="10" t="s">
        <v>84</v>
      </c>
      <c r="F8" s="10" t="s">
        <v>84</v>
      </c>
      <c r="G8" s="10" t="s">
        <v>84</v>
      </c>
      <c r="H8" s="10" t="s">
        <v>84</v>
      </c>
      <c r="I8" s="10" t="s">
        <v>84</v>
      </c>
      <c r="J8" s="10" t="s">
        <v>84</v>
      </c>
      <c r="K8" s="10" t="s">
        <v>84</v>
      </c>
      <c r="L8" s="10" t="s">
        <v>84</v>
      </c>
      <c r="M8" s="10">
        <v>0</v>
      </c>
      <c r="N8" s="10">
        <v>0</v>
      </c>
      <c r="O8" s="19">
        <v>10000</v>
      </c>
      <c r="P8" s="20">
        <f>M8/O8</f>
        <v>0</v>
      </c>
      <c r="Q8" s="25"/>
    </row>
    <row r="9" spans="1:17">
      <c r="A9" s="9">
        <v>4</v>
      </c>
      <c r="B9" s="10" t="s">
        <v>84</v>
      </c>
      <c r="C9" s="10" t="s">
        <v>84</v>
      </c>
      <c r="D9" s="10" t="s">
        <v>84</v>
      </c>
      <c r="E9" s="10" t="s">
        <v>84</v>
      </c>
      <c r="F9" s="10" t="s">
        <v>84</v>
      </c>
      <c r="G9" s="10" t="s">
        <v>84</v>
      </c>
      <c r="H9" s="10" t="s">
        <v>84</v>
      </c>
      <c r="I9" s="10" t="s">
        <v>84</v>
      </c>
      <c r="J9" s="10" t="s">
        <v>84</v>
      </c>
      <c r="K9" s="10" t="s">
        <v>84</v>
      </c>
      <c r="L9" s="10" t="s">
        <v>84</v>
      </c>
      <c r="M9" s="10">
        <v>0</v>
      </c>
      <c r="N9" s="10">
        <v>0</v>
      </c>
      <c r="O9" s="19">
        <v>10000</v>
      </c>
      <c r="P9" s="20">
        <f>M9/O9</f>
        <v>0</v>
      </c>
      <c r="Q9" s="25"/>
    </row>
    <row r="10" spans="1:17">
      <c r="A10" s="9">
        <v>5</v>
      </c>
      <c r="B10" s="10" t="s">
        <v>84</v>
      </c>
      <c r="C10" s="10" t="s">
        <v>84</v>
      </c>
      <c r="D10" s="10" t="s">
        <v>84</v>
      </c>
      <c r="E10" s="10" t="s">
        <v>84</v>
      </c>
      <c r="F10" s="10" t="s">
        <v>84</v>
      </c>
      <c r="G10" s="10" t="s">
        <v>84</v>
      </c>
      <c r="H10" s="10" t="s">
        <v>84</v>
      </c>
      <c r="I10" s="10" t="s">
        <v>84</v>
      </c>
      <c r="J10" s="10" t="s">
        <v>84</v>
      </c>
      <c r="K10" s="10" t="s">
        <v>84</v>
      </c>
      <c r="L10" s="10" t="s">
        <v>84</v>
      </c>
      <c r="M10" s="10">
        <v>0</v>
      </c>
      <c r="N10" s="10">
        <v>0</v>
      </c>
      <c r="O10" s="19">
        <v>10000</v>
      </c>
      <c r="P10" s="20">
        <f>M10/O10</f>
        <v>0</v>
      </c>
      <c r="Q10" s="25"/>
    </row>
    <row r="11" spans="1:17">
      <c r="A11" s="10" t="s">
        <v>108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1">
        <f>SUM(L6:L10)</f>
        <v>0</v>
      </c>
      <c r="M11" s="21">
        <f>SUM(M6:M10)</f>
        <v>0</v>
      </c>
      <c r="N11" s="21">
        <f>SUM(N6:N10)</f>
        <v>0</v>
      </c>
      <c r="O11" s="22" t="e">
        <f>N11/P11</f>
        <v>#DIV/0!</v>
      </c>
      <c r="P11" s="23">
        <f>SUM(P6:P10)</f>
        <v>0</v>
      </c>
      <c r="Q11" s="26"/>
    </row>
    <row r="12" spans="3:3">
      <c r="C12"/>
    </row>
    <row r="13" spans="2:3">
      <c r="B13" s="11" t="s">
        <v>307</v>
      </c>
      <c r="C13"/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A11:K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WPS_1649308755</cp:lastModifiedBy>
  <dcterms:created xsi:type="dcterms:W3CDTF">2014-04-03T05:19:00Z</dcterms:created>
  <cp:lastPrinted>2017-08-17T08:20:00Z</cp:lastPrinted>
  <dcterms:modified xsi:type="dcterms:W3CDTF">2022-04-13T03:29:17Z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144C8C43">
    <vt:lpwstr/>
  </property>
  <property fmtid="{D5CDD505-2E9C-101B-9397-08002B2CF9AE}" pid="168" name="IVIDC048C5D8">
    <vt:lpwstr/>
  </property>
  <property fmtid="{D5CDD505-2E9C-101B-9397-08002B2CF9AE}" pid="169" name="IVIDB2A39FF9">
    <vt:lpwstr/>
  </property>
  <property fmtid="{D5CDD505-2E9C-101B-9397-08002B2CF9AE}" pid="170" name="IVIDD41DB7A3">
    <vt:lpwstr/>
  </property>
  <property fmtid="{D5CDD505-2E9C-101B-9397-08002B2CF9AE}" pid="171" name="IVID487AE45D">
    <vt:lpwstr/>
  </property>
  <property fmtid="{D5CDD505-2E9C-101B-9397-08002B2CF9AE}" pid="172" name="IVID9814B48D">
    <vt:lpwstr/>
  </property>
  <property fmtid="{D5CDD505-2E9C-101B-9397-08002B2CF9AE}" pid="173" name="IVIDCCE7DC23">
    <vt:lpwstr/>
  </property>
  <property fmtid="{D5CDD505-2E9C-101B-9397-08002B2CF9AE}" pid="174" name="IVIDC08AE90E">
    <vt:lpwstr/>
  </property>
  <property fmtid="{D5CDD505-2E9C-101B-9397-08002B2CF9AE}" pid="175" name="IVID548D2AA1">
    <vt:lpwstr/>
  </property>
  <property fmtid="{D5CDD505-2E9C-101B-9397-08002B2CF9AE}" pid="176" name="IVID4823">
    <vt:lpwstr/>
  </property>
  <property fmtid="{D5CDD505-2E9C-101B-9397-08002B2CF9AE}" pid="177" name="IVID563693E4">
    <vt:lpwstr/>
  </property>
  <property fmtid="{D5CDD505-2E9C-101B-9397-08002B2CF9AE}" pid="178" name="IVIDCA8340AC">
    <vt:lpwstr/>
  </property>
  <property fmtid="{D5CDD505-2E9C-101B-9397-08002B2CF9AE}" pid="179" name="IVID46575F96">
    <vt:lpwstr/>
  </property>
  <property fmtid="{D5CDD505-2E9C-101B-9397-08002B2CF9AE}" pid="180" name="IVIDBA9D53E1">
    <vt:lpwstr/>
  </property>
  <property fmtid="{D5CDD505-2E9C-101B-9397-08002B2CF9AE}" pid="181" name="IVID966020AD">
    <vt:lpwstr/>
  </property>
  <property fmtid="{D5CDD505-2E9C-101B-9397-08002B2CF9AE}" pid="182" name="IVID8269DF02">
    <vt:lpwstr/>
  </property>
  <property fmtid="{D5CDD505-2E9C-101B-9397-08002B2CF9AE}" pid="183" name="IVIDC015BD51">
    <vt:lpwstr/>
  </property>
  <property fmtid="{D5CDD505-2E9C-101B-9397-08002B2CF9AE}" pid="184" name="IVID4C7171E">
    <vt:lpwstr/>
  </property>
  <property fmtid="{D5CDD505-2E9C-101B-9397-08002B2CF9AE}" pid="185" name="IVIDF2D5B556">
    <vt:lpwstr/>
  </property>
  <property fmtid="{D5CDD505-2E9C-101B-9397-08002B2CF9AE}" pid="186" name="IVIDC0E5902D">
    <vt:lpwstr/>
  </property>
  <property fmtid="{D5CDD505-2E9C-101B-9397-08002B2CF9AE}" pid="187" name="KSOProductBuildVer">
    <vt:lpwstr>2052-11.1.0.11636</vt:lpwstr>
  </property>
  <property fmtid="{D5CDD505-2E9C-101B-9397-08002B2CF9AE}" pid="188" name="ICV">
    <vt:lpwstr>511952A6A66F42659CC939196969CAFC</vt:lpwstr>
  </property>
</Properties>
</file>