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450" windowWidth="18525" windowHeight="6240" tabRatio="810" firstSheet="1" activeTab="13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68" r:id="rId7"/>
    <sheet name="2026年" sheetId="6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4" r:id="rId14"/>
  </sheets>
  <externalReferences>
    <externalReference r:id="rId15"/>
  </externalReferences>
  <definedNames>
    <definedName name="_xlnm.Print_Area" localSheetId="3">'2022年'!$A$1:$G$48</definedName>
    <definedName name="_xlnm.Print_Area" localSheetId="4">'2023年'!$A$1:$G$48</definedName>
    <definedName name="_xlnm.Print_Area" localSheetId="5">'2024年'!$A$1:$G$48</definedName>
    <definedName name="_xlnm.Print_Area" localSheetId="6">'2025年'!$A$1:$G$48</definedName>
    <definedName name="_xlnm.Print_Area" localSheetId="7">'2026年'!$A$1:$G$48</definedName>
    <definedName name="_xlnm.Print_Area" localSheetId="1">损益表!$A$1:$H$61</definedName>
    <definedName name="_xlnm.Print_Area" localSheetId="8">项目投资!$A$1:$C$32</definedName>
  </definedNames>
  <calcPr calcId="162913"/>
</workbook>
</file>

<file path=xl/calcChain.xml><?xml version="1.0" encoding="utf-8"?>
<calcChain xmlns="http://schemas.openxmlformats.org/spreadsheetml/2006/main">
  <c r="G9" i="64" l="1"/>
  <c r="E9" i="64"/>
  <c r="F9" i="64"/>
  <c r="D9" i="64"/>
  <c r="G6" i="64"/>
  <c r="D6" i="64"/>
  <c r="E4" i="64"/>
  <c r="F31" i="67" l="1"/>
  <c r="F3" i="67" l="1"/>
  <c r="F4" i="67"/>
  <c r="F6" i="67"/>
  <c r="F31" i="68"/>
  <c r="F3" i="68"/>
  <c r="F4" i="68"/>
  <c r="F6" i="68"/>
  <c r="F31" i="57"/>
  <c r="F3" i="57"/>
  <c r="F4" i="57"/>
  <c r="F6" i="57"/>
  <c r="F31" i="56"/>
  <c r="F7" i="56"/>
  <c r="F6" i="56"/>
  <c r="F4" i="56"/>
  <c r="F3" i="56"/>
  <c r="F31" i="43"/>
  <c r="F32" i="43" s="1"/>
  <c r="G8" i="43"/>
  <c r="E31" i="68"/>
  <c r="D31" i="68"/>
  <c r="C31" i="68"/>
  <c r="E6" i="68"/>
  <c r="D6" i="68"/>
  <c r="C6" i="68"/>
  <c r="E4" i="68"/>
  <c r="D4" i="68"/>
  <c r="C4" i="68"/>
  <c r="E3" i="68"/>
  <c r="D3" i="68"/>
  <c r="C3" i="68"/>
  <c r="C2" i="68"/>
  <c r="E31" i="67"/>
  <c r="D31" i="67"/>
  <c r="C31" i="67"/>
  <c r="E6" i="67"/>
  <c r="D6" i="67"/>
  <c r="C6" i="67"/>
  <c r="E4" i="67"/>
  <c r="D4" i="67"/>
  <c r="C4" i="67"/>
  <c r="E3" i="67"/>
  <c r="D3" i="67"/>
  <c r="C3" i="67"/>
  <c r="C2" i="67"/>
  <c r="F3" i="43"/>
  <c r="F6" i="43"/>
  <c r="F4" i="43"/>
  <c r="E8" i="64"/>
  <c r="F8" i="64" s="1"/>
  <c r="G8" i="64" s="1"/>
  <c r="E7" i="64"/>
  <c r="E5" i="64"/>
  <c r="E6" i="64" s="1"/>
  <c r="C8" i="64"/>
  <c r="C7" i="64"/>
  <c r="C5" i="64"/>
  <c r="C4" i="64"/>
  <c r="B8" i="64"/>
  <c r="B7" i="64"/>
  <c r="B5" i="64"/>
  <c r="B4" i="64"/>
  <c r="F7" i="68" l="1"/>
  <c r="G6" i="68"/>
  <c r="F3" i="2" s="1"/>
  <c r="G6" i="67"/>
  <c r="G3" i="2" s="1"/>
  <c r="F7" i="43"/>
  <c r="F9" i="43" s="1"/>
  <c r="C7" i="67"/>
  <c r="F7" i="57"/>
  <c r="F7" i="67"/>
  <c r="E7" i="68"/>
  <c r="C7" i="68"/>
  <c r="D7" i="68"/>
  <c r="D7" i="67"/>
  <c r="E7" i="67"/>
  <c r="F7" i="64"/>
  <c r="G7" i="64" s="1"/>
  <c r="F5" i="64"/>
  <c r="G5" i="64" s="1"/>
  <c r="F4" i="64"/>
  <c r="G4" i="64" l="1"/>
  <c r="F6" i="64"/>
  <c r="G7" i="68"/>
  <c r="F4" i="2" s="1"/>
  <c r="G7" i="67"/>
  <c r="G4" i="2" s="1"/>
  <c r="L55" i="51" l="1"/>
  <c r="L49" i="51"/>
  <c r="H48" i="51"/>
  <c r="H47" i="51"/>
  <c r="H46" i="51"/>
  <c r="H45" i="51"/>
  <c r="H44" i="51"/>
  <c r="H43" i="51"/>
  <c r="H42" i="51"/>
  <c r="H41" i="51"/>
  <c r="H40" i="51"/>
  <c r="H39" i="51"/>
  <c r="L39" i="51" l="1"/>
  <c r="L62" i="51"/>
  <c r="I7" i="50" l="1"/>
  <c r="I10" i="50"/>
  <c r="I21" i="50"/>
  <c r="I24" i="50"/>
  <c r="I35" i="50"/>
  <c r="I38" i="50"/>
  <c r="I48" i="50"/>
  <c r="I51" i="50"/>
  <c r="I61" i="50"/>
  <c r="I64" i="50"/>
  <c r="I74" i="50"/>
  <c r="I77" i="50"/>
  <c r="F77" i="50" l="1"/>
  <c r="F74" i="50"/>
  <c r="F64" i="50"/>
  <c r="F61" i="50"/>
  <c r="F51" i="50"/>
  <c r="F48" i="50"/>
  <c r="F38" i="50"/>
  <c r="F35" i="50"/>
  <c r="F24" i="50"/>
  <c r="F21" i="50"/>
  <c r="F10" i="50"/>
  <c r="F7" i="50"/>
  <c r="D33" i="53" l="1"/>
  <c r="F33" i="53"/>
  <c r="G33" i="53"/>
  <c r="H33" i="53"/>
  <c r="I33" i="53"/>
  <c r="I70" i="50" l="1"/>
  <c r="H75" i="50"/>
  <c r="H74" i="50"/>
  <c r="I57" i="50"/>
  <c r="H62" i="50"/>
  <c r="H61" i="50"/>
  <c r="I44" i="50"/>
  <c r="H49" i="50"/>
  <c r="H48" i="50"/>
  <c r="I31" i="50"/>
  <c r="H36" i="50"/>
  <c r="H35" i="50"/>
  <c r="I17" i="50"/>
  <c r="E24" i="50" s="1"/>
  <c r="H22" i="50"/>
  <c r="H21" i="50"/>
  <c r="I3" i="50"/>
  <c r="D3" i="57"/>
  <c r="E3" i="57"/>
  <c r="D4" i="57"/>
  <c r="E4" i="57"/>
  <c r="D6" i="57"/>
  <c r="D7" i="57" s="1"/>
  <c r="E6" i="57"/>
  <c r="E7" i="57" s="1"/>
  <c r="D31" i="57"/>
  <c r="E31" i="57"/>
  <c r="D31" i="56"/>
  <c r="E31" i="56"/>
  <c r="D3" i="56"/>
  <c r="E3" i="56"/>
  <c r="D4" i="56"/>
  <c r="E4" i="56"/>
  <c r="D6" i="56"/>
  <c r="E6" i="56"/>
  <c r="E7" i="56" s="1"/>
  <c r="E45" i="53"/>
  <c r="F45" i="53" s="1"/>
  <c r="G45" i="53" s="1"/>
  <c r="I4" i="53"/>
  <c r="I5" i="53"/>
  <c r="E4" i="53"/>
  <c r="F4" i="53"/>
  <c r="G4" i="53"/>
  <c r="H4" i="53"/>
  <c r="E5" i="53"/>
  <c r="F5" i="53"/>
  <c r="G5" i="53"/>
  <c r="H5" i="53"/>
  <c r="D5" i="53"/>
  <c r="D4" i="53"/>
  <c r="E77" i="50" l="1"/>
  <c r="E72" i="50"/>
  <c r="E76" i="50"/>
  <c r="E73" i="50"/>
  <c r="E78" i="50"/>
  <c r="E74" i="50"/>
  <c r="E71" i="50"/>
  <c r="E75" i="50"/>
  <c r="E38" i="50"/>
  <c r="E38" i="43" s="1"/>
  <c r="E36" i="50"/>
  <c r="E45" i="43" s="1"/>
  <c r="E33" i="50"/>
  <c r="E43" i="43" s="1"/>
  <c r="E37" i="50"/>
  <c r="E44" i="43" s="1"/>
  <c r="E34" i="50"/>
  <c r="E37" i="43" s="1"/>
  <c r="E39" i="50"/>
  <c r="E35" i="50"/>
  <c r="E32" i="50"/>
  <c r="E51" i="50"/>
  <c r="F38" i="43" s="1"/>
  <c r="E48" i="50"/>
  <c r="E45" i="50"/>
  <c r="F36" i="43" s="1"/>
  <c r="E49" i="50"/>
  <c r="F45" i="43" s="1"/>
  <c r="E46" i="50"/>
  <c r="F43" i="43" s="1"/>
  <c r="E50" i="50"/>
  <c r="F44" i="43" s="1"/>
  <c r="E47" i="50"/>
  <c r="F37" i="43" s="1"/>
  <c r="E52" i="50"/>
  <c r="F47" i="43" s="1"/>
  <c r="E10" i="50"/>
  <c r="E7" i="50"/>
  <c r="E5" i="50"/>
  <c r="C43" i="43" s="1"/>
  <c r="E8" i="50"/>
  <c r="C45" i="43" s="1"/>
  <c r="E6" i="50"/>
  <c r="E11" i="50"/>
  <c r="E4" i="50"/>
  <c r="C36" i="43" s="1"/>
  <c r="E9" i="50"/>
  <c r="C44" i="43" s="1"/>
  <c r="E64" i="50"/>
  <c r="E60" i="50"/>
  <c r="E65" i="50"/>
  <c r="E61" i="50"/>
  <c r="E58" i="50"/>
  <c r="E62" i="50"/>
  <c r="E59" i="50"/>
  <c r="E63" i="50"/>
  <c r="E22" i="50"/>
  <c r="D45" i="43" s="1"/>
  <c r="E19" i="50"/>
  <c r="D43" i="43" s="1"/>
  <c r="E23" i="50"/>
  <c r="D44" i="43" s="1"/>
  <c r="E20" i="50"/>
  <c r="D37" i="43" s="1"/>
  <c r="D38" i="43"/>
  <c r="E21" i="50"/>
  <c r="E25" i="50"/>
  <c r="D47" i="43" s="1"/>
  <c r="E18" i="50"/>
  <c r="D36" i="43" s="1"/>
  <c r="E36" i="43"/>
  <c r="E47" i="43"/>
  <c r="D7" i="56"/>
  <c r="D37" i="67" l="1"/>
  <c r="D12" i="67" s="1"/>
  <c r="D37" i="68"/>
  <c r="D12" i="68" s="1"/>
  <c r="F44" i="67"/>
  <c r="F19" i="67" s="1"/>
  <c r="F44" i="68"/>
  <c r="F19" i="68" s="1"/>
  <c r="F44" i="57"/>
  <c r="F19" i="57" s="1"/>
  <c r="F44" i="56"/>
  <c r="F19" i="56" s="1"/>
  <c r="F19" i="43"/>
  <c r="F11" i="43"/>
  <c r="F36" i="67"/>
  <c r="F11" i="67" s="1"/>
  <c r="F36" i="68"/>
  <c r="F11" i="68" s="1"/>
  <c r="F36" i="57"/>
  <c r="F11" i="57" s="1"/>
  <c r="F36" i="56"/>
  <c r="F11" i="56" s="1"/>
  <c r="E37" i="67"/>
  <c r="E12" i="67" s="1"/>
  <c r="E37" i="68"/>
  <c r="E12" i="68" s="1"/>
  <c r="E45" i="67"/>
  <c r="E20" i="67" s="1"/>
  <c r="E45" i="68"/>
  <c r="E20" i="68" s="1"/>
  <c r="D36" i="67"/>
  <c r="D11" i="67" s="1"/>
  <c r="D36" i="68"/>
  <c r="D11" i="68" s="1"/>
  <c r="D38" i="68"/>
  <c r="D13" i="68" s="1"/>
  <c r="D38" i="67"/>
  <c r="D13" i="67" s="1"/>
  <c r="D43" i="67"/>
  <c r="D43" i="68"/>
  <c r="F22" i="43"/>
  <c r="F47" i="67"/>
  <c r="F22" i="67" s="1"/>
  <c r="F47" i="68"/>
  <c r="F22" i="68" s="1"/>
  <c r="F47" i="57"/>
  <c r="F22" i="57" s="1"/>
  <c r="F47" i="56"/>
  <c r="F22" i="56" s="1"/>
  <c r="F43" i="67"/>
  <c r="F43" i="68"/>
  <c r="F43" i="57"/>
  <c r="F43" i="56"/>
  <c r="E44" i="67"/>
  <c r="E19" i="67" s="1"/>
  <c r="E44" i="68"/>
  <c r="E19" i="68" s="1"/>
  <c r="E38" i="67"/>
  <c r="E13" i="67" s="1"/>
  <c r="E38" i="68"/>
  <c r="E13" i="68" s="1"/>
  <c r="E36" i="68"/>
  <c r="E11" i="68" s="1"/>
  <c r="E36" i="67"/>
  <c r="E11" i="67" s="1"/>
  <c r="E14" i="67" s="1"/>
  <c r="D44" i="67"/>
  <c r="D19" i="67" s="1"/>
  <c r="D44" i="68"/>
  <c r="D19" i="68" s="1"/>
  <c r="E47" i="68"/>
  <c r="E22" i="68" s="1"/>
  <c r="E47" i="67"/>
  <c r="E22" i="67" s="1"/>
  <c r="D47" i="67"/>
  <c r="D22" i="67" s="1"/>
  <c r="D47" i="68"/>
  <c r="D22" i="68" s="1"/>
  <c r="D45" i="68"/>
  <c r="D20" i="68" s="1"/>
  <c r="D45" i="67"/>
  <c r="D20" i="67" s="1"/>
  <c r="F12" i="43"/>
  <c r="F37" i="67"/>
  <c r="F12" i="67" s="1"/>
  <c r="F37" i="68"/>
  <c r="F12" i="68" s="1"/>
  <c r="F37" i="57"/>
  <c r="F12" i="57" s="1"/>
  <c r="F37" i="56"/>
  <c r="F12" i="56" s="1"/>
  <c r="F20" i="43"/>
  <c r="F45" i="67"/>
  <c r="F20" i="67" s="1"/>
  <c r="F45" i="68"/>
  <c r="F20" i="68" s="1"/>
  <c r="F45" i="57"/>
  <c r="F20" i="57" s="1"/>
  <c r="F45" i="56"/>
  <c r="F20" i="56" s="1"/>
  <c r="F13" i="43"/>
  <c r="F38" i="67"/>
  <c r="F13" i="67" s="1"/>
  <c r="F38" i="68"/>
  <c r="F13" i="68" s="1"/>
  <c r="F38" i="57"/>
  <c r="F13" i="57" s="1"/>
  <c r="F38" i="56"/>
  <c r="F13" i="56" s="1"/>
  <c r="E43" i="68"/>
  <c r="E43" i="67"/>
  <c r="C45" i="68"/>
  <c r="C20" i="68" s="1"/>
  <c r="C45" i="67"/>
  <c r="C20" i="67" s="1"/>
  <c r="C44" i="68"/>
  <c r="C19" i="68" s="1"/>
  <c r="C44" i="67"/>
  <c r="C19" i="67" s="1"/>
  <c r="C43" i="68"/>
  <c r="C43" i="67"/>
  <c r="C36" i="68"/>
  <c r="C11" i="68" s="1"/>
  <c r="C36" i="67"/>
  <c r="C11" i="67" s="1"/>
  <c r="G11" i="67" s="1"/>
  <c r="G8" i="2" s="1"/>
  <c r="E47" i="57"/>
  <c r="E22" i="57" s="1"/>
  <c r="E47" i="56"/>
  <c r="E22" i="56" s="1"/>
  <c r="D45" i="57"/>
  <c r="D45" i="56"/>
  <c r="E45" i="57"/>
  <c r="E45" i="56"/>
  <c r="E37" i="57"/>
  <c r="E12" i="57" s="1"/>
  <c r="E37" i="56"/>
  <c r="E12" i="56" s="1"/>
  <c r="D36" i="56"/>
  <c r="D11" i="56" s="1"/>
  <c r="D36" i="57"/>
  <c r="D11" i="57" s="1"/>
  <c r="C44" i="57"/>
  <c r="C44" i="56"/>
  <c r="C45" i="56"/>
  <c r="C45" i="57"/>
  <c r="E38" i="57"/>
  <c r="E13" i="57" s="1"/>
  <c r="E38" i="56"/>
  <c r="E13" i="56" s="1"/>
  <c r="E36" i="56"/>
  <c r="E11" i="56" s="1"/>
  <c r="E36" i="57"/>
  <c r="E11" i="57" s="1"/>
  <c r="D47" i="57"/>
  <c r="D22" i="57" s="1"/>
  <c r="D47" i="56"/>
  <c r="D22" i="56" s="1"/>
  <c r="D44" i="57"/>
  <c r="D19" i="57" s="1"/>
  <c r="D44" i="56"/>
  <c r="D19" i="56" s="1"/>
  <c r="C36" i="57"/>
  <c r="C36" i="56"/>
  <c r="C43" i="57"/>
  <c r="C43" i="56"/>
  <c r="E44" i="56"/>
  <c r="E19" i="56" s="1"/>
  <c r="E44" i="57"/>
  <c r="E19" i="57" s="1"/>
  <c r="D38" i="57"/>
  <c r="D13" i="57" s="1"/>
  <c r="D38" i="56"/>
  <c r="D13" i="56" s="1"/>
  <c r="D37" i="57"/>
  <c r="D12" i="57" s="1"/>
  <c r="D37" i="56"/>
  <c r="D12" i="56" s="1"/>
  <c r="D43" i="57"/>
  <c r="D43" i="56"/>
  <c r="E43" i="57"/>
  <c r="E43" i="56"/>
  <c r="G20" i="67" l="1"/>
  <c r="G17" i="2" s="1"/>
  <c r="F14" i="68"/>
  <c r="G19" i="67"/>
  <c r="G16" i="2" s="1"/>
  <c r="G42" i="2" s="1"/>
  <c r="G20" i="68"/>
  <c r="F17" i="2" s="1"/>
  <c r="E14" i="68"/>
  <c r="D14" i="68"/>
  <c r="F14" i="56"/>
  <c r="F14" i="67"/>
  <c r="G19" i="68"/>
  <c r="F16" i="2" s="1"/>
  <c r="F42" i="2" s="1"/>
  <c r="D14" i="67"/>
  <c r="F14" i="57"/>
  <c r="F14" i="43"/>
  <c r="G34" i="2"/>
  <c r="G11" i="68"/>
  <c r="F8" i="2" s="1"/>
  <c r="G43" i="2"/>
  <c r="E14" i="56"/>
  <c r="D14" i="56"/>
  <c r="E14" i="57"/>
  <c r="D14" i="57"/>
  <c r="D31" i="43"/>
  <c r="D32" i="43" s="1"/>
  <c r="E31" i="43"/>
  <c r="E32" i="43" s="1"/>
  <c r="D6" i="43"/>
  <c r="E6" i="43"/>
  <c r="E3" i="43"/>
  <c r="E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F43" i="2" l="1"/>
  <c r="F34" i="2"/>
  <c r="E12" i="43"/>
  <c r="E7" i="43"/>
  <c r="E9" i="43" s="1"/>
  <c r="E22" i="43"/>
  <c r="E13" i="43"/>
  <c r="D22" i="43"/>
  <c r="D13" i="43"/>
  <c r="D19" i="43"/>
  <c r="D12" i="43"/>
  <c r="D11" i="43"/>
  <c r="D20" i="43"/>
  <c r="E19" i="43"/>
  <c r="D7" i="43"/>
  <c r="D9" i="43" s="1"/>
  <c r="E11" i="43"/>
  <c r="E20" i="43"/>
  <c r="E14" i="43" l="1"/>
  <c r="D14" i="43"/>
  <c r="C2" i="57"/>
  <c r="C2" i="56"/>
  <c r="H7" i="50" l="1"/>
  <c r="C4" i="57" l="1"/>
  <c r="C3" i="57"/>
  <c r="C3" i="56"/>
  <c r="C4" i="56"/>
  <c r="C3" i="43"/>
  <c r="C4" i="43"/>
  <c r="B9" i="51"/>
  <c r="L8" i="55" l="1"/>
  <c r="F8" i="57" s="1"/>
  <c r="F9" i="57" s="1"/>
  <c r="K9" i="55"/>
  <c r="L7" i="55"/>
  <c r="F8" i="56" s="1"/>
  <c r="F9" i="56" s="1"/>
  <c r="F32" i="56" s="1"/>
  <c r="C6" i="57"/>
  <c r="G6" i="57" s="1"/>
  <c r="C31" i="57"/>
  <c r="C6" i="56"/>
  <c r="G6" i="56" s="1"/>
  <c r="C31" i="56"/>
  <c r="F32" i="57" l="1"/>
  <c r="E8" i="56"/>
  <c r="E9" i="56" s="1"/>
  <c r="D8" i="56"/>
  <c r="D9" i="56" s="1"/>
  <c r="E8" i="57"/>
  <c r="E9" i="57" s="1"/>
  <c r="D8" i="57"/>
  <c r="D9" i="57" s="1"/>
  <c r="E3" i="2"/>
  <c r="D3" i="2"/>
  <c r="C7" i="56"/>
  <c r="G7" i="56" s="1"/>
  <c r="C7" i="57"/>
  <c r="G7" i="57" s="1"/>
  <c r="C38" i="43"/>
  <c r="C37" i="43"/>
  <c r="L9" i="55"/>
  <c r="K10" i="55"/>
  <c r="L10" i="55" s="1"/>
  <c r="C11" i="56"/>
  <c r="G11" i="56" s="1"/>
  <c r="E8" i="67" l="1"/>
  <c r="E9" i="67" s="1"/>
  <c r="E32" i="67" s="1"/>
  <c r="C8" i="67"/>
  <c r="F8" i="67"/>
  <c r="F9" i="67" s="1"/>
  <c r="F32" i="67" s="1"/>
  <c r="D8" i="67"/>
  <c r="D9" i="67" s="1"/>
  <c r="D32" i="67" s="1"/>
  <c r="E8" i="68"/>
  <c r="E9" i="68" s="1"/>
  <c r="E32" i="68" s="1"/>
  <c r="D8" i="68"/>
  <c r="D9" i="68" s="1"/>
  <c r="D32" i="68" s="1"/>
  <c r="C8" i="68"/>
  <c r="F8" i="68"/>
  <c r="F9" i="68" s="1"/>
  <c r="F32" i="68" s="1"/>
  <c r="C37" i="68"/>
  <c r="C12" i="68" s="1"/>
  <c r="C37" i="67"/>
  <c r="C12" i="67" s="1"/>
  <c r="G12" i="67" s="1"/>
  <c r="G9" i="2" s="1"/>
  <c r="C38" i="68"/>
  <c r="C13" i="68" s="1"/>
  <c r="G13" i="68" s="1"/>
  <c r="F10" i="2" s="1"/>
  <c r="C38" i="67"/>
  <c r="C13" i="67" s="1"/>
  <c r="C38" i="57"/>
  <c r="C13" i="57" s="1"/>
  <c r="C38" i="56"/>
  <c r="C13" i="56" s="1"/>
  <c r="G13" i="56" s="1"/>
  <c r="C37" i="56"/>
  <c r="C12" i="56" s="1"/>
  <c r="G12" i="56" s="1"/>
  <c r="C37" i="57"/>
  <c r="E32" i="57"/>
  <c r="D32" i="56"/>
  <c r="D32" i="57"/>
  <c r="E32" i="56"/>
  <c r="C8" i="56"/>
  <c r="D4" i="2"/>
  <c r="E4" i="2"/>
  <c r="C8" i="57"/>
  <c r="G8" i="57" s="1"/>
  <c r="C11" i="57"/>
  <c r="G11" i="57" s="1"/>
  <c r="D8" i="2"/>
  <c r="D34" i="2" s="1"/>
  <c r="C19" i="57"/>
  <c r="G19" i="57" s="1"/>
  <c r="C19" i="56"/>
  <c r="G19" i="56" s="1"/>
  <c r="C12" i="57"/>
  <c r="G12" i="57" s="1"/>
  <c r="G8" i="68" l="1"/>
  <c r="F5" i="2" s="1"/>
  <c r="C9" i="68"/>
  <c r="C9" i="67"/>
  <c r="G8" i="67"/>
  <c r="G5" i="2" s="1"/>
  <c r="C14" i="67"/>
  <c r="G14" i="67" s="1"/>
  <c r="G11" i="2" s="1"/>
  <c r="G13" i="67"/>
  <c r="G10" i="2" s="1"/>
  <c r="F36" i="2"/>
  <c r="G35" i="2"/>
  <c r="C9" i="56"/>
  <c r="G9" i="56" s="1"/>
  <c r="D6" i="2" s="1"/>
  <c r="D29" i="2" s="1"/>
  <c r="G8" i="56"/>
  <c r="G13" i="57"/>
  <c r="E10" i="2" s="1"/>
  <c r="E36" i="2" s="1"/>
  <c r="G12" i="68"/>
  <c r="F9" i="2" s="1"/>
  <c r="C14" i="68"/>
  <c r="G14" i="68" s="1"/>
  <c r="F11" i="2" s="1"/>
  <c r="E20" i="56"/>
  <c r="D20" i="56"/>
  <c r="D20" i="57"/>
  <c r="E20" i="57"/>
  <c r="C32" i="56"/>
  <c r="C20" i="56" s="1"/>
  <c r="G20" i="56" s="1"/>
  <c r="C9" i="57"/>
  <c r="G9" i="57" s="1"/>
  <c r="E5" i="2"/>
  <c r="E8" i="2"/>
  <c r="E34" i="2" s="1"/>
  <c r="D5" i="2"/>
  <c r="C14" i="56"/>
  <c r="G14" i="56" s="1"/>
  <c r="C14" i="57"/>
  <c r="G14" i="57" s="1"/>
  <c r="E16" i="2"/>
  <c r="D10" i="2"/>
  <c r="D36" i="2" s="1"/>
  <c r="D16" i="2"/>
  <c r="G9" i="67" l="1"/>
  <c r="G6" i="2" s="1"/>
  <c r="C32" i="67"/>
  <c r="G9" i="68"/>
  <c r="F6" i="2" s="1"/>
  <c r="C32" i="68"/>
  <c r="F35" i="2"/>
  <c r="G47" i="2"/>
  <c r="G36" i="2"/>
  <c r="E42" i="2"/>
  <c r="D47" i="2"/>
  <c r="D42" i="2"/>
  <c r="C32" i="57"/>
  <c r="C20" i="57" s="1"/>
  <c r="G20" i="57" s="1"/>
  <c r="E6" i="2"/>
  <c r="E29" i="2" s="1"/>
  <c r="G29" i="2" l="1"/>
  <c r="G49" i="2"/>
  <c r="F29" i="2"/>
  <c r="F49" i="2"/>
  <c r="F47" i="2"/>
  <c r="E47" i="2"/>
  <c r="E17" i="2"/>
  <c r="D11" i="2"/>
  <c r="D9" i="2"/>
  <c r="D35" i="2" s="1"/>
  <c r="E49" i="2" l="1"/>
  <c r="E43" i="2"/>
  <c r="E11" i="2"/>
  <c r="E9" i="2"/>
  <c r="E35" i="2" s="1"/>
  <c r="D17" i="2" l="1"/>
  <c r="D49" i="2" l="1"/>
  <c r="D43" i="2"/>
  <c r="B5" i="51"/>
  <c r="H8" i="50" l="1"/>
  <c r="E44" i="53" l="1"/>
  <c r="F44" i="53" s="1"/>
  <c r="G44" i="53" s="1"/>
  <c r="E43" i="53"/>
  <c r="E42" i="53"/>
  <c r="F42" i="53" s="1"/>
  <c r="G42" i="53" s="1"/>
  <c r="H42" i="53" s="1"/>
  <c r="E33" i="53"/>
  <c r="E41" i="53" s="1"/>
  <c r="F41" i="53" s="1"/>
  <c r="G41" i="53" s="1"/>
  <c r="H41" i="53" s="1"/>
  <c r="E40" i="53"/>
  <c r="I9" i="55"/>
  <c r="G22" i="51"/>
  <c r="B27" i="51"/>
  <c r="D27" i="51" s="1"/>
  <c r="G21" i="68" s="1"/>
  <c r="B8" i="51"/>
  <c r="B7" i="51"/>
  <c r="C47" i="43"/>
  <c r="C31" i="43"/>
  <c r="C32" i="43" s="1"/>
  <c r="C6" i="43"/>
  <c r="G6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H5" i="2" s="1"/>
  <c r="I41" i="53" l="1"/>
  <c r="D33" i="68"/>
  <c r="D10" i="68"/>
  <c r="D15" i="68" s="1"/>
  <c r="E10" i="36"/>
  <c r="E33" i="68"/>
  <c r="E10" i="68"/>
  <c r="F18" i="2"/>
  <c r="F50" i="2" s="1"/>
  <c r="D21" i="68"/>
  <c r="F21" i="68"/>
  <c r="E21" i="68"/>
  <c r="C21" i="68"/>
  <c r="C46" i="68" s="1"/>
  <c r="I40" i="53"/>
  <c r="F40" i="53"/>
  <c r="G40" i="53" s="1"/>
  <c r="H40" i="53" s="1"/>
  <c r="F43" i="53"/>
  <c r="F33" i="43"/>
  <c r="F34" i="43" s="1"/>
  <c r="F40" i="43" s="1"/>
  <c r="F10" i="43"/>
  <c r="F15" i="43" s="1"/>
  <c r="F16" i="43" s="1"/>
  <c r="C47" i="68"/>
  <c r="C22" i="68" s="1"/>
  <c r="C47" i="67"/>
  <c r="C22" i="67" s="1"/>
  <c r="I42" i="53"/>
  <c r="D34" i="68"/>
  <c r="D40" i="68" s="1"/>
  <c r="C56" i="2"/>
  <c r="C47" i="56"/>
  <c r="C22" i="56" s="1"/>
  <c r="C47" i="57"/>
  <c r="C22" i="57" s="1"/>
  <c r="G22" i="57" s="1"/>
  <c r="E33" i="43"/>
  <c r="E10" i="43"/>
  <c r="K10" i="36"/>
  <c r="D33" i="43"/>
  <c r="D10" i="43"/>
  <c r="C22" i="43"/>
  <c r="G22" i="43" s="1"/>
  <c r="C3" i="2"/>
  <c r="H3" i="2" s="1"/>
  <c r="C19" i="43"/>
  <c r="G19" i="43" s="1"/>
  <c r="C10" i="56"/>
  <c r="C33" i="43"/>
  <c r="C34" i="43" s="1"/>
  <c r="C40" i="43" s="1"/>
  <c r="C7" i="43"/>
  <c r="G7" i="43" s="1"/>
  <c r="C10" i="43"/>
  <c r="B26" i="51"/>
  <c r="D26" i="51" s="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E17" i="36"/>
  <c r="E19" i="36" s="1"/>
  <c r="K17" i="36"/>
  <c r="K19" i="36" s="1"/>
  <c r="M14" i="36"/>
  <c r="C11" i="43"/>
  <c r="G11" i="43" s="1"/>
  <c r="C12" i="43"/>
  <c r="G12" i="43" s="1"/>
  <c r="C13" i="43"/>
  <c r="G13" i="43" s="1"/>
  <c r="C20" i="43"/>
  <c r="G20" i="43" s="1"/>
  <c r="D16" i="68" l="1"/>
  <c r="C33" i="67"/>
  <c r="C34" i="67" s="1"/>
  <c r="C40" i="67" s="1"/>
  <c r="C10" i="67"/>
  <c r="F46" i="68"/>
  <c r="D48" i="68"/>
  <c r="G43" i="53"/>
  <c r="F33" i="56"/>
  <c r="F34" i="56" s="1"/>
  <c r="F40" i="56" s="1"/>
  <c r="F10" i="56"/>
  <c r="D46" i="68"/>
  <c r="E33" i="67"/>
  <c r="E34" i="67" s="1"/>
  <c r="E40" i="67" s="1"/>
  <c r="E10" i="67"/>
  <c r="C33" i="68"/>
  <c r="C34" i="68" s="1"/>
  <c r="C40" i="68" s="1"/>
  <c r="C48" i="68" s="1"/>
  <c r="C10" i="68"/>
  <c r="C15" i="68" s="1"/>
  <c r="E46" i="68"/>
  <c r="D33" i="67"/>
  <c r="D34" i="67" s="1"/>
  <c r="D40" i="67" s="1"/>
  <c r="D10" i="67"/>
  <c r="D15" i="67" s="1"/>
  <c r="G22" i="56"/>
  <c r="D19" i="2" s="1"/>
  <c r="D51" i="2" s="1"/>
  <c r="G22" i="67"/>
  <c r="G22" i="68"/>
  <c r="D16" i="67"/>
  <c r="C15" i="67"/>
  <c r="G10" i="43"/>
  <c r="C7" i="2" s="1"/>
  <c r="E34" i="68"/>
  <c r="E40" i="68" s="1"/>
  <c r="E48" i="68" s="1"/>
  <c r="F15" i="56"/>
  <c r="F16" i="56" s="1"/>
  <c r="E15" i="68"/>
  <c r="E15" i="67"/>
  <c r="G18" i="56"/>
  <c r="C57" i="2"/>
  <c r="C55" i="2" s="1"/>
  <c r="D33" i="56"/>
  <c r="D10" i="56"/>
  <c r="D15" i="56" s="1"/>
  <c r="D16" i="56" s="1"/>
  <c r="E33" i="56"/>
  <c r="E10" i="56"/>
  <c r="E15" i="56" s="1"/>
  <c r="E16" i="56" s="1"/>
  <c r="C9" i="43"/>
  <c r="G9" i="43" s="1"/>
  <c r="C4" i="2"/>
  <c r="H4" i="2" s="1"/>
  <c r="G18" i="43"/>
  <c r="F18" i="43" s="1"/>
  <c r="F17" i="43" s="1"/>
  <c r="D34" i="43"/>
  <c r="D40" i="43" s="1"/>
  <c r="D15" i="43"/>
  <c r="C33" i="56"/>
  <c r="C34" i="56" s="1"/>
  <c r="C40" i="56" s="1"/>
  <c r="C14" i="43"/>
  <c r="G14" i="43" s="1"/>
  <c r="G17" i="36"/>
  <c r="G19" i="36" s="1"/>
  <c r="G18" i="57"/>
  <c r="E26" i="51"/>
  <c r="F26" i="51" s="1"/>
  <c r="J26" i="51"/>
  <c r="E23" i="36"/>
  <c r="C18" i="36"/>
  <c r="D18" i="36" s="1"/>
  <c r="E18" i="36" s="1"/>
  <c r="C19" i="36"/>
  <c r="M10" i="36"/>
  <c r="D19" i="36"/>
  <c r="E22" i="36"/>
  <c r="H17" i="36"/>
  <c r="H19" i="36" s="1"/>
  <c r="G21" i="56"/>
  <c r="F21" i="56" s="1"/>
  <c r="F46" i="56" s="1"/>
  <c r="G21" i="57"/>
  <c r="F21" i="57" s="1"/>
  <c r="F46" i="57" s="1"/>
  <c r="C17" i="2"/>
  <c r="C9" i="2"/>
  <c r="G21" i="43"/>
  <c r="F21" i="43" s="1"/>
  <c r="F46" i="43" s="1"/>
  <c r="F48" i="43" s="1"/>
  <c r="E27" i="51"/>
  <c r="F27" i="51" s="1"/>
  <c r="G27" i="51" s="1"/>
  <c r="H27" i="51" s="1"/>
  <c r="G21" i="67" s="1"/>
  <c r="D28" i="51"/>
  <c r="M17" i="36"/>
  <c r="C35" i="2" l="1"/>
  <c r="H9" i="2"/>
  <c r="H35" i="2" s="1"/>
  <c r="G18" i="68"/>
  <c r="G26" i="51"/>
  <c r="H26" i="51" s="1"/>
  <c r="G18" i="67" s="1"/>
  <c r="G18" i="2"/>
  <c r="G50" i="2" s="1"/>
  <c r="F21" i="67"/>
  <c r="D21" i="67"/>
  <c r="E21" i="67"/>
  <c r="C21" i="67"/>
  <c r="C43" i="2"/>
  <c r="H17" i="2"/>
  <c r="H43" i="2" s="1"/>
  <c r="D34" i="56"/>
  <c r="D40" i="56" s="1"/>
  <c r="H43" i="53"/>
  <c r="F33" i="57"/>
  <c r="F34" i="57" s="1"/>
  <c r="F40" i="57" s="1"/>
  <c r="F48" i="57" s="1"/>
  <c r="F10" i="57"/>
  <c r="F15" i="57" s="1"/>
  <c r="F16" i="57" s="1"/>
  <c r="E34" i="56"/>
  <c r="E40" i="56" s="1"/>
  <c r="E16" i="68"/>
  <c r="C30" i="2"/>
  <c r="F48" i="56"/>
  <c r="F19" i="2"/>
  <c r="F51" i="2" s="1"/>
  <c r="G19" i="2"/>
  <c r="G51" i="2" s="1"/>
  <c r="E16" i="67"/>
  <c r="C16" i="67"/>
  <c r="C16" i="68"/>
  <c r="G10" i="56"/>
  <c r="E60" i="2"/>
  <c r="F18" i="57"/>
  <c r="F17" i="57" s="1"/>
  <c r="F23" i="43"/>
  <c r="F24" i="43" s="1"/>
  <c r="D60" i="2"/>
  <c r="F18" i="56"/>
  <c r="F17" i="56" s="1"/>
  <c r="F23" i="56" s="1"/>
  <c r="F24" i="56" s="1"/>
  <c r="F25" i="56" s="1"/>
  <c r="F26" i="56" s="1"/>
  <c r="F27" i="56" s="1"/>
  <c r="C18" i="43"/>
  <c r="C60" i="2"/>
  <c r="M19" i="36"/>
  <c r="C33" i="57"/>
  <c r="C34" i="57" s="1"/>
  <c r="C40" i="57" s="1"/>
  <c r="C10" i="57"/>
  <c r="D33" i="57"/>
  <c r="D34" i="57" s="1"/>
  <c r="D40" i="57" s="1"/>
  <c r="D10" i="57"/>
  <c r="D15" i="57" s="1"/>
  <c r="D16" i="57" s="1"/>
  <c r="I22" i="36"/>
  <c r="D7" i="2"/>
  <c r="D30" i="2" s="1"/>
  <c r="E33" i="57"/>
  <c r="E34" i="57" s="1"/>
  <c r="E40" i="57" s="1"/>
  <c r="E10" i="57"/>
  <c r="E15" i="57" s="1"/>
  <c r="E16" i="57" s="1"/>
  <c r="F6" i="36"/>
  <c r="F5" i="36" s="1"/>
  <c r="F17" i="36" s="1"/>
  <c r="F19" i="36" s="1"/>
  <c r="L6" i="36"/>
  <c r="L5" i="36" s="1"/>
  <c r="L17" i="36" s="1"/>
  <c r="L19" i="36" s="1"/>
  <c r="I23" i="36"/>
  <c r="D21" i="56"/>
  <c r="E21" i="56"/>
  <c r="C18" i="57"/>
  <c r="C17" i="57" s="1"/>
  <c r="E18" i="57"/>
  <c r="E17" i="57" s="1"/>
  <c r="D18" i="57"/>
  <c r="D17" i="57" s="1"/>
  <c r="C21" i="43"/>
  <c r="D21" i="43"/>
  <c r="D46" i="43" s="1"/>
  <c r="D48" i="43" s="1"/>
  <c r="E21" i="43"/>
  <c r="E46" i="43" s="1"/>
  <c r="E21" i="57"/>
  <c r="D21" i="57"/>
  <c r="D16" i="43"/>
  <c r="E34" i="43"/>
  <c r="E40" i="43" s="1"/>
  <c r="E15" i="43"/>
  <c r="C6" i="2"/>
  <c r="H6" i="2" s="1"/>
  <c r="C15" i="56"/>
  <c r="G15" i="56" s="1"/>
  <c r="C20" i="36"/>
  <c r="D20" i="36" s="1"/>
  <c r="E20" i="36" s="1"/>
  <c r="C16" i="2"/>
  <c r="H16" i="2" s="1"/>
  <c r="D18" i="2"/>
  <c r="D50" i="2" s="1"/>
  <c r="C21" i="56"/>
  <c r="C46" i="56" s="1"/>
  <c r="C48" i="56" s="1"/>
  <c r="E18" i="2"/>
  <c r="E50" i="2" s="1"/>
  <c r="C21" i="57"/>
  <c r="C46" i="57" s="1"/>
  <c r="C8" i="2"/>
  <c r="C10" i="2"/>
  <c r="C15" i="43"/>
  <c r="E28" i="51"/>
  <c r="I27" i="51"/>
  <c r="C19" i="2"/>
  <c r="F28" i="51"/>
  <c r="C18" i="2"/>
  <c r="F25" i="43" l="1"/>
  <c r="F26" i="43" s="1"/>
  <c r="F27" i="43" s="1"/>
  <c r="I43" i="53"/>
  <c r="F33" i="68"/>
  <c r="F34" i="68" s="1"/>
  <c r="F40" i="68" s="1"/>
  <c r="F48" i="68" s="1"/>
  <c r="F10" i="68"/>
  <c r="E46" i="67"/>
  <c r="E48" i="67" s="1"/>
  <c r="F60" i="2"/>
  <c r="F15" i="2"/>
  <c r="D18" i="68"/>
  <c r="D17" i="68" s="1"/>
  <c r="D23" i="68" s="1"/>
  <c r="D24" i="68" s="1"/>
  <c r="D25" i="68" s="1"/>
  <c r="D26" i="68" s="1"/>
  <c r="D27" i="68" s="1"/>
  <c r="F18" i="68"/>
  <c r="F17" i="68" s="1"/>
  <c r="F23" i="68" s="1"/>
  <c r="C18" i="68"/>
  <c r="C17" i="68" s="1"/>
  <c r="E18" i="68"/>
  <c r="E17" i="68" s="1"/>
  <c r="E23" i="68" s="1"/>
  <c r="E24" i="68" s="1"/>
  <c r="E25" i="68" s="1"/>
  <c r="E26" i="68" s="1"/>
  <c r="E27" i="68" s="1"/>
  <c r="H18" i="2"/>
  <c r="C36" i="2"/>
  <c r="H10" i="2"/>
  <c r="D46" i="67"/>
  <c r="D48" i="67" s="1"/>
  <c r="C34" i="2"/>
  <c r="H8" i="2"/>
  <c r="H34" i="2" s="1"/>
  <c r="C46" i="67"/>
  <c r="C48" i="67" s="1"/>
  <c r="F46" i="67"/>
  <c r="G60" i="2"/>
  <c r="G15" i="2"/>
  <c r="F18" i="67"/>
  <c r="F17" i="67" s="1"/>
  <c r="F23" i="67" s="1"/>
  <c r="C18" i="67"/>
  <c r="C17" i="67" s="1"/>
  <c r="D18" i="67"/>
  <c r="D17" i="67" s="1"/>
  <c r="D23" i="67" s="1"/>
  <c r="D24" i="67" s="1"/>
  <c r="D25" i="67" s="1"/>
  <c r="D26" i="67" s="1"/>
  <c r="D27" i="67" s="1"/>
  <c r="E18" i="67"/>
  <c r="E17" i="67" s="1"/>
  <c r="E23" i="67" s="1"/>
  <c r="E24" i="67" s="1"/>
  <c r="E25" i="67" s="1"/>
  <c r="E26" i="67" s="1"/>
  <c r="E27" i="67" s="1"/>
  <c r="G10" i="57"/>
  <c r="G15" i="43"/>
  <c r="G17" i="57"/>
  <c r="F23" i="57"/>
  <c r="F24" i="57" s="1"/>
  <c r="F25" i="57" s="1"/>
  <c r="F26" i="57" s="1"/>
  <c r="F27" i="57" s="1"/>
  <c r="D31" i="2"/>
  <c r="D32" i="2" s="1"/>
  <c r="H42" i="2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F18" i="36"/>
  <c r="G18" i="36" s="1"/>
  <c r="H18" i="36" s="1"/>
  <c r="E24" i="36" s="1"/>
  <c r="E7" i="2"/>
  <c r="E30" i="2" s="1"/>
  <c r="E48" i="43"/>
  <c r="C16" i="43"/>
  <c r="E46" i="57"/>
  <c r="E48" i="57" s="1"/>
  <c r="E23" i="57"/>
  <c r="E24" i="57" s="1"/>
  <c r="E25" i="57" s="1"/>
  <c r="E46" i="56"/>
  <c r="E48" i="56" s="1"/>
  <c r="D46" i="57"/>
  <c r="D48" i="57" s="1"/>
  <c r="D23" i="57"/>
  <c r="D24" i="57" s="1"/>
  <c r="D46" i="56"/>
  <c r="D48" i="56" s="1"/>
  <c r="C16" i="56"/>
  <c r="G16" i="56"/>
  <c r="D13" i="2" s="1"/>
  <c r="E16" i="43"/>
  <c r="C48" i="57"/>
  <c r="C15" i="57"/>
  <c r="G15" i="57" s="1"/>
  <c r="C23" i="57"/>
  <c r="C11" i="2"/>
  <c r="H11" i="2" s="1"/>
  <c r="C46" i="43"/>
  <c r="C48" i="43" s="1"/>
  <c r="G28" i="51"/>
  <c r="F15" i="68" l="1"/>
  <c r="G10" i="68"/>
  <c r="F7" i="2" s="1"/>
  <c r="G17" i="67"/>
  <c r="C23" i="67"/>
  <c r="C24" i="67" s="1"/>
  <c r="C25" i="67" s="1"/>
  <c r="C26" i="67" s="1"/>
  <c r="C27" i="67" s="1"/>
  <c r="G17" i="68"/>
  <c r="C23" i="68"/>
  <c r="C24" i="68" s="1"/>
  <c r="C25" i="68" s="1"/>
  <c r="C26" i="68" s="1"/>
  <c r="C27" i="68" s="1"/>
  <c r="F33" i="67"/>
  <c r="F34" i="67" s="1"/>
  <c r="F40" i="67" s="1"/>
  <c r="F48" i="67" s="1"/>
  <c r="F10" i="67"/>
  <c r="E14" i="2"/>
  <c r="E48" i="2" s="1"/>
  <c r="E31" i="2"/>
  <c r="E32" i="2" s="1"/>
  <c r="I20" i="36"/>
  <c r="J20" i="36" s="1"/>
  <c r="K20" i="36" s="1"/>
  <c r="L20" i="36" s="1"/>
  <c r="D25" i="57"/>
  <c r="D26" i="57" s="1"/>
  <c r="D27" i="57" s="1"/>
  <c r="I18" i="36"/>
  <c r="J18" i="36" s="1"/>
  <c r="K18" i="36" s="1"/>
  <c r="L18" i="36" s="1"/>
  <c r="H47" i="2"/>
  <c r="H36" i="2"/>
  <c r="H29" i="2"/>
  <c r="H49" i="2"/>
  <c r="H50" i="2"/>
  <c r="E26" i="57"/>
  <c r="E27" i="57" s="1"/>
  <c r="D12" i="2"/>
  <c r="D38" i="2" s="1"/>
  <c r="C16" i="57"/>
  <c r="C24" i="57"/>
  <c r="H28" i="51"/>
  <c r="I26" i="51"/>
  <c r="H60" i="2" s="1"/>
  <c r="F15" i="67" l="1"/>
  <c r="G10" i="67"/>
  <c r="G7" i="2" s="1"/>
  <c r="G30" i="2" s="1"/>
  <c r="G31" i="2" s="1"/>
  <c r="G32" i="2" s="1"/>
  <c r="F30" i="2"/>
  <c r="F31" i="2" s="1"/>
  <c r="F32" i="2" s="1"/>
  <c r="H7" i="2"/>
  <c r="G14" i="2"/>
  <c r="G23" i="67"/>
  <c r="G20" i="2" s="1"/>
  <c r="F14" i="2"/>
  <c r="G23" i="68"/>
  <c r="F20" i="2" s="1"/>
  <c r="F24" i="68"/>
  <c r="F25" i="68" s="1"/>
  <c r="F26" i="68" s="1"/>
  <c r="F27" i="68" s="1"/>
  <c r="F16" i="68"/>
  <c r="G15" i="68"/>
  <c r="E41" i="2"/>
  <c r="C25" i="57"/>
  <c r="C26" i="57" s="1"/>
  <c r="C27" i="57" s="1"/>
  <c r="G16" i="43"/>
  <c r="C12" i="2"/>
  <c r="C38" i="2" s="1"/>
  <c r="E12" i="2"/>
  <c r="E38" i="2" s="1"/>
  <c r="G16" i="57"/>
  <c r="E13" i="2" s="1"/>
  <c r="F12" i="2" l="1"/>
  <c r="F38" i="2" s="1"/>
  <c r="F39" i="2" s="1"/>
  <c r="G16" i="68"/>
  <c r="F13" i="2" s="1"/>
  <c r="G24" i="68"/>
  <c r="G41" i="2"/>
  <c r="G48" i="2"/>
  <c r="F41" i="2"/>
  <c r="F48" i="2"/>
  <c r="F24" i="67"/>
  <c r="F25" i="67" s="1"/>
  <c r="F26" i="67" s="1"/>
  <c r="F27" i="67" s="1"/>
  <c r="F16" i="67"/>
  <c r="G15" i="67"/>
  <c r="C13" i="2"/>
  <c r="G12" i="2" l="1"/>
  <c r="G38" i="2" s="1"/>
  <c r="G39" i="2" s="1"/>
  <c r="G24" i="67"/>
  <c r="G16" i="67"/>
  <c r="G13" i="2" s="1"/>
  <c r="G25" i="68"/>
  <c r="F22" i="2" s="1"/>
  <c r="F21" i="2"/>
  <c r="F53" i="2" s="1"/>
  <c r="H12" i="2"/>
  <c r="H30" i="2"/>
  <c r="H31" i="2" s="1"/>
  <c r="H32" i="2" s="1"/>
  <c r="G21" i="2" l="1"/>
  <c r="G53" i="2" s="1"/>
  <c r="G25" i="67"/>
  <c r="G22" i="2" s="1"/>
  <c r="G26" i="68"/>
  <c r="H13" i="2"/>
  <c r="H38" i="2"/>
  <c r="G26" i="67" l="1"/>
  <c r="F23" i="2"/>
  <c r="G27" i="68"/>
  <c r="F24" i="2" s="1"/>
  <c r="E18" i="43"/>
  <c r="E17" i="43" s="1"/>
  <c r="E23" i="43" s="1"/>
  <c r="E24" i="43" s="1"/>
  <c r="E25" i="43" s="1"/>
  <c r="D18" i="43"/>
  <c r="D17" i="43" s="1"/>
  <c r="D23" i="43" s="1"/>
  <c r="D24" i="43" s="1"/>
  <c r="D25" i="43" s="1"/>
  <c r="C17" i="43"/>
  <c r="F52" i="2" l="1"/>
  <c r="F59" i="2"/>
  <c r="F58" i="2" s="1"/>
  <c r="G17" i="43"/>
  <c r="G27" i="67"/>
  <c r="G24" i="2" s="1"/>
  <c r="G23" i="2"/>
  <c r="C23" i="43"/>
  <c r="C24" i="43" s="1"/>
  <c r="C25" i="43" s="1"/>
  <c r="D26" i="43"/>
  <c r="D27" i="43" s="1"/>
  <c r="E26" i="43"/>
  <c r="E27" i="43" s="1"/>
  <c r="G52" i="2" l="1"/>
  <c r="G59" i="2"/>
  <c r="G58" i="2" s="1"/>
  <c r="G23" i="43"/>
  <c r="G24" i="43" s="1"/>
  <c r="G25" i="43" s="1"/>
  <c r="C14" i="2"/>
  <c r="C26" i="43"/>
  <c r="G26" i="43" l="1"/>
  <c r="G27" i="43" s="1"/>
  <c r="C41" i="2"/>
  <c r="C48" i="2"/>
  <c r="C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E18" i="56"/>
  <c r="E17" i="56" s="1"/>
  <c r="E23" i="56" s="1"/>
  <c r="E24" i="56" s="1"/>
  <c r="E25" i="56" s="1"/>
  <c r="C18" i="56"/>
  <c r="C17" i="56" s="1"/>
  <c r="G17" i="56" s="1"/>
  <c r="E26" i="56" l="1"/>
  <c r="E27" i="56" s="1"/>
  <c r="C23" i="56"/>
  <c r="C24" i="56" s="1"/>
  <c r="C25" i="56" s="1"/>
  <c r="D26" i="56"/>
  <c r="D27" i="56" s="1"/>
  <c r="D14" i="2" l="1"/>
  <c r="H14" i="2" s="1"/>
  <c r="G23" i="56"/>
  <c r="C26" i="56"/>
  <c r="D48" i="2" l="1"/>
  <c r="D41" i="2"/>
  <c r="C27" i="56"/>
  <c r="G24" i="56"/>
  <c r="D20" i="2"/>
  <c r="G25" i="56" l="1"/>
  <c r="G26" i="56" s="1"/>
  <c r="D39" i="2"/>
  <c r="H41" i="2"/>
  <c r="H48" i="2"/>
  <c r="D21" i="2"/>
  <c r="D53" i="2" s="1"/>
  <c r="G27" i="56" l="1"/>
  <c r="D22" i="2"/>
  <c r="D23" i="2" l="1"/>
  <c r="D59" i="2" s="1"/>
  <c r="D58" i="2" s="1"/>
  <c r="D24" i="2"/>
  <c r="D52" i="2" l="1"/>
  <c r="E19" i="2" l="1"/>
  <c r="H19" i="2" s="1"/>
  <c r="H51" i="2" s="1"/>
  <c r="G23" i="57"/>
  <c r="G24" i="57" s="1"/>
  <c r="G25" i="57" l="1"/>
  <c r="E22" i="2" s="1"/>
  <c r="E21" i="2"/>
  <c r="E53" i="2" s="1"/>
  <c r="E51" i="2"/>
  <c r="E20" i="2"/>
  <c r="E39" i="2" l="1"/>
  <c r="H20" i="2"/>
  <c r="G26" i="57"/>
  <c r="H21" i="2" l="1"/>
  <c r="H39" i="2"/>
  <c r="G27" i="57"/>
  <c r="E24" i="2" s="1"/>
  <c r="E23" i="2"/>
  <c r="E52" i="2" l="1"/>
  <c r="E59" i="2"/>
  <c r="E58" i="2" s="1"/>
  <c r="H53" i="2"/>
  <c r="H22" i="2"/>
  <c r="H23" i="2" s="1"/>
  <c r="H52" i="2" l="1"/>
  <c r="H59" i="2"/>
  <c r="H58" i="2" s="1"/>
  <c r="H24" i="2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<sst xmlns="http://schemas.openxmlformats.org/spreadsheetml/2006/main" count="1500" uniqueCount="344">
  <si>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</si>
  <si>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</si>
  <si>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</si>
  <si>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</si>
  <si>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</si>
  <si>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</si>
  <si>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</si>
  <si>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</si>
  <si>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</si>
  <si>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</si>
  <si>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</si>
  <si>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</si>
  <si>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</si>
  <si>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</si>
  <si>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</si>
  <si>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</si>
  <si>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</si>
  <si>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</si>
  <si>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</si>
  <si>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</si>
  <si>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</si>
  <si>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</si>
  <si>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</si>
  <si>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</si>
  <si>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</si>
  <si>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</si>
  <si>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</si>
  <si>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</si>
  <si>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</si>
  <si>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</si>
  <si>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</si>
  <si>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</si>
  <si>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</si>
  <si>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</si>
  <si>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</si>
  <si>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</si>
  <si>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</si>
  <si>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</si>
  <si>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</si>
  <si>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</si>
  <si>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</si>
  <si>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</si>
  <si>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</si>
  <si>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</si>
  <si>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</si>
  <si>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</si>
  <si>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</si>
  <si>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</si>
  <si>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</si>
  <si>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</si>
  <si>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</si>
  <si>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</si>
  <si>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</si>
  <si>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</si>
  <si>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</si>
  <si>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</si>
  <si>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</si>
  <si>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</si>
  <si>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</si>
  <si>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</si>
  <si>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</si>
  <si>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</si>
  <si>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</si>
  <si>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</si>
  <si>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</si>
  <si>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</si>
  <si>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</si>
  <si>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</si>
  <si>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</si>
  <si>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</si>
  <si>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</si>
  <si>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</si>
  <si>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</si>
  <si>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</si>
  <si>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</si>
  <si>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</si>
  <si>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</si>
  <si>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</si>
  <si>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</si>
  <si>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</si>
  <si>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</si>
  <si>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</si>
  <si>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</si>
  <si>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</si>
  <si>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</si>
  <si>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</si>
  <si>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</si>
  <si>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</si>
  <si>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</si>
  <si>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</si>
  <si>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</si>
  <si>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</si>
  <si>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</si>
  <si>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</si>
  <si>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</si>
  <si>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</si>
  <si>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</si>
  <si>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</si>
  <si>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</si>
  <si>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</si>
  <si>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</si>
  <si>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</si>
  <si>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</si>
  <si>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</si>
  <si>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</si>
  <si>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</si>
  <si>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</si>
  <si>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</si>
  <si>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</si>
  <si>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</si>
  <si>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</si>
  <si>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</si>
  <si>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</si>
  <si>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</si>
  <si>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</si>
  <si>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</si>
  <si>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</si>
  <si>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</si>
  <si>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</si>
  <si>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</si>
  <si>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</si>
  <si>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</si>
  <si>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</si>
  <si>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</si>
  <si>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</si>
  <si>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</si>
  <si>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</si>
  <si>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</si>
  <si>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</si>
  <si>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</si>
  <si>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</si>
  <si>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</si>
  <si>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</si>
  <si>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</si>
  <si>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</si>
  <si>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</si>
  <si>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</si>
  <si>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</si>
  <si>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</si>
  <si>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</si>
  <si>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</si>
  <si>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</si>
  <si>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</si>
  <si>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</si>
  <si>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</si>
  <si>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</si>
  <si>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</si>
  <si>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</si>
  <si>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</si>
  <si>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</si>
  <si>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</si>
  <si>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</si>
  <si>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</si>
  <si>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</si>
  <si>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</si>
  <si>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</si>
  <si>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</si>
  <si>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</si>
  <si>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</si>
  <si>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</si>
  <si>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</si>
  <si>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</si>
  <si>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</si>
  <si>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</si>
  <si>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</si>
  <si>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</si>
  <si>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</si>
  <si>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</si>
  <si>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</si>
  <si>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</si>
  <si>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</si>
  <si>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</si>
  <si>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</si>
  <si>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</si>
  <si>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</si>
  <si>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</si>
  <si>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</si>
  <si>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</si>
  <si>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</si>
  <si>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</si>
  <si>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</si>
  <si>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</si>
  <si>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</si>
  <si>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</si>
  <si>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</si>
  <si>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</si>
  <si>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</si>
  <si>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</si>
  <si>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</si>
  <si>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</si>
  <si>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</si>
  <si>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</si>
  <si>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</si>
  <si>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</si>
  <si>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</si>
  <si>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</si>
  <si>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</si>
  <si>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</si>
  <si>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</si>
  <si>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</si>
  <si>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</si>
  <si>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</si>
  <si>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</si>
  <si>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</si>
  <si>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</si>
  <si>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</si>
  <si>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</si>
  <si>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</si>
  <si>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</si>
  <si>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</si>
  <si>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</si>
  <si>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</si>
  <si>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</si>
  <si>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</si>
  <si>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</si>
  <si>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</si>
  <si>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</si>
  <si>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</si>
  <si>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</si>
  <si>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</si>
  <si>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</si>
  <si>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</si>
  <si>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</si>
  <si>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</si>
  <si>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</si>
  <si>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</si>
  <si>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9" type="noConversion"/>
  </si>
  <si>
    <t>综合单件金额</t>
    <phoneticPr fontId="39" type="noConversion"/>
  </si>
  <si>
    <t>座椅单件金额</t>
    <phoneticPr fontId="39" type="noConversion"/>
  </si>
  <si>
    <t>后视镜单件金额</t>
    <phoneticPr fontId="39" type="noConversion"/>
  </si>
  <si>
    <t>综合占收入比率</t>
    <phoneticPr fontId="39" type="noConversion"/>
  </si>
  <si>
    <t>后视镜占收入比率</t>
    <phoneticPr fontId="39" type="noConversion"/>
  </si>
  <si>
    <t>座椅占收入比率</t>
    <phoneticPr fontId="39" type="noConversion"/>
  </si>
  <si>
    <t>采购</t>
    <phoneticPr fontId="39" type="noConversion"/>
  </si>
  <si>
    <t>产品名称</t>
    <phoneticPr fontId="39" type="noConversion"/>
  </si>
  <si>
    <t>材料成本</t>
    <phoneticPr fontId="39" type="noConversion"/>
  </si>
  <si>
    <t>一汽解放</t>
    <phoneticPr fontId="39" type="noConversion"/>
  </si>
  <si>
    <t>2026年</t>
  </si>
  <si>
    <t>青岛</t>
  </si>
  <si>
    <t>承兑90天账期</t>
  </si>
  <si>
    <t>2人</t>
  </si>
  <si>
    <t>千分之八+5元每台</t>
  </si>
  <si>
    <t>安全带锁扣指定  14元，结算方式同解放结算</t>
  </si>
  <si>
    <t>材料成本</t>
    <phoneticPr fontId="39" type="noConversion"/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</si>
  <si>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</si>
  <si>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</si>
  <si>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</si>
  <si>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</si>
  <si>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</si>
  <si>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</si>
  <si>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t>变动费用参考河北工厂2021年实际及2022预算暂估。</t>
    <phoneticPr fontId="39" type="noConversion"/>
  </si>
  <si>
    <t>2022年</t>
    <phoneticPr fontId="39" type="noConversion"/>
  </si>
  <si>
    <t>2023年</t>
    <phoneticPr fontId="39" type="noConversion"/>
  </si>
  <si>
    <t>2024年</t>
    <phoneticPr fontId="39" type="noConversion"/>
  </si>
  <si>
    <t>2025年</t>
    <phoneticPr fontId="39" type="noConversion"/>
  </si>
  <si>
    <t>2026年</t>
    <phoneticPr fontId="39" type="noConversion"/>
  </si>
  <si>
    <t>所得税(税率15%）</t>
    <phoneticPr fontId="39" type="noConversion"/>
  </si>
  <si>
    <t xml:space="preserve">2024年  </t>
    <phoneticPr fontId="39" type="noConversion"/>
  </si>
  <si>
    <t xml:space="preserve">2025年  </t>
    <phoneticPr fontId="39" type="noConversion"/>
  </si>
  <si>
    <t>阶段</t>
  </si>
  <si>
    <t xml:space="preserve">人员费用 </t>
  </si>
  <si>
    <t xml:space="preserve">其他费用 </t>
  </si>
  <si>
    <t xml:space="preserve"> 备注   </t>
  </si>
  <si>
    <t>费率</t>
  </si>
  <si>
    <t>人数</t>
  </si>
  <si>
    <t>天数/人</t>
  </si>
  <si>
    <t>单价</t>
  </si>
  <si>
    <t>数量</t>
  </si>
  <si>
    <t>（元/天）</t>
  </si>
  <si>
    <t>项目开发</t>
  </si>
  <si>
    <t>项目经理</t>
  </si>
  <si>
    <t xml:space="preserve">                      - </t>
  </si>
  <si>
    <t>产品工程师</t>
  </si>
  <si>
    <t>造型阶段</t>
  </si>
  <si>
    <t>模具开发至投产阶段</t>
  </si>
  <si>
    <t>发泡模具设计工程师</t>
  </si>
  <si>
    <t>冲压模具设计工程师</t>
  </si>
  <si>
    <t>样件制作阶段至投产</t>
  </si>
  <si>
    <t>前期质量工程师</t>
  </si>
  <si>
    <t>工艺工程师</t>
  </si>
  <si>
    <t>试验工程师</t>
  </si>
  <si>
    <t>检具工程师</t>
  </si>
  <si>
    <t>采购工程师</t>
  </si>
  <si>
    <t>其它</t>
  </si>
  <si>
    <t>车辆费</t>
  </si>
  <si>
    <t>总计</t>
  </si>
  <si>
    <t>一汽解放J6L座椅项目预算费用明细表</t>
    <phoneticPr fontId="36" type="noConversion"/>
  </si>
  <si>
    <t>序号</t>
    <phoneticPr fontId="51" type="noConversion"/>
  </si>
  <si>
    <t>类别</t>
    <phoneticPr fontId="51" type="noConversion"/>
  </si>
  <si>
    <t>合 计
（未税/元）</t>
    <phoneticPr fontId="36" type="noConversion"/>
  </si>
  <si>
    <t>人工成本</t>
    <phoneticPr fontId="51" type="noConversion"/>
  </si>
  <si>
    <t>产品开发</t>
    <phoneticPr fontId="51" type="noConversion"/>
  </si>
  <si>
    <t>表皮设计师</t>
    <phoneticPr fontId="51" type="noConversion"/>
  </si>
  <si>
    <t>资本投入</t>
    <phoneticPr fontId="51" type="noConversion"/>
  </si>
  <si>
    <t>模夹检具费</t>
    <phoneticPr fontId="36" type="noConversion"/>
  </si>
  <si>
    <t>发泡模具</t>
    <phoneticPr fontId="36" type="noConversion"/>
  </si>
  <si>
    <t>焊接工装</t>
    <phoneticPr fontId="36" type="noConversion"/>
  </si>
  <si>
    <t>冲压模具</t>
    <phoneticPr fontId="36" type="noConversion"/>
  </si>
  <si>
    <t>物流及运输工装</t>
    <phoneticPr fontId="51" type="noConversion"/>
  </si>
  <si>
    <t>注塑模具</t>
    <phoneticPr fontId="51" type="noConversion"/>
  </si>
  <si>
    <t>低配面罩注塑模具，一套互换通用</t>
    <phoneticPr fontId="51" type="noConversion"/>
  </si>
  <si>
    <t>总成检具</t>
    <phoneticPr fontId="36" type="noConversion"/>
  </si>
  <si>
    <t>费用性支出</t>
    <phoneticPr fontId="51" type="noConversion"/>
  </si>
  <si>
    <t>样件费</t>
    <phoneticPr fontId="51" type="noConversion"/>
  </si>
  <si>
    <t>评价样件、试验样件</t>
    <phoneticPr fontId="51" type="noConversion"/>
  </si>
  <si>
    <t>试验验证费</t>
    <phoneticPr fontId="51" type="noConversion"/>
  </si>
  <si>
    <t>高配主副驾</t>
    <phoneticPr fontId="36" type="noConversion"/>
  </si>
  <si>
    <t>滑台试验及认证</t>
    <phoneticPr fontId="51" type="noConversion"/>
  </si>
  <si>
    <t>低配主副驾</t>
    <phoneticPr fontId="36" type="noConversion"/>
  </si>
  <si>
    <t>委外设计费</t>
    <phoneticPr fontId="51" type="noConversion"/>
  </si>
  <si>
    <t>物流费</t>
    <phoneticPr fontId="51" type="noConversion"/>
  </si>
  <si>
    <t xml:space="preserve">一汽解放J6L升级自卸座椅项目研发费用预算表 </t>
    <phoneticPr fontId="39" type="noConversion"/>
  </si>
  <si>
    <t>驾驶员座总成</t>
  </si>
  <si>
    <t>前座总成</t>
  </si>
  <si>
    <t>6800010EH13-C00</t>
  </si>
  <si>
    <t>6900010BH13-C00</t>
  </si>
  <si>
    <t>6800010DH13-C00</t>
  </si>
  <si>
    <t>6900010AH13-C00</t>
  </si>
  <si>
    <t>详见功能点检表</t>
  </si>
  <si>
    <t>/</t>
  </si>
  <si>
    <t>2022年</t>
    <phoneticPr fontId="39" type="noConversion"/>
  </si>
  <si>
    <t xml:space="preserve"> 5   年</t>
    <phoneticPr fontId="39" type="noConversion"/>
  </si>
  <si>
    <t>材料成本年降汇总表1%</t>
    <phoneticPr fontId="39" type="noConversion"/>
  </si>
  <si>
    <t>供应商年降：    5  年1%</t>
    <phoneticPr fontId="39" type="noConversion"/>
  </si>
  <si>
    <t>附加值汇总表</t>
    <phoneticPr fontId="39" type="noConversion"/>
  </si>
  <si>
    <t>产品图号</t>
    <phoneticPr fontId="39" type="noConversion"/>
  </si>
  <si>
    <t>名称</t>
    <phoneticPr fontId="39" type="noConversion"/>
  </si>
  <si>
    <t>成本</t>
    <phoneticPr fontId="39" type="noConversion"/>
  </si>
  <si>
    <t>报价</t>
    <phoneticPr fontId="39" type="noConversion"/>
  </si>
  <si>
    <t>附加值</t>
    <phoneticPr fontId="39" type="noConversion"/>
  </si>
  <si>
    <t>附加值率</t>
    <phoneticPr fontId="39" type="noConversion"/>
  </si>
  <si>
    <t>备注</t>
    <phoneticPr fontId="39" type="noConversion"/>
  </si>
  <si>
    <t xml:space="preserve">2022年  </t>
    <phoneticPr fontId="39" type="noConversion"/>
  </si>
  <si>
    <r>
      <t>2022</t>
    </r>
    <r>
      <rPr>
        <b/>
        <sz val="10"/>
        <rFont val="宋体"/>
        <family val="3"/>
        <charset val="134"/>
      </rPr>
      <t>年</t>
    </r>
    <phoneticPr fontId="39" type="noConversion"/>
  </si>
  <si>
    <r>
      <t>2023</t>
    </r>
    <r>
      <rPr>
        <b/>
        <sz val="10"/>
        <rFont val="宋体"/>
        <family val="3"/>
        <charset val="134"/>
      </rPr>
      <t>年</t>
    </r>
    <phoneticPr fontId="39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</si>
  <si>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</si>
  <si>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</si>
  <si>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</si>
  <si>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rPr>
        <b/>
        <sz val="10"/>
        <rFont val="CorpoS"/>
        <family val="1"/>
      </rPr>
      <t>2024年</t>
    </r>
    <r>
      <rPr>
        <sz val="11"/>
        <color theme="1"/>
        <rFont val="宋体"/>
        <family val="2"/>
        <charset val="134"/>
        <scheme val="minor"/>
      </rPr>
      <t/>
    </r>
  </si>
  <si>
    <r>
      <t xml:space="preserve">一汽解放J6L升级自卸座椅项目可行性分析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9" type="noConversion"/>
  </si>
  <si>
    <t>销售价格（未税）：由营销或项目经理提供，包括年降1%。</t>
    <phoneticPr fontId="39" type="noConversion"/>
  </si>
  <si>
    <t>成本预估按设计思路预估。供应商年度降价1%。</t>
    <phoneticPr fontId="39" type="noConversion"/>
  </si>
  <si>
    <t>按营销提报产品生命周期预测，其中投资仅指此项目研发费用及模夹检具工装、生产地产线改造投入。</t>
    <phoneticPr fontId="39" type="noConversion"/>
  </si>
  <si>
    <t>辆份附加值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</si>
</sst>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  <numFmt numFmtId="181" formatCode="#,##0;[Red]#,##0"/>
    <numFmt numFmtId="182" formatCode="0.00_);[Red]\(0.00\)"/>
  </numFmts>
  <fonts count="6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2"/>
      <color rgb="FF000000"/>
      <name val="宋体"/>
      <family val="3"/>
      <charset val="134"/>
      <scheme val="major"/>
    </font>
    <font>
      <b/>
      <sz val="10"/>
      <color rgb="FF000000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1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9" fillId="0" borderId="0"/>
    <xf numFmtId="9" fontId="38" fillId="0" borderId="0" applyFont="0" applyFill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0" fillId="0" borderId="0"/>
    <xf numFmtId="1" fontId="33" fillId="0" borderId="1" applyBorder="0"/>
    <xf numFmtId="43" fontId="34" fillId="0" borderId="0" applyFont="0" applyFill="0" applyBorder="0" applyAlignment="0" applyProtection="0">
      <alignment vertical="center"/>
    </xf>
    <xf numFmtId="0" fontId="30" fillId="0" borderId="0"/>
    <xf numFmtId="0" fontId="41" fillId="0" borderId="1" applyNumberForma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43" fontId="3" fillId="2" borderId="1" xfId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43" fontId="5" fillId="2" borderId="1" xfId="1" applyFont="1" applyFill="1" applyBorder="1">
      <alignment vertical="center"/>
    </xf>
    <xf numFmtId="43" fontId="5" fillId="0" borderId="1" xfId="1" applyFont="1" applyBorder="1">
      <alignment vertical="center"/>
    </xf>
    <xf numFmtId="43" fontId="3" fillId="0" borderId="0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178" fontId="3" fillId="0" borderId="0" xfId="1" applyNumberFormat="1" applyFo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78" fontId="6" fillId="3" borderId="1" xfId="0" applyNumberFormat="1" applyFont="1" applyFill="1" applyBorder="1" applyAlignment="1">
      <alignment horizontal="center" wrapText="1" readingOrder="1"/>
    </xf>
    <xf numFmtId="43" fontId="3" fillId="0" borderId="0" xfId="1" applyFont="1">
      <alignment vertical="center"/>
    </xf>
    <xf numFmtId="178" fontId="8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10" fillId="5" borderId="1" xfId="4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1" fillId="0" borderId="1" xfId="4" applyNumberFormat="1" applyFont="1" applyFill="1" applyBorder="1" applyAlignment="1">
      <alignment horizontal="left" vertical="center"/>
    </xf>
    <xf numFmtId="43" fontId="11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1" fillId="0" borderId="4" xfId="4" applyNumberFormat="1" applyFont="1" applyFill="1" applyBorder="1" applyAlignment="1">
      <alignment horizontal="center" vertical="center"/>
    </xf>
    <xf numFmtId="177" fontId="11" fillId="0" borderId="4" xfId="4" applyNumberFormat="1" applyFont="1" applyFill="1" applyBorder="1" applyAlignment="1">
      <alignment horizontal="left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readingOrder="1"/>
    </xf>
    <xf numFmtId="43" fontId="5" fillId="0" borderId="1" xfId="0" applyNumberFormat="1" applyFont="1" applyBorder="1">
      <alignment vertical="center"/>
    </xf>
    <xf numFmtId="43" fontId="5" fillId="0" borderId="1" xfId="1" applyNumberFormat="1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43" fontId="17" fillId="0" borderId="0" xfId="1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9" fontId="17" fillId="0" borderId="1" xfId="3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7" fillId="0" borderId="1" xfId="1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7" fillId="0" borderId="1" xfId="0" applyNumberFormat="1" applyFont="1" applyFill="1" applyBorder="1">
      <alignment vertical="center"/>
    </xf>
    <xf numFmtId="43" fontId="16" fillId="0" borderId="1" xfId="1" applyFont="1" applyFill="1" applyBorder="1">
      <alignment vertical="center"/>
    </xf>
    <xf numFmtId="43" fontId="17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7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9" fontId="17" fillId="0" borderId="0" xfId="0" applyNumberFormat="1" applyFont="1" applyFill="1">
      <alignment vertical="center"/>
    </xf>
    <xf numFmtId="1" fontId="11" fillId="4" borderId="0" xfId="2" applyNumberFormat="1" applyFont="1" applyFill="1" applyProtection="1"/>
    <xf numFmtId="0" fontId="11" fillId="4" borderId="0" xfId="2" applyFont="1" applyFill="1" applyProtection="1"/>
    <xf numFmtId="0" fontId="21" fillId="4" borderId="0" xfId="2" applyFont="1" applyFill="1" applyAlignment="1" applyProtection="1">
      <alignment horizontal="centerContinuous"/>
    </xf>
    <xf numFmtId="0" fontId="11" fillId="4" borderId="0" xfId="2" applyFont="1" applyFill="1" applyAlignment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Protection="1"/>
    <xf numFmtId="0" fontId="11" fillId="4" borderId="5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2" xfId="2" applyFont="1" applyFill="1" applyBorder="1" applyAlignment="1" applyProtection="1">
      <alignment horizontal="center"/>
    </xf>
    <xf numFmtId="1" fontId="13" fillId="4" borderId="2" xfId="7" applyFont="1" applyFill="1" applyBorder="1"/>
    <xf numFmtId="1" fontId="11" fillId="4" borderId="2" xfId="7" applyFont="1" applyFill="1" applyBorder="1"/>
    <xf numFmtId="0" fontId="11" fillId="4" borderId="6" xfId="2" applyFont="1" applyFill="1" applyBorder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Protection="1"/>
    <xf numFmtId="178" fontId="11" fillId="6" borderId="1" xfId="1" applyNumberFormat="1" applyFont="1" applyFill="1" applyBorder="1" applyAlignment="1" applyProtection="1"/>
    <xf numFmtId="0" fontId="11" fillId="4" borderId="1" xfId="2" applyFont="1" applyFill="1" applyBorder="1" applyProtection="1"/>
    <xf numFmtId="178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9" xfId="2" applyFont="1" applyFill="1" applyBorder="1" applyProtection="1"/>
    <xf numFmtId="0" fontId="11" fillId="4" borderId="10" xfId="2" applyFont="1" applyFill="1" applyBorder="1" applyProtection="1"/>
    <xf numFmtId="0" fontId="11" fillId="4" borderId="11" xfId="2" applyFont="1" applyFill="1" applyBorder="1" applyProtection="1"/>
    <xf numFmtId="0" fontId="11" fillId="4" borderId="0" xfId="2" applyFont="1" applyFill="1" applyBorder="1" applyProtection="1"/>
    <xf numFmtId="176" fontId="11" fillId="4" borderId="0" xfId="2" applyNumberFormat="1" applyFont="1" applyFill="1" applyBorder="1" applyProtection="1"/>
    <xf numFmtId="10" fontId="11" fillId="4" borderId="0" xfId="2" applyNumberFormat="1" applyFont="1" applyFill="1" applyBorder="1" applyProtection="1"/>
    <xf numFmtId="1" fontId="11" fillId="4" borderId="0" xfId="2" applyNumberFormat="1" applyFont="1" applyFill="1" applyBorder="1" applyProtection="1"/>
    <xf numFmtId="0" fontId="11" fillId="4" borderId="12" xfId="2" applyFont="1" applyFill="1" applyBorder="1" applyProtection="1"/>
    <xf numFmtId="0" fontId="11" fillId="4" borderId="8" xfId="2" applyFont="1" applyFill="1" applyBorder="1" applyProtection="1"/>
    <xf numFmtId="2" fontId="11" fillId="4" borderId="8" xfId="2" applyNumberFormat="1" applyFont="1" applyFill="1" applyBorder="1" applyProtection="1"/>
    <xf numFmtId="0" fontId="11" fillId="4" borderId="3" xfId="2" applyFont="1" applyFill="1" applyBorder="1"/>
    <xf numFmtId="1" fontId="11" fillId="4" borderId="6" xfId="7" applyFont="1" applyFill="1" applyBorder="1" applyAlignment="1">
      <alignment horizontal="center"/>
    </xf>
    <xf numFmtId="0" fontId="11" fillId="4" borderId="13" xfId="2" applyFont="1" applyFill="1" applyBorder="1" applyProtection="1"/>
    <xf numFmtId="0" fontId="11" fillId="4" borderId="14" xfId="2" applyFont="1" applyFill="1" applyBorder="1" applyProtection="1"/>
    <xf numFmtId="0" fontId="11" fillId="4" borderId="15" xfId="2" applyFont="1" applyFill="1" applyBorder="1" applyProtection="1"/>
    <xf numFmtId="0" fontId="16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43" fontId="17" fillId="0" borderId="0" xfId="1" applyFont="1">
      <alignment vertical="center"/>
    </xf>
    <xf numFmtId="43" fontId="23" fillId="0" borderId="1" xfId="1" applyFont="1" applyFill="1" applyBorder="1" applyAlignment="1">
      <alignment horizontal="center" vertical="center" wrapText="1"/>
    </xf>
    <xf numFmtId="178" fontId="17" fillId="0" borderId="1" xfId="1" applyNumberFormat="1" applyFont="1" applyFill="1" applyBorder="1" applyAlignment="1">
      <alignment horizontal="center" vertical="center"/>
    </xf>
    <xf numFmtId="178" fontId="16" fillId="0" borderId="1" xfId="1" applyNumberFormat="1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19" fillId="6" borderId="1" xfId="0" applyFont="1" applyFill="1" applyBorder="1">
      <alignment vertical="center"/>
    </xf>
    <xf numFmtId="178" fontId="16" fillId="6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10" fontId="16" fillId="0" borderId="1" xfId="3" applyNumberFormat="1" applyFont="1" applyBorder="1" applyAlignment="1">
      <alignment vertical="center"/>
    </xf>
    <xf numFmtId="178" fontId="16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24" fillId="6" borderId="1" xfId="0" applyFont="1" applyFill="1" applyBorder="1">
      <alignment vertical="center"/>
    </xf>
    <xf numFmtId="178" fontId="17" fillId="0" borderId="1" xfId="1" applyNumberFormat="1" applyFont="1" applyBorder="1" applyAlignment="1">
      <alignment horizontal="center" vertical="center"/>
    </xf>
    <xf numFmtId="10" fontId="17" fillId="0" borderId="1" xfId="3" applyNumberFormat="1" applyFont="1" applyBorder="1">
      <alignment vertical="center"/>
    </xf>
    <xf numFmtId="10" fontId="17" fillId="0" borderId="0" xfId="3" applyNumberFormat="1" applyFont="1" applyBorder="1">
      <alignment vertical="center"/>
    </xf>
    <xf numFmtId="43" fontId="17" fillId="0" borderId="0" xfId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10" fontId="17" fillId="0" borderId="1" xfId="3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3" fontId="17" fillId="0" borderId="1" xfId="1" applyFont="1" applyBorder="1">
      <alignment vertical="center"/>
    </xf>
    <xf numFmtId="178" fontId="17" fillId="0" borderId="1" xfId="1" applyNumberFormat="1" applyFont="1" applyBorder="1">
      <alignment vertical="center"/>
    </xf>
    <xf numFmtId="43" fontId="17" fillId="0" borderId="0" xfId="0" applyNumberFormat="1" applyFont="1" applyFill="1" applyBorder="1">
      <alignment vertical="center"/>
    </xf>
    <xf numFmtId="0" fontId="16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17" fillId="0" borderId="5" xfId="0" applyFont="1" applyBorder="1">
      <alignment vertical="center"/>
    </xf>
    <xf numFmtId="0" fontId="25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 readingOrder="1"/>
    </xf>
    <xf numFmtId="0" fontId="25" fillId="0" borderId="0" xfId="0" applyFont="1" applyFill="1">
      <alignment vertical="center"/>
    </xf>
    <xf numFmtId="0" fontId="8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1" xfId="0" applyFont="1" applyFill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0" borderId="0" xfId="0" applyFont="1" applyFill="1" applyBorder="1" applyAlignment="1">
      <alignment horizontal="left" vertical="center" wrapText="1" readingOrder="1"/>
    </xf>
    <xf numFmtId="0" fontId="2" fillId="0" borderId="0" xfId="0" applyFont="1" applyFill="1">
      <alignment vertical="center"/>
    </xf>
    <xf numFmtId="10" fontId="2" fillId="0" borderId="0" xfId="3" applyNumberFormat="1" applyFont="1" applyFill="1" applyAlignment="1">
      <alignment horizontal="center" vertical="center"/>
    </xf>
    <xf numFmtId="10" fontId="28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28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0" fontId="3" fillId="0" borderId="0" xfId="0" applyNumberFormat="1" applyFont="1">
      <alignment vertical="center"/>
    </xf>
    <xf numFmtId="43" fontId="3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8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43" fontId="17" fillId="7" borderId="0" xfId="0" applyNumberFormat="1" applyFont="1" applyFill="1">
      <alignment vertical="center"/>
    </xf>
    <xf numFmtId="0" fontId="17" fillId="7" borderId="0" xfId="0" applyFont="1" applyFill="1">
      <alignment vertical="center"/>
    </xf>
    <xf numFmtId="0" fontId="20" fillId="7" borderId="0" xfId="0" applyFont="1" applyFill="1">
      <alignment vertical="center"/>
    </xf>
    <xf numFmtId="0" fontId="15" fillId="7" borderId="0" xfId="0" applyFont="1" applyFill="1">
      <alignment vertical="center"/>
    </xf>
    <xf numFmtId="2" fontId="3" fillId="0" borderId="1" xfId="0" applyNumberFormat="1" applyFont="1" applyBorder="1" applyAlignment="1">
      <alignment horizontal="center" vertical="center"/>
    </xf>
    <xf numFmtId="43" fontId="42" fillId="8" borderId="1" xfId="1" applyFont="1" applyFill="1" applyBorder="1" applyAlignment="1" applyProtection="1">
      <alignment horizontal="center" vertical="center"/>
    </xf>
    <xf numFmtId="43" fontId="11" fillId="8" borderId="1" xfId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5" fillId="0" borderId="1" xfId="1" applyFont="1" applyFill="1" applyBorder="1">
      <alignment vertical="center"/>
    </xf>
    <xf numFmtId="43" fontId="3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 readingOrder="1"/>
    </xf>
    <xf numFmtId="0" fontId="8" fillId="9" borderId="1" xfId="0" applyFont="1" applyFill="1" applyBorder="1" applyAlignment="1">
      <alignment horizontal="center" vertical="center" wrapText="1" readingOrder="1"/>
    </xf>
    <xf numFmtId="0" fontId="47" fillId="0" borderId="16" xfId="0" applyFont="1" applyBorder="1" applyAlignment="1">
      <alignment horizontal="center" vertical="center" wrapText="1" readingOrder="1"/>
    </xf>
    <xf numFmtId="9" fontId="17" fillId="0" borderId="7" xfId="3" applyFont="1" applyFill="1" applyBorder="1">
      <alignment vertical="center"/>
    </xf>
    <xf numFmtId="178" fontId="17" fillId="7" borderId="1" xfId="1" applyNumberFormat="1" applyFont="1" applyFill="1" applyBorder="1" applyAlignment="1">
      <alignment horizontal="center" vertical="center"/>
    </xf>
    <xf numFmtId="0" fontId="28" fillId="3" borderId="1" xfId="0" applyFont="1" applyFill="1" applyBorder="1">
      <alignment vertical="center"/>
    </xf>
    <xf numFmtId="0" fontId="28" fillId="7" borderId="1" xfId="0" applyFont="1" applyFill="1" applyBorder="1">
      <alignment vertical="center"/>
    </xf>
    <xf numFmtId="43" fontId="17" fillId="0" borderId="7" xfId="1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52" fillId="0" borderId="26" xfId="0" applyFont="1" applyBorder="1" applyAlignment="1">
      <alignment horizontal="center" vertical="center" wrapText="1" readingOrder="1"/>
    </xf>
    <xf numFmtId="0" fontId="52" fillId="0" borderId="16" xfId="0" applyFont="1" applyBorder="1" applyAlignment="1">
      <alignment horizontal="center" vertical="center" wrapText="1" readingOrder="1"/>
    </xf>
    <xf numFmtId="0" fontId="50" fillId="10" borderId="30" xfId="0" applyFont="1" applyFill="1" applyBorder="1" applyAlignment="1">
      <alignment horizontal="center" vertical="center" wrapText="1" readingOrder="1"/>
    </xf>
    <xf numFmtId="0" fontId="53" fillId="10" borderId="30" xfId="0" applyFont="1" applyFill="1" applyBorder="1" applyAlignment="1">
      <alignment horizontal="center" vertical="center" wrapText="1" readingOrder="1"/>
    </xf>
    <xf numFmtId="3" fontId="52" fillId="10" borderId="30" xfId="0" applyNumberFormat="1" applyFont="1" applyFill="1" applyBorder="1" applyAlignment="1">
      <alignment horizontal="center" vertical="center" wrapText="1" readingOrder="1"/>
    </xf>
    <xf numFmtId="0" fontId="54" fillId="10" borderId="30" xfId="0" applyFont="1" applyFill="1" applyBorder="1" applyAlignment="1">
      <alignment horizontal="center" vertical="center" wrapText="1" readingOrder="1"/>
    </xf>
    <xf numFmtId="0" fontId="55" fillId="10" borderId="30" xfId="0" applyFont="1" applyFill="1" applyBorder="1" applyAlignment="1">
      <alignment horizontal="center" vertical="center" wrapText="1" readingOrder="1"/>
    </xf>
    <xf numFmtId="0" fontId="50" fillId="0" borderId="28" xfId="0" applyFont="1" applyBorder="1" applyAlignment="1">
      <alignment horizontal="center" vertical="center" wrapText="1" readingOrder="1"/>
    </xf>
    <xf numFmtId="0" fontId="53" fillId="11" borderId="1" xfId="0" applyFont="1" applyFill="1" applyBorder="1" applyAlignment="1">
      <alignment horizontal="center" vertical="center" wrapText="1" readingOrder="1"/>
    </xf>
    <xf numFmtId="0" fontId="52" fillId="11" borderId="33" xfId="0" applyFont="1" applyFill="1" applyBorder="1" applyAlignment="1">
      <alignment horizontal="center" vertical="center" wrapText="1" readingOrder="1"/>
    </xf>
    <xf numFmtId="0" fontId="52" fillId="11" borderId="16" xfId="0" applyFont="1" applyFill="1" applyBorder="1" applyAlignment="1">
      <alignment horizontal="center" vertical="center" wrapText="1" readingOrder="1"/>
    </xf>
    <xf numFmtId="3" fontId="50" fillId="11" borderId="34" xfId="0" applyNumberFormat="1" applyFont="1" applyFill="1" applyBorder="1" applyAlignment="1">
      <alignment horizontal="center" vertical="center" wrapText="1" readingOrder="1"/>
    </xf>
    <xf numFmtId="0" fontId="50" fillId="0" borderId="35" xfId="0" applyFont="1" applyBorder="1" applyAlignment="1">
      <alignment horizontal="center" vertical="center" wrapText="1" readingOrder="1"/>
    </xf>
    <xf numFmtId="0" fontId="56" fillId="11" borderId="36" xfId="0" applyFont="1" applyFill="1" applyBorder="1" applyAlignment="1">
      <alignment horizontal="center" vertical="center" wrapText="1" readingOrder="1"/>
    </xf>
    <xf numFmtId="0" fontId="56" fillId="11" borderId="30" xfId="0" applyFont="1" applyFill="1" applyBorder="1" applyAlignment="1">
      <alignment horizontal="center" vertical="center" wrapText="1" readingOrder="1"/>
    </xf>
    <xf numFmtId="0" fontId="57" fillId="11" borderId="30" xfId="0" applyFont="1" applyFill="1" applyBorder="1" applyAlignment="1">
      <alignment horizontal="center" vertical="center" wrapText="1" readingOrder="1"/>
    </xf>
    <xf numFmtId="0" fontId="55" fillId="11" borderId="30" xfId="0" applyFont="1" applyFill="1" applyBorder="1" applyAlignment="1">
      <alignment horizontal="center" vertical="center" wrapText="1" readingOrder="1"/>
    </xf>
    <xf numFmtId="0" fontId="58" fillId="0" borderId="37" xfId="0" applyFont="1" applyBorder="1" applyAlignment="1">
      <alignment horizontal="center" vertical="center" wrapText="1" readingOrder="1"/>
    </xf>
    <xf numFmtId="0" fontId="58" fillId="0" borderId="38" xfId="0" applyFont="1" applyBorder="1" applyAlignment="1">
      <alignment horizontal="center" vertical="center" wrapText="1" readingOrder="1"/>
    </xf>
    <xf numFmtId="0" fontId="19" fillId="0" borderId="38" xfId="0" applyFont="1" applyBorder="1" applyAlignment="1">
      <alignment horizontal="center" vertical="center" wrapText="1" readingOrder="1"/>
    </xf>
    <xf numFmtId="0" fontId="54" fillId="11" borderId="36" xfId="0" applyFont="1" applyFill="1" applyBorder="1" applyAlignment="1">
      <alignment horizontal="center" vertical="center" wrapText="1" readingOrder="1"/>
    </xf>
    <xf numFmtId="0" fontId="54" fillId="11" borderId="30" xfId="0" applyFont="1" applyFill="1" applyBorder="1" applyAlignment="1">
      <alignment horizontal="center" vertical="center" wrapText="1" readingOrder="1"/>
    </xf>
    <xf numFmtId="3" fontId="3" fillId="0" borderId="38" xfId="0" applyNumberFormat="1" applyFont="1" applyBorder="1" applyAlignment="1">
      <alignment horizontal="center" vertical="center" wrapText="1" readingOrder="1"/>
    </xf>
    <xf numFmtId="0" fontId="53" fillId="0" borderId="1" xfId="0" applyFont="1" applyBorder="1" applyAlignment="1">
      <alignment horizontal="center" vertical="center" wrapText="1" readingOrder="1"/>
    </xf>
    <xf numFmtId="0" fontId="50" fillId="12" borderId="1" xfId="0" applyFont="1" applyFill="1" applyBorder="1" applyAlignment="1">
      <alignment horizontal="center" vertical="center" wrapText="1" readingOrder="1"/>
    </xf>
    <xf numFmtId="0" fontId="53" fillId="12" borderId="1" xfId="0" applyFont="1" applyFill="1" applyBorder="1" applyAlignment="1">
      <alignment horizontal="center" vertical="center" wrapText="1" readingOrder="1"/>
    </xf>
    <xf numFmtId="0" fontId="54" fillId="12" borderId="36" xfId="0" applyFont="1" applyFill="1" applyBorder="1" applyAlignment="1">
      <alignment horizontal="center" vertical="center" wrapText="1" readingOrder="1"/>
    </xf>
    <xf numFmtId="0" fontId="54" fillId="12" borderId="30" xfId="0" applyFont="1" applyFill="1" applyBorder="1" applyAlignment="1">
      <alignment horizontal="center" vertical="center" wrapText="1" readingOrder="1"/>
    </xf>
    <xf numFmtId="0" fontId="55" fillId="12" borderId="30" xfId="0" applyFont="1" applyFill="1" applyBorder="1" applyAlignment="1">
      <alignment horizontal="center" vertical="center" wrapText="1" readingOrder="1"/>
    </xf>
    <xf numFmtId="3" fontId="50" fillId="12" borderId="30" xfId="0" applyNumberFormat="1" applyFont="1" applyFill="1" applyBorder="1" applyAlignment="1">
      <alignment horizontal="center" vertical="center" wrapText="1" readingOrder="1"/>
    </xf>
    <xf numFmtId="0" fontId="55" fillId="0" borderId="40" xfId="0" applyFont="1" applyBorder="1" applyAlignment="1">
      <alignment horizontal="center" vertical="center" wrapText="1" readingOrder="1"/>
    </xf>
    <xf numFmtId="0" fontId="50" fillId="0" borderId="40" xfId="0" applyFont="1" applyBorder="1" applyAlignment="1">
      <alignment horizontal="center" vertical="center" wrapText="1" readingOrder="1"/>
    </xf>
    <xf numFmtId="0" fontId="55" fillId="12" borderId="36" xfId="0" applyFont="1" applyFill="1" applyBorder="1" applyAlignment="1">
      <alignment horizontal="center" vertical="center" wrapText="1" readingOrder="1"/>
    </xf>
    <xf numFmtId="0" fontId="53" fillId="0" borderId="40" xfId="0" applyFont="1" applyBorder="1" applyAlignment="1">
      <alignment horizontal="center" vertical="center" wrapText="1" readingOrder="1"/>
    </xf>
    <xf numFmtId="181" fontId="7" fillId="0" borderId="44" xfId="0" applyNumberFormat="1" applyFont="1" applyBorder="1" applyAlignment="1">
      <alignment horizontal="center" vertical="center" wrapText="1" readingOrder="1"/>
    </xf>
    <xf numFmtId="0" fontId="55" fillId="0" borderId="44" xfId="0" applyFont="1" applyBorder="1" applyAlignment="1">
      <alignment horizontal="center" vertical="center" wrapText="1" readingOrder="1"/>
    </xf>
    <xf numFmtId="43" fontId="42" fillId="8" borderId="4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43" fontId="28" fillId="0" borderId="0" xfId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3" fontId="0" fillId="2" borderId="0" xfId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43" fontId="42" fillId="8" borderId="0" xfId="1" applyFont="1" applyFill="1" applyBorder="1" applyAlignment="1" applyProtection="1">
      <alignment horizontal="center" vertical="center"/>
    </xf>
    <xf numFmtId="0" fontId="28" fillId="0" borderId="0" xfId="0" applyFont="1" applyBorder="1">
      <alignment vertical="center"/>
    </xf>
    <xf numFmtId="43" fontId="11" fillId="8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 wrapText="1"/>
    </xf>
    <xf numFmtId="43" fontId="42" fillId="7" borderId="0" xfId="1" applyFont="1" applyFill="1" applyBorder="1" applyAlignment="1" applyProtection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3" fontId="18" fillId="0" borderId="6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3" fontId="0" fillId="0" borderId="1" xfId="1" applyFont="1" applyBorder="1" applyAlignment="1"/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7" xfId="1" applyFont="1" applyFill="1" applyBorder="1" applyAlignment="1">
      <alignment horizontal="center" vertical="center" wrapText="1"/>
    </xf>
    <xf numFmtId="43" fontId="18" fillId="0" borderId="6" xfId="1" applyFont="1" applyFill="1" applyBorder="1" applyAlignment="1">
      <alignment horizontal="center" vertical="center" wrapText="1"/>
    </xf>
    <xf numFmtId="43" fontId="17" fillId="0" borderId="4" xfId="1" applyFont="1" applyFill="1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43" fontId="17" fillId="2" borderId="1" xfId="1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 readingOrder="1"/>
    </xf>
    <xf numFmtId="0" fontId="50" fillId="12" borderId="1" xfId="0" applyFont="1" applyFill="1" applyBorder="1" applyAlignment="1">
      <alignment horizontal="center" vertical="center" wrapText="1" readingOrder="1"/>
    </xf>
    <xf numFmtId="0" fontId="50" fillId="0" borderId="41" xfId="0" applyFont="1" applyBorder="1" applyAlignment="1">
      <alignment horizontal="center" vertical="center" wrapText="1" readingOrder="1"/>
    </xf>
    <xf numFmtId="0" fontId="50" fillId="0" borderId="17" xfId="0" applyFont="1" applyBorder="1" applyAlignment="1">
      <alignment horizontal="center" vertical="center" wrapText="1" readingOrder="1"/>
    </xf>
    <xf numFmtId="0" fontId="50" fillId="0" borderId="42" xfId="0" applyFont="1" applyBorder="1" applyAlignment="1">
      <alignment horizontal="center" vertical="center" wrapText="1" readingOrder="1"/>
    </xf>
    <xf numFmtId="0" fontId="50" fillId="0" borderId="43" xfId="0" applyFont="1" applyBorder="1" applyAlignment="1">
      <alignment horizontal="center" vertical="center" wrapText="1" readingOrder="1"/>
    </xf>
    <xf numFmtId="0" fontId="50" fillId="11" borderId="5" xfId="0" applyFont="1" applyFill="1" applyBorder="1" applyAlignment="1">
      <alignment horizontal="center" vertical="center" wrapText="1" readingOrder="1"/>
    </xf>
    <xf numFmtId="0" fontId="50" fillId="11" borderId="7" xfId="0" applyFont="1" applyFill="1" applyBorder="1" applyAlignment="1">
      <alignment horizontal="center" vertical="center" wrapText="1" readingOrder="1"/>
    </xf>
    <xf numFmtId="0" fontId="50" fillId="11" borderId="6" xfId="0" applyFont="1" applyFill="1" applyBorder="1" applyAlignment="1">
      <alignment horizontal="center" vertical="center" wrapText="1" readingOrder="1"/>
    </xf>
    <xf numFmtId="0" fontId="50" fillId="11" borderId="1" xfId="0" applyFont="1" applyFill="1" applyBorder="1" applyAlignment="1">
      <alignment horizontal="center" vertical="center" wrapText="1" readingOrder="1"/>
    </xf>
    <xf numFmtId="3" fontId="48" fillId="11" borderId="1" xfId="0" applyNumberFormat="1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0" fillId="12" borderId="5" xfId="0" applyFont="1" applyFill="1" applyBorder="1" applyAlignment="1">
      <alignment horizontal="center" vertical="center" wrapText="1" readingOrder="1"/>
    </xf>
    <xf numFmtId="0" fontId="50" fillId="12" borderId="7" xfId="0" applyFont="1" applyFill="1" applyBorder="1" applyAlignment="1">
      <alignment horizontal="center" vertical="center" wrapText="1" readingOrder="1"/>
    </xf>
    <xf numFmtId="0" fontId="50" fillId="12" borderId="6" xfId="0" applyFont="1" applyFill="1" applyBorder="1" applyAlignment="1">
      <alignment horizontal="center" vertical="center" wrapText="1" readingOrder="1"/>
    </xf>
    <xf numFmtId="3" fontId="48" fillId="12" borderId="39" xfId="0" applyNumberFormat="1" applyFont="1" applyFill="1" applyBorder="1" applyAlignment="1">
      <alignment horizontal="center" vertical="center"/>
    </xf>
    <xf numFmtId="0" fontId="48" fillId="12" borderId="25" xfId="0" applyFont="1" applyFill="1" applyBorder="1" applyAlignment="1">
      <alignment horizontal="center" vertical="center"/>
    </xf>
    <xf numFmtId="0" fontId="48" fillId="12" borderId="16" xfId="0" applyFont="1" applyFill="1" applyBorder="1" applyAlignment="1">
      <alignment horizontal="center" vertical="center"/>
    </xf>
    <xf numFmtId="0" fontId="50" fillId="10" borderId="26" xfId="0" applyFont="1" applyFill="1" applyBorder="1" applyAlignment="1">
      <alignment horizontal="center" vertical="center" wrapText="1" readingOrder="1"/>
    </xf>
    <xf numFmtId="0" fontId="50" fillId="10" borderId="25" xfId="0" applyFont="1" applyFill="1" applyBorder="1" applyAlignment="1">
      <alignment horizontal="center" vertical="center" wrapText="1" readingOrder="1"/>
    </xf>
    <xf numFmtId="0" fontId="50" fillId="10" borderId="16" xfId="0" applyFont="1" applyFill="1" applyBorder="1" applyAlignment="1">
      <alignment horizontal="center" vertical="center" wrapText="1" readingOrder="1"/>
    </xf>
    <xf numFmtId="0" fontId="49" fillId="0" borderId="17" xfId="0" applyFont="1" applyBorder="1" applyAlignment="1">
      <alignment horizontal="center" vertical="center" wrapText="1" readingOrder="1"/>
    </xf>
    <xf numFmtId="0" fontId="50" fillId="0" borderId="18" xfId="0" applyFont="1" applyBorder="1" applyAlignment="1">
      <alignment horizontal="center" vertical="center" wrapText="1" readingOrder="1"/>
    </xf>
    <xf numFmtId="0" fontId="50" fillId="0" borderId="24" xfId="0" applyFont="1" applyBorder="1" applyAlignment="1">
      <alignment horizontal="center" vertical="center" wrapText="1" readingOrder="1"/>
    </xf>
    <xf numFmtId="0" fontId="50" fillId="0" borderId="19" xfId="0" applyFont="1" applyBorder="1" applyAlignment="1">
      <alignment horizontal="center" vertical="center" wrapText="1" readingOrder="1"/>
    </xf>
    <xf numFmtId="0" fontId="50" fillId="0" borderId="25" xfId="0" applyFont="1" applyBorder="1" applyAlignment="1">
      <alignment horizontal="center" vertical="center" wrapText="1" readingOrder="1"/>
    </xf>
    <xf numFmtId="0" fontId="52" fillId="0" borderId="20" xfId="0" applyFont="1" applyBorder="1" applyAlignment="1">
      <alignment horizontal="center" vertical="center" wrapText="1" readingOrder="1"/>
    </xf>
    <xf numFmtId="0" fontId="52" fillId="0" borderId="21" xfId="0" applyFont="1" applyBorder="1" applyAlignment="1">
      <alignment horizontal="center" vertical="center" wrapText="1" readingOrder="1"/>
    </xf>
    <xf numFmtId="0" fontId="52" fillId="0" borderId="22" xfId="0" applyFont="1" applyBorder="1" applyAlignment="1">
      <alignment horizontal="center" vertical="center" wrapText="1" readingOrder="1"/>
    </xf>
    <xf numFmtId="0" fontId="50" fillId="0" borderId="16" xfId="0" applyFont="1" applyBorder="1" applyAlignment="1">
      <alignment horizontal="center" vertical="center" wrapText="1" readingOrder="1"/>
    </xf>
    <xf numFmtId="0" fontId="50" fillId="0" borderId="23" xfId="0" applyFont="1" applyBorder="1" applyAlignment="1">
      <alignment horizontal="center" vertical="center" wrapText="1" readingOrder="1"/>
    </xf>
    <xf numFmtId="0" fontId="50" fillId="0" borderId="27" xfId="0" applyFont="1" applyBorder="1" applyAlignment="1">
      <alignment horizontal="center" vertical="center" wrapText="1" readingOrder="1"/>
    </xf>
    <xf numFmtId="0" fontId="50" fillId="0" borderId="28" xfId="0" applyFont="1" applyBorder="1" applyAlignment="1">
      <alignment horizontal="center" vertical="center" wrapText="1" readingOrder="1"/>
    </xf>
    <xf numFmtId="0" fontId="52" fillId="0" borderId="26" xfId="0" applyFont="1" applyBorder="1" applyAlignment="1">
      <alignment horizontal="center" vertical="center" wrapText="1" readingOrder="1"/>
    </xf>
    <xf numFmtId="0" fontId="52" fillId="0" borderId="16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9" fillId="4" borderId="8" xfId="2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0" fillId="0" borderId="29" xfId="0" applyFont="1" applyBorder="1" applyAlignment="1">
      <alignment horizontal="center" vertical="center" wrapText="1" readingOrder="1"/>
    </xf>
    <xf numFmtId="0" fontId="50" fillId="0" borderId="31" xfId="0" applyFont="1" applyBorder="1" applyAlignment="1">
      <alignment horizontal="center" vertical="center" wrapText="1" readingOrder="1"/>
    </xf>
    <xf numFmtId="0" fontId="50" fillId="10" borderId="32" xfId="0" applyFont="1" applyFill="1" applyBorder="1" applyAlignment="1">
      <alignment horizontal="center" vertical="center" wrapText="1" readingOrder="1"/>
    </xf>
    <xf numFmtId="3" fontId="7" fillId="10" borderId="26" xfId="0" applyNumberFormat="1" applyFont="1" applyFill="1" applyBorder="1" applyAlignment="1">
      <alignment horizontal="center" vertical="center" wrapText="1" readingOrder="1"/>
    </xf>
    <xf numFmtId="3" fontId="7" fillId="10" borderId="25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43" fontId="3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3" fillId="0" borderId="5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10" fontId="0" fillId="13" borderId="1" xfId="0" applyNumberFormat="1" applyFill="1" applyBorder="1" applyAlignment="1">
      <alignment horizontal="center" vertical="center"/>
    </xf>
    <xf numFmtId="182" fontId="0" fillId="0" borderId="0" xfId="0" applyNumberFormat="1">
      <alignment vertical="center"/>
    </xf>
    <xf numFmtId="182" fontId="3" fillId="2" borderId="1" xfId="0" applyNumberFormat="1" applyFont="1" applyFill="1" applyBorder="1" applyAlignment="1">
      <alignment horizontal="center" vertical="center" wrapText="1"/>
    </xf>
    <xf numFmtId="182" fontId="28" fillId="0" borderId="1" xfId="1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82" fontId="2" fillId="0" borderId="1" xfId="0" applyNumberFormat="1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" sqref="C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0" customFormat="1" ht="35.25" customHeight="1">
      <c r="A2" s="141" t="s">
        <v>0</v>
      </c>
      <c r="B2" s="141" t="s">
        <v>1</v>
      </c>
      <c r="C2" s="141" t="s">
        <v>2</v>
      </c>
      <c r="D2" s="142"/>
    </row>
    <row r="3" spans="1:4" s="140" customFormat="1" ht="33.75" customHeight="1">
      <c r="A3" s="143">
        <v>1</v>
      </c>
      <c r="B3" s="143" t="s">
        <v>3</v>
      </c>
      <c r="C3" s="144" t="s">
        <v>4</v>
      </c>
      <c r="D3" s="142"/>
    </row>
    <row r="4" spans="1:4" s="140" customFormat="1" ht="33.75" customHeight="1">
      <c r="A4" s="143">
        <v>2</v>
      </c>
      <c r="B4" s="143" t="s">
        <v>5</v>
      </c>
      <c r="C4" s="144" t="s">
        <v>340</v>
      </c>
    </row>
    <row r="5" spans="1:4" s="140" customFormat="1" ht="33.75" customHeight="1">
      <c r="A5" s="143">
        <v>3</v>
      </c>
      <c r="B5" s="256" t="s">
        <v>6</v>
      </c>
      <c r="C5" s="145" t="s">
        <v>341</v>
      </c>
    </row>
    <row r="6" spans="1:4" s="140" customFormat="1" ht="33.75" customHeight="1">
      <c r="A6" s="143">
        <v>4</v>
      </c>
      <c r="B6" s="257"/>
      <c r="C6" s="144" t="s">
        <v>7</v>
      </c>
    </row>
    <row r="7" spans="1:4" s="140" customFormat="1" ht="33.75" customHeight="1">
      <c r="A7" s="143">
        <v>5</v>
      </c>
      <c r="B7" s="146" t="s">
        <v>8</v>
      </c>
      <c r="C7" s="144" t="s">
        <v>250</v>
      </c>
    </row>
    <row r="8" spans="1:4" s="140" customFormat="1" ht="33.75" customHeight="1">
      <c r="A8" s="143">
        <v>6</v>
      </c>
      <c r="B8" s="256" t="s">
        <v>9</v>
      </c>
      <c r="C8" s="144" t="s">
        <v>10</v>
      </c>
    </row>
    <row r="9" spans="1:4" s="140" customFormat="1" ht="33.75" customHeight="1">
      <c r="A9" s="143">
        <v>7</v>
      </c>
      <c r="B9" s="257"/>
      <c r="C9" s="144" t="s">
        <v>11</v>
      </c>
    </row>
    <row r="10" spans="1:4" s="140" customFormat="1" ht="33.75" customHeight="1">
      <c r="A10" s="143">
        <v>8</v>
      </c>
      <c r="B10" s="257"/>
      <c r="C10" s="145" t="s">
        <v>12</v>
      </c>
    </row>
    <row r="11" spans="1:4" s="140" customFormat="1" ht="33.75" customHeight="1">
      <c r="A11" s="143">
        <v>9</v>
      </c>
      <c r="B11" s="257"/>
      <c r="C11" s="144" t="s">
        <v>13</v>
      </c>
    </row>
    <row r="12" spans="1:4" s="140" customFormat="1" ht="45.75" customHeight="1">
      <c r="A12" s="143">
        <v>10</v>
      </c>
      <c r="B12" s="146" t="s">
        <v>14</v>
      </c>
      <c r="C12" s="144" t="s">
        <v>342</v>
      </c>
    </row>
    <row r="13" spans="1:4" ht="33.75" customHeight="1"/>
    <row r="14" spans="1:4" ht="33.75" customHeight="1"/>
    <row r="15" spans="1:4" ht="33.75" customHeight="1">
      <c r="C15" s="147"/>
    </row>
  </sheetData>
  <mergeCells count="2">
    <mergeCell ref="B5:B6"/>
    <mergeCell ref="B8:B11"/>
  </mergeCells>
  <phoneticPr fontId="39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F9" sqref="F9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190</v>
      </c>
      <c r="E1" s="17"/>
      <c r="F1" s="17"/>
      <c r="G1" s="17"/>
      <c r="H1" s="17"/>
      <c r="I1" s="17"/>
    </row>
    <row r="2" spans="1:12" ht="24" customHeight="1">
      <c r="A2" s="18" t="s">
        <v>191</v>
      </c>
      <c r="E2" s="17"/>
      <c r="F2" s="17"/>
      <c r="G2" s="17"/>
      <c r="H2" s="17"/>
      <c r="I2" s="17"/>
    </row>
    <row r="3" spans="1:12">
      <c r="C3" s="6" t="s">
        <v>192</v>
      </c>
      <c r="D3" s="9" t="s">
        <v>321</v>
      </c>
      <c r="E3" s="167">
        <v>0.01</v>
      </c>
    </row>
    <row r="5" spans="1:12" ht="45" customHeight="1">
      <c r="A5" s="328" t="s">
        <v>193</v>
      </c>
      <c r="B5" s="8" t="s">
        <v>143</v>
      </c>
      <c r="C5" s="249" t="s">
        <v>312</v>
      </c>
      <c r="D5" s="249" t="s">
        <v>313</v>
      </c>
      <c r="E5" s="249" t="s">
        <v>312</v>
      </c>
      <c r="F5" s="249" t="s">
        <v>313</v>
      </c>
      <c r="G5" s="15"/>
      <c r="H5" s="15"/>
      <c r="I5" s="327" t="s">
        <v>17</v>
      </c>
    </row>
    <row r="6" spans="1:12" ht="31.5" customHeight="1">
      <c r="A6" s="328"/>
      <c r="B6" s="8" t="s">
        <v>144</v>
      </c>
      <c r="C6" s="249" t="s">
        <v>314</v>
      </c>
      <c r="D6" s="249" t="s">
        <v>315</v>
      </c>
      <c r="E6" s="249" t="s">
        <v>316</v>
      </c>
      <c r="F6" s="249" t="s">
        <v>317</v>
      </c>
      <c r="G6" s="15"/>
      <c r="H6" s="15"/>
      <c r="I6" s="327"/>
      <c r="K6" s="6">
        <v>100</v>
      </c>
    </row>
    <row r="7" spans="1:12" ht="16.5" customHeight="1">
      <c r="A7" s="328"/>
      <c r="B7" s="21" t="s">
        <v>194</v>
      </c>
      <c r="C7" s="250" t="s">
        <v>318</v>
      </c>
      <c r="D7" s="250" t="s">
        <v>319</v>
      </c>
      <c r="E7" s="251" t="s">
        <v>318</v>
      </c>
      <c r="F7" s="252" t="s">
        <v>319</v>
      </c>
      <c r="G7" s="20"/>
      <c r="H7" s="20"/>
      <c r="I7" s="327"/>
      <c r="K7" s="6">
        <f>K6*(1-$E$3)</f>
        <v>99</v>
      </c>
      <c r="L7" s="6">
        <f>K7/$K$6</f>
        <v>0.99</v>
      </c>
    </row>
    <row r="8" spans="1:12" ht="33">
      <c r="A8" s="328"/>
      <c r="B8" s="21" t="s">
        <v>195</v>
      </c>
      <c r="C8" s="371">
        <v>1820</v>
      </c>
      <c r="D8" s="371">
        <v>380</v>
      </c>
      <c r="E8" s="371">
        <v>1020</v>
      </c>
      <c r="F8" s="371">
        <v>380</v>
      </c>
      <c r="G8" s="370"/>
      <c r="H8" s="370"/>
      <c r="I8" s="327"/>
      <c r="K8" s="6">
        <f>K7*(1-$E$3)</f>
        <v>98.01</v>
      </c>
      <c r="L8" s="6">
        <f t="shared" ref="L8:L10" si="0">K8/$K$6</f>
        <v>0.98010000000000008</v>
      </c>
    </row>
    <row r="9" spans="1:12" ht="18.75">
      <c r="A9" s="328" t="s">
        <v>196</v>
      </c>
      <c r="B9" s="181" t="s">
        <v>320</v>
      </c>
      <c r="C9" s="188">
        <v>10000</v>
      </c>
      <c r="D9" s="188">
        <v>10000</v>
      </c>
      <c r="E9" s="188">
        <v>5000</v>
      </c>
      <c r="F9" s="188">
        <v>5000</v>
      </c>
      <c r="G9" s="189"/>
      <c r="H9" s="190"/>
      <c r="I9" s="26">
        <f>SUM(C9:H9)</f>
        <v>30000</v>
      </c>
      <c r="K9" s="6">
        <f t="shared" ref="K9:K10" si="1">K8*(1-$E$3)</f>
        <v>97.029899999999998</v>
      </c>
      <c r="L9" s="6">
        <f t="shared" si="0"/>
        <v>0.97029900000000002</v>
      </c>
    </row>
    <row r="10" spans="1:12" ht="18.75">
      <c r="A10" s="328"/>
      <c r="B10" s="248" t="s">
        <v>185</v>
      </c>
      <c r="C10" s="188">
        <v>20000</v>
      </c>
      <c r="D10" s="188">
        <v>20000</v>
      </c>
      <c r="E10" s="188">
        <v>10000</v>
      </c>
      <c r="F10" s="188">
        <v>10000</v>
      </c>
      <c r="G10" s="189"/>
      <c r="H10" s="190"/>
      <c r="I10" s="26">
        <f t="shared" ref="I10:I14" si="2">SUM(C10:H10)</f>
        <v>60000</v>
      </c>
      <c r="K10" s="6">
        <f t="shared" si="1"/>
        <v>96.059601000000001</v>
      </c>
      <c r="L10" s="6">
        <f t="shared" si="0"/>
        <v>0.96059601000000006</v>
      </c>
    </row>
    <row r="11" spans="1:12" ht="18.75">
      <c r="A11" s="328"/>
      <c r="B11" s="248" t="s">
        <v>186</v>
      </c>
      <c r="C11" s="188">
        <v>20000</v>
      </c>
      <c r="D11" s="188">
        <v>20000</v>
      </c>
      <c r="E11" s="188">
        <v>10000</v>
      </c>
      <c r="F11" s="188">
        <v>10000</v>
      </c>
      <c r="G11" s="189"/>
      <c r="H11" s="190"/>
      <c r="I11" s="26">
        <f t="shared" si="2"/>
        <v>60000</v>
      </c>
    </row>
    <row r="12" spans="1:12" ht="18.75">
      <c r="A12" s="328"/>
      <c r="B12" s="248" t="s">
        <v>187</v>
      </c>
      <c r="C12" s="188">
        <v>20000</v>
      </c>
      <c r="D12" s="188">
        <v>20000</v>
      </c>
      <c r="E12" s="188">
        <v>10000</v>
      </c>
      <c r="F12" s="188">
        <v>10000</v>
      </c>
      <c r="G12" s="189"/>
      <c r="H12" s="190"/>
      <c r="I12" s="26">
        <f t="shared" si="2"/>
        <v>60000</v>
      </c>
    </row>
    <row r="13" spans="1:12" ht="18.75">
      <c r="A13" s="328"/>
      <c r="B13" s="248" t="s">
        <v>237</v>
      </c>
      <c r="C13" s="188">
        <v>20000</v>
      </c>
      <c r="D13" s="188">
        <v>20000</v>
      </c>
      <c r="E13" s="188">
        <v>10000</v>
      </c>
      <c r="F13" s="188">
        <v>10000</v>
      </c>
      <c r="G13" s="189"/>
      <c r="H13" s="190"/>
      <c r="I13" s="26">
        <f t="shared" si="2"/>
        <v>60000</v>
      </c>
    </row>
    <row r="14" spans="1:12" ht="17.25">
      <c r="A14" s="328"/>
      <c r="B14" s="181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327" t="s">
        <v>17</v>
      </c>
      <c r="B15" s="327"/>
      <c r="C15" s="24">
        <f t="shared" ref="C15:I15" si="3">SUM(C9:C14)</f>
        <v>90000</v>
      </c>
      <c r="D15" s="24">
        <f t="shared" si="3"/>
        <v>90000</v>
      </c>
      <c r="E15" s="24">
        <f t="shared" si="3"/>
        <v>45000</v>
      </c>
      <c r="F15" s="24">
        <f t="shared" si="3"/>
        <v>45000</v>
      </c>
      <c r="G15" s="24">
        <f t="shared" si="3"/>
        <v>0</v>
      </c>
      <c r="H15" s="24">
        <f t="shared" si="3"/>
        <v>0</v>
      </c>
      <c r="I15" s="24">
        <f t="shared" si="3"/>
        <v>270000</v>
      </c>
    </row>
    <row r="16" spans="1:12">
      <c r="A16" s="25"/>
      <c r="B16" s="25"/>
      <c r="C16" s="25"/>
    </row>
  </sheetData>
  <mergeCells count="4">
    <mergeCell ref="A15:B15"/>
    <mergeCell ref="A5:A8"/>
    <mergeCell ref="A9:A14"/>
    <mergeCell ref="I5:I8"/>
  </mergeCells>
  <phoneticPr fontId="3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workbookViewId="0">
      <pane xSplit="3" ySplit="5" topLeftCell="D21" activePane="bottomRight" state="frozen"/>
      <selection pane="topRight"/>
      <selection pane="bottomLeft"/>
      <selection pane="bottomRight" activeCell="E6" sqref="E6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5.75" style="6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337" t="s">
        <v>6</v>
      </c>
      <c r="B1" s="337"/>
      <c r="C1" s="7"/>
      <c r="K1" s="14"/>
    </row>
    <row r="2" spans="1:12">
      <c r="A2" s="338" t="s">
        <v>197</v>
      </c>
      <c r="B2" s="338"/>
      <c r="C2" s="339"/>
      <c r="D2" s="339"/>
      <c r="E2" s="340" t="s">
        <v>323</v>
      </c>
      <c r="F2" s="341"/>
      <c r="G2" s="341"/>
      <c r="H2" s="341"/>
      <c r="I2" s="341"/>
      <c r="J2" s="342"/>
    </row>
    <row r="3" spans="1:12">
      <c r="A3" s="352" t="s">
        <v>15</v>
      </c>
      <c r="B3" s="352" t="s">
        <v>198</v>
      </c>
      <c r="C3" s="8" t="s">
        <v>199</v>
      </c>
      <c r="D3" s="343"/>
      <c r="E3" s="343"/>
      <c r="F3" s="8" t="s">
        <v>200</v>
      </c>
      <c r="G3" s="329"/>
      <c r="H3" s="330"/>
      <c r="I3" s="331"/>
      <c r="J3" s="344" t="s">
        <v>153</v>
      </c>
    </row>
    <row r="4" spans="1:12">
      <c r="A4" s="352"/>
      <c r="B4" s="352"/>
      <c r="C4" s="8" t="s">
        <v>143</v>
      </c>
      <c r="D4" s="162" t="str">
        <f>销量!C5</f>
        <v>驾驶员座总成</v>
      </c>
      <c r="E4" s="162" t="str">
        <f>销量!D5</f>
        <v>前座总成</v>
      </c>
      <c r="F4" s="162" t="str">
        <f>销量!E5</f>
        <v>驾驶员座总成</v>
      </c>
      <c r="G4" s="162" t="str">
        <f>销量!F5</f>
        <v>前座总成</v>
      </c>
      <c r="H4" s="162">
        <f>销量!G5</f>
        <v>0</v>
      </c>
      <c r="I4" s="162">
        <f>销量!H5</f>
        <v>0</v>
      </c>
      <c r="J4" s="345"/>
    </row>
    <row r="5" spans="1:12" ht="28.5">
      <c r="A5" s="352"/>
      <c r="B5" s="352"/>
      <c r="C5" s="8" t="s">
        <v>144</v>
      </c>
      <c r="D5" s="162" t="str">
        <f>销量!C6</f>
        <v>6800010EH13-C00</v>
      </c>
      <c r="E5" s="162" t="str">
        <f>销量!D6</f>
        <v>6900010BH13-C00</v>
      </c>
      <c r="F5" s="162" t="str">
        <f>销量!E6</f>
        <v>6800010DH13-C00</v>
      </c>
      <c r="G5" s="162" t="str">
        <f>销量!F6</f>
        <v>6900010AH13-C00</v>
      </c>
      <c r="H5" s="162">
        <f>销量!G6</f>
        <v>0</v>
      </c>
      <c r="I5" s="162">
        <f>销量!H6</f>
        <v>0</v>
      </c>
      <c r="J5" s="346"/>
    </row>
    <row r="6" spans="1:12" ht="16.5" customHeight="1">
      <c r="A6" s="11">
        <v>1</v>
      </c>
      <c r="B6" s="347" t="s">
        <v>243</v>
      </c>
      <c r="C6" s="348"/>
      <c r="D6" s="253">
        <v>1301.83</v>
      </c>
      <c r="E6" s="253">
        <v>316.63302900000002</v>
      </c>
      <c r="F6" s="253">
        <v>688.09</v>
      </c>
      <c r="G6" s="253">
        <v>276.63302900000002</v>
      </c>
      <c r="H6" s="12"/>
      <c r="I6" s="12"/>
      <c r="J6" s="183"/>
    </row>
    <row r="7" spans="1:12" ht="16.5" customHeight="1">
      <c r="A7" s="11">
        <v>2</v>
      </c>
      <c r="B7" s="347"/>
      <c r="C7" s="348"/>
      <c r="D7" s="10"/>
      <c r="E7" s="10"/>
      <c r="F7" s="253"/>
      <c r="G7" s="10"/>
      <c r="H7" s="10"/>
      <c r="I7" s="10"/>
      <c r="J7" s="15"/>
    </row>
    <row r="8" spans="1:12" ht="16.5" customHeight="1">
      <c r="A8" s="11">
        <v>3</v>
      </c>
      <c r="B8" s="347"/>
      <c r="C8" s="348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347"/>
      <c r="C9" s="348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347"/>
      <c r="C10" s="348"/>
      <c r="D10" s="12"/>
      <c r="E10" s="12"/>
      <c r="F10" s="12"/>
      <c r="G10" s="10"/>
      <c r="H10" s="10"/>
      <c r="I10" s="10"/>
      <c r="J10" s="15"/>
      <c r="K10" s="353"/>
      <c r="L10" s="354"/>
    </row>
    <row r="11" spans="1:12" ht="16.5" customHeight="1">
      <c r="A11" s="11">
        <v>6</v>
      </c>
      <c r="B11" s="347"/>
      <c r="C11" s="348"/>
      <c r="D11" s="12"/>
      <c r="E11" s="10"/>
      <c r="F11" s="12"/>
      <c r="G11" s="10"/>
      <c r="H11" s="10"/>
      <c r="I11" s="10"/>
      <c r="J11" s="15"/>
      <c r="K11" s="353"/>
      <c r="L11" s="354"/>
    </row>
    <row r="12" spans="1:12" ht="16.5" customHeight="1">
      <c r="A12" s="11">
        <v>7</v>
      </c>
      <c r="B12" s="347"/>
      <c r="C12" s="348"/>
      <c r="D12" s="12"/>
      <c r="E12" s="10"/>
      <c r="F12" s="12"/>
      <c r="G12" s="10"/>
      <c r="H12" s="10"/>
      <c r="I12" s="10"/>
      <c r="J12" s="15"/>
      <c r="K12" s="353"/>
      <c r="L12" s="354"/>
    </row>
    <row r="13" spans="1:12" ht="16.5" customHeight="1">
      <c r="A13" s="11">
        <v>8</v>
      </c>
      <c r="B13" s="347"/>
      <c r="C13" s="348"/>
      <c r="D13" s="12"/>
      <c r="E13" s="10"/>
      <c r="F13" s="12"/>
      <c r="G13" s="10"/>
      <c r="H13" s="10"/>
      <c r="I13" s="10"/>
      <c r="J13" s="15"/>
      <c r="K13" s="353"/>
      <c r="L13" s="354"/>
    </row>
    <row r="14" spans="1:12" ht="16.5" customHeight="1">
      <c r="A14" s="11">
        <v>9</v>
      </c>
      <c r="B14" s="347"/>
      <c r="C14" s="348"/>
      <c r="D14" s="12"/>
      <c r="E14" s="10"/>
      <c r="F14" s="12"/>
      <c r="G14" s="10"/>
      <c r="H14" s="10"/>
      <c r="I14" s="10"/>
      <c r="J14" s="15"/>
      <c r="K14" s="353"/>
      <c r="L14" s="354"/>
    </row>
    <row r="15" spans="1:12" ht="16.5" customHeight="1">
      <c r="A15" s="11">
        <v>10</v>
      </c>
      <c r="B15" s="347"/>
      <c r="C15" s="348"/>
      <c r="D15" s="12"/>
      <c r="E15" s="10"/>
      <c r="F15" s="12"/>
      <c r="G15" s="10"/>
      <c r="H15" s="10"/>
      <c r="I15" s="10"/>
      <c r="J15" s="15"/>
      <c r="K15" s="353"/>
      <c r="L15" s="354"/>
    </row>
    <row r="16" spans="1:12" ht="16.5" customHeight="1">
      <c r="A16" s="11">
        <v>11</v>
      </c>
      <c r="B16" s="347"/>
      <c r="C16" s="348"/>
      <c r="D16" s="12"/>
      <c r="E16" s="10"/>
      <c r="F16" s="12"/>
      <c r="G16" s="10"/>
      <c r="H16" s="10"/>
      <c r="I16" s="10"/>
      <c r="J16" s="15"/>
      <c r="K16" s="353"/>
      <c r="L16" s="354"/>
    </row>
    <row r="17" spans="1:12" ht="16.5" customHeight="1">
      <c r="A17" s="11">
        <v>12</v>
      </c>
      <c r="B17" s="347"/>
      <c r="C17" s="348"/>
      <c r="D17" s="12"/>
      <c r="E17" s="10"/>
      <c r="F17" s="12"/>
      <c r="G17" s="10"/>
      <c r="H17" s="10"/>
      <c r="I17" s="10"/>
      <c r="J17" s="15"/>
      <c r="K17" s="353"/>
      <c r="L17" s="354"/>
    </row>
    <row r="18" spans="1:12" ht="16.5" customHeight="1">
      <c r="A18" s="11">
        <v>13</v>
      </c>
      <c r="B18" s="347"/>
      <c r="C18" s="348"/>
      <c r="D18" s="12"/>
      <c r="E18" s="10"/>
      <c r="F18" s="12"/>
      <c r="G18" s="10"/>
      <c r="H18" s="10"/>
      <c r="I18" s="10"/>
      <c r="J18" s="15"/>
      <c r="K18" s="353"/>
      <c r="L18" s="354"/>
    </row>
    <row r="19" spans="1:12" ht="16.5" customHeight="1">
      <c r="A19" s="11">
        <v>14</v>
      </c>
      <c r="B19" s="347"/>
      <c r="C19" s="348"/>
      <c r="D19" s="12"/>
      <c r="E19" s="10"/>
      <c r="F19" s="12"/>
      <c r="G19" s="10"/>
      <c r="H19" s="10"/>
      <c r="I19" s="10"/>
      <c r="J19" s="15"/>
      <c r="K19" s="353"/>
      <c r="L19" s="354"/>
    </row>
    <row r="20" spans="1:12" ht="16.5" customHeight="1">
      <c r="A20" s="11">
        <v>15</v>
      </c>
      <c r="B20" s="347"/>
      <c r="C20" s="348"/>
      <c r="D20" s="12"/>
      <c r="E20" s="12"/>
      <c r="F20" s="12"/>
      <c r="G20" s="12"/>
      <c r="H20" s="10"/>
      <c r="I20" s="10"/>
      <c r="J20" s="15"/>
      <c r="K20" s="353"/>
      <c r="L20" s="354"/>
    </row>
    <row r="21" spans="1:12" ht="16.5" customHeight="1">
      <c r="A21" s="11">
        <v>16</v>
      </c>
      <c r="B21" s="347"/>
      <c r="C21" s="348"/>
      <c r="D21" s="10"/>
      <c r="E21" s="12"/>
      <c r="F21" s="10"/>
      <c r="G21" s="12"/>
      <c r="H21" s="10"/>
      <c r="I21" s="10"/>
      <c r="J21" s="15"/>
      <c r="K21" s="353"/>
      <c r="L21" s="354"/>
    </row>
    <row r="22" spans="1:12" ht="16.5" customHeight="1">
      <c r="A22" s="11">
        <v>17</v>
      </c>
      <c r="B22" s="347"/>
      <c r="C22" s="348"/>
      <c r="D22" s="10"/>
      <c r="E22" s="12"/>
      <c r="F22" s="10"/>
      <c r="G22" s="12"/>
      <c r="H22" s="10"/>
      <c r="I22" s="10"/>
      <c r="J22" s="15"/>
      <c r="K22" s="353"/>
      <c r="L22" s="354"/>
    </row>
    <row r="23" spans="1:12" ht="16.5" customHeight="1">
      <c r="A23" s="11">
        <v>18</v>
      </c>
      <c r="B23" s="347"/>
      <c r="C23" s="348"/>
      <c r="D23" s="10"/>
      <c r="E23" s="12"/>
      <c r="F23" s="10"/>
      <c r="G23" s="12"/>
      <c r="H23" s="10"/>
      <c r="I23" s="10"/>
      <c r="J23" s="15"/>
      <c r="K23" s="353"/>
      <c r="L23" s="354"/>
    </row>
    <row r="24" spans="1:12" ht="16.5" customHeight="1">
      <c r="A24" s="11">
        <v>19</v>
      </c>
      <c r="B24" s="347"/>
      <c r="C24" s="348"/>
      <c r="D24" s="10"/>
      <c r="E24" s="12"/>
      <c r="F24" s="10"/>
      <c r="G24" s="12"/>
      <c r="H24" s="10"/>
      <c r="I24" s="10"/>
      <c r="J24" s="15"/>
      <c r="K24" s="353"/>
      <c r="L24" s="354"/>
    </row>
    <row r="25" spans="1:12">
      <c r="A25" s="11">
        <v>20</v>
      </c>
      <c r="B25" s="347"/>
      <c r="C25" s="348"/>
      <c r="D25" s="10"/>
      <c r="E25" s="12"/>
      <c r="F25" s="10"/>
      <c r="G25" s="12"/>
      <c r="H25" s="10"/>
      <c r="I25" s="10"/>
      <c r="J25" s="15"/>
      <c r="K25" s="353"/>
      <c r="L25" s="354"/>
    </row>
    <row r="26" spans="1:12">
      <c r="A26" s="11">
        <v>21</v>
      </c>
      <c r="B26" s="347"/>
      <c r="C26" s="348"/>
      <c r="D26" s="10"/>
      <c r="E26" s="12"/>
      <c r="F26" s="10"/>
      <c r="G26" s="12"/>
      <c r="H26" s="10"/>
      <c r="I26" s="10"/>
      <c r="J26" s="15"/>
      <c r="K26" s="353"/>
      <c r="L26" s="354"/>
    </row>
    <row r="27" spans="1:12">
      <c r="A27" s="11">
        <v>22</v>
      </c>
      <c r="B27" s="347"/>
      <c r="C27" s="348"/>
      <c r="D27" s="10"/>
      <c r="E27" s="12"/>
      <c r="F27" s="10"/>
      <c r="G27" s="12"/>
      <c r="H27" s="10"/>
      <c r="I27" s="10"/>
      <c r="J27" s="15"/>
      <c r="K27" s="353"/>
      <c r="L27" s="354"/>
    </row>
    <row r="28" spans="1:12">
      <c r="A28" s="11">
        <v>23</v>
      </c>
      <c r="B28" s="347"/>
      <c r="C28" s="348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347"/>
      <c r="C29" s="348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347"/>
      <c r="C30" s="348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347"/>
      <c r="C31" s="348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347"/>
      <c r="C32" s="348"/>
      <c r="D32" s="10"/>
      <c r="E32" s="10"/>
      <c r="F32" s="10"/>
      <c r="G32" s="10"/>
      <c r="H32" s="10"/>
      <c r="I32" s="10"/>
      <c r="J32" s="15"/>
    </row>
    <row r="33" spans="1:10" ht="31.5" customHeight="1">
      <c r="A33" s="349" t="s">
        <v>201</v>
      </c>
      <c r="B33" s="350"/>
      <c r="C33" s="351"/>
      <c r="D33" s="13">
        <f t="shared" ref="D33:I33" si="0">SUM(D6:D32)</f>
        <v>1301.83</v>
      </c>
      <c r="E33" s="13">
        <f t="shared" si="0"/>
        <v>316.63302900000002</v>
      </c>
      <c r="F33" s="13">
        <f t="shared" si="0"/>
        <v>688.09</v>
      </c>
      <c r="G33" s="13">
        <f t="shared" si="0"/>
        <v>276.63302900000002</v>
      </c>
      <c r="H33" s="13">
        <f t="shared" si="0"/>
        <v>0</v>
      </c>
      <c r="I33" s="13">
        <f t="shared" si="0"/>
        <v>0</v>
      </c>
      <c r="J33" s="15"/>
    </row>
    <row r="34" spans="1:10">
      <c r="D34" s="168"/>
      <c r="E34" s="168"/>
    </row>
    <row r="37" spans="1:10" ht="27.75" customHeight="1">
      <c r="D37" s="328" t="s">
        <v>322</v>
      </c>
      <c r="E37" s="328"/>
      <c r="F37" s="328"/>
      <c r="G37" s="328"/>
      <c r="H37" s="328"/>
      <c r="I37" s="328"/>
      <c r="J37" s="328"/>
    </row>
    <row r="38" spans="1:10">
      <c r="D38" s="332" t="s">
        <v>234</v>
      </c>
      <c r="E38" s="334" t="s">
        <v>235</v>
      </c>
      <c r="F38" s="335"/>
      <c r="G38" s="335"/>
      <c r="H38" s="335"/>
      <c r="I38" s="335"/>
      <c r="J38" s="336"/>
    </row>
    <row r="39" spans="1:10">
      <c r="D39" s="333"/>
      <c r="E39" s="172" t="s">
        <v>251</v>
      </c>
      <c r="F39" s="172" t="s">
        <v>252</v>
      </c>
      <c r="G39" s="172" t="s">
        <v>253</v>
      </c>
      <c r="H39" s="172" t="s">
        <v>254</v>
      </c>
      <c r="I39" s="181" t="s">
        <v>255</v>
      </c>
      <c r="J39" s="172"/>
    </row>
    <row r="40" spans="1:10" ht="28.5">
      <c r="D40" s="162" t="s">
        <v>244</v>
      </c>
      <c r="E40" s="177">
        <f>D33</f>
        <v>1301.83</v>
      </c>
      <c r="F40" s="177">
        <f>E40*(1-0.01)</f>
        <v>1288.8117</v>
      </c>
      <c r="G40" s="177">
        <f>F40*(1-0.01)</f>
        <v>1275.923583</v>
      </c>
      <c r="H40" s="177">
        <f>G40*(1-0.01)</f>
        <v>1263.1643471699999</v>
      </c>
      <c r="I40" s="177">
        <f t="shared" ref="I40" si="1">H40*(1-0.03)</f>
        <v>1225.2694167548998</v>
      </c>
      <c r="J40" s="177"/>
    </row>
    <row r="41" spans="1:10">
      <c r="D41" s="15" t="s">
        <v>245</v>
      </c>
      <c r="E41" s="184">
        <f>E33</f>
        <v>316.63302900000002</v>
      </c>
      <c r="F41" s="177">
        <f>E41*(1-0.01)</f>
        <v>313.46669871</v>
      </c>
      <c r="G41" s="177">
        <f t="shared" ref="G41:I41" si="2">F41*(1-0.01)</f>
        <v>310.33203172290001</v>
      </c>
      <c r="H41" s="177">
        <f t="shared" si="2"/>
        <v>307.22871140567099</v>
      </c>
      <c r="I41" s="177">
        <f t="shared" si="2"/>
        <v>304.15642429161426</v>
      </c>
      <c r="J41" s="177"/>
    </row>
    <row r="42" spans="1:10">
      <c r="D42" s="15" t="s">
        <v>246</v>
      </c>
      <c r="E42" s="184">
        <f>F33</f>
        <v>688.09</v>
      </c>
      <c r="F42" s="177">
        <f>E42*(1-0.01)</f>
        <v>681.20910000000003</v>
      </c>
      <c r="G42" s="177">
        <f t="shared" ref="G42:I42" si="3">F42*(1-0.01)</f>
        <v>674.39700900000003</v>
      </c>
      <c r="H42" s="177">
        <f t="shared" si="3"/>
        <v>667.65303890999996</v>
      </c>
      <c r="I42" s="177">
        <f t="shared" si="3"/>
        <v>660.97650852089998</v>
      </c>
      <c r="J42" s="177"/>
    </row>
    <row r="43" spans="1:10">
      <c r="D43" s="15" t="s">
        <v>247</v>
      </c>
      <c r="E43" s="184">
        <f>G33</f>
        <v>276.63302900000002</v>
      </c>
      <c r="F43" s="177">
        <f>E43*(1-0.01)</f>
        <v>273.86669871000004</v>
      </c>
      <c r="G43" s="177">
        <f t="shared" ref="G43:I43" si="4">F43*(1-0.01)</f>
        <v>271.12803172290006</v>
      </c>
      <c r="H43" s="177">
        <f t="shared" si="4"/>
        <v>268.41675140567105</v>
      </c>
      <c r="I43" s="177">
        <f t="shared" si="4"/>
        <v>265.73258389161435</v>
      </c>
      <c r="J43" s="177"/>
    </row>
    <row r="44" spans="1:10">
      <c r="D44" s="15" t="s">
        <v>248</v>
      </c>
      <c r="E44" s="184">
        <f>H33</f>
        <v>0</v>
      </c>
      <c r="F44" s="177">
        <f t="shared" ref="F44:G45" si="5">E44*(1-0.05)</f>
        <v>0</v>
      </c>
      <c r="G44" s="177">
        <f t="shared" si="5"/>
        <v>0</v>
      </c>
      <c r="H44" s="177"/>
      <c r="I44" s="177"/>
      <c r="J44" s="177"/>
    </row>
    <row r="45" spans="1:10">
      <c r="D45" s="15" t="s">
        <v>249</v>
      </c>
      <c r="E45" s="184">
        <f>I33</f>
        <v>0</v>
      </c>
      <c r="F45" s="177">
        <f t="shared" si="5"/>
        <v>0</v>
      </c>
      <c r="G45" s="177">
        <f t="shared" si="5"/>
        <v>0</v>
      </c>
      <c r="H45" s="177"/>
      <c r="I45" s="177"/>
      <c r="J45" s="177"/>
    </row>
  </sheetData>
  <mergeCells count="57"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  <mergeCell ref="K15:L15"/>
    <mergeCell ref="K16:L16"/>
    <mergeCell ref="K17:L17"/>
    <mergeCell ref="K18:L18"/>
    <mergeCell ref="K19:L19"/>
    <mergeCell ref="K10:L10"/>
    <mergeCell ref="K11:L11"/>
    <mergeCell ref="K12:L12"/>
    <mergeCell ref="K13:L13"/>
    <mergeCell ref="K14:L14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B11:C11"/>
    <mergeCell ref="B12:C12"/>
    <mergeCell ref="B13:C13"/>
    <mergeCell ref="B14:C14"/>
    <mergeCell ref="B15:C15"/>
    <mergeCell ref="G3:I3"/>
    <mergeCell ref="D37:J37"/>
    <mergeCell ref="D38:D39"/>
    <mergeCell ref="E38:J38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</mergeCells>
  <phoneticPr fontId="39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E21" sqref="E21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15</v>
      </c>
      <c r="B1" s="1" t="s">
        <v>202</v>
      </c>
      <c r="C1" s="1" t="s">
        <v>203</v>
      </c>
      <c r="D1" s="1" t="s">
        <v>204</v>
      </c>
      <c r="E1" s="1" t="s">
        <v>205</v>
      </c>
    </row>
    <row r="2" spans="1:6" ht="19.5" customHeight="1">
      <c r="A2" s="1">
        <v>1</v>
      </c>
      <c r="B2" s="1" t="s">
        <v>206</v>
      </c>
      <c r="C2" s="165"/>
      <c r="D2" s="1"/>
      <c r="E2" s="1"/>
    </row>
    <row r="3" spans="1:6" ht="19.5" customHeight="1">
      <c r="A3" s="1">
        <v>2</v>
      </c>
      <c r="B3" s="1" t="s">
        <v>207</v>
      </c>
      <c r="C3" s="165" t="s">
        <v>238</v>
      </c>
      <c r="D3" s="1"/>
      <c r="E3" s="1"/>
    </row>
    <row r="4" spans="1:6" ht="19.5" customHeight="1">
      <c r="A4" s="1">
        <v>3</v>
      </c>
      <c r="B4" s="1" t="s">
        <v>208</v>
      </c>
      <c r="C4" s="165" t="s">
        <v>239</v>
      </c>
      <c r="D4" s="1"/>
      <c r="E4" s="1"/>
    </row>
    <row r="5" spans="1:6" ht="19.5" customHeight="1">
      <c r="A5" s="1">
        <v>4</v>
      </c>
      <c r="B5" s="1" t="s">
        <v>209</v>
      </c>
      <c r="C5" s="165"/>
      <c r="D5" s="1"/>
      <c r="E5" s="1"/>
    </row>
    <row r="6" spans="1:6" ht="35.25" customHeight="1">
      <c r="A6" s="1">
        <v>5</v>
      </c>
      <c r="B6" s="1" t="s">
        <v>210</v>
      </c>
      <c r="C6" s="165"/>
      <c r="D6" s="1"/>
      <c r="E6" s="1"/>
    </row>
    <row r="7" spans="1:6" ht="37.5" customHeight="1">
      <c r="A7" s="1">
        <v>6</v>
      </c>
      <c r="B7" s="1" t="s">
        <v>211</v>
      </c>
      <c r="C7" s="165"/>
      <c r="D7" s="1"/>
      <c r="E7" s="1"/>
    </row>
    <row r="8" spans="1:6" ht="42.75" customHeight="1">
      <c r="A8" s="1">
        <v>7</v>
      </c>
      <c r="B8" s="1" t="s">
        <v>212</v>
      </c>
      <c r="C8" s="165" t="s">
        <v>240</v>
      </c>
      <c r="D8" s="1"/>
      <c r="E8" s="1"/>
    </row>
    <row r="9" spans="1:6" ht="39" customHeight="1">
      <c r="A9" s="1">
        <v>8</v>
      </c>
      <c r="B9" s="1" t="s">
        <v>213</v>
      </c>
      <c r="C9" s="165" t="s">
        <v>241</v>
      </c>
      <c r="D9" s="1"/>
      <c r="E9" s="1"/>
    </row>
    <row r="10" spans="1:6" ht="36" customHeight="1">
      <c r="A10" s="1">
        <v>9</v>
      </c>
      <c r="B10" s="1" t="s">
        <v>214</v>
      </c>
      <c r="C10" s="165" t="s">
        <v>242</v>
      </c>
      <c r="D10" s="1"/>
      <c r="E10" s="1"/>
    </row>
    <row r="11" spans="1:6" ht="35.25" customHeight="1">
      <c r="A11" s="1">
        <v>10</v>
      </c>
      <c r="B11" s="1" t="s">
        <v>215</v>
      </c>
      <c r="C11" s="165"/>
      <c r="D11" s="1"/>
      <c r="E11" s="1"/>
      <c r="F11" s="166" t="s">
        <v>233</v>
      </c>
    </row>
    <row r="12" spans="1:6" ht="19.5" customHeight="1">
      <c r="A12" s="1">
        <v>11</v>
      </c>
      <c r="B12" s="1" t="s">
        <v>216</v>
      </c>
      <c r="C12" s="165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F33" sqref="F33"/>
    </sheetView>
  </sheetViews>
  <sheetFormatPr defaultColWidth="9" defaultRowHeight="13.5"/>
  <cols>
    <col min="1" max="2" width="9" style="68"/>
    <col min="3" max="5" width="15.75" style="68" customWidth="1"/>
    <col min="6" max="8" width="11.125" style="68" customWidth="1"/>
    <col min="9" max="9" width="12.875" style="151" customWidth="1"/>
    <col min="10" max="16384" width="9" style="68"/>
  </cols>
  <sheetData>
    <row r="1" spans="1:12" s="148" customFormat="1" ht="18.75" customHeight="1">
      <c r="G1" s="360" t="s">
        <v>217</v>
      </c>
      <c r="H1" s="360"/>
      <c r="I1" s="149"/>
    </row>
    <row r="2" spans="1:12" ht="39" customHeight="1">
      <c r="A2" s="361" t="s">
        <v>218</v>
      </c>
      <c r="B2" s="361"/>
      <c r="C2" s="355" t="s">
        <v>219</v>
      </c>
      <c r="D2" s="362"/>
      <c r="E2" s="362"/>
      <c r="F2" s="362"/>
      <c r="G2" s="362"/>
      <c r="H2" s="356"/>
      <c r="I2" s="150" t="s">
        <v>226</v>
      </c>
      <c r="K2" s="171"/>
      <c r="L2" s="171"/>
    </row>
    <row r="3" spans="1:12" ht="34.5" customHeight="1">
      <c r="A3" s="361"/>
      <c r="B3" s="361"/>
      <c r="C3" s="159" t="s">
        <v>228</v>
      </c>
      <c r="D3" s="159" t="s">
        <v>229</v>
      </c>
      <c r="E3" s="159" t="s">
        <v>227</v>
      </c>
      <c r="F3" s="160" t="s">
        <v>232</v>
      </c>
      <c r="G3" s="160" t="s">
        <v>231</v>
      </c>
      <c r="H3" s="160" t="s">
        <v>230</v>
      </c>
      <c r="I3" s="164">
        <f>销量!C8</f>
        <v>1820</v>
      </c>
    </row>
    <row r="4" spans="1:12" ht="24" customHeight="1">
      <c r="A4" s="357" t="s">
        <v>220</v>
      </c>
      <c r="B4" s="357"/>
      <c r="C4" s="3"/>
      <c r="D4" s="152"/>
      <c r="E4" s="153">
        <f>$I$3*F4</f>
        <v>102.32037519786874</v>
      </c>
      <c r="F4" s="186">
        <v>5.6219986372455351E-2</v>
      </c>
      <c r="G4" s="153"/>
      <c r="H4" s="154">
        <v>4.48E-2</v>
      </c>
      <c r="I4" s="151">
        <v>4.3099999999999999E-2</v>
      </c>
      <c r="J4" s="169"/>
      <c r="K4" s="69"/>
      <c r="L4" s="69"/>
    </row>
    <row r="5" spans="1:12" ht="24" customHeight="1">
      <c r="A5" s="357" t="s">
        <v>221</v>
      </c>
      <c r="B5" s="155" t="s">
        <v>222</v>
      </c>
      <c r="C5" s="3"/>
      <c r="D5" s="152"/>
      <c r="E5" s="153">
        <f t="shared" ref="E5:E6" si="0">$I$3*F5</f>
        <v>81.899999999999991</v>
      </c>
      <c r="F5" s="154">
        <v>4.4999999999999998E-2</v>
      </c>
      <c r="G5" s="154"/>
      <c r="H5" s="154">
        <v>4.0399999999999998E-2</v>
      </c>
      <c r="J5" s="170"/>
      <c r="K5" s="69"/>
      <c r="L5" s="69"/>
    </row>
    <row r="6" spans="1:12" ht="24" customHeight="1">
      <c r="A6" s="357"/>
      <c r="B6" s="155" t="s">
        <v>223</v>
      </c>
      <c r="C6" s="3"/>
      <c r="D6" s="152"/>
      <c r="E6" s="153">
        <f t="shared" si="0"/>
        <v>27.438301073959419</v>
      </c>
      <c r="F6" s="186">
        <v>1.5075989601076605E-2</v>
      </c>
      <c r="G6" s="153"/>
      <c r="H6" s="154">
        <v>1.66E-2</v>
      </c>
      <c r="I6" s="151">
        <v>2.1700000000000001E-2</v>
      </c>
      <c r="J6" s="169"/>
      <c r="K6" s="69"/>
      <c r="L6" s="69"/>
    </row>
    <row r="7" spans="1:12" ht="24" customHeight="1">
      <c r="A7" s="355" t="s">
        <v>224</v>
      </c>
      <c r="B7" s="356"/>
      <c r="C7" s="156"/>
      <c r="D7" s="157"/>
      <c r="E7" s="153">
        <f>$I$3*F7</f>
        <v>211.65867627182817</v>
      </c>
      <c r="F7" s="185">
        <f>SUM(F4:F6)</f>
        <v>0.11629597597353196</v>
      </c>
      <c r="G7" s="153"/>
      <c r="H7" s="158">
        <f>SUM(H4:H6)</f>
        <v>0.1018</v>
      </c>
      <c r="I7" s="151">
        <f>SUM(I4:I6)</f>
        <v>6.4799999999999996E-2</v>
      </c>
      <c r="J7" s="169"/>
      <c r="K7" s="69"/>
      <c r="L7" s="69"/>
    </row>
    <row r="8" spans="1:12" ht="24" customHeight="1">
      <c r="A8" s="357" t="s">
        <v>47</v>
      </c>
      <c r="B8" s="357"/>
      <c r="C8" s="3"/>
      <c r="D8" s="152"/>
      <c r="E8" s="153">
        <f>$I$3*F8</f>
        <v>54.6</v>
      </c>
      <c r="F8" s="187">
        <v>0.03</v>
      </c>
      <c r="G8" s="153"/>
      <c r="H8" s="154">
        <f>1.97%+0.75%</f>
        <v>2.7199999999999998E-2</v>
      </c>
      <c r="J8" s="170"/>
      <c r="K8" s="69"/>
      <c r="L8" s="69"/>
    </row>
    <row r="9" spans="1:12" ht="24" customHeight="1">
      <c r="A9" s="358" t="s">
        <v>225</v>
      </c>
      <c r="B9" s="155" t="s">
        <v>222</v>
      </c>
      <c r="C9" s="3"/>
      <c r="D9" s="152"/>
      <c r="E9" s="153">
        <f>$I$3*F9</f>
        <v>12.74</v>
      </c>
      <c r="F9" s="154">
        <v>7.0000000000000001E-3</v>
      </c>
      <c r="G9" s="153"/>
      <c r="H9" s="154">
        <v>5.3E-3</v>
      </c>
      <c r="J9" s="151"/>
      <c r="K9" s="69"/>
      <c r="L9" s="69"/>
    </row>
    <row r="10" spans="1:12" ht="24" customHeight="1">
      <c r="A10" s="359"/>
      <c r="B10" s="155" t="s">
        <v>223</v>
      </c>
      <c r="C10" s="3"/>
      <c r="D10" s="152"/>
      <c r="E10" s="153">
        <f>$I$3*I10</f>
        <v>72.799999999999983</v>
      </c>
      <c r="F10" s="151">
        <f>2.8%+1.2%</f>
        <v>3.9999999999999994E-2</v>
      </c>
      <c r="G10" s="153"/>
      <c r="H10" s="154">
        <v>3.4099999999999998E-2</v>
      </c>
      <c r="I10" s="151">
        <f>2.8%+1.2%</f>
        <v>3.9999999999999994E-2</v>
      </c>
      <c r="J10" s="151"/>
      <c r="K10" s="69"/>
      <c r="L10" s="69"/>
    </row>
    <row r="11" spans="1:12" ht="24" customHeight="1">
      <c r="A11" s="357" t="s">
        <v>50</v>
      </c>
      <c r="B11" s="357"/>
      <c r="C11" s="3"/>
      <c r="D11" s="152"/>
      <c r="E11" s="153">
        <f t="shared" ref="E11" si="1">$I$3*F11</f>
        <v>72.8</v>
      </c>
      <c r="F11" s="154">
        <v>0.04</v>
      </c>
      <c r="G11" s="153"/>
      <c r="H11" s="154">
        <v>1.0999999999999999E-2</v>
      </c>
      <c r="I11" s="151">
        <v>0.03</v>
      </c>
      <c r="J11" s="151"/>
      <c r="K11" s="69"/>
      <c r="L11" s="69"/>
    </row>
    <row r="15" spans="1:12">
      <c r="A15" s="148"/>
      <c r="B15" s="148"/>
      <c r="C15" s="148"/>
      <c r="D15" s="148"/>
      <c r="E15" s="148"/>
      <c r="F15" s="148"/>
      <c r="G15" s="360" t="s">
        <v>217</v>
      </c>
      <c r="H15" s="360"/>
      <c r="I15" s="149"/>
    </row>
    <row r="16" spans="1:12">
      <c r="A16" s="361" t="s">
        <v>218</v>
      </c>
      <c r="B16" s="361"/>
      <c r="C16" s="355" t="s">
        <v>219</v>
      </c>
      <c r="D16" s="362"/>
      <c r="E16" s="362"/>
      <c r="F16" s="362"/>
      <c r="G16" s="362"/>
      <c r="H16" s="356"/>
      <c r="I16" s="150" t="s">
        <v>226</v>
      </c>
    </row>
    <row r="17" spans="1:9" ht="27">
      <c r="A17" s="361"/>
      <c r="B17" s="361"/>
      <c r="C17" s="159" t="s">
        <v>228</v>
      </c>
      <c r="D17" s="159" t="s">
        <v>229</v>
      </c>
      <c r="E17" s="159" t="s">
        <v>227</v>
      </c>
      <c r="F17" s="160" t="s">
        <v>232</v>
      </c>
      <c r="G17" s="160" t="s">
        <v>231</v>
      </c>
      <c r="H17" s="160" t="s">
        <v>230</v>
      </c>
      <c r="I17" s="164">
        <f>销量!D8</f>
        <v>380</v>
      </c>
    </row>
    <row r="18" spans="1:9">
      <c r="A18" s="357" t="s">
        <v>220</v>
      </c>
      <c r="B18" s="357"/>
      <c r="C18" s="3"/>
      <c r="D18" s="152"/>
      <c r="E18" s="153">
        <f>$I$17*F18</f>
        <v>21.363594821533034</v>
      </c>
      <c r="F18" s="186">
        <v>5.6219986372455351E-2</v>
      </c>
      <c r="G18" s="153"/>
      <c r="H18" s="154">
        <v>4.48E-2</v>
      </c>
      <c r="I18" s="151">
        <v>4.3099999999999999E-2</v>
      </c>
    </row>
    <row r="19" spans="1:9">
      <c r="A19" s="357" t="s">
        <v>221</v>
      </c>
      <c r="B19" s="182" t="s">
        <v>222</v>
      </c>
      <c r="C19" s="3"/>
      <c r="D19" s="152"/>
      <c r="E19" s="153">
        <f t="shared" ref="E19:E25" si="2">$I$17*F19</f>
        <v>17.099999999999998</v>
      </c>
      <c r="F19" s="154">
        <v>4.4999999999999998E-2</v>
      </c>
      <c r="G19" s="153"/>
      <c r="H19" s="154">
        <v>4.0399999999999998E-2</v>
      </c>
    </row>
    <row r="20" spans="1:9">
      <c r="A20" s="357"/>
      <c r="B20" s="182" t="s">
        <v>223</v>
      </c>
      <c r="C20" s="3"/>
      <c r="D20" s="152"/>
      <c r="E20" s="153">
        <f t="shared" si="2"/>
        <v>5.7288760484091101</v>
      </c>
      <c r="F20" s="186">
        <v>1.5075989601076605E-2</v>
      </c>
      <c r="G20" s="153"/>
      <c r="H20" s="154">
        <v>1.66E-2</v>
      </c>
      <c r="I20" s="151">
        <v>2.1700000000000001E-2</v>
      </c>
    </row>
    <row r="21" spans="1:9">
      <c r="A21" s="355" t="s">
        <v>224</v>
      </c>
      <c r="B21" s="356"/>
      <c r="C21" s="156"/>
      <c r="D21" s="157"/>
      <c r="E21" s="153">
        <f t="shared" si="2"/>
        <v>44.192470869942142</v>
      </c>
      <c r="F21" s="185">
        <f>SUM(F18:F20)</f>
        <v>0.11629597597353196</v>
      </c>
      <c r="G21" s="153"/>
      <c r="H21" s="158">
        <f>SUM(H18:H20)</f>
        <v>0.1018</v>
      </c>
      <c r="I21" s="151">
        <f>SUM(I18:I20)</f>
        <v>6.4799999999999996E-2</v>
      </c>
    </row>
    <row r="22" spans="1:9">
      <c r="A22" s="357" t="s">
        <v>47</v>
      </c>
      <c r="B22" s="357"/>
      <c r="C22" s="3"/>
      <c r="D22" s="152"/>
      <c r="E22" s="153">
        <f t="shared" si="2"/>
        <v>11.4</v>
      </c>
      <c r="F22" s="187">
        <v>0.03</v>
      </c>
      <c r="G22" s="153"/>
      <c r="H22" s="154">
        <f>1.97%+0.75%</f>
        <v>2.7199999999999998E-2</v>
      </c>
    </row>
    <row r="23" spans="1:9">
      <c r="A23" s="358" t="s">
        <v>225</v>
      </c>
      <c r="B23" s="182" t="s">
        <v>222</v>
      </c>
      <c r="C23" s="3"/>
      <c r="D23" s="152"/>
      <c r="E23" s="153">
        <f t="shared" si="2"/>
        <v>2.66</v>
      </c>
      <c r="F23" s="154">
        <v>7.0000000000000001E-3</v>
      </c>
      <c r="G23" s="153"/>
      <c r="H23" s="154">
        <v>5.3E-3</v>
      </c>
    </row>
    <row r="24" spans="1:9">
      <c r="A24" s="359"/>
      <c r="B24" s="182" t="s">
        <v>223</v>
      </c>
      <c r="C24" s="3"/>
      <c r="D24" s="152"/>
      <c r="E24" s="153">
        <f>$I$17*I24</f>
        <v>15.199999999999998</v>
      </c>
      <c r="F24" s="151">
        <f>2.8%+1.2%</f>
        <v>3.9999999999999994E-2</v>
      </c>
      <c r="G24" s="153"/>
      <c r="H24" s="154">
        <v>3.4099999999999998E-2</v>
      </c>
      <c r="I24" s="151">
        <f>2.8%+1.2%</f>
        <v>3.9999999999999994E-2</v>
      </c>
    </row>
    <row r="25" spans="1:9">
      <c r="A25" s="357" t="s">
        <v>50</v>
      </c>
      <c r="B25" s="357"/>
      <c r="C25" s="3"/>
      <c r="D25" s="152"/>
      <c r="E25" s="153">
        <f t="shared" si="2"/>
        <v>15.200000000000001</v>
      </c>
      <c r="F25" s="154">
        <v>0.04</v>
      </c>
      <c r="G25" s="153"/>
      <c r="H25" s="154">
        <v>1.0999999999999999E-2</v>
      </c>
      <c r="I25" s="151">
        <v>0.03</v>
      </c>
    </row>
    <row r="29" spans="1:9">
      <c r="A29" s="148"/>
      <c r="B29" s="148"/>
      <c r="C29" s="148"/>
      <c r="D29" s="148"/>
      <c r="E29" s="148"/>
      <c r="F29" s="148"/>
      <c r="G29" s="360" t="s">
        <v>217</v>
      </c>
      <c r="H29" s="360"/>
      <c r="I29" s="149"/>
    </row>
    <row r="30" spans="1:9">
      <c r="A30" s="361" t="s">
        <v>218</v>
      </c>
      <c r="B30" s="361"/>
      <c r="C30" s="355" t="s">
        <v>219</v>
      </c>
      <c r="D30" s="362"/>
      <c r="E30" s="362"/>
      <c r="F30" s="362"/>
      <c r="G30" s="362"/>
      <c r="H30" s="356"/>
      <c r="I30" s="150" t="s">
        <v>226</v>
      </c>
    </row>
    <row r="31" spans="1:9" ht="27">
      <c r="A31" s="361"/>
      <c r="B31" s="361"/>
      <c r="C31" s="159" t="s">
        <v>228</v>
      </c>
      <c r="D31" s="159" t="s">
        <v>229</v>
      </c>
      <c r="E31" s="159" t="s">
        <v>227</v>
      </c>
      <c r="F31" s="160" t="s">
        <v>232</v>
      </c>
      <c r="G31" s="160" t="s">
        <v>231</v>
      </c>
      <c r="H31" s="160" t="s">
        <v>230</v>
      </c>
      <c r="I31" s="164">
        <f>销量!E8</f>
        <v>1020</v>
      </c>
    </row>
    <row r="32" spans="1:9">
      <c r="A32" s="357" t="s">
        <v>220</v>
      </c>
      <c r="B32" s="357"/>
      <c r="C32" s="3"/>
      <c r="D32" s="152"/>
      <c r="E32" s="153">
        <f>$I$31*F32</f>
        <v>57.344386099904455</v>
      </c>
      <c r="F32" s="186">
        <v>5.6219986372455351E-2</v>
      </c>
      <c r="G32" s="153"/>
      <c r="H32" s="154">
        <v>4.48E-2</v>
      </c>
      <c r="I32" s="151">
        <v>4.3099999999999999E-2</v>
      </c>
    </row>
    <row r="33" spans="1:9">
      <c r="A33" s="357" t="s">
        <v>221</v>
      </c>
      <c r="B33" s="182" t="s">
        <v>222</v>
      </c>
      <c r="C33" s="3"/>
      <c r="D33" s="152"/>
      <c r="E33" s="153">
        <f t="shared" ref="E33:E39" si="3">$I$31*F33</f>
        <v>45.9</v>
      </c>
      <c r="F33" s="154">
        <v>4.4999999999999998E-2</v>
      </c>
      <c r="G33" s="153"/>
      <c r="H33" s="154">
        <v>4.0399999999999998E-2</v>
      </c>
    </row>
    <row r="34" spans="1:9">
      <c r="A34" s="357"/>
      <c r="B34" s="182" t="s">
        <v>223</v>
      </c>
      <c r="C34" s="3"/>
      <c r="D34" s="152"/>
      <c r="E34" s="153">
        <f t="shared" si="3"/>
        <v>15.377509393098137</v>
      </c>
      <c r="F34" s="186">
        <v>1.5075989601076605E-2</v>
      </c>
      <c r="G34" s="153"/>
      <c r="H34" s="154">
        <v>1.66E-2</v>
      </c>
      <c r="I34" s="151">
        <v>2.1700000000000001E-2</v>
      </c>
    </row>
    <row r="35" spans="1:9">
      <c r="A35" s="355" t="s">
        <v>224</v>
      </c>
      <c r="B35" s="356"/>
      <c r="C35" s="156"/>
      <c r="D35" s="157"/>
      <c r="E35" s="153">
        <f t="shared" si="3"/>
        <v>118.6218954930026</v>
      </c>
      <c r="F35" s="185">
        <f>SUM(F32:F34)</f>
        <v>0.11629597597353196</v>
      </c>
      <c r="G35" s="158"/>
      <c r="H35" s="158">
        <f>SUM(H32:H34)</f>
        <v>0.1018</v>
      </c>
      <c r="I35" s="151">
        <f>SUM(I32:I34)</f>
        <v>6.4799999999999996E-2</v>
      </c>
    </row>
    <row r="36" spans="1:9">
      <c r="A36" s="357" t="s">
        <v>47</v>
      </c>
      <c r="B36" s="357"/>
      <c r="C36" s="3"/>
      <c r="D36" s="152"/>
      <c r="E36" s="153">
        <f t="shared" si="3"/>
        <v>30.599999999999998</v>
      </c>
      <c r="F36" s="187">
        <v>0.03</v>
      </c>
      <c r="G36" s="153"/>
      <c r="H36" s="154">
        <f>1.97%+0.75%</f>
        <v>2.7199999999999998E-2</v>
      </c>
    </row>
    <row r="37" spans="1:9">
      <c r="A37" s="358" t="s">
        <v>225</v>
      </c>
      <c r="B37" s="182" t="s">
        <v>222</v>
      </c>
      <c r="C37" s="3"/>
      <c r="D37" s="152"/>
      <c r="E37" s="153">
        <f t="shared" si="3"/>
        <v>7.1400000000000006</v>
      </c>
      <c r="F37" s="154">
        <v>7.0000000000000001E-3</v>
      </c>
      <c r="G37" s="153"/>
      <c r="H37" s="154">
        <v>5.3E-3</v>
      </c>
    </row>
    <row r="38" spans="1:9">
      <c r="A38" s="359"/>
      <c r="B38" s="182" t="s">
        <v>223</v>
      </c>
      <c r="C38" s="3"/>
      <c r="D38" s="152"/>
      <c r="E38" s="153">
        <f>$I$31*I38</f>
        <v>40.799999999999997</v>
      </c>
      <c r="F38" s="151">
        <f>2.8%+1.2%</f>
        <v>3.9999999999999994E-2</v>
      </c>
      <c r="G38" s="153"/>
      <c r="H38" s="154">
        <v>3.4099999999999998E-2</v>
      </c>
      <c r="I38" s="151">
        <f>2.8%+1.2%</f>
        <v>3.9999999999999994E-2</v>
      </c>
    </row>
    <row r="39" spans="1:9">
      <c r="A39" s="357" t="s">
        <v>50</v>
      </c>
      <c r="B39" s="357"/>
      <c r="C39" s="3"/>
      <c r="D39" s="152"/>
      <c r="E39" s="153">
        <f t="shared" si="3"/>
        <v>40.800000000000004</v>
      </c>
      <c r="F39" s="154">
        <v>0.04</v>
      </c>
      <c r="G39" s="153"/>
      <c r="H39" s="154">
        <v>1.0999999999999999E-2</v>
      </c>
      <c r="I39" s="151">
        <v>0.03</v>
      </c>
    </row>
    <row r="42" spans="1:9">
      <c r="A42" s="148"/>
      <c r="B42" s="148"/>
      <c r="C42" s="148"/>
      <c r="D42" s="148"/>
      <c r="E42" s="148"/>
      <c r="F42" s="148"/>
      <c r="G42" s="360" t="s">
        <v>217</v>
      </c>
      <c r="H42" s="360"/>
      <c r="I42" s="149"/>
    </row>
    <row r="43" spans="1:9">
      <c r="A43" s="361" t="s">
        <v>218</v>
      </c>
      <c r="B43" s="361"/>
      <c r="C43" s="355" t="s">
        <v>219</v>
      </c>
      <c r="D43" s="362"/>
      <c r="E43" s="362"/>
      <c r="F43" s="362"/>
      <c r="G43" s="362"/>
      <c r="H43" s="356"/>
      <c r="I43" s="150" t="s">
        <v>226</v>
      </c>
    </row>
    <row r="44" spans="1:9" ht="27">
      <c r="A44" s="361"/>
      <c r="B44" s="361"/>
      <c r="C44" s="159" t="s">
        <v>228</v>
      </c>
      <c r="D44" s="159" t="s">
        <v>229</v>
      </c>
      <c r="E44" s="159" t="s">
        <v>227</v>
      </c>
      <c r="F44" s="160" t="s">
        <v>232</v>
      </c>
      <c r="G44" s="160" t="s">
        <v>231</v>
      </c>
      <c r="H44" s="160" t="s">
        <v>230</v>
      </c>
      <c r="I44" s="164">
        <f>销量!F8</f>
        <v>380</v>
      </c>
    </row>
    <row r="45" spans="1:9">
      <c r="A45" s="357" t="s">
        <v>220</v>
      </c>
      <c r="B45" s="357"/>
      <c r="C45" s="3"/>
      <c r="D45" s="152"/>
      <c r="E45" s="153">
        <f>$I$44*F45</f>
        <v>21.363594821533034</v>
      </c>
      <c r="F45" s="186">
        <v>5.6219986372455351E-2</v>
      </c>
      <c r="G45" s="153"/>
      <c r="H45" s="154">
        <v>4.48E-2</v>
      </c>
      <c r="I45" s="151">
        <v>4.3099999999999999E-2</v>
      </c>
    </row>
    <row r="46" spans="1:9">
      <c r="A46" s="357" t="s">
        <v>221</v>
      </c>
      <c r="B46" s="182" t="s">
        <v>222</v>
      </c>
      <c r="C46" s="3"/>
      <c r="D46" s="152"/>
      <c r="E46" s="153">
        <f t="shared" ref="E46:E52" si="4">$I$44*F46</f>
        <v>17.099999999999998</v>
      </c>
      <c r="F46" s="154">
        <v>4.4999999999999998E-2</v>
      </c>
      <c r="G46" s="153"/>
      <c r="H46" s="154">
        <v>4.0399999999999998E-2</v>
      </c>
    </row>
    <row r="47" spans="1:9">
      <c r="A47" s="357"/>
      <c r="B47" s="182" t="s">
        <v>223</v>
      </c>
      <c r="C47" s="3"/>
      <c r="D47" s="152"/>
      <c r="E47" s="153">
        <f t="shared" si="4"/>
        <v>5.7288760484091101</v>
      </c>
      <c r="F47" s="186">
        <v>1.5075989601076605E-2</v>
      </c>
      <c r="G47" s="153"/>
      <c r="H47" s="154">
        <v>1.66E-2</v>
      </c>
      <c r="I47" s="151">
        <v>2.1700000000000001E-2</v>
      </c>
    </row>
    <row r="48" spans="1:9">
      <c r="A48" s="355" t="s">
        <v>224</v>
      </c>
      <c r="B48" s="356"/>
      <c r="C48" s="156"/>
      <c r="D48" s="157"/>
      <c r="E48" s="153">
        <f t="shared" si="4"/>
        <v>44.192470869942142</v>
      </c>
      <c r="F48" s="185">
        <f>SUM(F45:F47)</f>
        <v>0.11629597597353196</v>
      </c>
      <c r="G48" s="158"/>
      <c r="H48" s="158">
        <f>SUM(H45:H47)</f>
        <v>0.1018</v>
      </c>
      <c r="I48" s="151">
        <f>SUM(I45:I47)</f>
        <v>6.4799999999999996E-2</v>
      </c>
    </row>
    <row r="49" spans="1:9">
      <c r="A49" s="357" t="s">
        <v>47</v>
      </c>
      <c r="B49" s="357"/>
      <c r="C49" s="3"/>
      <c r="D49" s="152"/>
      <c r="E49" s="153">
        <f t="shared" si="4"/>
        <v>11.4</v>
      </c>
      <c r="F49" s="187">
        <v>0.03</v>
      </c>
      <c r="G49" s="153"/>
      <c r="H49" s="154">
        <f>1.97%+0.75%</f>
        <v>2.7199999999999998E-2</v>
      </c>
    </row>
    <row r="50" spans="1:9">
      <c r="A50" s="358" t="s">
        <v>225</v>
      </c>
      <c r="B50" s="182" t="s">
        <v>222</v>
      </c>
      <c r="C50" s="3"/>
      <c r="D50" s="152"/>
      <c r="E50" s="153">
        <f t="shared" si="4"/>
        <v>2.66</v>
      </c>
      <c r="F50" s="154">
        <v>7.0000000000000001E-3</v>
      </c>
      <c r="G50" s="153"/>
      <c r="H50" s="154">
        <v>5.3E-3</v>
      </c>
    </row>
    <row r="51" spans="1:9">
      <c r="A51" s="359"/>
      <c r="B51" s="182" t="s">
        <v>223</v>
      </c>
      <c r="C51" s="3"/>
      <c r="D51" s="152"/>
      <c r="E51" s="153">
        <f>$I$44*I51</f>
        <v>15.199999999999998</v>
      </c>
      <c r="F51" s="151">
        <f>2.8%+1.2%</f>
        <v>3.9999999999999994E-2</v>
      </c>
      <c r="G51" s="153"/>
      <c r="H51" s="154">
        <v>3.4099999999999998E-2</v>
      </c>
      <c r="I51" s="151">
        <f>2.8%+1.2%</f>
        <v>3.9999999999999994E-2</v>
      </c>
    </row>
    <row r="52" spans="1:9">
      <c r="A52" s="357" t="s">
        <v>50</v>
      </c>
      <c r="B52" s="357"/>
      <c r="C52" s="3"/>
      <c r="D52" s="152"/>
      <c r="E52" s="153">
        <f t="shared" si="4"/>
        <v>15.200000000000001</v>
      </c>
      <c r="F52" s="154">
        <v>0.04</v>
      </c>
      <c r="G52" s="153"/>
      <c r="H52" s="154">
        <v>1.0999999999999999E-2</v>
      </c>
      <c r="I52" s="151">
        <v>0.03</v>
      </c>
    </row>
    <row r="55" spans="1:9">
      <c r="A55" s="148"/>
      <c r="B55" s="148"/>
      <c r="C55" s="148"/>
      <c r="D55" s="148"/>
      <c r="E55" s="148"/>
      <c r="F55" s="148"/>
      <c r="G55" s="360" t="s">
        <v>217</v>
      </c>
      <c r="H55" s="360"/>
      <c r="I55" s="149"/>
    </row>
    <row r="56" spans="1:9">
      <c r="A56" s="361" t="s">
        <v>218</v>
      </c>
      <c r="B56" s="361"/>
      <c r="C56" s="355" t="s">
        <v>219</v>
      </c>
      <c r="D56" s="362"/>
      <c r="E56" s="362"/>
      <c r="F56" s="362"/>
      <c r="G56" s="362"/>
      <c r="H56" s="356"/>
      <c r="I56" s="150" t="s">
        <v>226</v>
      </c>
    </row>
    <row r="57" spans="1:9" ht="27">
      <c r="A57" s="361"/>
      <c r="B57" s="361"/>
      <c r="C57" s="159" t="s">
        <v>228</v>
      </c>
      <c r="D57" s="159" t="s">
        <v>229</v>
      </c>
      <c r="E57" s="159" t="s">
        <v>227</v>
      </c>
      <c r="F57" s="160" t="s">
        <v>232</v>
      </c>
      <c r="G57" s="160" t="s">
        <v>231</v>
      </c>
      <c r="H57" s="160" t="s">
        <v>230</v>
      </c>
      <c r="I57" s="164">
        <f>销量!G8</f>
        <v>0</v>
      </c>
    </row>
    <row r="58" spans="1:9">
      <c r="A58" s="357" t="s">
        <v>220</v>
      </c>
      <c r="B58" s="357"/>
      <c r="C58" s="3"/>
      <c r="D58" s="152"/>
      <c r="E58" s="153">
        <f>$I$57*F58</f>
        <v>0</v>
      </c>
      <c r="F58" s="186">
        <v>5.6219986372455351E-2</v>
      </c>
      <c r="G58" s="153"/>
      <c r="H58" s="154">
        <v>4.48E-2</v>
      </c>
      <c r="I58" s="151">
        <v>4.3099999999999999E-2</v>
      </c>
    </row>
    <row r="59" spans="1:9">
      <c r="A59" s="357" t="s">
        <v>221</v>
      </c>
      <c r="B59" s="182" t="s">
        <v>222</v>
      </c>
      <c r="C59" s="3"/>
      <c r="D59" s="152"/>
      <c r="E59" s="153">
        <f t="shared" ref="E59:E65" si="5">$I$57*F59</f>
        <v>0</v>
      </c>
      <c r="F59" s="154">
        <v>4.4999999999999998E-2</v>
      </c>
      <c r="G59" s="153"/>
      <c r="H59" s="154">
        <v>4.0399999999999998E-2</v>
      </c>
    </row>
    <row r="60" spans="1:9">
      <c r="A60" s="357"/>
      <c r="B60" s="182" t="s">
        <v>223</v>
      </c>
      <c r="C60" s="3"/>
      <c r="D60" s="152"/>
      <c r="E60" s="153">
        <f t="shared" si="5"/>
        <v>0</v>
      </c>
      <c r="F60" s="186">
        <v>1.5075989601076605E-2</v>
      </c>
      <c r="G60" s="153"/>
      <c r="H60" s="154">
        <v>1.66E-2</v>
      </c>
      <c r="I60" s="151">
        <v>2.1700000000000001E-2</v>
      </c>
    </row>
    <row r="61" spans="1:9">
      <c r="A61" s="355" t="s">
        <v>224</v>
      </c>
      <c r="B61" s="356"/>
      <c r="C61" s="156"/>
      <c r="D61" s="157"/>
      <c r="E61" s="153">
        <f t="shared" si="5"/>
        <v>0</v>
      </c>
      <c r="F61" s="185">
        <f>SUM(F58:F60)</f>
        <v>0.11629597597353196</v>
      </c>
      <c r="G61" s="158"/>
      <c r="H61" s="158">
        <f>SUM(H58:H60)</f>
        <v>0.1018</v>
      </c>
      <c r="I61" s="151">
        <f>SUM(I58:I60)</f>
        <v>6.4799999999999996E-2</v>
      </c>
    </row>
    <row r="62" spans="1:9">
      <c r="A62" s="357" t="s">
        <v>47</v>
      </c>
      <c r="B62" s="357"/>
      <c r="C62" s="3"/>
      <c r="D62" s="152"/>
      <c r="E62" s="153">
        <f t="shared" si="5"/>
        <v>0</v>
      </c>
      <c r="F62" s="187">
        <v>0.03</v>
      </c>
      <c r="G62" s="153"/>
      <c r="H62" s="154">
        <f>1.97%+0.75%</f>
        <v>2.7199999999999998E-2</v>
      </c>
    </row>
    <row r="63" spans="1:9">
      <c r="A63" s="358" t="s">
        <v>225</v>
      </c>
      <c r="B63" s="182" t="s">
        <v>222</v>
      </c>
      <c r="C63" s="3"/>
      <c r="D63" s="152"/>
      <c r="E63" s="153">
        <f t="shared" si="5"/>
        <v>0</v>
      </c>
      <c r="F63" s="154">
        <v>7.0000000000000001E-3</v>
      </c>
      <c r="G63" s="153"/>
      <c r="H63" s="154">
        <v>5.3E-3</v>
      </c>
    </row>
    <row r="64" spans="1:9">
      <c r="A64" s="359"/>
      <c r="B64" s="182" t="s">
        <v>223</v>
      </c>
      <c r="C64" s="3"/>
      <c r="D64" s="152"/>
      <c r="E64" s="153">
        <f>$I$57*I64</f>
        <v>0</v>
      </c>
      <c r="F64" s="151">
        <f>2.8%+1.2%</f>
        <v>3.9999999999999994E-2</v>
      </c>
      <c r="G64" s="153"/>
      <c r="H64" s="154">
        <v>3.4099999999999998E-2</v>
      </c>
      <c r="I64" s="151">
        <f>2.8%+1.2%</f>
        <v>3.9999999999999994E-2</v>
      </c>
    </row>
    <row r="65" spans="1:9">
      <c r="A65" s="357" t="s">
        <v>50</v>
      </c>
      <c r="B65" s="357"/>
      <c r="C65" s="3"/>
      <c r="D65" s="152"/>
      <c r="E65" s="153">
        <f t="shared" si="5"/>
        <v>0</v>
      </c>
      <c r="F65" s="154">
        <v>0.04</v>
      </c>
      <c r="G65" s="153"/>
      <c r="H65" s="154">
        <v>1.0999999999999999E-2</v>
      </c>
      <c r="I65" s="151">
        <v>0.03</v>
      </c>
    </row>
    <row r="68" spans="1:9">
      <c r="A68" s="148"/>
      <c r="B68" s="148"/>
      <c r="C68" s="148"/>
      <c r="D68" s="148"/>
      <c r="E68" s="148"/>
      <c r="F68" s="148"/>
      <c r="G68" s="360" t="s">
        <v>217</v>
      </c>
      <c r="H68" s="360"/>
      <c r="I68" s="149"/>
    </row>
    <row r="69" spans="1:9">
      <c r="A69" s="361" t="s">
        <v>218</v>
      </c>
      <c r="B69" s="361"/>
      <c r="C69" s="355" t="s">
        <v>219</v>
      </c>
      <c r="D69" s="362"/>
      <c r="E69" s="362"/>
      <c r="F69" s="362"/>
      <c r="G69" s="362"/>
      <c r="H69" s="356"/>
      <c r="I69" s="150" t="s">
        <v>226</v>
      </c>
    </row>
    <row r="70" spans="1:9" ht="27">
      <c r="A70" s="361"/>
      <c r="B70" s="361"/>
      <c r="C70" s="159" t="s">
        <v>228</v>
      </c>
      <c r="D70" s="159" t="s">
        <v>229</v>
      </c>
      <c r="E70" s="159" t="s">
        <v>227</v>
      </c>
      <c r="F70" s="160" t="s">
        <v>232</v>
      </c>
      <c r="G70" s="160" t="s">
        <v>231</v>
      </c>
      <c r="H70" s="160" t="s">
        <v>230</v>
      </c>
      <c r="I70" s="164">
        <f>销量!H8</f>
        <v>0</v>
      </c>
    </row>
    <row r="71" spans="1:9">
      <c r="A71" s="357" t="s">
        <v>220</v>
      </c>
      <c r="B71" s="357"/>
      <c r="C71" s="3"/>
      <c r="D71" s="152"/>
      <c r="E71" s="153">
        <f>$I$70*F71</f>
        <v>0</v>
      </c>
      <c r="F71" s="186">
        <v>5.6219986372455351E-2</v>
      </c>
      <c r="G71" s="153"/>
      <c r="H71" s="154">
        <v>4.48E-2</v>
      </c>
      <c r="I71" s="151">
        <v>4.3099999999999999E-2</v>
      </c>
    </row>
    <row r="72" spans="1:9">
      <c r="A72" s="357" t="s">
        <v>221</v>
      </c>
      <c r="B72" s="182" t="s">
        <v>222</v>
      </c>
      <c r="C72" s="3"/>
      <c r="D72" s="152"/>
      <c r="E72" s="153">
        <f t="shared" ref="E72:E78" si="6">$I$70*F72</f>
        <v>0</v>
      </c>
      <c r="F72" s="154">
        <v>4.4999999999999998E-2</v>
      </c>
      <c r="G72" s="153"/>
      <c r="H72" s="154">
        <v>4.0399999999999998E-2</v>
      </c>
    </row>
    <row r="73" spans="1:9">
      <c r="A73" s="357"/>
      <c r="B73" s="182" t="s">
        <v>223</v>
      </c>
      <c r="C73" s="3"/>
      <c r="D73" s="152"/>
      <c r="E73" s="153">
        <f t="shared" si="6"/>
        <v>0</v>
      </c>
      <c r="F73" s="186">
        <v>1.5075989601076605E-2</v>
      </c>
      <c r="G73" s="153"/>
      <c r="H73" s="154">
        <v>1.66E-2</v>
      </c>
      <c r="I73" s="151">
        <v>2.1700000000000001E-2</v>
      </c>
    </row>
    <row r="74" spans="1:9">
      <c r="A74" s="355" t="s">
        <v>224</v>
      </c>
      <c r="B74" s="356"/>
      <c r="C74" s="156"/>
      <c r="D74" s="157"/>
      <c r="E74" s="153">
        <f t="shared" si="6"/>
        <v>0</v>
      </c>
      <c r="F74" s="185">
        <f>SUM(F71:F73)</f>
        <v>0.11629597597353196</v>
      </c>
      <c r="G74" s="158"/>
      <c r="H74" s="158">
        <f>SUM(H71:H73)</f>
        <v>0.1018</v>
      </c>
      <c r="I74" s="151">
        <f>SUM(I71:I73)</f>
        <v>6.4799999999999996E-2</v>
      </c>
    </row>
    <row r="75" spans="1:9">
      <c r="A75" s="357" t="s">
        <v>47</v>
      </c>
      <c r="B75" s="357"/>
      <c r="C75" s="3"/>
      <c r="D75" s="152"/>
      <c r="E75" s="153">
        <f t="shared" si="6"/>
        <v>0</v>
      </c>
      <c r="F75" s="187">
        <v>0.03</v>
      </c>
      <c r="G75" s="153"/>
      <c r="H75" s="154">
        <f>1.97%+0.75%</f>
        <v>2.7199999999999998E-2</v>
      </c>
    </row>
    <row r="76" spans="1:9">
      <c r="A76" s="358" t="s">
        <v>225</v>
      </c>
      <c r="B76" s="182" t="s">
        <v>222</v>
      </c>
      <c r="C76" s="3"/>
      <c r="D76" s="152"/>
      <c r="E76" s="153">
        <f t="shared" si="6"/>
        <v>0</v>
      </c>
      <c r="F76" s="154">
        <v>7.0000000000000001E-3</v>
      </c>
      <c r="G76" s="153"/>
      <c r="H76" s="154">
        <v>5.3E-3</v>
      </c>
    </row>
    <row r="77" spans="1:9">
      <c r="A77" s="359"/>
      <c r="B77" s="182" t="s">
        <v>223</v>
      </c>
      <c r="C77" s="3"/>
      <c r="D77" s="152"/>
      <c r="E77" s="153">
        <f>$I$70*I77</f>
        <v>0</v>
      </c>
      <c r="F77" s="151">
        <f>2.8%+1.2%</f>
        <v>3.9999999999999994E-2</v>
      </c>
      <c r="G77" s="153"/>
      <c r="H77" s="154">
        <v>3.4099999999999998E-2</v>
      </c>
      <c r="I77" s="151">
        <f>2.8%+1.2%</f>
        <v>3.9999999999999994E-2</v>
      </c>
    </row>
    <row r="78" spans="1:9">
      <c r="A78" s="357" t="s">
        <v>50</v>
      </c>
      <c r="B78" s="357"/>
      <c r="C78" s="3"/>
      <c r="D78" s="152"/>
      <c r="E78" s="153">
        <f t="shared" si="6"/>
        <v>0</v>
      </c>
      <c r="F78" s="154">
        <v>0.04</v>
      </c>
      <c r="G78" s="153"/>
      <c r="H78" s="154">
        <v>1.0999999999999999E-2</v>
      </c>
      <c r="I78" s="151">
        <v>0.03</v>
      </c>
    </row>
  </sheetData>
  <mergeCells count="54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G15:H15"/>
    <mergeCell ref="A16:B17"/>
    <mergeCell ref="C16:H16"/>
    <mergeCell ref="A18:B18"/>
    <mergeCell ref="A19:A20"/>
    <mergeCell ref="A21:B21"/>
    <mergeCell ref="A22:B22"/>
    <mergeCell ref="A23:A24"/>
    <mergeCell ref="A25:B25"/>
    <mergeCell ref="G29:H29"/>
    <mergeCell ref="A30:B31"/>
    <mergeCell ref="C30:H30"/>
    <mergeCell ref="A32:B32"/>
    <mergeCell ref="A33:A34"/>
    <mergeCell ref="A35:B35"/>
    <mergeCell ref="A36:B36"/>
    <mergeCell ref="A37:A38"/>
    <mergeCell ref="A39:B39"/>
    <mergeCell ref="G42:H42"/>
    <mergeCell ref="A43:B44"/>
    <mergeCell ref="C43:H43"/>
    <mergeCell ref="A45:B45"/>
    <mergeCell ref="A46:A47"/>
    <mergeCell ref="A48:B48"/>
    <mergeCell ref="A49:B49"/>
    <mergeCell ref="A50:A51"/>
    <mergeCell ref="A52:B52"/>
    <mergeCell ref="G55:H55"/>
    <mergeCell ref="A56:B57"/>
    <mergeCell ref="C56:H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</mergeCells>
  <phoneticPr fontId="39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tabSelected="1" workbookViewId="0">
      <selection activeCell="J7" sqref="J7"/>
    </sheetView>
  </sheetViews>
  <sheetFormatPr defaultRowHeight="13.5"/>
  <cols>
    <col min="1" max="1" width="4" customWidth="1"/>
    <col min="2" max="2" width="19.75" style="254" customWidth="1"/>
    <col min="3" max="3" width="14.75" style="255" customWidth="1"/>
    <col min="4" max="4" width="13.625" customWidth="1"/>
    <col min="5" max="5" width="13.625" style="369" customWidth="1"/>
    <col min="6" max="7" width="13.125" customWidth="1"/>
    <col min="8" max="8" width="14.375" customWidth="1"/>
  </cols>
  <sheetData>
    <row r="2" spans="2:8" ht="37.5" customHeight="1">
      <c r="B2" s="363" t="s">
        <v>324</v>
      </c>
      <c r="C2" s="363"/>
      <c r="D2" s="363"/>
      <c r="E2" s="363"/>
      <c r="F2" s="363"/>
      <c r="G2" s="363"/>
      <c r="H2" s="363"/>
    </row>
    <row r="3" spans="2:8" s="4" customFormat="1" ht="30" customHeight="1">
      <c r="B3" s="376" t="s">
        <v>325</v>
      </c>
      <c r="C3" s="378" t="s">
        <v>326</v>
      </c>
      <c r="D3" s="376" t="s">
        <v>327</v>
      </c>
      <c r="E3" s="379" t="s">
        <v>328</v>
      </c>
      <c r="F3" s="376" t="s">
        <v>329</v>
      </c>
      <c r="G3" s="375" t="s">
        <v>330</v>
      </c>
      <c r="H3" s="376" t="s">
        <v>331</v>
      </c>
    </row>
    <row r="4" spans="2:8" s="4" customFormat="1" ht="30" customHeight="1">
      <c r="B4" s="366" t="str">
        <f>销量!C6</f>
        <v>6800010EH13-C00</v>
      </c>
      <c r="C4" s="364" t="str">
        <f>销量!C5</f>
        <v>驾驶员座总成</v>
      </c>
      <c r="D4" s="31">
        <v>1301.83</v>
      </c>
      <c r="E4" s="31">
        <f>销量!C8</f>
        <v>1820</v>
      </c>
      <c r="F4" s="31">
        <f>E4-D4</f>
        <v>518.17000000000007</v>
      </c>
      <c r="G4" s="365">
        <f>F4/E4</f>
        <v>0.28470879120879122</v>
      </c>
      <c r="H4" s="1"/>
    </row>
    <row r="5" spans="2:8" s="4" customFormat="1" ht="30" customHeight="1">
      <c r="B5" s="366" t="str">
        <f>销量!D6</f>
        <v>6900010BH13-C00</v>
      </c>
      <c r="C5" s="364" t="str">
        <f>销量!D5</f>
        <v>前座总成</v>
      </c>
      <c r="D5" s="31">
        <v>316.63302900000002</v>
      </c>
      <c r="E5" s="31">
        <f>销量!D8</f>
        <v>380</v>
      </c>
      <c r="F5" s="31">
        <f>E5-D5</f>
        <v>63.366970999999978</v>
      </c>
      <c r="G5" s="368">
        <f>F5/E5</f>
        <v>0.16675518684210522</v>
      </c>
      <c r="H5" s="1"/>
    </row>
    <row r="6" spans="2:8" s="4" customFormat="1" ht="30" customHeight="1">
      <c r="B6" s="372" t="s">
        <v>343</v>
      </c>
      <c r="C6" s="373"/>
      <c r="D6" s="374">
        <f>SUM(D4:D5)</f>
        <v>1618.463029</v>
      </c>
      <c r="E6" s="374">
        <f t="shared" ref="E6:F6" si="0">SUM(E4:E5)</f>
        <v>2200</v>
      </c>
      <c r="F6" s="374">
        <f t="shared" si="0"/>
        <v>581.53697099999999</v>
      </c>
      <c r="G6" s="375">
        <f>F6/E6</f>
        <v>0.26433498681818179</v>
      </c>
      <c r="H6" s="376"/>
    </row>
    <row r="7" spans="2:8" s="4" customFormat="1" ht="30" customHeight="1">
      <c r="B7" s="366" t="str">
        <f>销量!E6</f>
        <v>6800010DH13-C00</v>
      </c>
      <c r="C7" s="364" t="str">
        <f>销量!E5</f>
        <v>驾驶员座总成</v>
      </c>
      <c r="D7" s="31">
        <v>688.09</v>
      </c>
      <c r="E7" s="31">
        <f>销量!E8</f>
        <v>1020</v>
      </c>
      <c r="F7" s="31">
        <f t="shared" ref="F7:F8" si="1">E7-D7</f>
        <v>331.90999999999997</v>
      </c>
      <c r="G7" s="365">
        <f t="shared" ref="G7:G9" si="2">F7/E7</f>
        <v>0.32540196078431372</v>
      </c>
      <c r="H7" s="367"/>
    </row>
    <row r="8" spans="2:8" s="4" customFormat="1" ht="30" customHeight="1">
      <c r="B8" s="366" t="str">
        <f>销量!F6</f>
        <v>6900010AH13-C00</v>
      </c>
      <c r="C8" s="364" t="str">
        <f>销量!F5</f>
        <v>前座总成</v>
      </c>
      <c r="D8" s="31">
        <v>276.63302900000002</v>
      </c>
      <c r="E8" s="31">
        <f>销量!F8</f>
        <v>380</v>
      </c>
      <c r="F8" s="31">
        <f t="shared" si="1"/>
        <v>103.36697099999998</v>
      </c>
      <c r="G8" s="365">
        <f t="shared" si="2"/>
        <v>0.27201834473684205</v>
      </c>
      <c r="H8" s="367"/>
    </row>
    <row r="9" spans="2:8" s="4" customFormat="1" ht="30" customHeight="1">
      <c r="B9" s="372" t="s">
        <v>343</v>
      </c>
      <c r="C9" s="373"/>
      <c r="D9" s="374">
        <f>SUM(D7:D8)</f>
        <v>964.723029</v>
      </c>
      <c r="E9" s="374">
        <f t="shared" ref="E9:F9" si="3">SUM(E7:E8)</f>
        <v>1400</v>
      </c>
      <c r="F9" s="374">
        <f t="shared" si="3"/>
        <v>435.27697099999995</v>
      </c>
      <c r="G9" s="375">
        <f t="shared" si="2"/>
        <v>0.31091212214285713</v>
      </c>
      <c r="H9" s="377"/>
    </row>
  </sheetData>
  <mergeCells count="3">
    <mergeCell ref="B2:H2"/>
    <mergeCell ref="B6:C6"/>
    <mergeCell ref="B9:C9"/>
  </mergeCells>
  <phoneticPr fontId="3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workbookViewId="0">
      <pane xSplit="3" ySplit="6" topLeftCell="D7" activePane="bottomRight" state="frozen"/>
      <selection pane="topRight"/>
      <selection pane="bottomLeft"/>
      <selection pane="bottomRight" activeCell="I3" sqref="I3"/>
    </sheetView>
  </sheetViews>
  <sheetFormatPr defaultColWidth="9" defaultRowHeight="16.5"/>
  <cols>
    <col min="1" max="1" width="5.125" style="111" customWidth="1"/>
    <col min="2" max="2" width="35.75" style="111" customWidth="1"/>
    <col min="3" max="3" width="14.5" style="112" customWidth="1"/>
    <col min="4" max="4" width="13" style="112" customWidth="1"/>
    <col min="5" max="7" width="16" style="112" customWidth="1"/>
    <col min="8" max="8" width="16.5" style="112" customWidth="1"/>
    <col min="9" max="9" width="15.5" style="111" customWidth="1"/>
    <col min="10" max="35" width="9" style="111"/>
    <col min="36" max="36" width="4.375" style="111" customWidth="1"/>
    <col min="37" max="37" width="13.875" style="111" customWidth="1"/>
    <col min="38" max="16384" width="9" style="111"/>
  </cols>
  <sheetData>
    <row r="1" spans="1:38" ht="27" customHeight="1">
      <c r="A1" s="258" t="s">
        <v>339</v>
      </c>
      <c r="B1" s="258"/>
      <c r="C1" s="258"/>
      <c r="D1" s="258"/>
      <c r="E1" s="258"/>
      <c r="F1" s="258"/>
      <c r="G1" s="258"/>
      <c r="H1" s="258"/>
    </row>
    <row r="2" spans="1:38" ht="15.75" customHeight="1">
      <c r="A2" s="259" t="s">
        <v>15</v>
      </c>
      <c r="B2" s="113" t="s">
        <v>1</v>
      </c>
      <c r="C2" s="113" t="s">
        <v>333</v>
      </c>
      <c r="D2" s="113" t="s">
        <v>334</v>
      </c>
      <c r="E2" s="113" t="s">
        <v>335</v>
      </c>
      <c r="F2" s="113" t="s">
        <v>336</v>
      </c>
      <c r="G2" s="113" t="s">
        <v>337</v>
      </c>
      <c r="H2" s="53" t="s">
        <v>17</v>
      </c>
      <c r="AL2" s="111" t="s">
        <v>18</v>
      </c>
    </row>
    <row r="3" spans="1:38" s="50" customFormat="1" ht="15.75" customHeight="1">
      <c r="A3" s="260"/>
      <c r="B3" s="55" t="s">
        <v>3</v>
      </c>
      <c r="C3" s="114">
        <f>'2022年'!G6</f>
        <v>30000</v>
      </c>
      <c r="D3" s="114">
        <f>'2023年'!G6</f>
        <v>60000</v>
      </c>
      <c r="E3" s="114">
        <f>'2024年'!G6</f>
        <v>60000</v>
      </c>
      <c r="F3" s="114">
        <f>'2025年'!G6</f>
        <v>60000</v>
      </c>
      <c r="G3" s="114">
        <f>'2026年'!G6</f>
        <v>60000</v>
      </c>
      <c r="H3" s="192">
        <f t="shared" ref="H3:H11" si="0">SUM(C3:G3)</f>
        <v>270000</v>
      </c>
      <c r="I3" s="70"/>
      <c r="AJ3" s="54" t="s">
        <v>15</v>
      </c>
      <c r="AK3" s="55" t="s">
        <v>3</v>
      </c>
      <c r="AL3" s="50" t="s">
        <v>19</v>
      </c>
    </row>
    <row r="4" spans="1:38" s="50" customFormat="1" ht="15.75" customHeight="1">
      <c r="A4" s="63">
        <v>1</v>
      </c>
      <c r="B4" s="55" t="s">
        <v>20</v>
      </c>
      <c r="C4" s="114">
        <f>'2022年'!G7</f>
        <v>29000000</v>
      </c>
      <c r="D4" s="114">
        <f>'2023年'!G7</f>
        <v>58000000</v>
      </c>
      <c r="E4" s="114">
        <f>'2024年'!G7</f>
        <v>58000000</v>
      </c>
      <c r="F4" s="114">
        <f>'2025年'!G7</f>
        <v>58000000</v>
      </c>
      <c r="G4" s="114">
        <f>'2026年'!G7</f>
        <v>58000000</v>
      </c>
      <c r="H4" s="114">
        <f t="shared" si="0"/>
        <v>261000000</v>
      </c>
      <c r="I4" s="70"/>
      <c r="AJ4" s="54" t="s">
        <v>21</v>
      </c>
      <c r="AK4" s="55" t="s">
        <v>20</v>
      </c>
      <c r="AL4" s="50" t="s">
        <v>19</v>
      </c>
    </row>
    <row r="5" spans="1:38" s="50" customFormat="1" ht="15.75" customHeight="1">
      <c r="A5" s="63">
        <v>2</v>
      </c>
      <c r="B5" s="52" t="s">
        <v>22</v>
      </c>
      <c r="C5" s="114">
        <f>'2022年'!G8</f>
        <v>0</v>
      </c>
      <c r="D5" s="114">
        <f>'2023年'!G8</f>
        <v>580000.00000000047</v>
      </c>
      <c r="E5" s="114">
        <f>'2024年'!G8</f>
        <v>1154199.9999999953</v>
      </c>
      <c r="F5" s="114">
        <f>'2025年'!G8</f>
        <v>1722657.9999999986</v>
      </c>
      <c r="G5" s="114">
        <f>'2026年'!G8</f>
        <v>2285431.4199999971</v>
      </c>
      <c r="H5" s="114">
        <f t="shared" si="0"/>
        <v>5742289.4199999915</v>
      </c>
      <c r="I5" s="70"/>
      <c r="AJ5" s="54" t="s">
        <v>23</v>
      </c>
      <c r="AK5" s="52" t="s">
        <v>24</v>
      </c>
      <c r="AL5" s="50" t="s">
        <v>19</v>
      </c>
    </row>
    <row r="6" spans="1:38" s="50" customFormat="1" ht="15.75" customHeight="1">
      <c r="A6" s="63">
        <v>3</v>
      </c>
      <c r="B6" s="55" t="s">
        <v>25</v>
      </c>
      <c r="C6" s="115">
        <f>+C4-C5</f>
        <v>29000000</v>
      </c>
      <c r="D6" s="115">
        <f>'2023年'!G9</f>
        <v>57420000</v>
      </c>
      <c r="E6" s="115">
        <f>'2024年'!G9</f>
        <v>56845800</v>
      </c>
      <c r="F6" s="114">
        <f>'2025年'!G9</f>
        <v>56277342</v>
      </c>
      <c r="G6" s="114">
        <f>'2026年'!G9</f>
        <v>55714568.579999998</v>
      </c>
      <c r="H6" s="114">
        <f t="shared" si="0"/>
        <v>255257710.57999998</v>
      </c>
      <c r="I6" s="70"/>
      <c r="AJ6" s="54" t="s">
        <v>26</v>
      </c>
      <c r="AK6" s="55" t="s">
        <v>25</v>
      </c>
      <c r="AL6" s="50" t="s">
        <v>27</v>
      </c>
    </row>
    <row r="7" spans="1:38" s="50" customFormat="1" ht="15.75" customHeight="1">
      <c r="A7" s="63">
        <v>4</v>
      </c>
      <c r="B7" s="54" t="s">
        <v>28</v>
      </c>
      <c r="C7" s="114">
        <f>'2022年'!G10</f>
        <v>21008245.434999999</v>
      </c>
      <c r="D7" s="114">
        <f>'2023年'!G10</f>
        <v>41596325.961299993</v>
      </c>
      <c r="E7" s="114">
        <f>'2024年'!G10</f>
        <v>41180362.701687008</v>
      </c>
      <c r="F7" s="114">
        <f>'2025年'!G10</f>
        <v>40768559.074670129</v>
      </c>
      <c r="G7" s="114">
        <f>'2026年'!G10</f>
        <v>39855607.745055422</v>
      </c>
      <c r="H7" s="114">
        <f t="shared" si="0"/>
        <v>184409100.91771257</v>
      </c>
      <c r="I7" s="70"/>
      <c r="AJ7" s="54" t="s">
        <v>29</v>
      </c>
      <c r="AK7" s="54" t="s">
        <v>28</v>
      </c>
      <c r="AL7" s="50" t="s">
        <v>30</v>
      </c>
    </row>
    <row r="8" spans="1:38" s="50" customFormat="1" ht="15.75" customHeight="1">
      <c r="A8" s="63">
        <v>5</v>
      </c>
      <c r="B8" s="54" t="s">
        <v>31</v>
      </c>
      <c r="C8" s="114">
        <f>'2022年'!G11</f>
        <v>1630379.6048012052</v>
      </c>
      <c r="D8" s="114">
        <f>'2023年'!G11</f>
        <v>3260759.2096024104</v>
      </c>
      <c r="E8" s="114">
        <f>'2024年'!G11</f>
        <v>3260759.2096024104</v>
      </c>
      <c r="F8" s="114">
        <f>'2025年'!G11</f>
        <v>3260759.2096024104</v>
      </c>
      <c r="G8" s="114">
        <f>'2026年'!G11</f>
        <v>3260759.2096024104</v>
      </c>
      <c r="H8" s="114">
        <f t="shared" si="0"/>
        <v>14673416.443210846</v>
      </c>
      <c r="I8" s="70"/>
      <c r="AJ8" s="54" t="s">
        <v>32</v>
      </c>
      <c r="AK8" s="54" t="s">
        <v>31</v>
      </c>
    </row>
    <row r="9" spans="1:38" s="50" customFormat="1" ht="15.75" customHeight="1">
      <c r="A9" s="63">
        <v>6</v>
      </c>
      <c r="B9" s="54" t="s">
        <v>33</v>
      </c>
      <c r="C9" s="114">
        <f>'2022年'!G12</f>
        <v>437203.69843122154</v>
      </c>
      <c r="D9" s="114">
        <f>'2023年'!G12</f>
        <v>874407.39686244307</v>
      </c>
      <c r="E9" s="114">
        <f>'2024年'!G12</f>
        <v>874407.39686244307</v>
      </c>
      <c r="F9" s="114">
        <f>'2025年'!G12</f>
        <v>874407.39686244307</v>
      </c>
      <c r="G9" s="114">
        <f>'2026年'!G12</f>
        <v>874407.39686244307</v>
      </c>
      <c r="H9" s="114">
        <f t="shared" si="0"/>
        <v>3934833.2858809941</v>
      </c>
      <c r="I9" s="70"/>
      <c r="AJ9" s="54" t="s">
        <v>34</v>
      </c>
      <c r="AK9" s="54" t="s">
        <v>33</v>
      </c>
    </row>
    <row r="10" spans="1:38" s="50" customFormat="1" ht="15.75" customHeight="1">
      <c r="A10" s="63">
        <v>7</v>
      </c>
      <c r="B10" s="116" t="s">
        <v>35</v>
      </c>
      <c r="C10" s="114">
        <f>'2022年'!G13</f>
        <v>1160000</v>
      </c>
      <c r="D10" s="114">
        <f>'2023年'!G13</f>
        <v>2320000</v>
      </c>
      <c r="E10" s="114">
        <f>'2024年'!G13</f>
        <v>2320000</v>
      </c>
      <c r="F10" s="114">
        <f>'2025年'!G13</f>
        <v>2320000</v>
      </c>
      <c r="G10" s="114">
        <f>'2026年'!G13</f>
        <v>2320000</v>
      </c>
      <c r="H10" s="114">
        <f t="shared" si="0"/>
        <v>10440000</v>
      </c>
      <c r="I10" s="70"/>
      <c r="AJ10" s="54" t="s">
        <v>36</v>
      </c>
      <c r="AK10" s="54" t="s">
        <v>35</v>
      </c>
      <c r="AL10" s="50" t="s">
        <v>19</v>
      </c>
    </row>
    <row r="11" spans="1:38" s="50" customFormat="1" ht="15.75" customHeight="1">
      <c r="A11" s="63">
        <v>8</v>
      </c>
      <c r="B11" s="117" t="s">
        <v>37</v>
      </c>
      <c r="C11" s="118">
        <f>'2022年'!G14</f>
        <v>3227583.3032324268</v>
      </c>
      <c r="D11" s="118">
        <f>'2023年'!G14</f>
        <v>6455166.6064648535</v>
      </c>
      <c r="E11" s="118">
        <f>'2024年'!G14</f>
        <v>6455166.6064648535</v>
      </c>
      <c r="F11" s="114">
        <f>'2025年'!G14</f>
        <v>6455166.6064648535</v>
      </c>
      <c r="G11" s="114">
        <f>'2026年'!G14</f>
        <v>6455166.6064648535</v>
      </c>
      <c r="H11" s="118">
        <f t="shared" si="0"/>
        <v>29048249.729091838</v>
      </c>
      <c r="I11" s="70"/>
      <c r="AJ11" s="54" t="s">
        <v>38</v>
      </c>
      <c r="AK11" s="57" t="s">
        <v>37</v>
      </c>
    </row>
    <row r="12" spans="1:38" s="50" customFormat="1" ht="15.75" customHeight="1">
      <c r="A12" s="63">
        <v>9</v>
      </c>
      <c r="B12" s="119" t="s">
        <v>39</v>
      </c>
      <c r="C12" s="114">
        <f>'2022年'!G15</f>
        <v>4764171.2617675727</v>
      </c>
      <c r="D12" s="114">
        <f>'2023年'!G15</f>
        <v>9368507.4322351459</v>
      </c>
      <c r="E12" s="114">
        <f>'2024年'!G15</f>
        <v>9210270.6918481477</v>
      </c>
      <c r="F12" s="114">
        <f>'2025年'!G15</f>
        <v>9053616.3188650198</v>
      </c>
      <c r="G12" s="114">
        <f>'2026年'!G15</f>
        <v>9403794.2284797244</v>
      </c>
      <c r="H12" s="114">
        <f>H6-H7-H11</f>
        <v>41800359.933195576</v>
      </c>
      <c r="I12" s="70"/>
      <c r="K12" s="111"/>
      <c r="L12" s="111"/>
      <c r="M12" s="111"/>
      <c r="N12" s="111"/>
      <c r="O12" s="111"/>
      <c r="P12" s="111"/>
      <c r="AJ12" s="54" t="s">
        <v>40</v>
      </c>
      <c r="AK12" s="57" t="s">
        <v>39</v>
      </c>
    </row>
    <row r="13" spans="1:38" ht="15.75" customHeight="1">
      <c r="A13" s="63">
        <v>10</v>
      </c>
      <c r="B13" s="120" t="s">
        <v>41</v>
      </c>
      <c r="C13" s="121">
        <f>+C12/C6</f>
        <v>0.16428176764715768</v>
      </c>
      <c r="D13" s="121">
        <f>'2023年'!G16</f>
        <v>0.16315756586964728</v>
      </c>
      <c r="E13" s="121">
        <f>'2024年'!G16</f>
        <v>0.16202200851862666</v>
      </c>
      <c r="F13" s="121">
        <f>'2025年'!G16</f>
        <v>0.16087498089133315</v>
      </c>
      <c r="G13" s="121">
        <f>'2026年'!G16</f>
        <v>0.16878519331935432</v>
      </c>
      <c r="H13" s="121">
        <f>+H12/H6</f>
        <v>0.16375748195114748</v>
      </c>
      <c r="I13" s="70"/>
      <c r="AJ13" s="120" t="s">
        <v>42</v>
      </c>
      <c r="AK13" s="120" t="s">
        <v>41</v>
      </c>
    </row>
    <row r="14" spans="1:38" ht="15.75" customHeight="1">
      <c r="A14" s="63">
        <v>11</v>
      </c>
      <c r="B14" s="120" t="s">
        <v>43</v>
      </c>
      <c r="C14" s="114">
        <f>'2022年'!G17</f>
        <v>1521029.9999999998</v>
      </c>
      <c r="D14" s="114">
        <f>'2023年'!G17</f>
        <v>2826029.9999999995</v>
      </c>
      <c r="E14" s="114">
        <f>'2024年'!G17</f>
        <v>2826029.9999999995</v>
      </c>
      <c r="F14" s="114">
        <f>'2025年'!G17</f>
        <v>2826029.9999999995</v>
      </c>
      <c r="G14" s="114">
        <f>'2026年'!G17</f>
        <v>2826029.9999999995</v>
      </c>
      <c r="H14" s="114">
        <f>SUM(C14:G14)</f>
        <v>12825149.999999998</v>
      </c>
      <c r="I14" s="70"/>
      <c r="AJ14" s="120" t="s">
        <v>44</v>
      </c>
      <c r="AK14" s="120" t="s">
        <v>43</v>
      </c>
    </row>
    <row r="15" spans="1:38" ht="15.75" hidden="1" customHeight="1">
      <c r="A15" s="161"/>
      <c r="B15" s="120"/>
      <c r="C15" s="114"/>
      <c r="D15" s="114"/>
      <c r="E15" s="114"/>
      <c r="F15" s="114">
        <f>'2025年'!G18</f>
        <v>216030</v>
      </c>
      <c r="G15" s="114">
        <f>'2026年'!G18</f>
        <v>216030</v>
      </c>
      <c r="H15" s="114"/>
      <c r="I15" s="70"/>
      <c r="AJ15" s="120"/>
      <c r="AK15" s="120"/>
    </row>
    <row r="16" spans="1:38" ht="15.75" customHeight="1">
      <c r="A16" s="63">
        <v>12</v>
      </c>
      <c r="B16" s="120" t="s">
        <v>45</v>
      </c>
      <c r="C16" s="122">
        <f>'2022年'!G19</f>
        <v>203000</v>
      </c>
      <c r="D16" s="122">
        <f>'2023年'!G19</f>
        <v>406000</v>
      </c>
      <c r="E16" s="122">
        <f>'2024年'!G19</f>
        <v>406000</v>
      </c>
      <c r="F16" s="114">
        <f>'2025年'!G19</f>
        <v>406000</v>
      </c>
      <c r="G16" s="114">
        <f>'2026年'!G19</f>
        <v>406000</v>
      </c>
      <c r="H16" s="114">
        <f>SUM(C16:G16)</f>
        <v>1827000</v>
      </c>
      <c r="I16" s="70"/>
      <c r="Q16" s="70"/>
      <c r="AJ16" s="120" t="s">
        <v>46</v>
      </c>
      <c r="AK16" s="120" t="s">
        <v>45</v>
      </c>
      <c r="AL16" s="111" t="s">
        <v>19</v>
      </c>
    </row>
    <row r="17" spans="1:38" ht="15.75" customHeight="1">
      <c r="A17" s="63">
        <v>13</v>
      </c>
      <c r="B17" s="120" t="s">
        <v>47</v>
      </c>
      <c r="C17" s="122">
        <f>'2022年'!G20</f>
        <v>870000</v>
      </c>
      <c r="D17" s="122">
        <f>'2023年'!G20</f>
        <v>1740000</v>
      </c>
      <c r="E17" s="122">
        <f>'2024年'!G20</f>
        <v>1740000</v>
      </c>
      <c r="F17" s="114">
        <f>'2025年'!G20</f>
        <v>1740000</v>
      </c>
      <c r="G17" s="114">
        <f>'2026年'!G20</f>
        <v>1740000</v>
      </c>
      <c r="H17" s="114">
        <f>SUM(C17:G17)</f>
        <v>7830000</v>
      </c>
      <c r="I17" s="70"/>
      <c r="AJ17" s="120" t="s">
        <v>48</v>
      </c>
      <c r="AK17" s="120" t="s">
        <v>47</v>
      </c>
    </row>
    <row r="18" spans="1:38" s="49" customFormat="1" ht="15.75" customHeight="1">
      <c r="A18" s="63">
        <v>14</v>
      </c>
      <c r="B18" s="62" t="s">
        <v>49</v>
      </c>
      <c r="C18" s="123">
        <f>'2022年'!G21</f>
        <v>167500</v>
      </c>
      <c r="D18" s="123">
        <f>'2023年'!G21</f>
        <v>167500</v>
      </c>
      <c r="E18" s="123">
        <f>'2024年'!G21</f>
        <v>167500</v>
      </c>
      <c r="F18" s="114">
        <f>'2025年'!G21</f>
        <v>167500</v>
      </c>
      <c r="G18" s="114">
        <f>'2026年'!G21</f>
        <v>167500</v>
      </c>
      <c r="H18" s="114">
        <f>SUM(C18:G18)</f>
        <v>837500</v>
      </c>
      <c r="I18" s="70"/>
      <c r="AJ18" s="62"/>
      <c r="AK18" s="62"/>
    </row>
    <row r="19" spans="1:38" s="50" customFormat="1" ht="15.75" customHeight="1">
      <c r="A19" s="63">
        <v>15</v>
      </c>
      <c r="B19" s="54" t="s">
        <v>50</v>
      </c>
      <c r="C19" s="122">
        <f>'2022年'!G22</f>
        <v>1160000</v>
      </c>
      <c r="D19" s="122">
        <f>'2023年'!G22</f>
        <v>2320000</v>
      </c>
      <c r="E19" s="122">
        <f>'2024年'!G22</f>
        <v>2320000</v>
      </c>
      <c r="F19" s="114">
        <f>'2025年'!G22</f>
        <v>2320000</v>
      </c>
      <c r="G19" s="114">
        <f>'2026年'!G22</f>
        <v>2320000</v>
      </c>
      <c r="H19" s="114">
        <f>SUM(C19:G19)</f>
        <v>10440000</v>
      </c>
      <c r="I19" s="70"/>
      <c r="AJ19" s="54" t="s">
        <v>51</v>
      </c>
      <c r="AK19" s="54" t="s">
        <v>50</v>
      </c>
    </row>
    <row r="20" spans="1:38" s="109" customFormat="1" ht="15.75" customHeight="1">
      <c r="A20" s="63">
        <v>16</v>
      </c>
      <c r="B20" s="124" t="s">
        <v>52</v>
      </c>
      <c r="C20" s="118">
        <f t="shared" ref="C20" si="1">+C19+C18+C17+C16+C14</f>
        <v>3921530</v>
      </c>
      <c r="D20" s="118">
        <f>'2023年'!G23</f>
        <v>7459530</v>
      </c>
      <c r="E20" s="118">
        <f>'2024年'!G23</f>
        <v>7459530</v>
      </c>
      <c r="F20" s="114">
        <f>'2025年'!G23</f>
        <v>7459530</v>
      </c>
      <c r="G20" s="114">
        <f>'2026年'!G23</f>
        <v>7459530</v>
      </c>
      <c r="H20" s="118">
        <f>SUM(C20:G20)</f>
        <v>33759650</v>
      </c>
      <c r="I20" s="70"/>
      <c r="AJ20" s="137" t="s">
        <v>53</v>
      </c>
      <c r="AK20" s="138" t="s">
        <v>52</v>
      </c>
    </row>
    <row r="21" spans="1:38" ht="15.75" customHeight="1">
      <c r="A21" s="63">
        <v>17</v>
      </c>
      <c r="B21" s="120" t="s">
        <v>54</v>
      </c>
      <c r="C21" s="125">
        <f>+C12-C20</f>
        <v>842641.26176757272</v>
      </c>
      <c r="D21" s="125">
        <f>'2023年'!G24</f>
        <v>1908977.4322351459</v>
      </c>
      <c r="E21" s="125">
        <f>'2024年'!G24</f>
        <v>1750740.6918481477</v>
      </c>
      <c r="F21" s="114">
        <f>'2025年'!G24</f>
        <v>1594086.3188650198</v>
      </c>
      <c r="G21" s="114">
        <f>'2026年'!G24</f>
        <v>1944264.2284797244</v>
      </c>
      <c r="H21" s="125">
        <f>+H12-H20</f>
        <v>8040709.9331955761</v>
      </c>
      <c r="I21" s="70"/>
      <c r="AJ21" s="120" t="s">
        <v>55</v>
      </c>
      <c r="AK21" s="120" t="s">
        <v>54</v>
      </c>
    </row>
    <row r="22" spans="1:38" ht="15.75" customHeight="1">
      <c r="A22" s="63">
        <v>18</v>
      </c>
      <c r="B22" s="120" t="s">
        <v>56</v>
      </c>
      <c r="C22" s="125">
        <f>IF(C21&lt;0,0,C21*0.15)</f>
        <v>126396.18926513591</v>
      </c>
      <c r="D22" s="125">
        <f>'2023年'!G25</f>
        <v>286346.6148352719</v>
      </c>
      <c r="E22" s="125">
        <f>'2024年'!G25</f>
        <v>262611.10377722216</v>
      </c>
      <c r="F22" s="114">
        <f>'2025年'!G25</f>
        <v>239112.94782975296</v>
      </c>
      <c r="G22" s="114">
        <f>'2026年'!G25</f>
        <v>291639.63427195867</v>
      </c>
      <c r="H22" s="125">
        <f>IF(H21&lt;0,0,H21*0.25)</f>
        <v>2010177.483298894</v>
      </c>
      <c r="I22" s="70"/>
      <c r="AJ22" s="120" t="s">
        <v>57</v>
      </c>
      <c r="AK22" s="120" t="s">
        <v>56</v>
      </c>
    </row>
    <row r="23" spans="1:38" ht="15.75" customHeight="1">
      <c r="A23" s="63">
        <v>19</v>
      </c>
      <c r="B23" s="120" t="s">
        <v>58</v>
      </c>
      <c r="C23" s="125">
        <f>C21-C22</f>
        <v>716245.07250243681</v>
      </c>
      <c r="D23" s="125">
        <f>'2023年'!G26</f>
        <v>1622630.8173998741</v>
      </c>
      <c r="E23" s="125">
        <f>'2024年'!G26</f>
        <v>1488129.5880709256</v>
      </c>
      <c r="F23" s="114">
        <f>'2025年'!G26</f>
        <v>1354973.3710352669</v>
      </c>
      <c r="G23" s="114">
        <f>'2026年'!G26</f>
        <v>1652624.5942077658</v>
      </c>
      <c r="H23" s="192">
        <f>H21-H22</f>
        <v>6030532.4498966821</v>
      </c>
      <c r="I23" s="70"/>
      <c r="AJ23" s="120" t="s">
        <v>59</v>
      </c>
      <c r="AK23" s="120" t="s">
        <v>58</v>
      </c>
    </row>
    <row r="24" spans="1:38" ht="15.75" customHeight="1">
      <c r="A24" s="63">
        <v>20</v>
      </c>
      <c r="B24" s="120" t="s">
        <v>60</v>
      </c>
      <c r="C24" s="126">
        <f>(C23/C4)*100%</f>
        <v>2.4698105948359889E-2</v>
      </c>
      <c r="D24" s="126">
        <f>'2023年'!G27</f>
        <v>2.7976393403446105E-2</v>
      </c>
      <c r="E24" s="126">
        <f>'2024年'!G27</f>
        <v>2.5657406690878026E-2</v>
      </c>
      <c r="F24" s="126">
        <f>'2025年'!G27</f>
        <v>2.3361609845435637E-2</v>
      </c>
      <c r="G24" s="126">
        <f>'2026年'!G27</f>
        <v>2.8493527486340788E-2</v>
      </c>
      <c r="H24" s="126">
        <f>(H23/H4)*100%</f>
        <v>2.3105488313780391E-2</v>
      </c>
      <c r="I24" s="70"/>
      <c r="AJ24" s="139" t="s">
        <v>61</v>
      </c>
      <c r="AK24" s="139" t="s">
        <v>62</v>
      </c>
    </row>
    <row r="25" spans="1:38" s="110" customFormat="1" ht="15.75" customHeight="1">
      <c r="C25" s="127"/>
      <c r="D25" s="127"/>
      <c r="E25" s="127"/>
      <c r="F25" s="127"/>
      <c r="G25" s="127"/>
      <c r="H25" s="127"/>
      <c r="I25" s="136"/>
    </row>
    <row r="26" spans="1:38" s="110" customFormat="1" ht="15.75" hidden="1" customHeight="1">
      <c r="A26" s="110" t="s">
        <v>63</v>
      </c>
      <c r="C26" s="128"/>
      <c r="D26" s="128"/>
      <c r="E26" s="128"/>
      <c r="F26" s="128"/>
      <c r="G26" s="128"/>
      <c r="H26" s="128"/>
      <c r="I26" s="136"/>
      <c r="AJ26" s="110" t="s">
        <v>63</v>
      </c>
    </row>
    <row r="27" spans="1:38" ht="15.75" hidden="1" customHeight="1">
      <c r="A27" s="120" t="s">
        <v>15</v>
      </c>
      <c r="B27" s="129" t="s">
        <v>1</v>
      </c>
      <c r="C27" s="113" t="s">
        <v>64</v>
      </c>
      <c r="D27" s="113" t="s">
        <v>16</v>
      </c>
      <c r="E27" s="113" t="s">
        <v>65</v>
      </c>
      <c r="F27" s="113" t="s">
        <v>338</v>
      </c>
      <c r="G27" s="113" t="s">
        <v>187</v>
      </c>
      <c r="H27" s="53" t="s">
        <v>17</v>
      </c>
      <c r="AL27" s="111" t="s">
        <v>18</v>
      </c>
    </row>
    <row r="28" spans="1:38" s="50" customFormat="1" ht="15.75" hidden="1" customHeight="1">
      <c r="A28" s="54" t="s">
        <v>66</v>
      </c>
      <c r="B28" s="57" t="s">
        <v>67</v>
      </c>
      <c r="C28" s="61"/>
      <c r="D28" s="61"/>
      <c r="E28" s="61"/>
      <c r="F28" s="61"/>
      <c r="G28" s="61"/>
      <c r="H28" s="61"/>
      <c r="I28" s="70"/>
      <c r="AJ28" s="54" t="s">
        <v>68</v>
      </c>
      <c r="AK28" s="57" t="s">
        <v>67</v>
      </c>
    </row>
    <row r="29" spans="1:38" s="50" customFormat="1" ht="15.75" hidden="1" customHeight="1">
      <c r="A29" s="54" t="s">
        <v>21</v>
      </c>
      <c r="B29" s="54" t="s">
        <v>69</v>
      </c>
      <c r="C29" s="56">
        <f>+C6/C3</f>
        <v>966.66666666666663</v>
      </c>
      <c r="D29" s="56">
        <f t="shared" ref="D29:E29" si="2">+D6/D3</f>
        <v>957</v>
      </c>
      <c r="E29" s="56">
        <f t="shared" si="2"/>
        <v>947.43</v>
      </c>
      <c r="F29" s="56">
        <f t="shared" ref="F29:G29" si="3">+F6/F3</f>
        <v>937.95569999999998</v>
      </c>
      <c r="G29" s="56">
        <f t="shared" si="3"/>
        <v>928.576143</v>
      </c>
      <c r="H29" s="56">
        <f>+H6/H3</f>
        <v>945.39892807407398</v>
      </c>
      <c r="I29" s="70"/>
      <c r="AJ29" s="54" t="s">
        <v>21</v>
      </c>
      <c r="AK29" s="54" t="s">
        <v>69</v>
      </c>
    </row>
    <row r="30" spans="1:38" s="50" customFormat="1" ht="15.75" hidden="1" customHeight="1">
      <c r="A30" s="54" t="s">
        <v>23</v>
      </c>
      <c r="B30" s="54" t="s">
        <v>70</v>
      </c>
      <c r="C30" s="56">
        <f>+C7/C3</f>
        <v>700.2748478333333</v>
      </c>
      <c r="D30" s="56">
        <f t="shared" ref="D30:E30" si="4">+D7/D3</f>
        <v>693.27209935499991</v>
      </c>
      <c r="E30" s="56">
        <f t="shared" si="4"/>
        <v>686.33937836145014</v>
      </c>
      <c r="F30" s="56">
        <f t="shared" ref="F30:G30" si="5">+F7/F3</f>
        <v>679.47598457783545</v>
      </c>
      <c r="G30" s="56">
        <f t="shared" si="5"/>
        <v>664.26012908425707</v>
      </c>
      <c r="H30" s="56">
        <f>+H7/H3</f>
        <v>682.99667006560207</v>
      </c>
      <c r="I30" s="70"/>
      <c r="AJ30" s="54" t="s">
        <v>23</v>
      </c>
      <c r="AK30" s="54" t="s">
        <v>70</v>
      </c>
    </row>
    <row r="31" spans="1:38" s="50" customFormat="1" ht="15.75" hidden="1" customHeight="1">
      <c r="A31" s="54" t="s">
        <v>71</v>
      </c>
      <c r="B31" s="54" t="s">
        <v>72</v>
      </c>
      <c r="C31" s="61">
        <f t="shared" ref="C31:H31" si="6">C29-C30</f>
        <v>266.39181883333333</v>
      </c>
      <c r="D31" s="61">
        <f t="shared" si="6"/>
        <v>263.72790064500009</v>
      </c>
      <c r="E31" s="61">
        <f t="shared" si="6"/>
        <v>261.09062163854981</v>
      </c>
      <c r="F31" s="61">
        <f t="shared" ref="F31:G31" si="7">F29-F30</f>
        <v>258.47971542216453</v>
      </c>
      <c r="G31" s="61">
        <f t="shared" si="7"/>
        <v>264.31601391574293</v>
      </c>
      <c r="H31" s="61">
        <f t="shared" si="6"/>
        <v>262.4022580084719</v>
      </c>
      <c r="I31" s="70"/>
      <c r="AJ31" s="54" t="s">
        <v>71</v>
      </c>
      <c r="AK31" s="54" t="s">
        <v>72</v>
      </c>
    </row>
    <row r="32" spans="1:38" s="50" customFormat="1" ht="15.75" hidden="1" customHeight="1">
      <c r="A32" s="54">
        <v>3.1</v>
      </c>
      <c r="B32" s="54" t="s">
        <v>73</v>
      </c>
      <c r="C32" s="130">
        <f t="shared" ref="C32:H32" si="8">C31/C29</f>
        <v>0.27557774362068965</v>
      </c>
      <c r="D32" s="130">
        <f t="shared" si="8"/>
        <v>0.27557774362068976</v>
      </c>
      <c r="E32" s="130">
        <f t="shared" si="8"/>
        <v>0.27557774362068949</v>
      </c>
      <c r="F32" s="130">
        <f t="shared" ref="F32:G32" si="9">F31/F29</f>
        <v>0.27557774362068971</v>
      </c>
      <c r="G32" s="130">
        <f t="shared" si="9"/>
        <v>0.28464656981365388</v>
      </c>
      <c r="H32" s="130">
        <f t="shared" si="8"/>
        <v>0.27755717741612684</v>
      </c>
      <c r="I32" s="70"/>
      <c r="AJ32" s="54"/>
      <c r="AK32" s="54"/>
    </row>
    <row r="33" spans="1:37" s="50" customFormat="1" ht="15.75" hidden="1" customHeight="1">
      <c r="A33" s="54" t="s">
        <v>68</v>
      </c>
      <c r="B33" s="57" t="s">
        <v>8</v>
      </c>
      <c r="C33" s="61"/>
      <c r="D33" s="61"/>
      <c r="E33" s="61"/>
      <c r="F33" s="61"/>
      <c r="G33" s="61"/>
      <c r="H33" s="61"/>
      <c r="I33" s="70"/>
      <c r="AJ33" s="54" t="s">
        <v>74</v>
      </c>
      <c r="AK33" s="57" t="s">
        <v>8</v>
      </c>
    </row>
    <row r="34" spans="1:37" s="50" customFormat="1" ht="15.75" hidden="1" customHeight="1">
      <c r="A34" s="54" t="s">
        <v>21</v>
      </c>
      <c r="B34" s="62" t="s">
        <v>75</v>
      </c>
      <c r="C34" s="56">
        <f>+C8/C3</f>
        <v>54.345986826706842</v>
      </c>
      <c r="D34" s="56">
        <f t="shared" ref="D34:E34" si="10">+D8/D3</f>
        <v>54.345986826706842</v>
      </c>
      <c r="E34" s="56">
        <f t="shared" si="10"/>
        <v>54.345986826706842</v>
      </c>
      <c r="F34" s="56">
        <f t="shared" ref="F34:G34" si="11">+F8/F3</f>
        <v>54.345986826706842</v>
      </c>
      <c r="G34" s="56">
        <f t="shared" si="11"/>
        <v>54.345986826706842</v>
      </c>
      <c r="H34" s="56">
        <f>+H8/H3</f>
        <v>54.345986826706834</v>
      </c>
      <c r="I34" s="70"/>
      <c r="AJ34" s="54" t="s">
        <v>71</v>
      </c>
      <c r="AK34" s="54" t="s">
        <v>75</v>
      </c>
    </row>
    <row r="35" spans="1:37" s="50" customFormat="1" ht="15.75" hidden="1" customHeight="1">
      <c r="A35" s="54" t="s">
        <v>23</v>
      </c>
      <c r="B35" s="62" t="s">
        <v>76</v>
      </c>
      <c r="C35" s="56">
        <f>+C9/C3</f>
        <v>14.57345661437405</v>
      </c>
      <c r="D35" s="56">
        <f t="shared" ref="D35:E35" si="12">+D9/D3</f>
        <v>14.57345661437405</v>
      </c>
      <c r="E35" s="56">
        <f t="shared" si="12"/>
        <v>14.57345661437405</v>
      </c>
      <c r="F35" s="56">
        <f t="shared" ref="F35:G35" si="13">+F9/F3</f>
        <v>14.57345661437405</v>
      </c>
      <c r="G35" s="56">
        <f t="shared" si="13"/>
        <v>14.57345661437405</v>
      </c>
      <c r="H35" s="56">
        <f>+H9/H3</f>
        <v>14.573456614374052</v>
      </c>
      <c r="I35" s="70"/>
      <c r="AJ35" s="54" t="s">
        <v>26</v>
      </c>
      <c r="AK35" s="54" t="s">
        <v>76</v>
      </c>
    </row>
    <row r="36" spans="1:37" s="50" customFormat="1" ht="15.75" hidden="1" customHeight="1">
      <c r="A36" s="54" t="s">
        <v>71</v>
      </c>
      <c r="B36" s="62" t="s">
        <v>77</v>
      </c>
      <c r="C36" s="56">
        <f>+C10/C3</f>
        <v>38.666666666666664</v>
      </c>
      <c r="D36" s="56">
        <f t="shared" ref="D36:E36" si="14">+D10/D3</f>
        <v>38.666666666666664</v>
      </c>
      <c r="E36" s="56">
        <f t="shared" si="14"/>
        <v>38.666666666666664</v>
      </c>
      <c r="F36" s="56">
        <f t="shared" ref="F36:G36" si="15">+F10/F3</f>
        <v>38.666666666666664</v>
      </c>
      <c r="G36" s="56">
        <f t="shared" si="15"/>
        <v>38.666666666666664</v>
      </c>
      <c r="H36" s="56">
        <f>+H10/H3</f>
        <v>38.666666666666664</v>
      </c>
      <c r="I36" s="70"/>
      <c r="AJ36" s="54" t="s">
        <v>32</v>
      </c>
      <c r="AK36" s="54" t="s">
        <v>77</v>
      </c>
    </row>
    <row r="37" spans="1:37" s="50" customFormat="1" ht="15.75" hidden="1" customHeight="1">
      <c r="A37" s="54" t="s">
        <v>78</v>
      </c>
      <c r="B37" s="119" t="s">
        <v>79</v>
      </c>
      <c r="C37" s="56"/>
      <c r="D37" s="56"/>
      <c r="E37" s="56"/>
      <c r="F37" s="56"/>
      <c r="G37" s="56"/>
      <c r="H37" s="56"/>
      <c r="I37" s="70"/>
      <c r="AJ37" s="54" t="s">
        <v>78</v>
      </c>
      <c r="AK37" s="57" t="s">
        <v>79</v>
      </c>
    </row>
    <row r="38" spans="1:37" s="50" customFormat="1" hidden="1">
      <c r="A38" s="54" t="s">
        <v>21</v>
      </c>
      <c r="B38" s="62" t="s">
        <v>80</v>
      </c>
      <c r="C38" s="56">
        <f>+C12/C3</f>
        <v>158.80570872558576</v>
      </c>
      <c r="D38" s="56">
        <f t="shared" ref="D38:G38" si="16">+D12/D3</f>
        <v>156.14179053725243</v>
      </c>
      <c r="E38" s="56">
        <f t="shared" si="16"/>
        <v>153.50451153080246</v>
      </c>
      <c r="F38" s="56">
        <f t="shared" si="16"/>
        <v>150.89360531441699</v>
      </c>
      <c r="G38" s="56">
        <f t="shared" si="16"/>
        <v>156.72990380799541</v>
      </c>
      <c r="H38" s="56">
        <f>+H12/H3</f>
        <v>154.81614790072436</v>
      </c>
      <c r="I38" s="70"/>
      <c r="AJ38" s="54" t="s">
        <v>21</v>
      </c>
      <c r="AK38" s="54" t="s">
        <v>81</v>
      </c>
    </row>
    <row r="39" spans="1:37" s="50" customFormat="1" ht="15.75" hidden="1" customHeight="1">
      <c r="A39" s="54" t="s">
        <v>23</v>
      </c>
      <c r="B39" s="62" t="s">
        <v>82</v>
      </c>
      <c r="C39" s="114">
        <f t="shared" ref="C39:G39" si="17">+C20/C38</f>
        <v>24693.885575463497</v>
      </c>
      <c r="D39" s="114">
        <f t="shared" si="17"/>
        <v>47774.077486451642</v>
      </c>
      <c r="E39" s="114">
        <f t="shared" si="17"/>
        <v>48594.858389573514</v>
      </c>
      <c r="F39" s="114">
        <f t="shared" si="17"/>
        <v>49435.693344701904</v>
      </c>
      <c r="G39" s="114">
        <f t="shared" si="17"/>
        <v>47594.810044281163</v>
      </c>
      <c r="H39" s="192">
        <f t="shared" ref="H39" si="18">+H20/H38</f>
        <v>218062.84717565979</v>
      </c>
      <c r="I39" s="70"/>
      <c r="AJ39" s="54" t="s">
        <v>23</v>
      </c>
      <c r="AK39" s="54" t="s">
        <v>82</v>
      </c>
    </row>
    <row r="40" spans="1:37" s="50" customFormat="1" ht="15.75" hidden="1" customHeight="1">
      <c r="A40" s="54" t="s">
        <v>83</v>
      </c>
      <c r="B40" s="57" t="s">
        <v>84</v>
      </c>
      <c r="C40" s="61"/>
      <c r="D40" s="61"/>
      <c r="E40" s="61"/>
      <c r="F40" s="61"/>
      <c r="G40" s="61"/>
      <c r="H40" s="61"/>
      <c r="I40" s="70"/>
      <c r="AJ40" s="54" t="s">
        <v>83</v>
      </c>
      <c r="AK40" s="57" t="s">
        <v>84</v>
      </c>
    </row>
    <row r="41" spans="1:37" s="50" customFormat="1" ht="15.75" hidden="1" customHeight="1">
      <c r="A41" s="54" t="s">
        <v>21</v>
      </c>
      <c r="B41" s="54" t="s">
        <v>85</v>
      </c>
      <c r="C41" s="61">
        <f>+C14/C3</f>
        <v>50.700999999999993</v>
      </c>
      <c r="D41" s="61">
        <f t="shared" ref="D41:E41" si="19">+D14/D3</f>
        <v>47.10049999999999</v>
      </c>
      <c r="E41" s="61">
        <f t="shared" si="19"/>
        <v>47.10049999999999</v>
      </c>
      <c r="F41" s="61">
        <f t="shared" ref="F41:G41" si="20">+F14/F3</f>
        <v>47.10049999999999</v>
      </c>
      <c r="G41" s="61">
        <f t="shared" si="20"/>
        <v>47.10049999999999</v>
      </c>
      <c r="H41" s="61">
        <f>+H14/H3</f>
        <v>47.50055555555555</v>
      </c>
      <c r="I41" s="70"/>
      <c r="AJ41" s="54" t="s">
        <v>21</v>
      </c>
      <c r="AK41" s="54" t="s">
        <v>85</v>
      </c>
    </row>
    <row r="42" spans="1:37" s="50" customFormat="1" ht="15.75" hidden="1" customHeight="1">
      <c r="A42" s="54" t="s">
        <v>23</v>
      </c>
      <c r="B42" s="54" t="s">
        <v>86</v>
      </c>
      <c r="C42" s="61">
        <f>+C16/C3</f>
        <v>6.7666666666666666</v>
      </c>
      <c r="D42" s="61">
        <f t="shared" ref="D42:E42" si="21">+D16/D3</f>
        <v>6.7666666666666666</v>
      </c>
      <c r="E42" s="61">
        <f t="shared" si="21"/>
        <v>6.7666666666666666</v>
      </c>
      <c r="F42" s="61">
        <f t="shared" ref="F42:G42" si="22">+F16/F3</f>
        <v>6.7666666666666666</v>
      </c>
      <c r="G42" s="61">
        <f t="shared" si="22"/>
        <v>6.7666666666666666</v>
      </c>
      <c r="H42" s="61">
        <f>+H16/H3</f>
        <v>6.7666666666666666</v>
      </c>
      <c r="I42" s="70"/>
      <c r="AJ42" s="54" t="s">
        <v>23</v>
      </c>
      <c r="AK42" s="54" t="s">
        <v>86</v>
      </c>
    </row>
    <row r="43" spans="1:37" s="50" customFormat="1" ht="15.75" hidden="1" customHeight="1">
      <c r="A43" s="54" t="s">
        <v>71</v>
      </c>
      <c r="B43" s="54" t="s">
        <v>87</v>
      </c>
      <c r="C43" s="61">
        <f>+C17/C3</f>
        <v>29</v>
      </c>
      <c r="D43" s="61">
        <f t="shared" ref="D43:E43" si="23">+D17/D3</f>
        <v>29</v>
      </c>
      <c r="E43" s="61">
        <f t="shared" si="23"/>
        <v>29</v>
      </c>
      <c r="F43" s="61">
        <f t="shared" ref="F43:G43" si="24">+F17/F3</f>
        <v>29</v>
      </c>
      <c r="G43" s="61">
        <f t="shared" si="24"/>
        <v>29</v>
      </c>
      <c r="H43" s="61">
        <f>+H17/H3</f>
        <v>29</v>
      </c>
      <c r="I43" s="70"/>
      <c r="AJ43" s="54" t="s">
        <v>71</v>
      </c>
      <c r="AK43" s="54" t="s">
        <v>87</v>
      </c>
    </row>
    <row r="44" spans="1:37" s="50" customFormat="1" ht="15.75" hidden="1" customHeight="1">
      <c r="A44" s="54" t="s">
        <v>26</v>
      </c>
      <c r="B44" s="54" t="s">
        <v>88</v>
      </c>
      <c r="C44" s="61"/>
      <c r="D44" s="61"/>
      <c r="E44" s="61"/>
      <c r="F44" s="61"/>
      <c r="G44" s="61"/>
      <c r="H44" s="61"/>
      <c r="I44" s="70"/>
      <c r="AJ44" s="54" t="s">
        <v>26</v>
      </c>
      <c r="AK44" s="54" t="s">
        <v>89</v>
      </c>
    </row>
    <row r="45" spans="1:37" s="50" customFormat="1" ht="15.75" hidden="1" customHeight="1">
      <c r="A45" s="54" t="s">
        <v>29</v>
      </c>
      <c r="B45" s="54" t="s">
        <v>90</v>
      </c>
      <c r="C45" s="61"/>
      <c r="D45" s="61"/>
      <c r="E45" s="61"/>
      <c r="F45" s="61"/>
      <c r="G45" s="61"/>
      <c r="H45" s="61"/>
      <c r="I45" s="70"/>
      <c r="AJ45" s="54" t="s">
        <v>29</v>
      </c>
      <c r="AK45" s="54" t="s">
        <v>90</v>
      </c>
    </row>
    <row r="46" spans="1:37" s="50" customFormat="1" ht="15.75" hidden="1" customHeight="1">
      <c r="A46" s="54" t="s">
        <v>91</v>
      </c>
      <c r="B46" s="57" t="s">
        <v>92</v>
      </c>
      <c r="C46" s="61"/>
      <c r="D46" s="61"/>
      <c r="E46" s="61"/>
      <c r="F46" s="61"/>
      <c r="G46" s="61"/>
      <c r="H46" s="61"/>
      <c r="I46" s="70"/>
      <c r="AJ46" s="54" t="s">
        <v>91</v>
      </c>
      <c r="AK46" s="57" t="s">
        <v>92</v>
      </c>
    </row>
    <row r="47" spans="1:37" s="50" customFormat="1" ht="15.75" hidden="1" customHeight="1">
      <c r="A47" s="54" t="s">
        <v>21</v>
      </c>
      <c r="B47" s="54" t="s">
        <v>93</v>
      </c>
      <c r="C47" s="131">
        <f>+(C10+C16)/C6</f>
        <v>4.7E-2</v>
      </c>
      <c r="D47" s="131">
        <f t="shared" ref="D47:E47" si="25">+(D10+D16)/D6</f>
        <v>4.7474747474747475E-2</v>
      </c>
      <c r="E47" s="131">
        <f t="shared" si="25"/>
        <v>4.7954290378532806E-2</v>
      </c>
      <c r="F47" s="131">
        <f t="shared" ref="F47:G47" si="26">+(F10+F16)/F6</f>
        <v>4.8438677150033131E-2</v>
      </c>
      <c r="G47" s="131">
        <f t="shared" si="26"/>
        <v>4.8927956717205186E-2</v>
      </c>
      <c r="H47" s="131">
        <f>+(H10+H16)/H6</f>
        <v>4.805731420268073E-2</v>
      </c>
      <c r="I47" s="70"/>
      <c r="AJ47" s="54" t="s">
        <v>21</v>
      </c>
      <c r="AK47" s="54" t="s">
        <v>93</v>
      </c>
    </row>
    <row r="48" spans="1:37" s="50" customFormat="1" ht="15.75" hidden="1" customHeight="1">
      <c r="A48" s="54" t="s">
        <v>23</v>
      </c>
      <c r="B48" s="54" t="s">
        <v>94</v>
      </c>
      <c r="C48" s="131">
        <f>+(C8+C9+C14)/C6</f>
        <v>0.12374528631835954</v>
      </c>
      <c r="D48" s="131">
        <f t="shared" ref="D48:E48" si="27">+(D8+D9+D14)/D6</f>
        <v>0.12123296075348056</v>
      </c>
      <c r="E48" s="131">
        <f t="shared" si="27"/>
        <v>0.12245753611462683</v>
      </c>
      <c r="F48" s="131">
        <f t="shared" ref="F48:G48" si="28">+(F8+F9+F14)/F6</f>
        <v>0.12369448092386548</v>
      </c>
      <c r="G48" s="131">
        <f t="shared" si="28"/>
        <v>0.12494392012511665</v>
      </c>
      <c r="H48" s="131">
        <f>+(H8+H9+H14)/H6</f>
        <v>0.12314378146567423</v>
      </c>
      <c r="I48" s="70"/>
      <c r="AJ48" s="54" t="s">
        <v>23</v>
      </c>
      <c r="AK48" s="54" t="s">
        <v>94</v>
      </c>
    </row>
    <row r="49" spans="1:37" s="50" customFormat="1" ht="15.75" hidden="1" customHeight="1">
      <c r="A49" s="54" t="s">
        <v>71</v>
      </c>
      <c r="B49" s="54" t="s">
        <v>95</v>
      </c>
      <c r="C49" s="131">
        <f>+C17/C6</f>
        <v>0.03</v>
      </c>
      <c r="D49" s="131">
        <f t="shared" ref="D49:E49" si="29">+D17/D6</f>
        <v>3.0303030303030304E-2</v>
      </c>
      <c r="E49" s="131">
        <f t="shared" si="29"/>
        <v>3.0609121518212427E-2</v>
      </c>
      <c r="F49" s="131">
        <f t="shared" ref="F49:G49" si="30">+F17/F6</f>
        <v>3.0918304563850935E-2</v>
      </c>
      <c r="G49" s="131">
        <f t="shared" si="30"/>
        <v>3.1230610670556502E-2</v>
      </c>
      <c r="H49" s="131">
        <f>+H17/H6</f>
        <v>3.0674881405966421E-2</v>
      </c>
      <c r="I49" s="70"/>
      <c r="AJ49" s="54" t="s">
        <v>71</v>
      </c>
      <c r="AK49" s="54" t="s">
        <v>95</v>
      </c>
    </row>
    <row r="50" spans="1:37" s="50" customFormat="1" ht="15.75" hidden="1" customHeight="1">
      <c r="A50" s="54" t="s">
        <v>26</v>
      </c>
      <c r="B50" s="54" t="s">
        <v>96</v>
      </c>
      <c r="C50" s="131">
        <f>+C18/C6</f>
        <v>5.775862068965517E-3</v>
      </c>
      <c r="D50" s="131">
        <f t="shared" ref="D50:E50" si="31">+D18/D6</f>
        <v>2.9171020550330896E-3</v>
      </c>
      <c r="E50" s="131">
        <f t="shared" si="31"/>
        <v>2.946567732356656E-3</v>
      </c>
      <c r="F50" s="131">
        <f t="shared" ref="F50:G50" si="32">+F18/F6</f>
        <v>2.9763310427845012E-3</v>
      </c>
      <c r="G50" s="131">
        <f t="shared" si="32"/>
        <v>3.0063949927116172E-3</v>
      </c>
      <c r="H50" s="131">
        <f>+H18/H6</f>
        <v>3.2809978515321685E-3</v>
      </c>
      <c r="I50" s="70"/>
      <c r="AJ50" s="54" t="s">
        <v>26</v>
      </c>
      <c r="AK50" s="54" t="s">
        <v>96</v>
      </c>
    </row>
    <row r="51" spans="1:37" s="50" customFormat="1" ht="15.75" hidden="1" customHeight="1">
      <c r="A51" s="54" t="s">
        <v>29</v>
      </c>
      <c r="B51" s="54" t="s">
        <v>97</v>
      </c>
      <c r="C51" s="131">
        <f>+C19/C6</f>
        <v>0.04</v>
      </c>
      <c r="D51" s="131">
        <f t="shared" ref="D51:E51" si="33">+D19/D6</f>
        <v>4.0404040404040407E-2</v>
      </c>
      <c r="E51" s="131">
        <f t="shared" si="33"/>
        <v>4.0812162024283234E-2</v>
      </c>
      <c r="F51" s="131">
        <f t="shared" ref="F51:G51" si="34">+F19/F6</f>
        <v>4.1224406085134585E-2</v>
      </c>
      <c r="G51" s="131">
        <f t="shared" si="34"/>
        <v>4.1640814227408673E-2</v>
      </c>
      <c r="H51" s="131">
        <f>+H19/H6</f>
        <v>4.0899841874621895E-2</v>
      </c>
      <c r="I51" s="70"/>
      <c r="AJ51" s="54" t="s">
        <v>29</v>
      </c>
      <c r="AK51" s="54" t="s">
        <v>97</v>
      </c>
    </row>
    <row r="52" spans="1:37" s="50" customFormat="1" ht="15.75" hidden="1" customHeight="1">
      <c r="A52" s="54" t="s">
        <v>32</v>
      </c>
      <c r="B52" s="54" t="s">
        <v>98</v>
      </c>
      <c r="C52" s="131">
        <f>+C23/C6</f>
        <v>2.4698105948359889E-2</v>
      </c>
      <c r="D52" s="131">
        <f t="shared" ref="D52:E52" si="35">+D23/D6</f>
        <v>2.8258983235804145E-2</v>
      </c>
      <c r="E52" s="131">
        <f t="shared" si="35"/>
        <v>2.6178355974776069E-2</v>
      </c>
      <c r="F52" s="131">
        <f t="shared" ref="F52:G52" si="36">+F23/F6</f>
        <v>2.4076712276767921E-2</v>
      </c>
      <c r="G52" s="131">
        <f t="shared" si="36"/>
        <v>2.9662342118556988E-2</v>
      </c>
      <c r="H52" s="131">
        <f>+H23/H6</f>
        <v>2.3625270461738554E-2</v>
      </c>
      <c r="I52" s="70"/>
      <c r="AJ52" s="54" t="s">
        <v>32</v>
      </c>
      <c r="AK52" s="54" t="s">
        <v>99</v>
      </c>
    </row>
    <row r="53" spans="1:37" s="50" customFormat="1" ht="15.75" hidden="1" customHeight="1">
      <c r="A53" s="54" t="s">
        <v>100</v>
      </c>
      <c r="B53" s="57" t="s">
        <v>101</v>
      </c>
      <c r="C53" s="61">
        <f>+C21/C3</f>
        <v>28.08804205891909</v>
      </c>
      <c r="D53" s="61">
        <f t="shared" ref="D53:E53" si="37">+D21/D3</f>
        <v>31.816290537252431</v>
      </c>
      <c r="E53" s="61">
        <f t="shared" si="37"/>
        <v>29.179011530802462</v>
      </c>
      <c r="F53" s="61">
        <f t="shared" ref="F53:G53" si="38">+F21/F3</f>
        <v>26.568105314416997</v>
      </c>
      <c r="G53" s="61">
        <f t="shared" si="38"/>
        <v>32.404403807995408</v>
      </c>
      <c r="H53" s="61">
        <f>+H21/H3</f>
        <v>29.780407159983614</v>
      </c>
      <c r="I53" s="70"/>
      <c r="AJ53" s="54" t="s">
        <v>100</v>
      </c>
      <c r="AK53" s="57" t="s">
        <v>101</v>
      </c>
    </row>
    <row r="54" spans="1:37" s="50" customFormat="1" ht="15.75" hidden="1" customHeight="1">
      <c r="A54" s="54" t="s">
        <v>102</v>
      </c>
      <c r="B54" s="132" t="s">
        <v>103</v>
      </c>
      <c r="C54" s="61"/>
      <c r="D54" s="61"/>
      <c r="E54" s="61"/>
      <c r="F54" s="61"/>
      <c r="G54" s="61"/>
      <c r="H54" s="61"/>
      <c r="I54" s="70"/>
      <c r="AJ54" s="54"/>
      <c r="AK54" s="57"/>
    </row>
    <row r="55" spans="1:37" s="50" customFormat="1" ht="15.75" hidden="1" customHeight="1">
      <c r="A55" s="54" t="s">
        <v>21</v>
      </c>
      <c r="B55" s="54" t="s">
        <v>104</v>
      </c>
      <c r="C55" s="61">
        <f>C56+C57</f>
        <v>1974500</v>
      </c>
      <c r="D55" s="61"/>
      <c r="E55" s="61"/>
      <c r="F55" s="61"/>
      <c r="G55" s="61"/>
      <c r="H55" s="61"/>
      <c r="I55" s="70"/>
    </row>
    <row r="56" spans="1:37" s="50" customFormat="1" ht="15.75" hidden="1" customHeight="1">
      <c r="A56" s="54">
        <v>1.1000000000000001</v>
      </c>
      <c r="B56" s="133" t="s">
        <v>105</v>
      </c>
      <c r="C56" s="61">
        <f>项目投资!B27</f>
        <v>837500</v>
      </c>
      <c r="D56" s="61"/>
      <c r="E56" s="61"/>
      <c r="F56" s="61"/>
      <c r="G56" s="61"/>
      <c r="H56" s="61"/>
      <c r="I56" s="70"/>
    </row>
    <row r="57" spans="1:37" s="50" customFormat="1" ht="15.75" hidden="1" customHeight="1">
      <c r="A57" s="54">
        <v>1.2</v>
      </c>
      <c r="B57" s="54" t="s">
        <v>106</v>
      </c>
      <c r="C57" s="61">
        <f>项目投资!B26</f>
        <v>1137000</v>
      </c>
      <c r="D57" s="61"/>
      <c r="E57" s="61"/>
      <c r="F57" s="61"/>
      <c r="G57" s="61"/>
      <c r="H57" s="61"/>
      <c r="I57" s="70"/>
    </row>
    <row r="58" spans="1:37" ht="15.75" hidden="1" customHeight="1">
      <c r="A58" s="120" t="s">
        <v>23</v>
      </c>
      <c r="B58" s="120" t="s">
        <v>107</v>
      </c>
      <c r="C58" s="134">
        <f t="shared" ref="C58:G58" si="39">C59+C60</f>
        <v>932275.07250243681</v>
      </c>
      <c r="D58" s="134">
        <f t="shared" si="39"/>
        <v>1838660.8173998741</v>
      </c>
      <c r="E58" s="134">
        <f t="shared" si="39"/>
        <v>1704159.5880709256</v>
      </c>
      <c r="F58" s="134">
        <f t="shared" si="39"/>
        <v>1571003.3710352669</v>
      </c>
      <c r="G58" s="134">
        <f t="shared" si="39"/>
        <v>1868654.5942077658</v>
      </c>
      <c r="H58" s="134">
        <f t="shared" ref="H58" si="40">H59+H60</f>
        <v>7110682.4498966821</v>
      </c>
      <c r="I58" s="70"/>
    </row>
    <row r="59" spans="1:37" ht="15.75" hidden="1" customHeight="1">
      <c r="A59" s="120" t="s">
        <v>71</v>
      </c>
      <c r="B59" s="120" t="s">
        <v>108</v>
      </c>
      <c r="C59" s="134">
        <f t="shared" ref="C59:G59" si="41">C23</f>
        <v>716245.07250243681</v>
      </c>
      <c r="D59" s="134">
        <f t="shared" si="41"/>
        <v>1622630.8173998741</v>
      </c>
      <c r="E59" s="134">
        <f t="shared" si="41"/>
        <v>1488129.5880709256</v>
      </c>
      <c r="F59" s="134">
        <f t="shared" si="41"/>
        <v>1354973.3710352669</v>
      </c>
      <c r="G59" s="134">
        <f t="shared" si="41"/>
        <v>1652624.5942077658</v>
      </c>
      <c r="H59" s="134">
        <f t="shared" ref="H59" si="42">H23</f>
        <v>6030532.4498966821</v>
      </c>
      <c r="I59" s="70"/>
    </row>
    <row r="60" spans="1:37" ht="15.75" hidden="1" customHeight="1">
      <c r="A60" s="120" t="s">
        <v>26</v>
      </c>
      <c r="B60" s="120" t="s">
        <v>109</v>
      </c>
      <c r="C60" s="134">
        <f>'2022年'!G18</f>
        <v>216030</v>
      </c>
      <c r="D60" s="134">
        <f>'2023年'!G18</f>
        <v>216030</v>
      </c>
      <c r="E60" s="134">
        <f>'2024年'!G18</f>
        <v>216030</v>
      </c>
      <c r="F60" s="134">
        <f>'2025年'!G18</f>
        <v>216030</v>
      </c>
      <c r="G60" s="134">
        <f>'2026年'!G18</f>
        <v>216030</v>
      </c>
      <c r="H60" s="134">
        <f>项目投资!I26</f>
        <v>1080150</v>
      </c>
      <c r="I60" s="70"/>
    </row>
    <row r="61" spans="1:37" ht="15.75" hidden="1" customHeight="1">
      <c r="A61" s="120" t="s">
        <v>29</v>
      </c>
      <c r="B61" s="120" t="s">
        <v>110</v>
      </c>
      <c r="C61" s="135"/>
      <c r="D61" s="135"/>
      <c r="E61" s="135"/>
      <c r="F61" s="135"/>
      <c r="G61" s="135"/>
      <c r="H61" s="134"/>
      <c r="I61" s="70"/>
    </row>
    <row r="62" spans="1:37" hidden="1"/>
    <row r="63" spans="1:37">
      <c r="B63" s="196"/>
    </row>
  </sheetData>
  <mergeCells count="2">
    <mergeCell ref="A1:H1"/>
    <mergeCell ref="A2:A3"/>
  </mergeCells>
  <phoneticPr fontId="39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4" customWidth="1"/>
    <col min="2" max="2" width="28.5" style="74" customWidth="1"/>
    <col min="3" max="4" width="9.125" style="74"/>
    <col min="5" max="5" width="13.875" style="74" customWidth="1"/>
    <col min="6" max="12" width="16.125" style="74" customWidth="1"/>
    <col min="13" max="13" width="10.625" style="74" customWidth="1"/>
    <col min="14" max="254" width="9.125" style="74"/>
    <col min="255" max="255" width="8" style="74" customWidth="1"/>
    <col min="256" max="256" width="28.5" style="74" customWidth="1"/>
    <col min="257" max="268" width="9.125" style="74"/>
    <col min="269" max="269" width="10.625" style="74" customWidth="1"/>
    <col min="270" max="510" width="9.125" style="74"/>
    <col min="511" max="511" width="8" style="74" customWidth="1"/>
    <col min="512" max="512" width="28.5" style="74" customWidth="1"/>
    <col min="513" max="524" width="9.125" style="74"/>
    <col min="525" max="525" width="10.625" style="74" customWidth="1"/>
    <col min="526" max="766" width="9.125" style="74"/>
    <col min="767" max="767" width="8" style="74" customWidth="1"/>
    <col min="768" max="768" width="28.5" style="74" customWidth="1"/>
    <col min="769" max="780" width="9.125" style="74"/>
    <col min="781" max="781" width="10.625" style="74" customWidth="1"/>
    <col min="782" max="1022" width="9.125" style="74"/>
    <col min="1023" max="1023" width="8" style="74" customWidth="1"/>
    <col min="1024" max="1024" width="28.5" style="74" customWidth="1"/>
    <col min="1025" max="1036" width="9.125" style="74"/>
    <col min="1037" max="1037" width="10.625" style="74" customWidth="1"/>
    <col min="1038" max="1278" width="9.125" style="74"/>
    <col min="1279" max="1279" width="8" style="74" customWidth="1"/>
    <col min="1280" max="1280" width="28.5" style="74" customWidth="1"/>
    <col min="1281" max="1292" width="9.125" style="74"/>
    <col min="1293" max="1293" width="10.625" style="74" customWidth="1"/>
    <col min="1294" max="1534" width="9.125" style="74"/>
    <col min="1535" max="1535" width="8" style="74" customWidth="1"/>
    <col min="1536" max="1536" width="28.5" style="74" customWidth="1"/>
    <col min="1537" max="1548" width="9.125" style="74"/>
    <col min="1549" max="1549" width="10.625" style="74" customWidth="1"/>
    <col min="1550" max="1790" width="9.125" style="74"/>
    <col min="1791" max="1791" width="8" style="74" customWidth="1"/>
    <col min="1792" max="1792" width="28.5" style="74" customWidth="1"/>
    <col min="1793" max="1804" width="9.125" style="74"/>
    <col min="1805" max="1805" width="10.625" style="74" customWidth="1"/>
    <col min="1806" max="2046" width="9.125" style="74"/>
    <col min="2047" max="2047" width="8" style="74" customWidth="1"/>
    <col min="2048" max="2048" width="28.5" style="74" customWidth="1"/>
    <col min="2049" max="2060" width="9.125" style="74"/>
    <col min="2061" max="2061" width="10.625" style="74" customWidth="1"/>
    <col min="2062" max="2302" width="9.125" style="74"/>
    <col min="2303" max="2303" width="8" style="74" customWidth="1"/>
    <col min="2304" max="2304" width="28.5" style="74" customWidth="1"/>
    <col min="2305" max="2316" width="9.125" style="74"/>
    <col min="2317" max="2317" width="10.625" style="74" customWidth="1"/>
    <col min="2318" max="2558" width="9.125" style="74"/>
    <col min="2559" max="2559" width="8" style="74" customWidth="1"/>
    <col min="2560" max="2560" width="28.5" style="74" customWidth="1"/>
    <col min="2561" max="2572" width="9.125" style="74"/>
    <col min="2573" max="2573" width="10.625" style="74" customWidth="1"/>
    <col min="2574" max="2814" width="9.125" style="74"/>
    <col min="2815" max="2815" width="8" style="74" customWidth="1"/>
    <col min="2816" max="2816" width="28.5" style="74" customWidth="1"/>
    <col min="2817" max="2828" width="9.125" style="74"/>
    <col min="2829" max="2829" width="10.625" style="74" customWidth="1"/>
    <col min="2830" max="3070" width="9.125" style="74"/>
    <col min="3071" max="3071" width="8" style="74" customWidth="1"/>
    <col min="3072" max="3072" width="28.5" style="74" customWidth="1"/>
    <col min="3073" max="3084" width="9.125" style="74"/>
    <col min="3085" max="3085" width="10.625" style="74" customWidth="1"/>
    <col min="3086" max="3326" width="9.125" style="74"/>
    <col min="3327" max="3327" width="8" style="74" customWidth="1"/>
    <col min="3328" max="3328" width="28.5" style="74" customWidth="1"/>
    <col min="3329" max="3340" width="9.125" style="74"/>
    <col min="3341" max="3341" width="10.625" style="74" customWidth="1"/>
    <col min="3342" max="3582" width="9.125" style="74"/>
    <col min="3583" max="3583" width="8" style="74" customWidth="1"/>
    <col min="3584" max="3584" width="28.5" style="74" customWidth="1"/>
    <col min="3585" max="3596" width="9.125" style="74"/>
    <col min="3597" max="3597" width="10.625" style="74" customWidth="1"/>
    <col min="3598" max="3838" width="9.125" style="74"/>
    <col min="3839" max="3839" width="8" style="74" customWidth="1"/>
    <col min="3840" max="3840" width="28.5" style="74" customWidth="1"/>
    <col min="3841" max="3852" width="9.125" style="74"/>
    <col min="3853" max="3853" width="10.625" style="74" customWidth="1"/>
    <col min="3854" max="4094" width="9.125" style="74"/>
    <col min="4095" max="4095" width="8" style="74" customWidth="1"/>
    <col min="4096" max="4096" width="28.5" style="74" customWidth="1"/>
    <col min="4097" max="4108" width="9.125" style="74"/>
    <col min="4109" max="4109" width="10.625" style="74" customWidth="1"/>
    <col min="4110" max="4350" width="9.125" style="74"/>
    <col min="4351" max="4351" width="8" style="74" customWidth="1"/>
    <col min="4352" max="4352" width="28.5" style="74" customWidth="1"/>
    <col min="4353" max="4364" width="9.125" style="74"/>
    <col min="4365" max="4365" width="10.625" style="74" customWidth="1"/>
    <col min="4366" max="4606" width="9.125" style="74"/>
    <col min="4607" max="4607" width="8" style="74" customWidth="1"/>
    <col min="4608" max="4608" width="28.5" style="74" customWidth="1"/>
    <col min="4609" max="4620" width="9.125" style="74"/>
    <col min="4621" max="4621" width="10.625" style="74" customWidth="1"/>
    <col min="4622" max="4862" width="9.125" style="74"/>
    <col min="4863" max="4863" width="8" style="74" customWidth="1"/>
    <col min="4864" max="4864" width="28.5" style="74" customWidth="1"/>
    <col min="4865" max="4876" width="9.125" style="74"/>
    <col min="4877" max="4877" width="10.625" style="74" customWidth="1"/>
    <col min="4878" max="5118" width="9.125" style="74"/>
    <col min="5119" max="5119" width="8" style="74" customWidth="1"/>
    <col min="5120" max="5120" width="28.5" style="74" customWidth="1"/>
    <col min="5121" max="5132" width="9.125" style="74"/>
    <col min="5133" max="5133" width="10.625" style="74" customWidth="1"/>
    <col min="5134" max="5374" width="9.125" style="74"/>
    <col min="5375" max="5375" width="8" style="74" customWidth="1"/>
    <col min="5376" max="5376" width="28.5" style="74" customWidth="1"/>
    <col min="5377" max="5388" width="9.125" style="74"/>
    <col min="5389" max="5389" width="10.625" style="74" customWidth="1"/>
    <col min="5390" max="5630" width="9.125" style="74"/>
    <col min="5631" max="5631" width="8" style="74" customWidth="1"/>
    <col min="5632" max="5632" width="28.5" style="74" customWidth="1"/>
    <col min="5633" max="5644" width="9.125" style="74"/>
    <col min="5645" max="5645" width="10.625" style="74" customWidth="1"/>
    <col min="5646" max="5886" width="9.125" style="74"/>
    <col min="5887" max="5887" width="8" style="74" customWidth="1"/>
    <col min="5888" max="5888" width="28.5" style="74" customWidth="1"/>
    <col min="5889" max="5900" width="9.125" style="74"/>
    <col min="5901" max="5901" width="10.625" style="74" customWidth="1"/>
    <col min="5902" max="6142" width="9.125" style="74"/>
    <col min="6143" max="6143" width="8" style="74" customWidth="1"/>
    <col min="6144" max="6144" width="28.5" style="74" customWidth="1"/>
    <col min="6145" max="6156" width="9.125" style="74"/>
    <col min="6157" max="6157" width="10.625" style="74" customWidth="1"/>
    <col min="6158" max="6398" width="9.125" style="74"/>
    <col min="6399" max="6399" width="8" style="74" customWidth="1"/>
    <col min="6400" max="6400" width="28.5" style="74" customWidth="1"/>
    <col min="6401" max="6412" width="9.125" style="74"/>
    <col min="6413" max="6413" width="10.625" style="74" customWidth="1"/>
    <col min="6414" max="6654" width="9.125" style="74"/>
    <col min="6655" max="6655" width="8" style="74" customWidth="1"/>
    <col min="6656" max="6656" width="28.5" style="74" customWidth="1"/>
    <col min="6657" max="6668" width="9.125" style="74"/>
    <col min="6669" max="6669" width="10.625" style="74" customWidth="1"/>
    <col min="6670" max="6910" width="9.125" style="74"/>
    <col min="6911" max="6911" width="8" style="74" customWidth="1"/>
    <col min="6912" max="6912" width="28.5" style="74" customWidth="1"/>
    <col min="6913" max="6924" width="9.125" style="74"/>
    <col min="6925" max="6925" width="10.625" style="74" customWidth="1"/>
    <col min="6926" max="7166" width="9.125" style="74"/>
    <col min="7167" max="7167" width="8" style="74" customWidth="1"/>
    <col min="7168" max="7168" width="28.5" style="74" customWidth="1"/>
    <col min="7169" max="7180" width="9.125" style="74"/>
    <col min="7181" max="7181" width="10.625" style="74" customWidth="1"/>
    <col min="7182" max="7422" width="9.125" style="74"/>
    <col min="7423" max="7423" width="8" style="74" customWidth="1"/>
    <col min="7424" max="7424" width="28.5" style="74" customWidth="1"/>
    <col min="7425" max="7436" width="9.125" style="74"/>
    <col min="7437" max="7437" width="10.625" style="74" customWidth="1"/>
    <col min="7438" max="7678" width="9.125" style="74"/>
    <col min="7679" max="7679" width="8" style="74" customWidth="1"/>
    <col min="7680" max="7680" width="28.5" style="74" customWidth="1"/>
    <col min="7681" max="7692" width="9.125" style="74"/>
    <col min="7693" max="7693" width="10.625" style="74" customWidth="1"/>
    <col min="7694" max="7934" width="9.125" style="74"/>
    <col min="7935" max="7935" width="8" style="74" customWidth="1"/>
    <col min="7936" max="7936" width="28.5" style="74" customWidth="1"/>
    <col min="7937" max="7948" width="9.125" style="74"/>
    <col min="7949" max="7949" width="10.625" style="74" customWidth="1"/>
    <col min="7950" max="8190" width="9.125" style="74"/>
    <col min="8191" max="8191" width="8" style="74" customWidth="1"/>
    <col min="8192" max="8192" width="28.5" style="74" customWidth="1"/>
    <col min="8193" max="8204" width="9.125" style="74"/>
    <col min="8205" max="8205" width="10.625" style="74" customWidth="1"/>
    <col min="8206" max="8446" width="9.125" style="74"/>
    <col min="8447" max="8447" width="8" style="74" customWidth="1"/>
    <col min="8448" max="8448" width="28.5" style="74" customWidth="1"/>
    <col min="8449" max="8460" width="9.125" style="74"/>
    <col min="8461" max="8461" width="10.625" style="74" customWidth="1"/>
    <col min="8462" max="8702" width="9.125" style="74"/>
    <col min="8703" max="8703" width="8" style="74" customWidth="1"/>
    <col min="8704" max="8704" width="28.5" style="74" customWidth="1"/>
    <col min="8705" max="8716" width="9.125" style="74"/>
    <col min="8717" max="8717" width="10.625" style="74" customWidth="1"/>
    <col min="8718" max="8958" width="9.125" style="74"/>
    <col min="8959" max="8959" width="8" style="74" customWidth="1"/>
    <col min="8960" max="8960" width="28.5" style="74" customWidth="1"/>
    <col min="8961" max="8972" width="9.125" style="74"/>
    <col min="8973" max="8973" width="10.625" style="74" customWidth="1"/>
    <col min="8974" max="9214" width="9.125" style="74"/>
    <col min="9215" max="9215" width="8" style="74" customWidth="1"/>
    <col min="9216" max="9216" width="28.5" style="74" customWidth="1"/>
    <col min="9217" max="9228" width="9.125" style="74"/>
    <col min="9229" max="9229" width="10.625" style="74" customWidth="1"/>
    <col min="9230" max="9470" width="9.125" style="74"/>
    <col min="9471" max="9471" width="8" style="74" customWidth="1"/>
    <col min="9472" max="9472" width="28.5" style="74" customWidth="1"/>
    <col min="9473" max="9484" width="9.125" style="74"/>
    <col min="9485" max="9485" width="10.625" style="74" customWidth="1"/>
    <col min="9486" max="9726" width="9.125" style="74"/>
    <col min="9727" max="9727" width="8" style="74" customWidth="1"/>
    <col min="9728" max="9728" width="28.5" style="74" customWidth="1"/>
    <col min="9729" max="9740" width="9.125" style="74"/>
    <col min="9741" max="9741" width="10.625" style="74" customWidth="1"/>
    <col min="9742" max="9982" width="9.125" style="74"/>
    <col min="9983" max="9983" width="8" style="74" customWidth="1"/>
    <col min="9984" max="9984" width="28.5" style="74" customWidth="1"/>
    <col min="9985" max="9996" width="9.125" style="74"/>
    <col min="9997" max="9997" width="10.625" style="74" customWidth="1"/>
    <col min="9998" max="10238" width="9.125" style="74"/>
    <col min="10239" max="10239" width="8" style="74" customWidth="1"/>
    <col min="10240" max="10240" width="28.5" style="74" customWidth="1"/>
    <col min="10241" max="10252" width="9.125" style="74"/>
    <col min="10253" max="10253" width="10.625" style="74" customWidth="1"/>
    <col min="10254" max="10494" width="9.125" style="74"/>
    <col min="10495" max="10495" width="8" style="74" customWidth="1"/>
    <col min="10496" max="10496" width="28.5" style="74" customWidth="1"/>
    <col min="10497" max="10508" width="9.125" style="74"/>
    <col min="10509" max="10509" width="10.625" style="74" customWidth="1"/>
    <col min="10510" max="10750" width="9.125" style="74"/>
    <col min="10751" max="10751" width="8" style="74" customWidth="1"/>
    <col min="10752" max="10752" width="28.5" style="74" customWidth="1"/>
    <col min="10753" max="10764" width="9.125" style="74"/>
    <col min="10765" max="10765" width="10.625" style="74" customWidth="1"/>
    <col min="10766" max="11006" width="9.125" style="74"/>
    <col min="11007" max="11007" width="8" style="74" customWidth="1"/>
    <col min="11008" max="11008" width="28.5" style="74" customWidth="1"/>
    <col min="11009" max="11020" width="9.125" style="74"/>
    <col min="11021" max="11021" width="10.625" style="74" customWidth="1"/>
    <col min="11022" max="11262" width="9.125" style="74"/>
    <col min="11263" max="11263" width="8" style="74" customWidth="1"/>
    <col min="11264" max="11264" width="28.5" style="74" customWidth="1"/>
    <col min="11265" max="11276" width="9.125" style="74"/>
    <col min="11277" max="11277" width="10.625" style="74" customWidth="1"/>
    <col min="11278" max="11518" width="9.125" style="74"/>
    <col min="11519" max="11519" width="8" style="74" customWidth="1"/>
    <col min="11520" max="11520" width="28.5" style="74" customWidth="1"/>
    <col min="11521" max="11532" width="9.125" style="74"/>
    <col min="11533" max="11533" width="10.625" style="74" customWidth="1"/>
    <col min="11534" max="11774" width="9.125" style="74"/>
    <col min="11775" max="11775" width="8" style="74" customWidth="1"/>
    <col min="11776" max="11776" width="28.5" style="74" customWidth="1"/>
    <col min="11777" max="11788" width="9.125" style="74"/>
    <col min="11789" max="11789" width="10.625" style="74" customWidth="1"/>
    <col min="11790" max="12030" width="9.125" style="74"/>
    <col min="12031" max="12031" width="8" style="74" customWidth="1"/>
    <col min="12032" max="12032" width="28.5" style="74" customWidth="1"/>
    <col min="12033" max="12044" width="9.125" style="74"/>
    <col min="12045" max="12045" width="10.625" style="74" customWidth="1"/>
    <col min="12046" max="12286" width="9.125" style="74"/>
    <col min="12287" max="12287" width="8" style="74" customWidth="1"/>
    <col min="12288" max="12288" width="28.5" style="74" customWidth="1"/>
    <col min="12289" max="12300" width="9.125" style="74"/>
    <col min="12301" max="12301" width="10.625" style="74" customWidth="1"/>
    <col min="12302" max="12542" width="9.125" style="74"/>
    <col min="12543" max="12543" width="8" style="74" customWidth="1"/>
    <col min="12544" max="12544" width="28.5" style="74" customWidth="1"/>
    <col min="12545" max="12556" width="9.125" style="74"/>
    <col min="12557" max="12557" width="10.625" style="74" customWidth="1"/>
    <col min="12558" max="12798" width="9.125" style="74"/>
    <col min="12799" max="12799" width="8" style="74" customWidth="1"/>
    <col min="12800" max="12800" width="28.5" style="74" customWidth="1"/>
    <col min="12801" max="12812" width="9.125" style="74"/>
    <col min="12813" max="12813" width="10.625" style="74" customWidth="1"/>
    <col min="12814" max="13054" width="9.125" style="74"/>
    <col min="13055" max="13055" width="8" style="74" customWidth="1"/>
    <col min="13056" max="13056" width="28.5" style="74" customWidth="1"/>
    <col min="13057" max="13068" width="9.125" style="74"/>
    <col min="13069" max="13069" width="10.625" style="74" customWidth="1"/>
    <col min="13070" max="13310" width="9.125" style="74"/>
    <col min="13311" max="13311" width="8" style="74" customWidth="1"/>
    <col min="13312" max="13312" width="28.5" style="74" customWidth="1"/>
    <col min="13313" max="13324" width="9.125" style="74"/>
    <col min="13325" max="13325" width="10.625" style="74" customWidth="1"/>
    <col min="13326" max="13566" width="9.125" style="74"/>
    <col min="13567" max="13567" width="8" style="74" customWidth="1"/>
    <col min="13568" max="13568" width="28.5" style="74" customWidth="1"/>
    <col min="13569" max="13580" width="9.125" style="74"/>
    <col min="13581" max="13581" width="10.625" style="74" customWidth="1"/>
    <col min="13582" max="13822" width="9.125" style="74"/>
    <col min="13823" max="13823" width="8" style="74" customWidth="1"/>
    <col min="13824" max="13824" width="28.5" style="74" customWidth="1"/>
    <col min="13825" max="13836" width="9.125" style="74"/>
    <col min="13837" max="13837" width="10.625" style="74" customWidth="1"/>
    <col min="13838" max="14078" width="9.125" style="74"/>
    <col min="14079" max="14079" width="8" style="74" customWidth="1"/>
    <col min="14080" max="14080" width="28.5" style="74" customWidth="1"/>
    <col min="14081" max="14092" width="9.125" style="74"/>
    <col min="14093" max="14093" width="10.625" style="74" customWidth="1"/>
    <col min="14094" max="14334" width="9.125" style="74"/>
    <col min="14335" max="14335" width="8" style="74" customWidth="1"/>
    <col min="14336" max="14336" width="28.5" style="74" customWidth="1"/>
    <col min="14337" max="14348" width="9.125" style="74"/>
    <col min="14349" max="14349" width="10.625" style="74" customWidth="1"/>
    <col min="14350" max="14590" width="9.125" style="74"/>
    <col min="14591" max="14591" width="8" style="74" customWidth="1"/>
    <col min="14592" max="14592" width="28.5" style="74" customWidth="1"/>
    <col min="14593" max="14604" width="9.125" style="74"/>
    <col min="14605" max="14605" width="10.625" style="74" customWidth="1"/>
    <col min="14606" max="14846" width="9.125" style="74"/>
    <col min="14847" max="14847" width="8" style="74" customWidth="1"/>
    <col min="14848" max="14848" width="28.5" style="74" customWidth="1"/>
    <col min="14849" max="14860" width="9.125" style="74"/>
    <col min="14861" max="14861" width="10.625" style="74" customWidth="1"/>
    <col min="14862" max="15102" width="9.125" style="74"/>
    <col min="15103" max="15103" width="8" style="74" customWidth="1"/>
    <col min="15104" max="15104" width="28.5" style="74" customWidth="1"/>
    <col min="15105" max="15116" width="9.125" style="74"/>
    <col min="15117" max="15117" width="10.625" style="74" customWidth="1"/>
    <col min="15118" max="15358" width="9.125" style="74"/>
    <col min="15359" max="15359" width="8" style="74" customWidth="1"/>
    <col min="15360" max="15360" width="28.5" style="74" customWidth="1"/>
    <col min="15361" max="15372" width="9.125" style="74"/>
    <col min="15373" max="15373" width="10.625" style="74" customWidth="1"/>
    <col min="15374" max="15614" width="9.125" style="74"/>
    <col min="15615" max="15615" width="8" style="74" customWidth="1"/>
    <col min="15616" max="15616" width="28.5" style="74" customWidth="1"/>
    <col min="15617" max="15628" width="9.125" style="74"/>
    <col min="15629" max="15629" width="10.625" style="74" customWidth="1"/>
    <col min="15630" max="15870" width="9.125" style="74"/>
    <col min="15871" max="15871" width="8" style="74" customWidth="1"/>
    <col min="15872" max="15872" width="28.5" style="74" customWidth="1"/>
    <col min="15873" max="15884" width="9.125" style="74"/>
    <col min="15885" max="15885" width="10.625" style="74" customWidth="1"/>
    <col min="15886" max="16126" width="9.125" style="74"/>
    <col min="16127" max="16127" width="8" style="74" customWidth="1"/>
    <col min="16128" max="16128" width="28.5" style="74" customWidth="1"/>
    <col min="16129" max="16140" width="9.125" style="74"/>
    <col min="16141" max="16141" width="10.625" style="74" customWidth="1"/>
    <col min="16142" max="16384" width="9.125" style="74"/>
  </cols>
  <sheetData>
    <row r="1" spans="1:13" ht="18.75">
      <c r="A1" s="75" t="s">
        <v>111</v>
      </c>
      <c r="B1" s="76"/>
      <c r="C1" s="77"/>
      <c r="D1" s="77"/>
      <c r="E1" s="76"/>
      <c r="F1" s="77"/>
      <c r="G1" s="77"/>
      <c r="H1" s="76"/>
      <c r="I1" s="77"/>
      <c r="J1" s="77"/>
      <c r="K1" s="77"/>
      <c r="L1" s="77"/>
      <c r="M1" s="77"/>
    </row>
    <row r="2" spans="1:13" ht="12">
      <c r="A2" s="74" t="s">
        <v>112</v>
      </c>
      <c r="B2" s="78"/>
    </row>
    <row r="3" spans="1:13" ht="16.899999999999999" customHeight="1">
      <c r="A3" s="79" t="s">
        <v>15</v>
      </c>
      <c r="B3" s="79" t="s">
        <v>113</v>
      </c>
      <c r="C3" s="261" t="s">
        <v>114</v>
      </c>
      <c r="D3" s="261"/>
      <c r="E3" s="261"/>
      <c r="F3" s="81"/>
      <c r="G3" s="82"/>
      <c r="H3" s="83"/>
      <c r="I3" s="83"/>
      <c r="J3" s="83" t="s">
        <v>115</v>
      </c>
      <c r="K3" s="83"/>
      <c r="L3" s="83"/>
      <c r="M3" s="104"/>
    </row>
    <row r="4" spans="1:13" ht="16.149999999999999" customHeight="1">
      <c r="A4" s="84"/>
      <c r="B4" s="84" t="s">
        <v>116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117</v>
      </c>
    </row>
    <row r="5" spans="1:13" ht="15.6" customHeight="1">
      <c r="A5" s="86">
        <v>1</v>
      </c>
      <c r="B5" s="87" t="s">
        <v>118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>
        <f t="shared" si="1"/>
        <v>29000000</v>
      </c>
      <c r="G5" s="88">
        <f t="shared" si="1"/>
        <v>58000000</v>
      </c>
      <c r="H5" s="88">
        <f t="shared" si="1"/>
        <v>58000000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>
        <f t="shared" si="1"/>
        <v>261000000</v>
      </c>
      <c r="M5" s="92" t="e">
        <f t="shared" ref="M5:M17" si="2">SUM(C5:L5)</f>
        <v>#REF!</v>
      </c>
    </row>
    <row r="6" spans="1:13" ht="15.6" customHeight="1">
      <c r="A6" s="86">
        <v>1.1000000000000001</v>
      </c>
      <c r="B6" s="89" t="s">
        <v>119</v>
      </c>
      <c r="C6" s="90"/>
      <c r="D6" s="90"/>
      <c r="E6" s="90" t="e">
        <f>损益表!#REF!</f>
        <v>#REF!</v>
      </c>
      <c r="F6" s="90">
        <f>损益表!C4</f>
        <v>29000000</v>
      </c>
      <c r="G6" s="90">
        <f>损益表!D4</f>
        <v>58000000</v>
      </c>
      <c r="H6" s="90">
        <f>损益表!E4</f>
        <v>58000000</v>
      </c>
      <c r="I6" s="90" t="e">
        <f>损益表!#REF!</f>
        <v>#REF!</v>
      </c>
      <c r="J6" s="90" t="e">
        <f>损益表!#REF!</f>
        <v>#REF!</v>
      </c>
      <c r="K6" s="90" t="e">
        <f>损益表!#REF!</f>
        <v>#REF!</v>
      </c>
      <c r="L6" s="90">
        <f>损益表!H4</f>
        <v>261000000</v>
      </c>
      <c r="M6" s="92" t="e">
        <f t="shared" si="2"/>
        <v>#REF!</v>
      </c>
    </row>
    <row r="7" spans="1:13" ht="15.6" customHeight="1">
      <c r="A7" s="86">
        <v>1.2</v>
      </c>
      <c r="B7" s="89" t="s">
        <v>120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spans="1:13" ht="15.6" customHeight="1">
      <c r="A8" s="86">
        <v>1.3</v>
      </c>
      <c r="B8" s="89" t="s">
        <v>121</v>
      </c>
      <c r="C8" s="90" t="s">
        <v>122</v>
      </c>
      <c r="D8" s="90" t="s">
        <v>122</v>
      </c>
      <c r="E8" s="90" t="s">
        <v>122</v>
      </c>
      <c r="F8" s="90" t="s">
        <v>122</v>
      </c>
      <c r="G8" s="90" t="s">
        <v>122</v>
      </c>
      <c r="H8" s="90" t="s">
        <v>122</v>
      </c>
      <c r="I8" s="90" t="s">
        <v>122</v>
      </c>
      <c r="J8" s="90" t="s">
        <v>122</v>
      </c>
      <c r="K8" s="90" t="s">
        <v>122</v>
      </c>
      <c r="L8" s="90"/>
      <c r="M8" s="92">
        <f t="shared" si="2"/>
        <v>0</v>
      </c>
    </row>
    <row r="9" spans="1:13" s="73" customFormat="1" ht="15.6" customHeight="1">
      <c r="A9" s="91">
        <v>1.4</v>
      </c>
      <c r="B9" s="92" t="s">
        <v>123</v>
      </c>
      <c r="C9" s="90" t="s">
        <v>122</v>
      </c>
      <c r="D9" s="90" t="s">
        <v>122</v>
      </c>
      <c r="E9" s="90" t="s">
        <v>122</v>
      </c>
      <c r="F9" s="90" t="s">
        <v>122</v>
      </c>
      <c r="G9" s="90" t="s">
        <v>122</v>
      </c>
      <c r="H9" s="90" t="s">
        <v>122</v>
      </c>
      <c r="I9" s="90" t="s">
        <v>122</v>
      </c>
      <c r="J9" s="90" t="s">
        <v>122</v>
      </c>
      <c r="K9" s="90" t="s">
        <v>122</v>
      </c>
      <c r="L9" s="90" t="s">
        <v>122</v>
      </c>
      <c r="M9" s="92">
        <f t="shared" si="2"/>
        <v>0</v>
      </c>
    </row>
    <row r="10" spans="1:13" ht="15.6" customHeight="1">
      <c r="A10" s="91">
        <v>2</v>
      </c>
      <c r="B10" s="87" t="s">
        <v>124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spans="1:13" ht="15" customHeight="1">
      <c r="A11" s="86">
        <v>2.1</v>
      </c>
      <c r="B11" s="86" t="s">
        <v>125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pans="1:13" s="73" customFormat="1" ht="15" customHeight="1">
      <c r="A12" s="86">
        <v>2.2000000000000002</v>
      </c>
      <c r="B12" s="92" t="s">
        <v>126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spans="1:13" ht="15" customHeight="1">
      <c r="A13" s="86">
        <v>2.2999999999999998</v>
      </c>
      <c r="B13" s="89" t="s">
        <v>127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spans="1:13" ht="15" customHeight="1">
      <c r="A14" s="86">
        <v>2.4</v>
      </c>
      <c r="B14" s="89" t="s">
        <v>128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spans="1:13" ht="15" customHeight="1">
      <c r="A15" s="86">
        <v>2.5</v>
      </c>
      <c r="B15" s="89" t="s">
        <v>56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spans="1:13" ht="15" customHeight="1">
      <c r="A16" s="86">
        <v>2.6</v>
      </c>
      <c r="B16" s="89" t="s">
        <v>129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spans="1:18" ht="12">
      <c r="A17" s="86">
        <v>3</v>
      </c>
      <c r="B17" s="87" t="s">
        <v>130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>
        <f t="shared" si="4"/>
        <v>29000000</v>
      </c>
      <c r="G17" s="88">
        <f t="shared" si="4"/>
        <v>58000000</v>
      </c>
      <c r="H17" s="88">
        <f t="shared" si="4"/>
        <v>58000000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>
        <f t="shared" si="4"/>
        <v>261000000</v>
      </c>
      <c r="M17" s="92" t="e">
        <f t="shared" si="2"/>
        <v>#REF!</v>
      </c>
    </row>
    <row r="18" spans="1:18" ht="12">
      <c r="A18" s="93">
        <v>4</v>
      </c>
      <c r="B18" s="89" t="s">
        <v>131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122</v>
      </c>
    </row>
    <row r="19" spans="1:18" s="73" customFormat="1" ht="12">
      <c r="A19" s="93">
        <v>5</v>
      </c>
      <c r="B19" s="89" t="s">
        <v>132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>
        <f t="shared" si="6"/>
        <v>29000000</v>
      </c>
      <c r="G19" s="90">
        <f t="shared" si="6"/>
        <v>58000000</v>
      </c>
      <c r="H19" s="90">
        <f t="shared" si="6"/>
        <v>58000000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>
        <f t="shared" si="6"/>
        <v>261000000</v>
      </c>
      <c r="M19" s="92" t="e">
        <f>SUM(C19:L19)</f>
        <v>#REF!</v>
      </c>
    </row>
    <row r="20" spans="1:18" s="73" customFormat="1" ht="12">
      <c r="A20" s="86">
        <v>6</v>
      </c>
      <c r="B20" s="89" t="s">
        <v>133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122</v>
      </c>
    </row>
    <row r="21" spans="1:18" ht="12">
      <c r="A21" s="94"/>
      <c r="B21" s="95" t="s">
        <v>134</v>
      </c>
      <c r="C21" s="95"/>
      <c r="D21" s="95"/>
      <c r="E21" s="95" t="s">
        <v>135</v>
      </c>
      <c r="F21" s="95"/>
      <c r="G21" s="95"/>
      <c r="H21" s="95"/>
      <c r="I21" s="95" t="s">
        <v>136</v>
      </c>
      <c r="J21" s="95"/>
      <c r="K21" s="95"/>
      <c r="L21" s="95"/>
      <c r="M21" s="106"/>
    </row>
    <row r="22" spans="1:18" ht="12">
      <c r="A22" s="96"/>
      <c r="B22" s="97" t="s">
        <v>137</v>
      </c>
      <c r="C22" s="97"/>
      <c r="D22" s="98" t="s">
        <v>138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spans="1:18" ht="12">
      <c r="A23" s="96"/>
      <c r="B23" s="97" t="s">
        <v>139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4">
        <f>30.9-29.82</f>
        <v>1.0799999999999983</v>
      </c>
    </row>
    <row r="24" spans="1:18" ht="12">
      <c r="A24" s="101"/>
      <c r="B24" s="102" t="s">
        <v>140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8" activePane="bottomRight" state="frozen"/>
      <selection pane="topRight"/>
      <selection pane="bottomLeft"/>
      <selection pane="bottomRight" activeCell="G25" sqref="G25"/>
    </sheetView>
  </sheetViews>
  <sheetFormatPr defaultColWidth="9" defaultRowHeight="16.5"/>
  <cols>
    <col min="1" max="1" width="5.125" style="50" customWidth="1"/>
    <col min="2" max="2" width="17.5" style="50" customWidth="1"/>
    <col min="3" max="4" width="13.25" style="51" customWidth="1"/>
    <col min="5" max="5" width="12.875" style="51" bestFit="1" customWidth="1"/>
    <col min="6" max="6" width="12.875" style="51" customWidth="1"/>
    <col min="7" max="7" width="18.75" style="51" customWidth="1"/>
    <col min="8" max="8" width="12.375" style="50" customWidth="1"/>
    <col min="9" max="9" width="10.125" style="50" customWidth="1"/>
    <col min="10" max="16" width="9" style="50" customWidth="1"/>
    <col min="17" max="33" width="9" style="50"/>
    <col min="34" max="34" width="4.375" style="50" customWidth="1"/>
    <col min="35" max="35" width="13.875" style="50" customWidth="1"/>
    <col min="36" max="16384" width="9" style="50"/>
  </cols>
  <sheetData>
    <row r="1" spans="1:36">
      <c r="A1" s="262" t="s">
        <v>141</v>
      </c>
      <c r="B1" s="262"/>
      <c r="C1" s="266" t="s">
        <v>332</v>
      </c>
      <c r="D1" s="267"/>
      <c r="E1" s="267"/>
      <c r="F1" s="267"/>
      <c r="G1" s="268"/>
    </row>
    <row r="2" spans="1:36">
      <c r="A2" s="262" t="s">
        <v>142</v>
      </c>
      <c r="B2" s="262"/>
      <c r="C2" s="269" t="s">
        <v>236</v>
      </c>
      <c r="D2" s="269"/>
      <c r="E2" s="269"/>
      <c r="F2" s="269"/>
      <c r="G2" s="269"/>
    </row>
    <row r="3" spans="1:36">
      <c r="A3" s="262" t="s">
        <v>143</v>
      </c>
      <c r="B3" s="262"/>
      <c r="C3" s="162" t="str">
        <f>销量!C5</f>
        <v>驾驶员座总成</v>
      </c>
      <c r="D3" s="162" t="str">
        <f>销量!D5</f>
        <v>前座总成</v>
      </c>
      <c r="E3" s="162" t="str">
        <f>销量!E5</f>
        <v>驾驶员座总成</v>
      </c>
      <c r="F3" s="162" t="str">
        <f>销量!F5</f>
        <v>前座总成</v>
      </c>
      <c r="G3" s="263" t="s">
        <v>17</v>
      </c>
    </row>
    <row r="4" spans="1:36" ht="39" customHeight="1">
      <c r="A4" s="262" t="s">
        <v>144</v>
      </c>
      <c r="B4" s="262"/>
      <c r="C4" s="162" t="str">
        <f>销量!C6</f>
        <v>6800010EH13-C00</v>
      </c>
      <c r="D4" s="162" t="str">
        <f>销量!D6</f>
        <v>6900010BH13-C00</v>
      </c>
      <c r="E4" s="162" t="str">
        <f>销量!E6</f>
        <v>6800010DH13-C00</v>
      </c>
      <c r="F4" s="162" t="str">
        <f>销量!F6</f>
        <v>6900010AH13-C00</v>
      </c>
      <c r="G4" s="264"/>
    </row>
    <row r="5" spans="1:36">
      <c r="A5" s="262" t="s">
        <v>145</v>
      </c>
      <c r="B5" s="262"/>
      <c r="C5" s="53"/>
      <c r="D5" s="53"/>
      <c r="E5" s="53"/>
      <c r="F5" s="247"/>
      <c r="G5" s="265"/>
      <c r="AJ5" s="50" t="s">
        <v>18</v>
      </c>
    </row>
    <row r="6" spans="1:36" ht="17.25">
      <c r="A6" s="54" t="s">
        <v>15</v>
      </c>
      <c r="B6" s="55" t="s">
        <v>146</v>
      </c>
      <c r="C6" s="23">
        <f>销量!C9</f>
        <v>10000</v>
      </c>
      <c r="D6" s="23">
        <f>销量!D9</f>
        <v>10000</v>
      </c>
      <c r="E6" s="23">
        <f>销量!E9</f>
        <v>5000</v>
      </c>
      <c r="F6" s="23">
        <f>销量!F9</f>
        <v>5000</v>
      </c>
      <c r="G6" s="56">
        <f t="shared" ref="G6:G15" si="0">SUM(C6:F6)</f>
        <v>30000</v>
      </c>
      <c r="R6" s="55" t="s">
        <v>3</v>
      </c>
      <c r="AH6" s="54" t="s">
        <v>15</v>
      </c>
      <c r="AI6" s="55" t="s">
        <v>3</v>
      </c>
      <c r="AJ6" s="50" t="s">
        <v>19</v>
      </c>
    </row>
    <row r="7" spans="1:36">
      <c r="A7" s="52">
        <v>1</v>
      </c>
      <c r="B7" s="55" t="s">
        <v>20</v>
      </c>
      <c r="C7" s="56">
        <f>C6*销量!C8</f>
        <v>18200000</v>
      </c>
      <c r="D7" s="56">
        <f>D6*销量!D8</f>
        <v>3800000</v>
      </c>
      <c r="E7" s="56">
        <f>E6*销量!E8</f>
        <v>5100000</v>
      </c>
      <c r="F7" s="56">
        <f>F6*销量!F8</f>
        <v>1900000</v>
      </c>
      <c r="G7" s="56">
        <f t="shared" si="0"/>
        <v>29000000</v>
      </c>
      <c r="H7" s="51"/>
      <c r="R7" s="55" t="s">
        <v>20</v>
      </c>
      <c r="AH7" s="54" t="s">
        <v>21</v>
      </c>
      <c r="AI7" s="55" t="s">
        <v>20</v>
      </c>
      <c r="AJ7" s="50" t="s">
        <v>19</v>
      </c>
    </row>
    <row r="8" spans="1:36">
      <c r="A8" s="52">
        <v>2</v>
      </c>
      <c r="B8" s="52" t="s">
        <v>22</v>
      </c>
      <c r="C8" s="56"/>
      <c r="D8" s="56"/>
      <c r="E8" s="56"/>
      <c r="F8" s="56"/>
      <c r="G8" s="56">
        <f t="shared" si="0"/>
        <v>0</v>
      </c>
      <c r="H8" s="70"/>
      <c r="R8" s="52" t="s">
        <v>24</v>
      </c>
      <c r="AH8" s="54" t="s">
        <v>23</v>
      </c>
      <c r="AI8" s="52" t="s">
        <v>24</v>
      </c>
      <c r="AJ8" s="50" t="s">
        <v>19</v>
      </c>
    </row>
    <row r="9" spans="1:36">
      <c r="A9" s="52">
        <v>3</v>
      </c>
      <c r="B9" s="55" t="s">
        <v>25</v>
      </c>
      <c r="C9" s="56">
        <f>+C7-C8</f>
        <v>18200000</v>
      </c>
      <c r="D9" s="56">
        <f t="shared" ref="D9:E9" si="1">+D7-D8</f>
        <v>3800000</v>
      </c>
      <c r="E9" s="56">
        <f t="shared" si="1"/>
        <v>5100000</v>
      </c>
      <c r="F9" s="56">
        <f>+F7-F8</f>
        <v>1900000</v>
      </c>
      <c r="G9" s="56">
        <f t="shared" si="0"/>
        <v>29000000</v>
      </c>
      <c r="R9" s="55" t="s">
        <v>25</v>
      </c>
      <c r="AH9" s="54" t="s">
        <v>26</v>
      </c>
      <c r="AI9" s="55" t="s">
        <v>25</v>
      </c>
      <c r="AJ9" s="50" t="s">
        <v>27</v>
      </c>
    </row>
    <row r="10" spans="1:36">
      <c r="A10" s="52">
        <v>4</v>
      </c>
      <c r="B10" s="54" t="s">
        <v>28</v>
      </c>
      <c r="C10" s="56">
        <f>C6*材料成本!E40</f>
        <v>13018300</v>
      </c>
      <c r="D10" s="56">
        <f>D6*材料成本!E41</f>
        <v>3166330.29</v>
      </c>
      <c r="E10" s="56">
        <f>E6*材料成本!E42</f>
        <v>3440450</v>
      </c>
      <c r="F10" s="56">
        <f>F6*材料成本!E43</f>
        <v>1383165.145</v>
      </c>
      <c r="G10" s="56">
        <f t="shared" si="0"/>
        <v>21008245.434999999</v>
      </c>
      <c r="R10" s="54" t="s">
        <v>28</v>
      </c>
      <c r="AH10" s="54" t="s">
        <v>29</v>
      </c>
      <c r="AI10" s="54" t="s">
        <v>28</v>
      </c>
      <c r="AJ10" s="50" t="s">
        <v>30</v>
      </c>
    </row>
    <row r="11" spans="1:36">
      <c r="A11" s="52">
        <v>5</v>
      </c>
      <c r="B11" s="54" t="s">
        <v>31</v>
      </c>
      <c r="C11" s="56">
        <f>+C6*C36</f>
        <v>1023203.7519786875</v>
      </c>
      <c r="D11" s="56">
        <f t="shared" ref="D11:E11" si="2">+D6*D36</f>
        <v>213635.94821533034</v>
      </c>
      <c r="E11" s="56">
        <f t="shared" si="2"/>
        <v>286721.93049952225</v>
      </c>
      <c r="F11" s="56">
        <f>+F6*F36</f>
        <v>106817.97410766517</v>
      </c>
      <c r="G11" s="56">
        <f t="shared" si="0"/>
        <v>1630379.6048012052</v>
      </c>
      <c r="R11" s="54" t="s">
        <v>31</v>
      </c>
      <c r="AH11" s="54" t="s">
        <v>32</v>
      </c>
      <c r="AI11" s="54" t="s">
        <v>31</v>
      </c>
    </row>
    <row r="12" spans="1:36">
      <c r="A12" s="52">
        <v>6</v>
      </c>
      <c r="B12" s="54" t="s">
        <v>33</v>
      </c>
      <c r="C12" s="56">
        <f>+C6*C37</f>
        <v>274383.01073959417</v>
      </c>
      <c r="D12" s="56">
        <f t="shared" ref="D12:E12" si="3">+D6*D37</f>
        <v>57288.760484091101</v>
      </c>
      <c r="E12" s="56">
        <f t="shared" si="3"/>
        <v>76887.546965490692</v>
      </c>
      <c r="F12" s="56">
        <f>+F6*F37</f>
        <v>28644.38024204555</v>
      </c>
      <c r="G12" s="56">
        <f t="shared" si="0"/>
        <v>437203.69843122154</v>
      </c>
      <c r="R12" s="54" t="s">
        <v>33</v>
      </c>
      <c r="AH12" s="54" t="s">
        <v>34</v>
      </c>
      <c r="AI12" s="54" t="s">
        <v>33</v>
      </c>
    </row>
    <row r="13" spans="1:36">
      <c r="A13" s="52">
        <v>7</v>
      </c>
      <c r="B13" s="54" t="s">
        <v>35</v>
      </c>
      <c r="C13" s="56">
        <f>+C6*C38</f>
        <v>727999.99999999988</v>
      </c>
      <c r="D13" s="56">
        <f t="shared" ref="D13:E13" si="4">+D6*D38</f>
        <v>151999.99999999997</v>
      </c>
      <c r="E13" s="56">
        <f t="shared" si="4"/>
        <v>204000</v>
      </c>
      <c r="F13" s="56">
        <f>+F6*F38</f>
        <v>75999.999999999985</v>
      </c>
      <c r="G13" s="56">
        <f t="shared" si="0"/>
        <v>1160000</v>
      </c>
      <c r="R13" s="54" t="s">
        <v>35</v>
      </c>
      <c r="AH13" s="54" t="s">
        <v>36</v>
      </c>
      <c r="AI13" s="54" t="s">
        <v>35</v>
      </c>
      <c r="AJ13" s="50" t="s">
        <v>19</v>
      </c>
    </row>
    <row r="14" spans="1:36">
      <c r="A14" s="52">
        <v>8</v>
      </c>
      <c r="B14" s="57" t="s">
        <v>37</v>
      </c>
      <c r="C14" s="56">
        <f>SUM(C11:C13)</f>
        <v>2025586.7627182817</v>
      </c>
      <c r="D14" s="56">
        <f t="shared" ref="D14:E14" si="5">SUM(D11:D13)</f>
        <v>422924.70869942138</v>
      </c>
      <c r="E14" s="56">
        <f t="shared" si="5"/>
        <v>567609.47746501293</v>
      </c>
      <c r="F14" s="56">
        <f>SUM(F11:F13)</f>
        <v>211462.35434971069</v>
      </c>
      <c r="G14" s="56">
        <f t="shared" si="0"/>
        <v>3227583.3032324268</v>
      </c>
      <c r="R14" s="57" t="s">
        <v>37</v>
      </c>
      <c r="AH14" s="54" t="s">
        <v>38</v>
      </c>
      <c r="AI14" s="57" t="s">
        <v>37</v>
      </c>
    </row>
    <row r="15" spans="1:36">
      <c r="A15" s="52">
        <v>9</v>
      </c>
      <c r="B15" s="57" t="s">
        <v>39</v>
      </c>
      <c r="C15" s="56">
        <f>+C9-C10-C14</f>
        <v>3156113.2372817183</v>
      </c>
      <c r="D15" s="56">
        <f t="shared" ref="D15:E15" si="6">+D9-D10-D14</f>
        <v>210745.00130057859</v>
      </c>
      <c r="E15" s="56">
        <f t="shared" si="6"/>
        <v>1091940.522534987</v>
      </c>
      <c r="F15" s="56">
        <f>+F9-F10-F14</f>
        <v>305372.50065028929</v>
      </c>
      <c r="G15" s="56">
        <f t="shared" si="0"/>
        <v>4764171.2617675727</v>
      </c>
      <c r="R15" s="57" t="s">
        <v>39</v>
      </c>
      <c r="AH15" s="54" t="s">
        <v>40</v>
      </c>
      <c r="AI15" s="57" t="s">
        <v>39</v>
      </c>
    </row>
    <row r="16" spans="1:36">
      <c r="A16" s="52">
        <v>10</v>
      </c>
      <c r="B16" s="54" t="s">
        <v>41</v>
      </c>
      <c r="C16" s="58">
        <f>+C15/C9</f>
        <v>0.17341281523525925</v>
      </c>
      <c r="D16" s="58">
        <f t="shared" ref="D16:E16" si="7">+D15/D9</f>
        <v>5.5459210868573312E-2</v>
      </c>
      <c r="E16" s="58">
        <f t="shared" si="7"/>
        <v>0.21410598481078175</v>
      </c>
      <c r="F16" s="58">
        <f>+F15/F9</f>
        <v>0.16072236876331014</v>
      </c>
      <c r="G16" s="58">
        <f t="shared" ref="G16" si="8">+G15/G9</f>
        <v>0.16428176764715768</v>
      </c>
      <c r="R16" s="54" t="s">
        <v>41</v>
      </c>
      <c r="AH16" s="54" t="s">
        <v>42</v>
      </c>
      <c r="AI16" s="54" t="s">
        <v>41</v>
      </c>
    </row>
    <row r="17" spans="1:36">
      <c r="A17" s="52">
        <v>11</v>
      </c>
      <c r="B17" s="54" t="s">
        <v>43</v>
      </c>
      <c r="C17" s="56">
        <f>C6*C43+C18</f>
        <v>891009.99999999988</v>
      </c>
      <c r="D17" s="56">
        <f t="shared" ref="D17:E17" si="9">D6*D43+D18</f>
        <v>243009.99999999997</v>
      </c>
      <c r="E17" s="56">
        <f t="shared" si="9"/>
        <v>265505</v>
      </c>
      <c r="F17" s="56">
        <f>F6*F43+F18</f>
        <v>121504.99999999999</v>
      </c>
      <c r="G17" s="56">
        <f>SUM(C17:F17)</f>
        <v>1521029.9999999998</v>
      </c>
      <c r="H17" s="173"/>
      <c r="I17" s="174"/>
      <c r="J17" s="174"/>
      <c r="R17" s="54" t="s">
        <v>43</v>
      </c>
      <c r="AH17" s="54" t="s">
        <v>44</v>
      </c>
      <c r="AI17" s="54" t="s">
        <v>43</v>
      </c>
    </row>
    <row r="18" spans="1:36" s="48" customFormat="1">
      <c r="A18" s="52">
        <v>12</v>
      </c>
      <c r="B18" s="59" t="s">
        <v>147</v>
      </c>
      <c r="C18" s="60">
        <f>$G$18/$G$6*C6</f>
        <v>72010</v>
      </c>
      <c r="D18" s="60">
        <f>$G$18/$G$6*D6</f>
        <v>72010</v>
      </c>
      <c r="E18" s="60">
        <f>$G$18/$G$6*E6</f>
        <v>36005</v>
      </c>
      <c r="F18" s="60">
        <f>$G$18/$G$6*F6</f>
        <v>36005</v>
      </c>
      <c r="G18" s="60">
        <f>项目投资!D26</f>
        <v>216030</v>
      </c>
      <c r="H18" s="175" t="s">
        <v>148</v>
      </c>
      <c r="I18" s="175"/>
      <c r="J18" s="175"/>
    </row>
    <row r="19" spans="1:36">
      <c r="A19" s="52">
        <v>13</v>
      </c>
      <c r="B19" s="54" t="s">
        <v>45</v>
      </c>
      <c r="C19" s="56">
        <f>C6*C44</f>
        <v>127400</v>
      </c>
      <c r="D19" s="56">
        <f t="shared" ref="D19:E19" si="10">D6*D44</f>
        <v>26600</v>
      </c>
      <c r="E19" s="56">
        <f t="shared" si="10"/>
        <v>35700</v>
      </c>
      <c r="F19" s="56">
        <f>F6*F44</f>
        <v>13300</v>
      </c>
      <c r="G19" s="56">
        <f>SUM(C19:F19)</f>
        <v>203000</v>
      </c>
      <c r="H19" s="176"/>
      <c r="I19" s="174"/>
      <c r="J19" s="174"/>
      <c r="R19" s="54" t="s">
        <v>45</v>
      </c>
      <c r="AH19" s="54" t="s">
        <v>46</v>
      </c>
      <c r="AI19" s="54" t="s">
        <v>45</v>
      </c>
      <c r="AJ19" s="50" t="s">
        <v>19</v>
      </c>
    </row>
    <row r="20" spans="1:36">
      <c r="A20" s="52">
        <v>14</v>
      </c>
      <c r="B20" s="54" t="s">
        <v>47</v>
      </c>
      <c r="C20" s="56">
        <f>C6*C45</f>
        <v>546000</v>
      </c>
      <c r="D20" s="56">
        <f t="shared" ref="D20:E20" si="11">D6*D45</f>
        <v>114000</v>
      </c>
      <c r="E20" s="56">
        <f t="shared" si="11"/>
        <v>153000</v>
      </c>
      <c r="F20" s="56">
        <f>F6*F45</f>
        <v>57000</v>
      </c>
      <c r="G20" s="56">
        <f>SUM(C20:F20)</f>
        <v>870000</v>
      </c>
      <c r="R20" s="54" t="s">
        <v>47</v>
      </c>
      <c r="AH20" s="54" t="s">
        <v>48</v>
      </c>
      <c r="AI20" s="54" t="s">
        <v>47</v>
      </c>
    </row>
    <row r="21" spans="1:36">
      <c r="A21" s="52">
        <v>15</v>
      </c>
      <c r="B21" s="54" t="s">
        <v>49</v>
      </c>
      <c r="C21" s="61">
        <f>$G$21/$G$6*C6</f>
        <v>55833.333333333328</v>
      </c>
      <c r="D21" s="61">
        <f>$G$21/$G$6*D6</f>
        <v>55833.333333333328</v>
      </c>
      <c r="E21" s="61">
        <f>$G$21/$G$6*E6</f>
        <v>27916.666666666664</v>
      </c>
      <c r="F21" s="61">
        <f>$G$21/$G$6*F6</f>
        <v>27916.666666666664</v>
      </c>
      <c r="G21" s="56">
        <f>项目投资!D27</f>
        <v>167500</v>
      </c>
      <c r="R21" s="54" t="s">
        <v>49</v>
      </c>
      <c r="AH21" s="54"/>
      <c r="AI21" s="54"/>
    </row>
    <row r="22" spans="1:36">
      <c r="A22" s="52">
        <v>16</v>
      </c>
      <c r="B22" s="54" t="s">
        <v>50</v>
      </c>
      <c r="C22" s="56">
        <f>C6*C47</f>
        <v>728000</v>
      </c>
      <c r="D22" s="56">
        <f t="shared" ref="D22:F22" si="12">D6*D47</f>
        <v>152000</v>
      </c>
      <c r="E22" s="56">
        <f t="shared" si="12"/>
        <v>204000.00000000003</v>
      </c>
      <c r="F22" s="56">
        <f t="shared" si="12"/>
        <v>76000</v>
      </c>
      <c r="G22" s="56">
        <f>SUM(C22:F22)</f>
        <v>1160000</v>
      </c>
      <c r="R22" s="54" t="s">
        <v>50</v>
      </c>
      <c r="AH22" s="54" t="s">
        <v>51</v>
      </c>
      <c r="AI22" s="54" t="s">
        <v>50</v>
      </c>
    </row>
    <row r="23" spans="1:36">
      <c r="A23" s="52">
        <v>17</v>
      </c>
      <c r="B23" s="57" t="s">
        <v>52</v>
      </c>
      <c r="C23" s="61">
        <f>+C22+C21+C20+C19+C17</f>
        <v>2348243.3333333335</v>
      </c>
      <c r="D23" s="61">
        <f t="shared" ref="D23:F23" si="13">+D22+D21+D20+D19+D17</f>
        <v>591443.33333333326</v>
      </c>
      <c r="E23" s="61">
        <f t="shared" si="13"/>
        <v>686121.66666666674</v>
      </c>
      <c r="F23" s="61">
        <f t="shared" si="13"/>
        <v>295721.66666666663</v>
      </c>
      <c r="G23" s="61">
        <f t="shared" ref="G23" si="14">+G22+G21+G20+G19+G17</f>
        <v>3921530</v>
      </c>
      <c r="R23" s="57" t="s">
        <v>52</v>
      </c>
      <c r="AH23" s="54" t="s">
        <v>53</v>
      </c>
      <c r="AI23" s="57" t="s">
        <v>52</v>
      </c>
    </row>
    <row r="24" spans="1:36">
      <c r="A24" s="52">
        <v>18</v>
      </c>
      <c r="B24" s="62" t="s">
        <v>54</v>
      </c>
      <c r="C24" s="61">
        <f>+C15-C23</f>
        <v>807869.9039483848</v>
      </c>
      <c r="D24" s="61">
        <f t="shared" ref="D24:F24" si="15">+D15-D23</f>
        <v>-380698.33203275467</v>
      </c>
      <c r="E24" s="61">
        <f t="shared" si="15"/>
        <v>405818.85586832021</v>
      </c>
      <c r="F24" s="61">
        <f t="shared" si="15"/>
        <v>9650.833983622666</v>
      </c>
      <c r="G24" s="61">
        <f t="shared" ref="G24" si="16">+G15-G23</f>
        <v>842641.26176757272</v>
      </c>
      <c r="I24" s="72"/>
      <c r="R24" s="54" t="s">
        <v>54</v>
      </c>
      <c r="AH24" s="54" t="s">
        <v>55</v>
      </c>
      <c r="AI24" s="54" t="s">
        <v>54</v>
      </c>
    </row>
    <row r="25" spans="1:36">
      <c r="A25" s="52">
        <v>19</v>
      </c>
      <c r="B25" s="54" t="s">
        <v>256</v>
      </c>
      <c r="C25" s="61">
        <f>IF(C24&lt;0,0,C24*0.15)</f>
        <v>121180.48559225771</v>
      </c>
      <c r="D25" s="61">
        <f>IF(D24&lt;0,0,D24*0.15)</f>
        <v>0</v>
      </c>
      <c r="E25" s="61">
        <f>IF(E24&lt;0,0,E24*0.15)</f>
        <v>60872.828380248029</v>
      </c>
      <c r="F25" s="61">
        <f>IF(F24&lt;0,0,F24*0.15)</f>
        <v>1447.6250975433998</v>
      </c>
      <c r="G25" s="61">
        <f>IF(G24&lt;0,0,G24*0.15)</f>
        <v>126396.18926513591</v>
      </c>
      <c r="H25" s="68"/>
      <c r="I25" s="68"/>
      <c r="J25" s="68"/>
      <c r="R25" s="54" t="s">
        <v>56</v>
      </c>
      <c r="AH25" s="54" t="s">
        <v>57</v>
      </c>
      <c r="AI25" s="54" t="s">
        <v>56</v>
      </c>
    </row>
    <row r="26" spans="1:36">
      <c r="A26" s="52">
        <v>20</v>
      </c>
      <c r="B26" s="54" t="s">
        <v>58</v>
      </c>
      <c r="C26" s="61">
        <f t="shared" ref="C26:F26" si="17">C24-C25</f>
        <v>686689.41835612711</v>
      </c>
      <c r="D26" s="61">
        <f t="shared" si="17"/>
        <v>-380698.33203275467</v>
      </c>
      <c r="E26" s="61">
        <f t="shared" si="17"/>
        <v>344946.02748807217</v>
      </c>
      <c r="F26" s="61">
        <f t="shared" si="17"/>
        <v>8203.2088860792664</v>
      </c>
      <c r="G26" s="56">
        <f>G24-G25</f>
        <v>716245.07250243681</v>
      </c>
      <c r="H26" s="68"/>
      <c r="I26" s="68"/>
      <c r="J26" s="68"/>
      <c r="R26" s="54" t="s">
        <v>58</v>
      </c>
      <c r="AH26" s="54" t="s">
        <v>59</v>
      </c>
      <c r="AI26" s="54" t="s">
        <v>58</v>
      </c>
    </row>
    <row r="27" spans="1:36">
      <c r="A27" s="52">
        <v>21</v>
      </c>
      <c r="B27" s="54" t="s">
        <v>62</v>
      </c>
      <c r="C27" s="131">
        <f t="shared" ref="C27:G27" si="18">C26/C7</f>
        <v>3.7730187821765224E-2</v>
      </c>
      <c r="D27" s="131">
        <f t="shared" ref="D27:F27" si="19">D26/D7</f>
        <v>-0.10018377158756701</v>
      </c>
      <c r="E27" s="131">
        <f t="shared" si="19"/>
        <v>6.7636475978053362E-2</v>
      </c>
      <c r="F27" s="131">
        <f t="shared" si="19"/>
        <v>4.3174783610943511E-3</v>
      </c>
      <c r="G27" s="131">
        <f t="shared" si="18"/>
        <v>2.4698105948359889E-2</v>
      </c>
      <c r="H27" s="68"/>
      <c r="I27" s="68"/>
      <c r="J27" s="68"/>
      <c r="R27" s="54" t="s">
        <v>62</v>
      </c>
      <c r="AH27" s="54" t="s">
        <v>61</v>
      </c>
      <c r="AI27" s="54" t="s">
        <v>62</v>
      </c>
    </row>
    <row r="28" spans="1:36">
      <c r="H28" s="68"/>
      <c r="I28" s="68"/>
      <c r="J28" s="68"/>
      <c r="R28" s="54"/>
    </row>
    <row r="29" spans="1:36">
      <c r="A29" s="50" t="s">
        <v>63</v>
      </c>
      <c r="G29" s="51" t="s">
        <v>149</v>
      </c>
      <c r="H29" s="68"/>
      <c r="I29" s="68"/>
      <c r="J29" s="68"/>
      <c r="R29" s="54"/>
      <c r="AH29" s="50" t="s">
        <v>63</v>
      </c>
    </row>
    <row r="30" spans="1:36">
      <c r="A30" s="54" t="s">
        <v>66</v>
      </c>
      <c r="B30" s="57" t="s">
        <v>67</v>
      </c>
      <c r="C30" s="61"/>
      <c r="D30" s="61"/>
      <c r="E30" s="61"/>
      <c r="F30" s="61"/>
      <c r="G30" s="61"/>
      <c r="H30" s="68"/>
      <c r="I30" s="68"/>
      <c r="J30" s="68"/>
      <c r="L30" s="68"/>
      <c r="R30" s="57" t="s">
        <v>67</v>
      </c>
      <c r="AH30" s="54" t="s">
        <v>68</v>
      </c>
      <c r="AI30" s="57" t="s">
        <v>67</v>
      </c>
    </row>
    <row r="31" spans="1:36">
      <c r="A31" s="63">
        <v>1</v>
      </c>
      <c r="B31" s="59" t="s">
        <v>69</v>
      </c>
      <c r="C31" s="64">
        <f>销量!C8</f>
        <v>1820</v>
      </c>
      <c r="D31" s="64">
        <f>销量!D8</f>
        <v>380</v>
      </c>
      <c r="E31" s="64">
        <f>销量!E8</f>
        <v>1020</v>
      </c>
      <c r="F31" s="64">
        <f>销量!F8</f>
        <v>380</v>
      </c>
      <c r="G31" s="61"/>
      <c r="H31" s="68"/>
      <c r="I31" s="68"/>
      <c r="J31" s="68"/>
      <c r="L31" s="68"/>
      <c r="R31" s="54" t="s">
        <v>69</v>
      </c>
      <c r="AH31" s="54" t="s">
        <v>21</v>
      </c>
      <c r="AI31" s="54" t="s">
        <v>69</v>
      </c>
    </row>
    <row r="32" spans="1:36">
      <c r="A32" s="63">
        <v>2</v>
      </c>
      <c r="B32" s="54" t="s">
        <v>150</v>
      </c>
      <c r="C32" s="56">
        <f>C31*1</f>
        <v>1820</v>
      </c>
      <c r="D32" s="56">
        <f t="shared" ref="D32:F32" si="20">D31*1</f>
        <v>380</v>
      </c>
      <c r="E32" s="56">
        <f t="shared" si="20"/>
        <v>1020</v>
      </c>
      <c r="F32" s="56">
        <f t="shared" si="20"/>
        <v>380</v>
      </c>
      <c r="G32" s="61"/>
      <c r="H32" s="68"/>
      <c r="I32" s="68"/>
      <c r="J32" s="68"/>
      <c r="K32" s="68"/>
      <c r="L32" s="68"/>
      <c r="M32" s="68"/>
      <c r="N32" s="68"/>
      <c r="AH32" s="54"/>
      <c r="AI32" s="54"/>
    </row>
    <row r="33" spans="1:35">
      <c r="A33" s="63">
        <v>3</v>
      </c>
      <c r="B33" s="59" t="s">
        <v>70</v>
      </c>
      <c r="C33" s="56">
        <f>材料成本!E40</f>
        <v>1301.83</v>
      </c>
      <c r="D33" s="56">
        <f>材料成本!E41</f>
        <v>316.63302900000002</v>
      </c>
      <c r="E33" s="56">
        <f>材料成本!E42</f>
        <v>688.09</v>
      </c>
      <c r="F33" s="56">
        <f>材料成本!E43</f>
        <v>276.63302900000002</v>
      </c>
      <c r="G33" s="61"/>
      <c r="I33" s="68"/>
      <c r="J33" s="68"/>
      <c r="K33" s="68"/>
      <c r="L33" s="68"/>
      <c r="M33" s="68"/>
      <c r="N33" s="68"/>
      <c r="R33" s="54" t="s">
        <v>70</v>
      </c>
      <c r="AH33" s="54" t="s">
        <v>23</v>
      </c>
      <c r="AI33" s="54" t="s">
        <v>70</v>
      </c>
    </row>
    <row r="34" spans="1:35" ht="17.25" customHeight="1">
      <c r="A34" s="63">
        <v>4</v>
      </c>
      <c r="B34" s="54" t="s">
        <v>72</v>
      </c>
      <c r="C34" s="65">
        <f>C32-C33</f>
        <v>518.17000000000007</v>
      </c>
      <c r="D34" s="65">
        <f t="shared" ref="D34:F34" si="21">D32-D33</f>
        <v>63.366970999999978</v>
      </c>
      <c r="E34" s="65">
        <f t="shared" si="21"/>
        <v>331.90999999999997</v>
      </c>
      <c r="F34" s="65">
        <f t="shared" si="21"/>
        <v>103.36697099999998</v>
      </c>
      <c r="G34" s="61"/>
      <c r="I34" s="68"/>
      <c r="J34" s="68"/>
      <c r="K34" s="68"/>
      <c r="L34" s="68"/>
      <c r="M34" s="68"/>
      <c r="N34" s="68"/>
      <c r="R34" s="54" t="s">
        <v>72</v>
      </c>
      <c r="AH34" s="54" t="s">
        <v>71</v>
      </c>
      <c r="AI34" s="54" t="s">
        <v>72</v>
      </c>
    </row>
    <row r="35" spans="1:35">
      <c r="A35" s="54" t="s">
        <v>68</v>
      </c>
      <c r="B35" s="57" t="s">
        <v>8</v>
      </c>
      <c r="C35" s="61"/>
      <c r="D35" s="61"/>
      <c r="E35" s="61"/>
      <c r="F35" s="61"/>
      <c r="G35" s="61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57" t="s">
        <v>8</v>
      </c>
      <c r="AH35" s="54" t="s">
        <v>74</v>
      </c>
      <c r="AI35" s="57" t="s">
        <v>8</v>
      </c>
    </row>
    <row r="36" spans="1:35">
      <c r="A36" s="63">
        <v>1</v>
      </c>
      <c r="B36" s="54" t="s">
        <v>75</v>
      </c>
      <c r="C36" s="60">
        <f>标准成本!E4</f>
        <v>102.32037519786874</v>
      </c>
      <c r="D36" s="60">
        <f>标准成本!E18</f>
        <v>21.363594821533034</v>
      </c>
      <c r="E36" s="60">
        <f>标准成本!E32</f>
        <v>57.344386099904455</v>
      </c>
      <c r="F36" s="60">
        <f>标准成本!E45</f>
        <v>21.363594821533034</v>
      </c>
      <c r="G36" s="64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54" t="s">
        <v>75</v>
      </c>
      <c r="AH36" s="54" t="s">
        <v>71</v>
      </c>
      <c r="AI36" s="54" t="s">
        <v>75</v>
      </c>
    </row>
    <row r="37" spans="1:35">
      <c r="A37" s="63">
        <v>2</v>
      </c>
      <c r="B37" s="54" t="s">
        <v>76</v>
      </c>
      <c r="C37" s="60">
        <f>标准成本!E6</f>
        <v>27.438301073959419</v>
      </c>
      <c r="D37" s="60">
        <f>标准成本!E20</f>
        <v>5.7288760484091101</v>
      </c>
      <c r="E37" s="60">
        <f>标准成本!E34</f>
        <v>15.377509393098137</v>
      </c>
      <c r="F37" s="60">
        <f>标准成本!E47</f>
        <v>5.7288760484091101</v>
      </c>
      <c r="G37" s="64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54" t="s">
        <v>76</v>
      </c>
      <c r="AH37" s="54" t="s">
        <v>26</v>
      </c>
      <c r="AI37" s="54" t="s">
        <v>76</v>
      </c>
    </row>
    <row r="38" spans="1:35">
      <c r="A38" s="63">
        <v>3</v>
      </c>
      <c r="B38" s="54" t="s">
        <v>77</v>
      </c>
      <c r="C38" s="60">
        <f>标准成本!E10</f>
        <v>72.799999999999983</v>
      </c>
      <c r="D38" s="60">
        <f>标准成本!E24</f>
        <v>15.199999999999998</v>
      </c>
      <c r="E38" s="60">
        <f>标准成本!E38</f>
        <v>40.799999999999997</v>
      </c>
      <c r="F38" s="60">
        <f>标准成本!E51</f>
        <v>15.199999999999998</v>
      </c>
      <c r="G38" s="64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54" t="s">
        <v>77</v>
      </c>
      <c r="AH38" s="54" t="s">
        <v>32</v>
      </c>
      <c r="AI38" s="54" t="s">
        <v>77</v>
      </c>
    </row>
    <row r="39" spans="1:35">
      <c r="A39" s="54" t="s">
        <v>74</v>
      </c>
      <c r="B39" s="57" t="s">
        <v>79</v>
      </c>
      <c r="C39" s="61"/>
      <c r="D39" s="61"/>
      <c r="E39" s="61"/>
      <c r="F39" s="61"/>
      <c r="G39" s="61"/>
      <c r="R39" s="57" t="s">
        <v>79</v>
      </c>
      <c r="AH39" s="54" t="s">
        <v>78</v>
      </c>
      <c r="AI39" s="57" t="s">
        <v>79</v>
      </c>
    </row>
    <row r="40" spans="1:35">
      <c r="A40" s="63">
        <v>1</v>
      </c>
      <c r="B40" s="54" t="s">
        <v>81</v>
      </c>
      <c r="C40" s="61">
        <f>C34-C36-C37-C38</f>
        <v>315.6113237281719</v>
      </c>
      <c r="D40" s="61">
        <f t="shared" ref="D40:F40" si="22">D34-D36-D37-D38</f>
        <v>21.074500130057835</v>
      </c>
      <c r="E40" s="61">
        <f t="shared" si="22"/>
        <v>218.38810450699737</v>
      </c>
      <c r="F40" s="61">
        <f t="shared" si="22"/>
        <v>61.074500130057835</v>
      </c>
      <c r="G40" s="61"/>
      <c r="R40" s="54" t="s">
        <v>81</v>
      </c>
      <c r="AH40" s="54" t="s">
        <v>21</v>
      </c>
      <c r="AI40" s="54" t="s">
        <v>81</v>
      </c>
    </row>
    <row r="41" spans="1:35">
      <c r="A41" s="63">
        <v>2</v>
      </c>
      <c r="B41" s="54" t="s">
        <v>82</v>
      </c>
      <c r="C41" s="61"/>
      <c r="D41" s="61"/>
      <c r="E41" s="61"/>
      <c r="F41" s="61"/>
      <c r="G41" s="61"/>
      <c r="R41" s="54" t="s">
        <v>82</v>
      </c>
      <c r="AH41" s="54" t="s">
        <v>23</v>
      </c>
      <c r="AI41" s="54" t="s">
        <v>82</v>
      </c>
    </row>
    <row r="42" spans="1:35">
      <c r="A42" s="54" t="s">
        <v>78</v>
      </c>
      <c r="B42" s="57" t="s">
        <v>84</v>
      </c>
      <c r="C42" s="61"/>
      <c r="D42" s="61"/>
      <c r="E42" s="61"/>
      <c r="F42" s="61"/>
      <c r="G42" s="61"/>
      <c r="R42" s="57" t="s">
        <v>84</v>
      </c>
      <c r="AH42" s="54" t="s">
        <v>83</v>
      </c>
      <c r="AI42" s="57" t="s">
        <v>84</v>
      </c>
    </row>
    <row r="43" spans="1:35">
      <c r="A43" s="63">
        <v>1</v>
      </c>
      <c r="B43" s="62" t="s">
        <v>85</v>
      </c>
      <c r="C43" s="60">
        <f>标准成本!E5</f>
        <v>81.899999999999991</v>
      </c>
      <c r="D43" s="60">
        <f>标准成本!E19</f>
        <v>17.099999999999998</v>
      </c>
      <c r="E43" s="60">
        <f>标准成本!E33</f>
        <v>45.9</v>
      </c>
      <c r="F43" s="60">
        <f>标准成本!E46</f>
        <v>17.099999999999998</v>
      </c>
      <c r="G43" s="61"/>
      <c r="R43" s="54" t="s">
        <v>85</v>
      </c>
      <c r="AH43" s="54" t="s">
        <v>21</v>
      </c>
      <c r="AI43" s="54" t="s">
        <v>85</v>
      </c>
    </row>
    <row r="44" spans="1:35">
      <c r="A44" s="63">
        <v>2</v>
      </c>
      <c r="B44" s="62" t="s">
        <v>86</v>
      </c>
      <c r="C44" s="60">
        <f>标准成本!E9</f>
        <v>12.74</v>
      </c>
      <c r="D44" s="60">
        <f>标准成本!E23</f>
        <v>2.66</v>
      </c>
      <c r="E44" s="60">
        <f>标准成本!E37</f>
        <v>7.1400000000000006</v>
      </c>
      <c r="F44" s="60">
        <f>标准成本!E50</f>
        <v>2.66</v>
      </c>
      <c r="G44" s="61"/>
      <c r="R44" s="54" t="s">
        <v>86</v>
      </c>
      <c r="AH44" s="54" t="s">
        <v>23</v>
      </c>
      <c r="AI44" s="54" t="s">
        <v>86</v>
      </c>
    </row>
    <row r="45" spans="1:35">
      <c r="A45" s="63">
        <v>3</v>
      </c>
      <c r="B45" s="62" t="s">
        <v>87</v>
      </c>
      <c r="C45" s="66">
        <f>标准成本!E8</f>
        <v>54.6</v>
      </c>
      <c r="D45" s="66">
        <f>标准成本!E22</f>
        <v>11.4</v>
      </c>
      <c r="E45" s="66">
        <f>标准成本!E36</f>
        <v>30.599999999999998</v>
      </c>
      <c r="F45" s="66">
        <f>标准成本!E49</f>
        <v>11.4</v>
      </c>
      <c r="G45" s="61"/>
      <c r="R45" s="54" t="s">
        <v>87</v>
      </c>
      <c r="AH45" s="54" t="s">
        <v>71</v>
      </c>
      <c r="AI45" s="54" t="s">
        <v>87</v>
      </c>
    </row>
    <row r="46" spans="1:35" s="49" customFormat="1">
      <c r="A46" s="63">
        <v>4</v>
      </c>
      <c r="B46" s="62" t="s">
        <v>88</v>
      </c>
      <c r="C46" s="66">
        <f>C21/C6</f>
        <v>5.583333333333333</v>
      </c>
      <c r="D46" s="66">
        <f t="shared" ref="D46:F46" si="23">D21/D6</f>
        <v>5.583333333333333</v>
      </c>
      <c r="E46" s="66">
        <f t="shared" si="23"/>
        <v>5.583333333333333</v>
      </c>
      <c r="F46" s="66">
        <f t="shared" si="23"/>
        <v>5.583333333333333</v>
      </c>
      <c r="G46" s="66"/>
      <c r="R46" s="62" t="s">
        <v>90</v>
      </c>
      <c r="AH46" s="62" t="s">
        <v>29</v>
      </c>
      <c r="AI46" s="62" t="s">
        <v>90</v>
      </c>
    </row>
    <row r="47" spans="1:35" s="49" customFormat="1">
      <c r="A47" s="63">
        <v>5</v>
      </c>
      <c r="B47" s="62" t="s">
        <v>90</v>
      </c>
      <c r="C47" s="66">
        <f>标准成本!E11</f>
        <v>72.8</v>
      </c>
      <c r="D47" s="66">
        <f>标准成本!E25</f>
        <v>15.200000000000001</v>
      </c>
      <c r="E47" s="66">
        <f>标准成本!E39</f>
        <v>40.800000000000004</v>
      </c>
      <c r="F47" s="66">
        <f>标准成本!E52</f>
        <v>15.200000000000001</v>
      </c>
      <c r="G47" s="66"/>
      <c r="R47" s="62" t="s">
        <v>90</v>
      </c>
      <c r="AH47" s="62" t="s">
        <v>29</v>
      </c>
      <c r="AI47" s="62" t="s">
        <v>90</v>
      </c>
    </row>
    <row r="48" spans="1:35">
      <c r="A48" s="54" t="s">
        <v>83</v>
      </c>
      <c r="B48" s="57" t="s">
        <v>101</v>
      </c>
      <c r="C48" s="61">
        <f>C40-C43-C44-C45-C47-C46</f>
        <v>87.98799039483859</v>
      </c>
      <c r="D48" s="61">
        <f t="shared" ref="D48:F48" si="24">D40-D43-D44-D45-D47-D46</f>
        <v>-30.868833203275496</v>
      </c>
      <c r="E48" s="61">
        <f t="shared" si="24"/>
        <v>88.36477117366401</v>
      </c>
      <c r="F48" s="61">
        <f t="shared" si="24"/>
        <v>9.1311667967245036</v>
      </c>
      <c r="G48" s="61"/>
      <c r="R48" s="57" t="s">
        <v>101</v>
      </c>
      <c r="AH48" s="54" t="s">
        <v>100</v>
      </c>
      <c r="AI48" s="57" t="s">
        <v>101</v>
      </c>
    </row>
    <row r="51" spans="2:12">
      <c r="C51" s="67"/>
      <c r="D51" s="67"/>
      <c r="E51" s="67"/>
      <c r="F51" s="67"/>
    </row>
    <row r="54" spans="2:12">
      <c r="B54" s="68"/>
      <c r="C54" s="69"/>
      <c r="D54" s="69"/>
      <c r="E54" s="69"/>
      <c r="F54" s="69"/>
      <c r="G54" s="69"/>
      <c r="H54" s="68"/>
      <c r="I54" s="68"/>
      <c r="J54" s="68"/>
      <c r="K54" s="68"/>
      <c r="L54" s="68"/>
    </row>
    <row r="55" spans="2:12">
      <c r="B55" s="68"/>
      <c r="C55" s="69"/>
      <c r="D55" s="69"/>
      <c r="E55" s="69"/>
      <c r="F55" s="69"/>
      <c r="G55" s="69"/>
      <c r="H55" s="68"/>
      <c r="I55" s="68"/>
      <c r="J55" s="68"/>
      <c r="K55" s="68"/>
      <c r="L55" s="68"/>
    </row>
    <row r="56" spans="2:12">
      <c r="B56" s="68"/>
      <c r="C56" s="69"/>
      <c r="D56" s="69"/>
      <c r="E56" s="69"/>
      <c r="F56" s="69"/>
      <c r="G56" s="69"/>
      <c r="H56" s="68"/>
      <c r="I56" s="68"/>
      <c r="J56" s="68"/>
      <c r="K56" s="68"/>
      <c r="L56" s="68"/>
    </row>
    <row r="57" spans="2:12">
      <c r="B57" s="68"/>
      <c r="C57" s="69"/>
      <c r="D57" s="69"/>
      <c r="E57" s="69"/>
      <c r="F57" s="69"/>
      <c r="G57" s="69"/>
      <c r="H57" s="68"/>
      <c r="I57" s="68"/>
      <c r="J57" s="68"/>
      <c r="K57" s="68"/>
      <c r="L57" s="68"/>
    </row>
    <row r="58" spans="2:12">
      <c r="B58" s="68"/>
      <c r="C58" s="69"/>
      <c r="D58" s="69"/>
      <c r="E58" s="69"/>
      <c r="F58" s="69"/>
      <c r="G58" s="69"/>
      <c r="H58" s="68"/>
      <c r="I58" s="68"/>
      <c r="J58" s="68"/>
      <c r="K58" s="68"/>
      <c r="L58" s="68"/>
    </row>
    <row r="59" spans="2:12">
      <c r="B59" s="68"/>
      <c r="C59" s="69"/>
      <c r="D59" s="69"/>
      <c r="E59" s="69"/>
      <c r="F59" s="69"/>
      <c r="G59" s="69"/>
      <c r="H59" s="68"/>
      <c r="I59" s="68"/>
      <c r="J59" s="68"/>
      <c r="K59" s="68"/>
      <c r="L59" s="68"/>
    </row>
    <row r="60" spans="2:12">
      <c r="B60" s="68"/>
      <c r="C60" s="69"/>
      <c r="D60" s="69"/>
      <c r="E60" s="69"/>
      <c r="F60" s="69"/>
      <c r="G60" s="69"/>
      <c r="H60" s="68"/>
      <c r="I60" s="68"/>
      <c r="J60" s="68"/>
      <c r="K60" s="68"/>
      <c r="L60" s="68"/>
    </row>
    <row r="61" spans="2:12">
      <c r="B61" s="68"/>
      <c r="C61" s="69"/>
      <c r="D61" s="69"/>
      <c r="E61" s="69"/>
      <c r="F61" s="69"/>
      <c r="G61" s="69"/>
      <c r="H61" s="68"/>
      <c r="I61" s="68"/>
      <c r="J61" s="68"/>
      <c r="K61" s="68"/>
      <c r="L61" s="68"/>
    </row>
    <row r="62" spans="2:12">
      <c r="B62" s="68"/>
      <c r="C62" s="69"/>
      <c r="D62" s="69"/>
      <c r="E62" s="69"/>
      <c r="F62" s="69"/>
      <c r="G62" s="69"/>
      <c r="H62" s="68"/>
      <c r="I62" s="68"/>
      <c r="J62" s="68"/>
      <c r="K62" s="68"/>
      <c r="L62" s="68"/>
    </row>
    <row r="63" spans="2:12">
      <c r="B63" s="68"/>
      <c r="C63" s="69"/>
      <c r="D63" s="69"/>
      <c r="E63" s="69"/>
      <c r="F63" s="69"/>
      <c r="G63" s="69"/>
      <c r="H63" s="68"/>
      <c r="I63" s="68"/>
      <c r="J63" s="68"/>
      <c r="K63" s="68"/>
      <c r="L63" s="68"/>
    </row>
    <row r="64" spans="2:12">
      <c r="B64" s="68"/>
      <c r="C64" s="69"/>
      <c r="D64" s="69"/>
      <c r="E64" s="69"/>
      <c r="F64" s="69"/>
      <c r="G64" s="69"/>
      <c r="H64" s="68"/>
      <c r="I64" s="68"/>
      <c r="J64" s="68"/>
      <c r="K64" s="68"/>
      <c r="L64" s="68"/>
    </row>
    <row r="65" spans="2:12">
      <c r="B65" s="68"/>
      <c r="C65" s="69"/>
      <c r="D65" s="69"/>
      <c r="E65" s="69"/>
      <c r="F65" s="69"/>
      <c r="G65" s="69"/>
      <c r="H65" s="68"/>
      <c r="I65" s="68"/>
      <c r="J65" s="68"/>
      <c r="K65" s="68"/>
      <c r="L65" s="68"/>
    </row>
    <row r="66" spans="2:12">
      <c r="B66" s="68"/>
      <c r="C66" s="69"/>
      <c r="D66" s="69"/>
      <c r="E66" s="69"/>
      <c r="F66" s="69"/>
      <c r="G66" s="69"/>
      <c r="H66" s="68"/>
      <c r="I66" s="68"/>
      <c r="J66" s="68"/>
      <c r="K66" s="68"/>
      <c r="L66" s="68"/>
    </row>
    <row r="67" spans="2:12">
      <c r="B67" s="68"/>
      <c r="C67" s="69"/>
      <c r="D67" s="69"/>
      <c r="E67" s="69"/>
      <c r="F67" s="69"/>
      <c r="G67" s="69"/>
      <c r="H67" s="68"/>
    </row>
    <row r="68" spans="2:12">
      <c r="B68" s="68"/>
      <c r="C68" s="69"/>
      <c r="D68" s="69"/>
      <c r="E68" s="69"/>
      <c r="F68" s="69"/>
      <c r="G68" s="69"/>
      <c r="H68" s="68"/>
    </row>
    <row r="69" spans="2:12">
      <c r="B69" s="68"/>
      <c r="C69" s="69"/>
      <c r="D69" s="69"/>
      <c r="E69" s="69"/>
      <c r="F69" s="69"/>
      <c r="G69" s="69"/>
      <c r="H69" s="68"/>
    </row>
    <row r="70" spans="2:12">
      <c r="B70" s="68"/>
      <c r="C70" s="69"/>
      <c r="D70" s="69"/>
      <c r="E70" s="69"/>
      <c r="F70" s="69"/>
      <c r="G70" s="69"/>
      <c r="H70" s="68"/>
    </row>
    <row r="71" spans="2:12">
      <c r="B71" s="68"/>
      <c r="C71" s="69"/>
      <c r="D71" s="69"/>
      <c r="E71" s="69"/>
      <c r="F71" s="69"/>
      <c r="G71" s="69"/>
      <c r="H71" s="68"/>
    </row>
    <row r="72" spans="2:12">
      <c r="B72" s="68"/>
      <c r="C72" s="69"/>
      <c r="D72" s="69"/>
      <c r="E72" s="69"/>
      <c r="F72" s="69"/>
      <c r="G72" s="69"/>
      <c r="H72" s="68"/>
    </row>
    <row r="73" spans="2:12">
      <c r="B73" s="68"/>
      <c r="C73" s="69"/>
      <c r="D73" s="69"/>
      <c r="E73" s="69"/>
      <c r="F73" s="69"/>
      <c r="G73" s="69"/>
      <c r="H73" s="68"/>
    </row>
    <row r="74" spans="2:12">
      <c r="B74" s="68"/>
      <c r="C74" s="69"/>
      <c r="D74" s="69"/>
      <c r="E74" s="69"/>
      <c r="F74" s="69"/>
      <c r="G74" s="69"/>
      <c r="H74" s="68"/>
    </row>
  </sheetData>
  <mergeCells count="8">
    <mergeCell ref="A4:B4"/>
    <mergeCell ref="A5:B5"/>
    <mergeCell ref="G3:G5"/>
    <mergeCell ref="A1:B1"/>
    <mergeCell ref="C1:G1"/>
    <mergeCell ref="A2:B2"/>
    <mergeCell ref="C2:G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20" activePane="bottomRight" state="frozen"/>
      <selection pane="topRight"/>
      <selection pane="bottomLeft"/>
      <selection pane="bottomRight" activeCell="G25" sqref="G25"/>
    </sheetView>
  </sheetViews>
  <sheetFormatPr defaultColWidth="9" defaultRowHeight="16.5"/>
  <cols>
    <col min="1" max="1" width="5.125" style="50" customWidth="1"/>
    <col min="2" max="2" width="17.5" style="50" customWidth="1"/>
    <col min="3" max="3" width="13.25" style="51" customWidth="1"/>
    <col min="4" max="4" width="16.75" style="51" customWidth="1"/>
    <col min="5" max="6" width="13.25" style="51" customWidth="1"/>
    <col min="7" max="7" width="18.75" style="51" customWidth="1"/>
    <col min="8" max="8" width="12.375" style="50" customWidth="1"/>
    <col min="9" max="9" width="10.125" style="50" customWidth="1"/>
    <col min="10" max="16" width="9" style="50" customWidth="1"/>
    <col min="17" max="33" width="9" style="50"/>
    <col min="34" max="34" width="4.375" style="50" customWidth="1"/>
    <col min="35" max="35" width="13.875" style="50" customWidth="1"/>
    <col min="36" max="16384" width="9" style="50"/>
  </cols>
  <sheetData>
    <row r="1" spans="1:36">
      <c r="A1" s="262" t="s">
        <v>141</v>
      </c>
      <c r="B1" s="262"/>
      <c r="C1" s="266" t="s">
        <v>257</v>
      </c>
      <c r="D1" s="267"/>
      <c r="E1" s="267"/>
      <c r="F1" s="267"/>
      <c r="G1" s="268"/>
    </row>
    <row r="2" spans="1:36">
      <c r="A2" s="262" t="s">
        <v>142</v>
      </c>
      <c r="B2" s="262"/>
      <c r="C2" s="269" t="str">
        <f>'2022年'!C2:G2</f>
        <v>一汽解放</v>
      </c>
      <c r="D2" s="269"/>
      <c r="E2" s="269"/>
      <c r="F2" s="269"/>
      <c r="G2" s="269"/>
    </row>
    <row r="3" spans="1:36">
      <c r="A3" s="262" t="s">
        <v>143</v>
      </c>
      <c r="B3" s="262"/>
      <c r="C3" s="162" t="str">
        <f>销量!C5</f>
        <v>驾驶员座总成</v>
      </c>
      <c r="D3" s="162" t="str">
        <f>销量!D5</f>
        <v>前座总成</v>
      </c>
      <c r="E3" s="162" t="str">
        <f>销量!E5</f>
        <v>驾驶员座总成</v>
      </c>
      <c r="F3" s="162" t="str">
        <f>销量!F5</f>
        <v>前座总成</v>
      </c>
      <c r="G3" s="263" t="s">
        <v>17</v>
      </c>
    </row>
    <row r="4" spans="1:36" ht="28.5">
      <c r="A4" s="262" t="s">
        <v>144</v>
      </c>
      <c r="B4" s="262"/>
      <c r="C4" s="162" t="str">
        <f>销量!C6</f>
        <v>6800010EH13-C00</v>
      </c>
      <c r="D4" s="162" t="str">
        <f>销量!D6</f>
        <v>6900010BH13-C00</v>
      </c>
      <c r="E4" s="162" t="str">
        <f>销量!E6</f>
        <v>6800010DH13-C00</v>
      </c>
      <c r="F4" s="162" t="str">
        <f>销量!F6</f>
        <v>6900010AH13-C00</v>
      </c>
      <c r="G4" s="264"/>
    </row>
    <row r="5" spans="1:36">
      <c r="A5" s="262" t="s">
        <v>145</v>
      </c>
      <c r="B5" s="262"/>
      <c r="C5" s="53"/>
      <c r="D5" s="53"/>
      <c r="E5" s="53"/>
      <c r="F5" s="247"/>
      <c r="G5" s="265"/>
      <c r="AJ5" s="50" t="s">
        <v>18</v>
      </c>
    </row>
    <row r="6" spans="1:36" ht="17.25">
      <c r="A6" s="54" t="s">
        <v>15</v>
      </c>
      <c r="B6" s="55" t="s">
        <v>146</v>
      </c>
      <c r="C6" s="23">
        <f>销量!C10</f>
        <v>20000</v>
      </c>
      <c r="D6" s="23">
        <f>销量!D10</f>
        <v>20000</v>
      </c>
      <c r="E6" s="23">
        <f>销量!E10</f>
        <v>10000</v>
      </c>
      <c r="F6" s="23">
        <f>销量!F10</f>
        <v>10000</v>
      </c>
      <c r="G6" s="56">
        <f t="shared" ref="G6:G15" si="0">SUM(C6:F6)</f>
        <v>60000</v>
      </c>
      <c r="R6" s="55" t="s">
        <v>3</v>
      </c>
      <c r="AH6" s="54" t="s">
        <v>15</v>
      </c>
      <c r="AI6" s="55" t="s">
        <v>3</v>
      </c>
      <c r="AJ6" s="50" t="s">
        <v>19</v>
      </c>
    </row>
    <row r="7" spans="1:36">
      <c r="A7" s="161">
        <v>1</v>
      </c>
      <c r="B7" s="55" t="s">
        <v>20</v>
      </c>
      <c r="C7" s="56">
        <f>C6*销量!C8</f>
        <v>36400000</v>
      </c>
      <c r="D7" s="56">
        <f>D6*销量!D8</f>
        <v>7600000</v>
      </c>
      <c r="E7" s="56">
        <f>E6*销量!E8</f>
        <v>10200000</v>
      </c>
      <c r="F7" s="56">
        <f>F6*销量!F8</f>
        <v>3800000</v>
      </c>
      <c r="G7" s="56">
        <f t="shared" si="0"/>
        <v>58000000</v>
      </c>
      <c r="H7" s="51"/>
      <c r="R7" s="55" t="s">
        <v>20</v>
      </c>
      <c r="AH7" s="54" t="s">
        <v>21</v>
      </c>
      <c r="AI7" s="55" t="s">
        <v>20</v>
      </c>
      <c r="AJ7" s="50" t="s">
        <v>19</v>
      </c>
    </row>
    <row r="8" spans="1:36">
      <c r="A8" s="161">
        <v>2</v>
      </c>
      <c r="B8" s="161" t="s">
        <v>22</v>
      </c>
      <c r="C8" s="56">
        <f>C7*(1-销量!$L$7)</f>
        <v>364000.00000000035</v>
      </c>
      <c r="D8" s="56">
        <f>D7*(1-销量!$L$7)</f>
        <v>76000.000000000073</v>
      </c>
      <c r="E8" s="56">
        <f>E7*(1-销量!$L$7)</f>
        <v>102000.00000000009</v>
      </c>
      <c r="F8" s="56">
        <f>F7*(1-销量!$L$7)</f>
        <v>38000.000000000036</v>
      </c>
      <c r="G8" s="56">
        <f t="shared" si="0"/>
        <v>580000.00000000047</v>
      </c>
      <c r="H8" s="70"/>
      <c r="R8" s="161" t="s">
        <v>24</v>
      </c>
      <c r="AH8" s="54" t="s">
        <v>23</v>
      </c>
      <c r="AI8" s="161" t="s">
        <v>24</v>
      </c>
      <c r="AJ8" s="50" t="s">
        <v>19</v>
      </c>
    </row>
    <row r="9" spans="1:36">
      <c r="A9" s="161">
        <v>3</v>
      </c>
      <c r="B9" s="55" t="s">
        <v>25</v>
      </c>
      <c r="C9" s="56">
        <f>+C7-C8</f>
        <v>36036000</v>
      </c>
      <c r="D9" s="56">
        <f t="shared" ref="D9:F9" si="1">+D7-D8</f>
        <v>7524000</v>
      </c>
      <c r="E9" s="56">
        <f t="shared" si="1"/>
        <v>10098000</v>
      </c>
      <c r="F9" s="56">
        <f t="shared" si="1"/>
        <v>3762000</v>
      </c>
      <c r="G9" s="56">
        <f t="shared" si="0"/>
        <v>57420000</v>
      </c>
      <c r="R9" s="55" t="s">
        <v>25</v>
      </c>
      <c r="AH9" s="54" t="s">
        <v>26</v>
      </c>
      <c r="AI9" s="55" t="s">
        <v>25</v>
      </c>
      <c r="AJ9" s="50" t="s">
        <v>27</v>
      </c>
    </row>
    <row r="10" spans="1:36">
      <c r="A10" s="161">
        <v>4</v>
      </c>
      <c r="B10" s="54" t="s">
        <v>28</v>
      </c>
      <c r="C10" s="56">
        <f>C6*材料成本!F40</f>
        <v>25776234</v>
      </c>
      <c r="D10" s="56">
        <f>D6*材料成本!F41</f>
        <v>6269333.9742000001</v>
      </c>
      <c r="E10" s="56">
        <f>E6*材料成本!F42</f>
        <v>6812091</v>
      </c>
      <c r="F10" s="56">
        <f>F6*材料成本!F43</f>
        <v>2738666.9871000005</v>
      </c>
      <c r="G10" s="56">
        <f t="shared" si="0"/>
        <v>41596325.961299993</v>
      </c>
      <c r="R10" s="54" t="s">
        <v>28</v>
      </c>
      <c r="AH10" s="54" t="s">
        <v>29</v>
      </c>
      <c r="AI10" s="54" t="s">
        <v>28</v>
      </c>
      <c r="AJ10" s="50" t="s">
        <v>30</v>
      </c>
    </row>
    <row r="11" spans="1:36">
      <c r="A11" s="161">
        <v>5</v>
      </c>
      <c r="B11" s="54" t="s">
        <v>31</v>
      </c>
      <c r="C11" s="56">
        <f>+C6*C36</f>
        <v>2046407.503957375</v>
      </c>
      <c r="D11" s="56">
        <f>+D6*D36</f>
        <v>427271.89643066068</v>
      </c>
      <c r="E11" s="56">
        <f t="shared" ref="E11:F11" si="2">+E6*E36</f>
        <v>573443.8609990445</v>
      </c>
      <c r="F11" s="56">
        <f t="shared" si="2"/>
        <v>213635.94821533034</v>
      </c>
      <c r="G11" s="56">
        <f t="shared" si="0"/>
        <v>3260759.2096024104</v>
      </c>
      <c r="R11" s="54" t="s">
        <v>31</v>
      </c>
      <c r="AH11" s="54" t="s">
        <v>32</v>
      </c>
      <c r="AI11" s="54" t="s">
        <v>31</v>
      </c>
    </row>
    <row r="12" spans="1:36">
      <c r="A12" s="161">
        <v>6</v>
      </c>
      <c r="B12" s="54" t="s">
        <v>33</v>
      </c>
      <c r="C12" s="56">
        <f>+C6*C37</f>
        <v>548766.02147918835</v>
      </c>
      <c r="D12" s="56">
        <f t="shared" ref="D12:E12" si="3">+D6*D37</f>
        <v>114577.5209681822</v>
      </c>
      <c r="E12" s="56">
        <f t="shared" si="3"/>
        <v>153775.09393098138</v>
      </c>
      <c r="F12" s="56">
        <f t="shared" ref="F12" si="4">+F6*F37</f>
        <v>57288.760484091101</v>
      </c>
      <c r="G12" s="56">
        <f t="shared" si="0"/>
        <v>874407.39686244307</v>
      </c>
      <c r="R12" s="54" t="s">
        <v>33</v>
      </c>
      <c r="AH12" s="54" t="s">
        <v>34</v>
      </c>
      <c r="AI12" s="54" t="s">
        <v>33</v>
      </c>
    </row>
    <row r="13" spans="1:36">
      <c r="A13" s="161">
        <v>7</v>
      </c>
      <c r="B13" s="54" t="s">
        <v>35</v>
      </c>
      <c r="C13" s="56">
        <f>+C6*C38</f>
        <v>1455999.9999999998</v>
      </c>
      <c r="D13" s="56">
        <f t="shared" ref="D13:E13" si="5">+D6*D38</f>
        <v>303999.99999999994</v>
      </c>
      <c r="E13" s="56">
        <f t="shared" si="5"/>
        <v>408000</v>
      </c>
      <c r="F13" s="56">
        <f t="shared" ref="F13" si="6">+F6*F38</f>
        <v>151999.99999999997</v>
      </c>
      <c r="G13" s="56">
        <f t="shared" si="0"/>
        <v>2320000</v>
      </c>
      <c r="R13" s="54" t="s">
        <v>35</v>
      </c>
      <c r="AH13" s="54" t="s">
        <v>36</v>
      </c>
      <c r="AI13" s="54" t="s">
        <v>35</v>
      </c>
      <c r="AJ13" s="50" t="s">
        <v>19</v>
      </c>
    </row>
    <row r="14" spans="1:36">
      <c r="A14" s="161">
        <v>8</v>
      </c>
      <c r="B14" s="57" t="s">
        <v>37</v>
      </c>
      <c r="C14" s="56">
        <f>SUM(C11:C13)</f>
        <v>4051173.5254365634</v>
      </c>
      <c r="D14" s="56">
        <f t="shared" ref="D14:F14" si="7">SUM(D11:D13)</f>
        <v>845849.41739884275</v>
      </c>
      <c r="E14" s="56">
        <f t="shared" si="7"/>
        <v>1135218.9549300259</v>
      </c>
      <c r="F14" s="56">
        <f t="shared" si="7"/>
        <v>422924.70869942138</v>
      </c>
      <c r="G14" s="56">
        <f t="shared" si="0"/>
        <v>6455166.6064648535</v>
      </c>
      <c r="R14" s="57" t="s">
        <v>37</v>
      </c>
      <c r="AH14" s="54" t="s">
        <v>38</v>
      </c>
      <c r="AI14" s="57" t="s">
        <v>37</v>
      </c>
    </row>
    <row r="15" spans="1:36">
      <c r="A15" s="161">
        <v>9</v>
      </c>
      <c r="B15" s="57" t="s">
        <v>39</v>
      </c>
      <c r="C15" s="56">
        <f>+C9-C10-C14</f>
        <v>6208592.4745634366</v>
      </c>
      <c r="D15" s="56">
        <f t="shared" ref="D15:F15" si="8">+D9-D10-D14</f>
        <v>408816.60840115719</v>
      </c>
      <c r="E15" s="56">
        <f t="shared" si="8"/>
        <v>2150690.0450699739</v>
      </c>
      <c r="F15" s="56">
        <f t="shared" si="8"/>
        <v>600408.30420057813</v>
      </c>
      <c r="G15" s="56">
        <f t="shared" si="0"/>
        <v>9368507.4322351459</v>
      </c>
      <c r="R15" s="57" t="s">
        <v>39</v>
      </c>
      <c r="AH15" s="54" t="s">
        <v>40</v>
      </c>
      <c r="AI15" s="57" t="s">
        <v>39</v>
      </c>
    </row>
    <row r="16" spans="1:36">
      <c r="A16" s="161">
        <v>10</v>
      </c>
      <c r="B16" s="54" t="s">
        <v>41</v>
      </c>
      <c r="C16" s="58">
        <f>+C15/C9</f>
        <v>0.17228861345774882</v>
      </c>
      <c r="D16" s="58">
        <f t="shared" ref="D16:F16" si="9">+D15/D9</f>
        <v>5.433500909106289E-2</v>
      </c>
      <c r="E16" s="58">
        <f t="shared" si="9"/>
        <v>0.21298178303327134</v>
      </c>
      <c r="F16" s="58">
        <f t="shared" si="9"/>
        <v>0.15959816698579962</v>
      </c>
      <c r="G16" s="58">
        <f t="shared" ref="G16" si="10">+G15/G9</f>
        <v>0.16315756586964728</v>
      </c>
      <c r="R16" s="54" t="s">
        <v>41</v>
      </c>
      <c r="AH16" s="54" t="s">
        <v>42</v>
      </c>
      <c r="AI16" s="54" t="s">
        <v>41</v>
      </c>
    </row>
    <row r="17" spans="1:36">
      <c r="A17" s="161">
        <v>11</v>
      </c>
      <c r="B17" s="54" t="s">
        <v>43</v>
      </c>
      <c r="C17" s="56">
        <f>C6*C43+C18</f>
        <v>1710009.9999999998</v>
      </c>
      <c r="D17" s="56">
        <f t="shared" ref="D17:F17" si="11">D6*D43+D18</f>
        <v>414009.99999999994</v>
      </c>
      <c r="E17" s="56">
        <f t="shared" si="11"/>
        <v>495005</v>
      </c>
      <c r="F17" s="56">
        <f t="shared" si="11"/>
        <v>207004.99999999997</v>
      </c>
      <c r="G17" s="56">
        <f>SUM(C17:F17)</f>
        <v>2826029.9999999995</v>
      </c>
      <c r="H17" s="70"/>
      <c r="R17" s="54" t="s">
        <v>43</v>
      </c>
      <c r="AH17" s="54" t="s">
        <v>44</v>
      </c>
      <c r="AI17" s="54" t="s">
        <v>43</v>
      </c>
    </row>
    <row r="18" spans="1:36" s="48" customFormat="1">
      <c r="A18" s="161">
        <v>12</v>
      </c>
      <c r="B18" s="59" t="s">
        <v>147</v>
      </c>
      <c r="C18" s="60">
        <f>$G$18/$G$6*C6</f>
        <v>72010</v>
      </c>
      <c r="D18" s="60">
        <f>$G$18/$G$6*D6</f>
        <v>72010</v>
      </c>
      <c r="E18" s="60">
        <f>$G$18/$G$6*E6</f>
        <v>36005</v>
      </c>
      <c r="F18" s="60">
        <f>$G$18/$G$6*F6</f>
        <v>36005</v>
      </c>
      <c r="G18" s="60">
        <f>项目投资!D26</f>
        <v>216030</v>
      </c>
      <c r="H18" s="71" t="s">
        <v>148</v>
      </c>
      <c r="I18" s="71"/>
      <c r="J18" s="71"/>
    </row>
    <row r="19" spans="1:36">
      <c r="A19" s="161">
        <v>13</v>
      </c>
      <c r="B19" s="54" t="s">
        <v>45</v>
      </c>
      <c r="C19" s="56">
        <f>C6*C44</f>
        <v>254800</v>
      </c>
      <c r="D19" s="56">
        <f t="shared" ref="D19:F19" si="12">D6*D44</f>
        <v>53200</v>
      </c>
      <c r="E19" s="56">
        <f t="shared" si="12"/>
        <v>71400</v>
      </c>
      <c r="F19" s="56">
        <f t="shared" si="12"/>
        <v>26600</v>
      </c>
      <c r="G19" s="56">
        <f>SUM(C19:F19)</f>
        <v>406000</v>
      </c>
      <c r="H19" s="48"/>
      <c r="R19" s="54" t="s">
        <v>45</v>
      </c>
      <c r="AH19" s="54" t="s">
        <v>46</v>
      </c>
      <c r="AI19" s="54" t="s">
        <v>45</v>
      </c>
      <c r="AJ19" s="50" t="s">
        <v>19</v>
      </c>
    </row>
    <row r="20" spans="1:36">
      <c r="A20" s="161">
        <v>14</v>
      </c>
      <c r="B20" s="54" t="s">
        <v>47</v>
      </c>
      <c r="C20" s="56">
        <f>C6*C45</f>
        <v>1092000</v>
      </c>
      <c r="D20" s="56">
        <f t="shared" ref="D20:F20" si="13">D6*D45</f>
        <v>228000</v>
      </c>
      <c r="E20" s="56">
        <f t="shared" si="13"/>
        <v>306000</v>
      </c>
      <c r="F20" s="56">
        <f t="shared" si="13"/>
        <v>114000</v>
      </c>
      <c r="G20" s="56">
        <f>SUM(C20:F20)</f>
        <v>1740000</v>
      </c>
      <c r="R20" s="54" t="s">
        <v>47</v>
      </c>
      <c r="AH20" s="54" t="s">
        <v>48</v>
      </c>
      <c r="AI20" s="54" t="s">
        <v>47</v>
      </c>
    </row>
    <row r="21" spans="1:36">
      <c r="A21" s="161">
        <v>15</v>
      </c>
      <c r="B21" s="54" t="s">
        <v>49</v>
      </c>
      <c r="C21" s="61">
        <f>$G$21/$G$6*C6</f>
        <v>55833.333333333328</v>
      </c>
      <c r="D21" s="61">
        <f>$G$21/$G$6*D6</f>
        <v>55833.333333333328</v>
      </c>
      <c r="E21" s="61">
        <f>$G$21/$G$6*E6</f>
        <v>27916.666666666664</v>
      </c>
      <c r="F21" s="61">
        <f>$G$21/$G$6*F6</f>
        <v>27916.666666666664</v>
      </c>
      <c r="G21" s="56">
        <f>项目投资!D27</f>
        <v>167500</v>
      </c>
      <c r="R21" s="54" t="s">
        <v>49</v>
      </c>
      <c r="AH21" s="54"/>
      <c r="AI21" s="54"/>
    </row>
    <row r="22" spans="1:36">
      <c r="A22" s="161">
        <v>16</v>
      </c>
      <c r="B22" s="54" t="s">
        <v>50</v>
      </c>
      <c r="C22" s="56">
        <f>C6*C47</f>
        <v>1456000</v>
      </c>
      <c r="D22" s="56">
        <f t="shared" ref="D22:F22" si="14">D6*D47</f>
        <v>304000</v>
      </c>
      <c r="E22" s="56">
        <f t="shared" si="14"/>
        <v>408000.00000000006</v>
      </c>
      <c r="F22" s="56">
        <f t="shared" si="14"/>
        <v>152000</v>
      </c>
      <c r="G22" s="56">
        <f>SUM(C22:F22)</f>
        <v>2320000</v>
      </c>
      <c r="R22" s="54" t="s">
        <v>50</v>
      </c>
      <c r="AH22" s="54" t="s">
        <v>51</v>
      </c>
      <c r="AI22" s="54" t="s">
        <v>50</v>
      </c>
    </row>
    <row r="23" spans="1:36">
      <c r="A23" s="161">
        <v>17</v>
      </c>
      <c r="B23" s="57" t="s">
        <v>52</v>
      </c>
      <c r="C23" s="61">
        <f>+C22+C21+C20+C19+C17</f>
        <v>4568643.333333333</v>
      </c>
      <c r="D23" s="61">
        <f t="shared" ref="D23:F23" si="15">+D22+D21+D20+D19+D17</f>
        <v>1055043.3333333333</v>
      </c>
      <c r="E23" s="61">
        <f t="shared" si="15"/>
        <v>1308321.6666666667</v>
      </c>
      <c r="F23" s="61">
        <f t="shared" si="15"/>
        <v>527521.66666666663</v>
      </c>
      <c r="G23" s="61">
        <f t="shared" ref="G23" si="16">+G22+G21+G20+G19+G17</f>
        <v>7459530</v>
      </c>
      <c r="R23" s="57" t="s">
        <v>52</v>
      </c>
      <c r="AH23" s="54" t="s">
        <v>53</v>
      </c>
      <c r="AI23" s="57" t="s">
        <v>52</v>
      </c>
    </row>
    <row r="24" spans="1:36">
      <c r="A24" s="161">
        <v>18</v>
      </c>
      <c r="B24" s="62" t="s">
        <v>54</v>
      </c>
      <c r="C24" s="61">
        <f>+C15-C23</f>
        <v>1639949.1412301036</v>
      </c>
      <c r="D24" s="61">
        <f t="shared" ref="D24:F24" si="17">+D15-D23</f>
        <v>-646226.72493217606</v>
      </c>
      <c r="E24" s="61">
        <f t="shared" si="17"/>
        <v>842368.37840330717</v>
      </c>
      <c r="F24" s="61">
        <f t="shared" si="17"/>
        <v>72886.637533911504</v>
      </c>
      <c r="G24" s="61">
        <f t="shared" ref="G24" si="18">+G15-G23</f>
        <v>1908977.4322351459</v>
      </c>
      <c r="I24" s="72"/>
      <c r="R24" s="54" t="s">
        <v>54</v>
      </c>
      <c r="AH24" s="54" t="s">
        <v>55</v>
      </c>
      <c r="AI24" s="54" t="s">
        <v>54</v>
      </c>
    </row>
    <row r="25" spans="1:36">
      <c r="A25" s="161">
        <v>19</v>
      </c>
      <c r="B25" s="54" t="s">
        <v>256</v>
      </c>
      <c r="C25" s="61">
        <f t="shared" ref="C25:G25" si="19">IF(C24&lt;0,0,C24*0.15)</f>
        <v>245992.37118451553</v>
      </c>
      <c r="D25" s="61">
        <f t="shared" si="19"/>
        <v>0</v>
      </c>
      <c r="E25" s="61">
        <f t="shared" si="19"/>
        <v>126355.25676049606</v>
      </c>
      <c r="F25" s="61">
        <f t="shared" si="19"/>
        <v>10932.995630086725</v>
      </c>
      <c r="G25" s="61">
        <f t="shared" si="19"/>
        <v>286346.6148352719</v>
      </c>
      <c r="H25" s="68"/>
      <c r="I25" s="68"/>
      <c r="J25" s="68"/>
      <c r="R25" s="54" t="s">
        <v>56</v>
      </c>
      <c r="AH25" s="54" t="s">
        <v>57</v>
      </c>
      <c r="AI25" s="54" t="s">
        <v>56</v>
      </c>
    </row>
    <row r="26" spans="1:36">
      <c r="A26" s="161">
        <v>20</v>
      </c>
      <c r="B26" s="54" t="s">
        <v>58</v>
      </c>
      <c r="C26" s="61">
        <f t="shared" ref="C26:G26" si="20">C24-C25</f>
        <v>1393956.770045588</v>
      </c>
      <c r="D26" s="61">
        <f t="shared" si="20"/>
        <v>-646226.72493217606</v>
      </c>
      <c r="E26" s="61">
        <f t="shared" si="20"/>
        <v>716013.12164281111</v>
      </c>
      <c r="F26" s="61">
        <f t="shared" si="20"/>
        <v>61953.641903824777</v>
      </c>
      <c r="G26" s="61">
        <f t="shared" si="20"/>
        <v>1622630.8173998741</v>
      </c>
      <c r="H26" s="68"/>
      <c r="I26" s="68"/>
      <c r="J26" s="68"/>
      <c r="R26" s="54" t="s">
        <v>58</v>
      </c>
      <c r="AH26" s="54" t="s">
        <v>59</v>
      </c>
      <c r="AI26" s="54" t="s">
        <v>58</v>
      </c>
    </row>
    <row r="27" spans="1:36">
      <c r="A27" s="161">
        <v>21</v>
      </c>
      <c r="B27" s="54" t="s">
        <v>62</v>
      </c>
      <c r="C27" s="131">
        <f t="shared" ref="C27:G27" si="21">C26/C7</f>
        <v>3.8295515660593075E-2</v>
      </c>
      <c r="D27" s="131">
        <f t="shared" ref="D27:F27" si="22">D26/D7</f>
        <v>-8.5029832227917906E-2</v>
      </c>
      <c r="E27" s="131">
        <f t="shared" si="22"/>
        <v>7.0197364866942266E-2</v>
      </c>
      <c r="F27" s="131">
        <f t="shared" si="22"/>
        <v>1.6303589974690731E-2</v>
      </c>
      <c r="G27" s="131">
        <f t="shared" si="21"/>
        <v>2.7976393403446105E-2</v>
      </c>
      <c r="H27" s="68"/>
      <c r="I27" s="68"/>
      <c r="J27" s="68"/>
      <c r="R27" s="54" t="s">
        <v>62</v>
      </c>
      <c r="AH27" s="54" t="s">
        <v>61</v>
      </c>
      <c r="AI27" s="54" t="s">
        <v>62</v>
      </c>
    </row>
    <row r="28" spans="1:36">
      <c r="H28" s="68"/>
      <c r="I28" s="68"/>
      <c r="J28" s="68"/>
      <c r="R28" s="54"/>
    </row>
    <row r="29" spans="1:36">
      <c r="A29" s="50" t="s">
        <v>63</v>
      </c>
      <c r="G29" s="51" t="s">
        <v>149</v>
      </c>
      <c r="H29" s="68"/>
      <c r="I29" s="68"/>
      <c r="J29" s="68"/>
      <c r="R29" s="54"/>
      <c r="AH29" s="50" t="s">
        <v>63</v>
      </c>
    </row>
    <row r="30" spans="1:36">
      <c r="A30" s="54" t="s">
        <v>66</v>
      </c>
      <c r="B30" s="57" t="s">
        <v>67</v>
      </c>
      <c r="C30" s="61"/>
      <c r="D30" s="61"/>
      <c r="E30" s="61"/>
      <c r="F30" s="61"/>
      <c r="G30" s="61"/>
      <c r="H30" s="68"/>
      <c r="I30" s="68"/>
      <c r="J30" s="68"/>
      <c r="L30" s="68"/>
      <c r="R30" s="57" t="s">
        <v>67</v>
      </c>
      <c r="AH30" s="54" t="s">
        <v>68</v>
      </c>
      <c r="AI30" s="57" t="s">
        <v>67</v>
      </c>
    </row>
    <row r="31" spans="1:36">
      <c r="A31" s="161">
        <v>1</v>
      </c>
      <c r="B31" s="59" t="s">
        <v>69</v>
      </c>
      <c r="C31" s="64">
        <f>销量!C8</f>
        <v>1820</v>
      </c>
      <c r="D31" s="64">
        <f>销量!D8</f>
        <v>380</v>
      </c>
      <c r="E31" s="64">
        <f>销量!E8</f>
        <v>1020</v>
      </c>
      <c r="F31" s="64">
        <f>销量!F8</f>
        <v>380</v>
      </c>
      <c r="G31" s="61"/>
      <c r="H31" s="68"/>
      <c r="I31" s="68"/>
      <c r="J31" s="68"/>
      <c r="L31" s="68"/>
      <c r="R31" s="54" t="s">
        <v>69</v>
      </c>
      <c r="AH31" s="54" t="s">
        <v>21</v>
      </c>
      <c r="AI31" s="54" t="s">
        <v>69</v>
      </c>
    </row>
    <row r="32" spans="1:36">
      <c r="A32" s="161">
        <v>2</v>
      </c>
      <c r="B32" s="54" t="s">
        <v>150</v>
      </c>
      <c r="C32" s="56">
        <f>C9/C6</f>
        <v>1801.8</v>
      </c>
      <c r="D32" s="56">
        <f t="shared" ref="D32:F32" si="23">D9/D6</f>
        <v>376.2</v>
      </c>
      <c r="E32" s="56">
        <f t="shared" si="23"/>
        <v>1009.8</v>
      </c>
      <c r="F32" s="56">
        <f t="shared" si="23"/>
        <v>376.2</v>
      </c>
      <c r="G32" s="61"/>
      <c r="H32" s="68"/>
      <c r="I32" s="68"/>
      <c r="J32" s="68"/>
      <c r="K32" s="68"/>
      <c r="L32" s="68"/>
      <c r="M32" s="68"/>
      <c r="N32" s="68"/>
      <c r="AH32" s="54"/>
      <c r="AI32" s="54"/>
    </row>
    <row r="33" spans="1:35">
      <c r="A33" s="161">
        <v>3</v>
      </c>
      <c r="B33" s="59" t="s">
        <v>70</v>
      </c>
      <c r="C33" s="56">
        <f>材料成本!F40</f>
        <v>1288.8117</v>
      </c>
      <c r="D33" s="56">
        <f>材料成本!F41</f>
        <v>313.46669871</v>
      </c>
      <c r="E33" s="56">
        <f>材料成本!F42</f>
        <v>681.20910000000003</v>
      </c>
      <c r="F33" s="56">
        <f>材料成本!F43</f>
        <v>273.86669871000004</v>
      </c>
      <c r="G33" s="61"/>
      <c r="I33" s="68"/>
      <c r="J33" s="68"/>
      <c r="K33" s="68"/>
      <c r="L33" s="68"/>
      <c r="M33" s="68"/>
      <c r="N33" s="68"/>
      <c r="R33" s="54" t="s">
        <v>70</v>
      </c>
      <c r="AH33" s="54" t="s">
        <v>23</v>
      </c>
      <c r="AI33" s="54" t="s">
        <v>70</v>
      </c>
    </row>
    <row r="34" spans="1:35" ht="17.25" customHeight="1">
      <c r="A34" s="161">
        <v>4</v>
      </c>
      <c r="B34" s="54" t="s">
        <v>72</v>
      </c>
      <c r="C34" s="65">
        <f>C32-C33</f>
        <v>512.98829999999998</v>
      </c>
      <c r="D34" s="65">
        <f t="shared" ref="D34:F34" si="24">D32-D33</f>
        <v>62.733301289999986</v>
      </c>
      <c r="E34" s="65">
        <f t="shared" si="24"/>
        <v>328.59089999999992</v>
      </c>
      <c r="F34" s="65">
        <f t="shared" si="24"/>
        <v>102.33330128999995</v>
      </c>
      <c r="G34" s="61"/>
      <c r="I34" s="68"/>
      <c r="J34" s="68"/>
      <c r="K34" s="68"/>
      <c r="L34" s="68"/>
      <c r="M34" s="68"/>
      <c r="N34" s="68"/>
      <c r="R34" s="54" t="s">
        <v>72</v>
      </c>
      <c r="AH34" s="54" t="s">
        <v>71</v>
      </c>
      <c r="AI34" s="54" t="s">
        <v>72</v>
      </c>
    </row>
    <row r="35" spans="1:35">
      <c r="A35" s="54" t="s">
        <v>68</v>
      </c>
      <c r="B35" s="57" t="s">
        <v>8</v>
      </c>
      <c r="C35" s="61"/>
      <c r="D35" s="61"/>
      <c r="E35" s="61"/>
      <c r="F35" s="61"/>
      <c r="G35" s="61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57" t="s">
        <v>8</v>
      </c>
      <c r="AH35" s="54" t="s">
        <v>74</v>
      </c>
      <c r="AI35" s="57" t="s">
        <v>8</v>
      </c>
    </row>
    <row r="36" spans="1:35">
      <c r="A36" s="161">
        <v>1</v>
      </c>
      <c r="B36" s="54" t="s">
        <v>75</v>
      </c>
      <c r="C36" s="60">
        <f>'2022年'!C36</f>
        <v>102.32037519786874</v>
      </c>
      <c r="D36" s="60">
        <f>'2022年'!D36</f>
        <v>21.363594821533034</v>
      </c>
      <c r="E36" s="60">
        <f>'2022年'!E36</f>
        <v>57.344386099904455</v>
      </c>
      <c r="F36" s="60">
        <f>'2022年'!F36</f>
        <v>21.363594821533034</v>
      </c>
      <c r="G36" s="64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54" t="s">
        <v>75</v>
      </c>
      <c r="AH36" s="54" t="s">
        <v>71</v>
      </c>
      <c r="AI36" s="54" t="s">
        <v>75</v>
      </c>
    </row>
    <row r="37" spans="1:35">
      <c r="A37" s="161">
        <v>2</v>
      </c>
      <c r="B37" s="54" t="s">
        <v>76</v>
      </c>
      <c r="C37" s="60">
        <f>'2022年'!C37</f>
        <v>27.438301073959419</v>
      </c>
      <c r="D37" s="60">
        <f>'2022年'!D37</f>
        <v>5.7288760484091101</v>
      </c>
      <c r="E37" s="60">
        <f>'2022年'!E37</f>
        <v>15.377509393098137</v>
      </c>
      <c r="F37" s="60">
        <f>'2022年'!F37</f>
        <v>5.7288760484091101</v>
      </c>
      <c r="G37" s="64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54" t="s">
        <v>76</v>
      </c>
      <c r="AH37" s="54" t="s">
        <v>26</v>
      </c>
      <c r="AI37" s="54" t="s">
        <v>76</v>
      </c>
    </row>
    <row r="38" spans="1:35">
      <c r="A38" s="161">
        <v>3</v>
      </c>
      <c r="B38" s="54" t="s">
        <v>77</v>
      </c>
      <c r="C38" s="60">
        <f>'2022年'!C38</f>
        <v>72.799999999999983</v>
      </c>
      <c r="D38" s="60">
        <f>'2022年'!D38</f>
        <v>15.199999999999998</v>
      </c>
      <c r="E38" s="60">
        <f>'2022年'!E38</f>
        <v>40.799999999999997</v>
      </c>
      <c r="F38" s="60">
        <f>'2022年'!F38</f>
        <v>15.199999999999998</v>
      </c>
      <c r="G38" s="64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54" t="s">
        <v>77</v>
      </c>
      <c r="AH38" s="54" t="s">
        <v>32</v>
      </c>
      <c r="AI38" s="54" t="s">
        <v>77</v>
      </c>
    </row>
    <row r="39" spans="1:35">
      <c r="A39" s="54" t="s">
        <v>74</v>
      </c>
      <c r="B39" s="57" t="s">
        <v>79</v>
      </c>
      <c r="C39" s="61"/>
      <c r="D39" s="61"/>
      <c r="E39" s="61"/>
      <c r="F39" s="61"/>
      <c r="G39" s="61"/>
      <c r="R39" s="57" t="s">
        <v>79</v>
      </c>
      <c r="AH39" s="54" t="s">
        <v>78</v>
      </c>
      <c r="AI39" s="57" t="s">
        <v>79</v>
      </c>
    </row>
    <row r="40" spans="1:35">
      <c r="A40" s="161">
        <v>1</v>
      </c>
      <c r="B40" s="54" t="s">
        <v>81</v>
      </c>
      <c r="C40" s="61">
        <f>C34-C36-C37-C38</f>
        <v>310.4296237281718</v>
      </c>
      <c r="D40" s="61">
        <f t="shared" ref="D40:F40" si="25">D34-D36-D37-D38</f>
        <v>20.440830420057843</v>
      </c>
      <c r="E40" s="61">
        <f t="shared" si="25"/>
        <v>215.06900450699732</v>
      </c>
      <c r="F40" s="61">
        <f t="shared" si="25"/>
        <v>60.040830420057809</v>
      </c>
      <c r="G40" s="61"/>
      <c r="R40" s="54" t="s">
        <v>81</v>
      </c>
      <c r="AH40" s="54" t="s">
        <v>21</v>
      </c>
      <c r="AI40" s="54" t="s">
        <v>81</v>
      </c>
    </row>
    <row r="41" spans="1:35">
      <c r="A41" s="161">
        <v>2</v>
      </c>
      <c r="B41" s="54" t="s">
        <v>82</v>
      </c>
      <c r="C41" s="61"/>
      <c r="D41" s="61"/>
      <c r="E41" s="61"/>
      <c r="F41" s="61"/>
      <c r="G41" s="61"/>
      <c r="R41" s="54" t="s">
        <v>82</v>
      </c>
      <c r="AH41" s="54" t="s">
        <v>23</v>
      </c>
      <c r="AI41" s="54" t="s">
        <v>82</v>
      </c>
    </row>
    <row r="42" spans="1:35">
      <c r="A42" s="54" t="s">
        <v>78</v>
      </c>
      <c r="B42" s="57" t="s">
        <v>84</v>
      </c>
      <c r="C42" s="61"/>
      <c r="D42" s="61"/>
      <c r="E42" s="61"/>
      <c r="F42" s="61"/>
      <c r="G42" s="61"/>
      <c r="R42" s="57" t="s">
        <v>84</v>
      </c>
      <c r="AH42" s="54" t="s">
        <v>83</v>
      </c>
      <c r="AI42" s="57" t="s">
        <v>84</v>
      </c>
    </row>
    <row r="43" spans="1:35">
      <c r="A43" s="161">
        <v>1</v>
      </c>
      <c r="B43" s="62" t="s">
        <v>85</v>
      </c>
      <c r="C43" s="60">
        <f>'2022年'!C43</f>
        <v>81.899999999999991</v>
      </c>
      <c r="D43" s="60">
        <f>'2022年'!D43</f>
        <v>17.099999999999998</v>
      </c>
      <c r="E43" s="60">
        <f>'2022年'!E43</f>
        <v>45.9</v>
      </c>
      <c r="F43" s="60">
        <f>'2022年'!F43</f>
        <v>17.099999999999998</v>
      </c>
      <c r="G43" s="61"/>
      <c r="R43" s="54" t="s">
        <v>85</v>
      </c>
      <c r="AH43" s="54" t="s">
        <v>21</v>
      </c>
      <c r="AI43" s="54" t="s">
        <v>85</v>
      </c>
    </row>
    <row r="44" spans="1:35">
      <c r="A44" s="161">
        <v>2</v>
      </c>
      <c r="B44" s="62" t="s">
        <v>86</v>
      </c>
      <c r="C44" s="60">
        <f>'2022年'!C44</f>
        <v>12.74</v>
      </c>
      <c r="D44" s="60">
        <f>'2022年'!D44</f>
        <v>2.66</v>
      </c>
      <c r="E44" s="60">
        <f>'2022年'!E44</f>
        <v>7.1400000000000006</v>
      </c>
      <c r="F44" s="60">
        <f>'2022年'!F44</f>
        <v>2.66</v>
      </c>
      <c r="G44" s="61"/>
      <c r="R44" s="54" t="s">
        <v>86</v>
      </c>
      <c r="AH44" s="54" t="s">
        <v>23</v>
      </c>
      <c r="AI44" s="54" t="s">
        <v>86</v>
      </c>
    </row>
    <row r="45" spans="1:35">
      <c r="A45" s="161">
        <v>3</v>
      </c>
      <c r="B45" s="62" t="s">
        <v>87</v>
      </c>
      <c r="C45" s="60">
        <f>'2022年'!C45</f>
        <v>54.6</v>
      </c>
      <c r="D45" s="60">
        <f>'2022年'!D45</f>
        <v>11.4</v>
      </c>
      <c r="E45" s="60">
        <f>'2022年'!E45</f>
        <v>30.599999999999998</v>
      </c>
      <c r="F45" s="60">
        <f>'2022年'!F45</f>
        <v>11.4</v>
      </c>
      <c r="G45" s="61"/>
      <c r="R45" s="54" t="s">
        <v>87</v>
      </c>
      <c r="AH45" s="54" t="s">
        <v>71</v>
      </c>
      <c r="AI45" s="54" t="s">
        <v>87</v>
      </c>
    </row>
    <row r="46" spans="1:35" s="49" customFormat="1">
      <c r="A46" s="161">
        <v>4</v>
      </c>
      <c r="B46" s="62" t="s">
        <v>88</v>
      </c>
      <c r="C46" s="66">
        <f>C21/C6</f>
        <v>2.7916666666666665</v>
      </c>
      <c r="D46" s="66">
        <f t="shared" ref="D46:F46" si="26">D21/D6</f>
        <v>2.7916666666666665</v>
      </c>
      <c r="E46" s="66">
        <f t="shared" si="26"/>
        <v>2.7916666666666665</v>
      </c>
      <c r="F46" s="66">
        <f t="shared" si="26"/>
        <v>2.7916666666666665</v>
      </c>
      <c r="G46" s="66"/>
      <c r="R46" s="62" t="s">
        <v>90</v>
      </c>
      <c r="AH46" s="62" t="s">
        <v>29</v>
      </c>
      <c r="AI46" s="62" t="s">
        <v>90</v>
      </c>
    </row>
    <row r="47" spans="1:35" s="49" customFormat="1">
      <c r="A47" s="161">
        <v>5</v>
      </c>
      <c r="B47" s="62" t="s">
        <v>90</v>
      </c>
      <c r="C47" s="66">
        <f>'2022年'!C47</f>
        <v>72.8</v>
      </c>
      <c r="D47" s="66">
        <f>'2022年'!D47</f>
        <v>15.200000000000001</v>
      </c>
      <c r="E47" s="66">
        <f>'2022年'!E47</f>
        <v>40.800000000000004</v>
      </c>
      <c r="F47" s="66">
        <f>'2022年'!F47</f>
        <v>15.200000000000001</v>
      </c>
      <c r="G47" s="66"/>
      <c r="R47" s="62" t="s">
        <v>90</v>
      </c>
      <c r="AH47" s="62" t="s">
        <v>29</v>
      </c>
      <c r="AI47" s="62" t="s">
        <v>90</v>
      </c>
    </row>
    <row r="48" spans="1:35">
      <c r="A48" s="54" t="s">
        <v>83</v>
      </c>
      <c r="B48" s="57" t="s">
        <v>101</v>
      </c>
      <c r="C48" s="61">
        <f>C40-C43-C44-C45-C47-C46</f>
        <v>85.597957061505156</v>
      </c>
      <c r="D48" s="61">
        <f t="shared" ref="D48:F48" si="27">D40-D43-D44-D45-D47-D46</f>
        <v>-28.710836246608824</v>
      </c>
      <c r="E48" s="61">
        <f t="shared" si="27"/>
        <v>87.837337840330619</v>
      </c>
      <c r="F48" s="61">
        <f t="shared" si="27"/>
        <v>10.889163753391145</v>
      </c>
      <c r="G48" s="61"/>
      <c r="R48" s="57" t="s">
        <v>101</v>
      </c>
      <c r="AH48" s="54" t="s">
        <v>100</v>
      </c>
      <c r="AI48" s="57" t="s">
        <v>101</v>
      </c>
    </row>
    <row r="51" spans="2:12">
      <c r="C51" s="67"/>
      <c r="D51" s="67"/>
      <c r="E51" s="67"/>
      <c r="F51" s="67"/>
    </row>
    <row r="54" spans="2:12">
      <c r="B54" s="68"/>
      <c r="C54" s="69"/>
      <c r="D54" s="69"/>
      <c r="E54" s="69"/>
      <c r="F54" s="69"/>
      <c r="G54" s="69"/>
      <c r="H54" s="68"/>
      <c r="I54" s="68"/>
      <c r="J54" s="68"/>
      <c r="K54" s="68"/>
      <c r="L54" s="68"/>
    </row>
    <row r="55" spans="2:12">
      <c r="B55" s="68"/>
      <c r="C55" s="69"/>
      <c r="D55" s="69"/>
      <c r="E55" s="69"/>
      <c r="F55" s="69"/>
      <c r="G55" s="69"/>
      <c r="H55" s="68"/>
      <c r="I55" s="68"/>
      <c r="J55" s="68"/>
      <c r="K55" s="68"/>
      <c r="L55" s="68"/>
    </row>
    <row r="56" spans="2:12">
      <c r="B56" s="68"/>
      <c r="C56" s="69"/>
      <c r="D56" s="69"/>
      <c r="E56" s="69"/>
      <c r="F56" s="69"/>
      <c r="G56" s="69"/>
      <c r="H56" s="68"/>
      <c r="I56" s="68"/>
      <c r="J56" s="68"/>
      <c r="K56" s="68"/>
      <c r="L56" s="68"/>
    </row>
    <row r="57" spans="2:12">
      <c r="B57" s="68"/>
      <c r="C57" s="69"/>
      <c r="D57" s="69"/>
      <c r="E57" s="69"/>
      <c r="F57" s="69"/>
      <c r="G57" s="69"/>
      <c r="H57" s="68"/>
      <c r="I57" s="68"/>
      <c r="J57" s="68"/>
      <c r="K57" s="68"/>
      <c r="L57" s="68"/>
    </row>
    <row r="58" spans="2:12">
      <c r="B58" s="68"/>
      <c r="C58" s="69"/>
      <c r="D58" s="69"/>
      <c r="E58" s="69"/>
      <c r="F58" s="69"/>
      <c r="G58" s="69"/>
      <c r="H58" s="68"/>
      <c r="I58" s="68"/>
      <c r="J58" s="68"/>
      <c r="K58" s="68"/>
      <c r="L58" s="68"/>
    </row>
    <row r="59" spans="2:12">
      <c r="B59" s="68"/>
      <c r="C59" s="69"/>
      <c r="D59" s="69"/>
      <c r="E59" s="69"/>
      <c r="F59" s="69"/>
      <c r="G59" s="69"/>
      <c r="H59" s="68"/>
      <c r="I59" s="68"/>
      <c r="J59" s="68"/>
      <c r="K59" s="68"/>
      <c r="L59" s="68"/>
    </row>
    <row r="60" spans="2:12">
      <c r="B60" s="68"/>
      <c r="C60" s="69"/>
      <c r="D60" s="69"/>
      <c r="E60" s="69"/>
      <c r="F60" s="69"/>
      <c r="G60" s="69"/>
      <c r="H60" s="68"/>
      <c r="I60" s="68"/>
      <c r="J60" s="68"/>
      <c r="K60" s="68"/>
      <c r="L60" s="68"/>
    </row>
    <row r="61" spans="2:12">
      <c r="B61" s="68"/>
      <c r="C61" s="69"/>
      <c r="D61" s="69"/>
      <c r="E61" s="69"/>
      <c r="F61" s="69"/>
      <c r="G61" s="69"/>
      <c r="H61" s="68"/>
      <c r="I61" s="68"/>
      <c r="J61" s="68"/>
      <c r="K61" s="68"/>
      <c r="L61" s="68"/>
    </row>
    <row r="62" spans="2:12">
      <c r="B62" s="68"/>
      <c r="C62" s="69"/>
      <c r="D62" s="69"/>
      <c r="E62" s="69"/>
      <c r="F62" s="69"/>
      <c r="G62" s="69"/>
      <c r="H62" s="68"/>
      <c r="I62" s="68"/>
      <c r="J62" s="68"/>
      <c r="K62" s="68"/>
      <c r="L62" s="68"/>
    </row>
    <row r="63" spans="2:12">
      <c r="B63" s="68"/>
      <c r="C63" s="69"/>
      <c r="D63" s="69"/>
      <c r="E63" s="69"/>
      <c r="F63" s="69"/>
      <c r="G63" s="69"/>
      <c r="H63" s="68"/>
      <c r="I63" s="68"/>
      <c r="J63" s="68"/>
      <c r="K63" s="68"/>
      <c r="L63" s="68"/>
    </row>
    <row r="64" spans="2:12">
      <c r="B64" s="68"/>
      <c r="C64" s="69"/>
      <c r="D64" s="69"/>
      <c r="E64" s="69"/>
      <c r="F64" s="69"/>
      <c r="G64" s="69"/>
      <c r="H64" s="68"/>
      <c r="I64" s="68"/>
      <c r="J64" s="68"/>
      <c r="K64" s="68"/>
      <c r="L64" s="68"/>
    </row>
    <row r="65" spans="2:12">
      <c r="B65" s="68"/>
      <c r="C65" s="69"/>
      <c r="D65" s="69"/>
      <c r="E65" s="69"/>
      <c r="F65" s="69"/>
      <c r="G65" s="69"/>
      <c r="H65" s="68"/>
      <c r="I65" s="68"/>
      <c r="J65" s="68"/>
      <c r="K65" s="68"/>
      <c r="L65" s="68"/>
    </row>
    <row r="66" spans="2:12">
      <c r="B66" s="68"/>
      <c r="C66" s="69"/>
      <c r="D66" s="69"/>
      <c r="E66" s="69"/>
      <c r="F66" s="69"/>
      <c r="G66" s="69"/>
      <c r="H66" s="68"/>
      <c r="I66" s="68"/>
      <c r="J66" s="68"/>
      <c r="K66" s="68"/>
      <c r="L66" s="68"/>
    </row>
    <row r="67" spans="2:12">
      <c r="B67" s="68"/>
      <c r="C67" s="69"/>
      <c r="D67" s="69"/>
      <c r="E67" s="69"/>
      <c r="F67" s="69"/>
      <c r="G67" s="69"/>
      <c r="H67" s="68"/>
    </row>
    <row r="68" spans="2:12">
      <c r="B68" s="68"/>
      <c r="C68" s="69"/>
      <c r="D68" s="69"/>
      <c r="E68" s="69"/>
      <c r="F68" s="69"/>
      <c r="G68" s="69"/>
      <c r="H68" s="68"/>
    </row>
    <row r="69" spans="2:12">
      <c r="B69" s="68"/>
      <c r="C69" s="69"/>
      <c r="D69" s="69"/>
      <c r="E69" s="69"/>
      <c r="F69" s="69"/>
      <c r="G69" s="69"/>
      <c r="H69" s="68"/>
    </row>
    <row r="70" spans="2:12">
      <c r="B70" s="68"/>
      <c r="C70" s="69"/>
      <c r="D70" s="69"/>
      <c r="E70" s="69"/>
      <c r="F70" s="69"/>
      <c r="G70" s="69"/>
      <c r="H70" s="68"/>
    </row>
    <row r="71" spans="2:12">
      <c r="B71" s="68"/>
      <c r="C71" s="69"/>
      <c r="D71" s="69"/>
      <c r="E71" s="69"/>
      <c r="F71" s="69"/>
      <c r="G71" s="69"/>
      <c r="H71" s="68"/>
    </row>
    <row r="72" spans="2:12">
      <c r="B72" s="68"/>
      <c r="C72" s="69"/>
      <c r="D72" s="69"/>
      <c r="E72" s="69"/>
      <c r="F72" s="69"/>
      <c r="G72" s="69"/>
      <c r="H72" s="68"/>
    </row>
    <row r="73" spans="2:12">
      <c r="B73" s="68"/>
      <c r="C73" s="69"/>
      <c r="D73" s="69"/>
      <c r="E73" s="69"/>
      <c r="F73" s="69"/>
      <c r="G73" s="69"/>
      <c r="H73" s="68"/>
    </row>
    <row r="74" spans="2:12">
      <c r="B74" s="68"/>
      <c r="C74" s="69"/>
      <c r="D74" s="69"/>
      <c r="E74" s="69"/>
      <c r="F74" s="69"/>
      <c r="G74" s="69"/>
      <c r="H74" s="68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8" activePane="bottomRight" state="frozen"/>
      <selection pane="topRight"/>
      <selection pane="bottomLeft"/>
      <selection pane="bottomRight" activeCell="H25" sqref="H25"/>
    </sheetView>
  </sheetViews>
  <sheetFormatPr defaultColWidth="9" defaultRowHeight="16.5"/>
  <cols>
    <col min="1" max="1" width="5.125" style="50" customWidth="1"/>
    <col min="2" max="2" width="17.5" style="50" customWidth="1"/>
    <col min="3" max="3" width="13.25" style="51" customWidth="1"/>
    <col min="4" max="4" width="20.25" style="51" bestFit="1" customWidth="1"/>
    <col min="5" max="6" width="13.25" style="51" customWidth="1"/>
    <col min="7" max="7" width="18.75" style="51" customWidth="1"/>
    <col min="8" max="8" width="12.375" style="50" customWidth="1"/>
    <col min="9" max="9" width="10.125" style="50" customWidth="1"/>
    <col min="10" max="16" width="9" style="50" customWidth="1"/>
    <col min="17" max="33" width="9" style="50"/>
    <col min="34" max="34" width="4.375" style="50" customWidth="1"/>
    <col min="35" max="35" width="13.875" style="50" customWidth="1"/>
    <col min="36" max="16384" width="9" style="50"/>
  </cols>
  <sheetData>
    <row r="1" spans="1:36">
      <c r="A1" s="262" t="s">
        <v>141</v>
      </c>
      <c r="B1" s="262"/>
      <c r="C1" s="266" t="s">
        <v>258</v>
      </c>
      <c r="D1" s="267"/>
      <c r="E1" s="267"/>
      <c r="F1" s="267"/>
      <c r="G1" s="268"/>
    </row>
    <row r="2" spans="1:36">
      <c r="A2" s="262" t="s">
        <v>142</v>
      </c>
      <c r="B2" s="262"/>
      <c r="C2" s="269" t="str">
        <f>'2022年'!C2:G2</f>
        <v>一汽解放</v>
      </c>
      <c r="D2" s="269"/>
      <c r="E2" s="269"/>
      <c r="F2" s="269"/>
      <c r="G2" s="269"/>
    </row>
    <row r="3" spans="1:36">
      <c r="A3" s="262" t="s">
        <v>143</v>
      </c>
      <c r="B3" s="262"/>
      <c r="C3" s="162" t="str">
        <f>销量!C5</f>
        <v>驾驶员座总成</v>
      </c>
      <c r="D3" s="162" t="str">
        <f>销量!D5</f>
        <v>前座总成</v>
      </c>
      <c r="E3" s="162" t="str">
        <f>销量!E5</f>
        <v>驾驶员座总成</v>
      </c>
      <c r="F3" s="162" t="str">
        <f>销量!F5</f>
        <v>前座总成</v>
      </c>
      <c r="G3" s="263" t="s">
        <v>17</v>
      </c>
    </row>
    <row r="4" spans="1:36" ht="28.5">
      <c r="A4" s="262" t="s">
        <v>144</v>
      </c>
      <c r="B4" s="262"/>
      <c r="C4" s="162" t="str">
        <f>销量!C6</f>
        <v>6800010EH13-C00</v>
      </c>
      <c r="D4" s="162" t="str">
        <f>销量!D6</f>
        <v>6900010BH13-C00</v>
      </c>
      <c r="E4" s="162" t="str">
        <f>销量!E6</f>
        <v>6800010DH13-C00</v>
      </c>
      <c r="F4" s="162" t="str">
        <f>销量!F6</f>
        <v>6900010AH13-C00</v>
      </c>
      <c r="G4" s="264"/>
    </row>
    <row r="5" spans="1:36">
      <c r="A5" s="262" t="s">
        <v>145</v>
      </c>
      <c r="B5" s="262"/>
      <c r="C5" s="53"/>
      <c r="D5" s="53"/>
      <c r="E5" s="53"/>
      <c r="F5" s="53"/>
      <c r="G5" s="265"/>
      <c r="AJ5" s="50" t="s">
        <v>18</v>
      </c>
    </row>
    <row r="6" spans="1:36" ht="17.25">
      <c r="A6" s="54" t="s">
        <v>15</v>
      </c>
      <c r="B6" s="55" t="s">
        <v>146</v>
      </c>
      <c r="C6" s="23">
        <f>销量!C11</f>
        <v>20000</v>
      </c>
      <c r="D6" s="23">
        <f>销量!D11</f>
        <v>20000</v>
      </c>
      <c r="E6" s="23">
        <f>销量!E11</f>
        <v>10000</v>
      </c>
      <c r="F6" s="23">
        <f>销量!F11</f>
        <v>10000</v>
      </c>
      <c r="G6" s="56">
        <f t="shared" ref="G6:G15" si="0">SUM(C6:F6)</f>
        <v>60000</v>
      </c>
      <c r="R6" s="55" t="s">
        <v>3</v>
      </c>
      <c r="AH6" s="54" t="s">
        <v>15</v>
      </c>
      <c r="AI6" s="55" t="s">
        <v>3</v>
      </c>
      <c r="AJ6" s="50" t="s">
        <v>19</v>
      </c>
    </row>
    <row r="7" spans="1:36">
      <c r="A7" s="161">
        <v>1</v>
      </c>
      <c r="B7" s="55" t="s">
        <v>20</v>
      </c>
      <c r="C7" s="56">
        <f>C6*销量!C8</f>
        <v>36400000</v>
      </c>
      <c r="D7" s="56">
        <f>D6*销量!D8</f>
        <v>7600000</v>
      </c>
      <c r="E7" s="56">
        <f>E6*销量!E8</f>
        <v>10200000</v>
      </c>
      <c r="F7" s="56">
        <f>F6*销量!F8</f>
        <v>3800000</v>
      </c>
      <c r="G7" s="56">
        <f t="shared" si="0"/>
        <v>58000000</v>
      </c>
      <c r="H7" s="51"/>
      <c r="R7" s="55" t="s">
        <v>20</v>
      </c>
      <c r="AH7" s="54" t="s">
        <v>21</v>
      </c>
      <c r="AI7" s="55" t="s">
        <v>20</v>
      </c>
      <c r="AJ7" s="50" t="s">
        <v>19</v>
      </c>
    </row>
    <row r="8" spans="1:36">
      <c r="A8" s="161">
        <v>2</v>
      </c>
      <c r="B8" s="161" t="s">
        <v>22</v>
      </c>
      <c r="C8" s="56">
        <f>C7*(1-销量!$L$8)</f>
        <v>724359.99999999697</v>
      </c>
      <c r="D8" s="56">
        <f>D7*(1-销量!$L$8)</f>
        <v>151239.99999999939</v>
      </c>
      <c r="E8" s="56">
        <f>E7*(1-销量!$L$8)</f>
        <v>202979.99999999916</v>
      </c>
      <c r="F8" s="56">
        <f>F7*(1-销量!$L$8)</f>
        <v>75619.999999999694</v>
      </c>
      <c r="G8" s="56">
        <f t="shared" si="0"/>
        <v>1154199.9999999953</v>
      </c>
      <c r="H8" s="70"/>
      <c r="R8" s="161" t="s">
        <v>24</v>
      </c>
      <c r="AH8" s="54" t="s">
        <v>23</v>
      </c>
      <c r="AI8" s="161" t="s">
        <v>24</v>
      </c>
      <c r="AJ8" s="50" t="s">
        <v>19</v>
      </c>
    </row>
    <row r="9" spans="1:36">
      <c r="A9" s="161">
        <v>3</v>
      </c>
      <c r="B9" s="55" t="s">
        <v>25</v>
      </c>
      <c r="C9" s="56">
        <f>+C7-C8</f>
        <v>35675640</v>
      </c>
      <c r="D9" s="56">
        <f t="shared" ref="D9:F9" si="1">+D7-D8</f>
        <v>7448760.0000000009</v>
      </c>
      <c r="E9" s="56">
        <f t="shared" si="1"/>
        <v>9997020</v>
      </c>
      <c r="F9" s="56">
        <f t="shared" si="1"/>
        <v>3724380.0000000005</v>
      </c>
      <c r="G9" s="56">
        <f t="shared" si="0"/>
        <v>56845800</v>
      </c>
      <c r="R9" s="55" t="s">
        <v>25</v>
      </c>
      <c r="AH9" s="54" t="s">
        <v>26</v>
      </c>
      <c r="AI9" s="55" t="s">
        <v>25</v>
      </c>
      <c r="AJ9" s="50" t="s">
        <v>27</v>
      </c>
    </row>
    <row r="10" spans="1:36">
      <c r="A10" s="161">
        <v>4</v>
      </c>
      <c r="B10" s="54" t="s">
        <v>28</v>
      </c>
      <c r="C10" s="56">
        <f>C6*材料成本!G40</f>
        <v>25518471.66</v>
      </c>
      <c r="D10" s="56">
        <f>D6*材料成本!G41</f>
        <v>6206640.6344579998</v>
      </c>
      <c r="E10" s="56">
        <f>E6*材料成本!G42</f>
        <v>6743970.0899999999</v>
      </c>
      <c r="F10" s="56">
        <f>F6*材料成本!G43</f>
        <v>2711280.3172290004</v>
      </c>
      <c r="G10" s="56">
        <f t="shared" si="0"/>
        <v>41180362.701687008</v>
      </c>
      <c r="R10" s="54" t="s">
        <v>28</v>
      </c>
      <c r="AH10" s="54" t="s">
        <v>29</v>
      </c>
      <c r="AI10" s="54" t="s">
        <v>28</v>
      </c>
      <c r="AJ10" s="50" t="s">
        <v>30</v>
      </c>
    </row>
    <row r="11" spans="1:36">
      <c r="A11" s="161">
        <v>5</v>
      </c>
      <c r="B11" s="54" t="s">
        <v>31</v>
      </c>
      <c r="C11" s="56">
        <f>+C6*C36</f>
        <v>2046407.503957375</v>
      </c>
      <c r="D11" s="56">
        <f t="shared" ref="D11:E11" si="2">+D6*D36</f>
        <v>427271.89643066068</v>
      </c>
      <c r="E11" s="56">
        <f t="shared" si="2"/>
        <v>573443.8609990445</v>
      </c>
      <c r="F11" s="56">
        <f t="shared" ref="F11" si="3">+F6*F36</f>
        <v>213635.94821533034</v>
      </c>
      <c r="G11" s="56">
        <f t="shared" si="0"/>
        <v>3260759.2096024104</v>
      </c>
      <c r="R11" s="54" t="s">
        <v>31</v>
      </c>
      <c r="AH11" s="54" t="s">
        <v>32</v>
      </c>
      <c r="AI11" s="54" t="s">
        <v>31</v>
      </c>
    </row>
    <row r="12" spans="1:36">
      <c r="A12" s="161">
        <v>6</v>
      </c>
      <c r="B12" s="54" t="s">
        <v>33</v>
      </c>
      <c r="C12" s="56">
        <f>+C6*C37</f>
        <v>548766.02147918835</v>
      </c>
      <c r="D12" s="56">
        <f t="shared" ref="D12:E12" si="4">+D6*D37</f>
        <v>114577.5209681822</v>
      </c>
      <c r="E12" s="56">
        <f t="shared" si="4"/>
        <v>153775.09393098138</v>
      </c>
      <c r="F12" s="56">
        <f t="shared" ref="F12" si="5">+F6*F37</f>
        <v>57288.760484091101</v>
      </c>
      <c r="G12" s="56">
        <f t="shared" si="0"/>
        <v>874407.39686244307</v>
      </c>
      <c r="R12" s="54" t="s">
        <v>33</v>
      </c>
      <c r="AH12" s="54" t="s">
        <v>34</v>
      </c>
      <c r="AI12" s="54" t="s">
        <v>33</v>
      </c>
    </row>
    <row r="13" spans="1:36">
      <c r="A13" s="161">
        <v>7</v>
      </c>
      <c r="B13" s="54" t="s">
        <v>35</v>
      </c>
      <c r="C13" s="56">
        <f>+C6*C38</f>
        <v>1455999.9999999998</v>
      </c>
      <c r="D13" s="56">
        <f t="shared" ref="D13:E13" si="6">+D6*D38</f>
        <v>303999.99999999994</v>
      </c>
      <c r="E13" s="56">
        <f t="shared" si="6"/>
        <v>408000</v>
      </c>
      <c r="F13" s="56">
        <f t="shared" ref="F13" si="7">+F6*F38</f>
        <v>151999.99999999997</v>
      </c>
      <c r="G13" s="56">
        <f t="shared" si="0"/>
        <v>2320000</v>
      </c>
      <c r="R13" s="54" t="s">
        <v>35</v>
      </c>
      <c r="AH13" s="54" t="s">
        <v>36</v>
      </c>
      <c r="AI13" s="54" t="s">
        <v>35</v>
      </c>
      <c r="AJ13" s="50" t="s">
        <v>19</v>
      </c>
    </row>
    <row r="14" spans="1:36">
      <c r="A14" s="161">
        <v>8</v>
      </c>
      <c r="B14" s="57" t="s">
        <v>37</v>
      </c>
      <c r="C14" s="56">
        <f>SUM(C11:C13)</f>
        <v>4051173.5254365634</v>
      </c>
      <c r="D14" s="56">
        <f t="shared" ref="D14:F14" si="8">SUM(D11:D13)</f>
        <v>845849.41739884275</v>
      </c>
      <c r="E14" s="56">
        <f t="shared" si="8"/>
        <v>1135218.9549300259</v>
      </c>
      <c r="F14" s="56">
        <f t="shared" si="8"/>
        <v>422924.70869942138</v>
      </c>
      <c r="G14" s="56">
        <f t="shared" si="0"/>
        <v>6455166.6064648535</v>
      </c>
      <c r="R14" s="57" t="s">
        <v>37</v>
      </c>
      <c r="AH14" s="54" t="s">
        <v>38</v>
      </c>
      <c r="AI14" s="57" t="s">
        <v>37</v>
      </c>
    </row>
    <row r="15" spans="1:36">
      <c r="A15" s="161">
        <v>9</v>
      </c>
      <c r="B15" s="57" t="s">
        <v>39</v>
      </c>
      <c r="C15" s="56">
        <f>+C9-C10-C14</f>
        <v>6105994.8145634364</v>
      </c>
      <c r="D15" s="56">
        <f t="shared" ref="D15:F15" si="9">+D9-D10-D14</f>
        <v>396269.94814315834</v>
      </c>
      <c r="E15" s="56">
        <f t="shared" si="9"/>
        <v>2117830.9550699741</v>
      </c>
      <c r="F15" s="56">
        <f t="shared" si="9"/>
        <v>590174.9740715787</v>
      </c>
      <c r="G15" s="56">
        <f t="shared" si="0"/>
        <v>9210270.6918481477</v>
      </c>
      <c r="R15" s="57" t="s">
        <v>39</v>
      </c>
      <c r="AH15" s="54" t="s">
        <v>40</v>
      </c>
      <c r="AI15" s="57" t="s">
        <v>39</v>
      </c>
    </row>
    <row r="16" spans="1:36">
      <c r="A16" s="161">
        <v>10</v>
      </c>
      <c r="B16" s="54" t="s">
        <v>41</v>
      </c>
      <c r="C16" s="58">
        <f>+C15/C9</f>
        <v>0.17115305610672818</v>
      </c>
      <c r="D16" s="58">
        <f t="shared" ref="D16:F16" si="10">+D15/D9</f>
        <v>5.3199451740042411E-2</v>
      </c>
      <c r="E16" s="58">
        <f t="shared" si="10"/>
        <v>0.21184622568225073</v>
      </c>
      <c r="F16" s="58">
        <f t="shared" si="10"/>
        <v>0.15846260963477912</v>
      </c>
      <c r="G16" s="58">
        <f t="shared" ref="G16" si="11">+G15/G9</f>
        <v>0.16202200851862666</v>
      </c>
      <c r="R16" s="54" t="s">
        <v>41</v>
      </c>
      <c r="AH16" s="54" t="s">
        <v>42</v>
      </c>
      <c r="AI16" s="54" t="s">
        <v>41</v>
      </c>
    </row>
    <row r="17" spans="1:36">
      <c r="A17" s="161">
        <v>11</v>
      </c>
      <c r="B17" s="54" t="s">
        <v>43</v>
      </c>
      <c r="C17" s="56">
        <f>C6*C43+C18</f>
        <v>1710009.9999999998</v>
      </c>
      <c r="D17" s="56">
        <f t="shared" ref="D17:F17" si="12">D6*D43+D18</f>
        <v>414009.99999999994</v>
      </c>
      <c r="E17" s="56">
        <f t="shared" si="12"/>
        <v>495005</v>
      </c>
      <c r="F17" s="56">
        <f t="shared" si="12"/>
        <v>207004.99999999997</v>
      </c>
      <c r="G17" s="56">
        <f>SUM(C17:F17)</f>
        <v>2826029.9999999995</v>
      </c>
      <c r="H17" s="70"/>
      <c r="R17" s="54" t="s">
        <v>43</v>
      </c>
      <c r="AH17" s="54" t="s">
        <v>44</v>
      </c>
      <c r="AI17" s="54" t="s">
        <v>43</v>
      </c>
    </row>
    <row r="18" spans="1:36" s="48" customFormat="1">
      <c r="A18" s="161">
        <v>12</v>
      </c>
      <c r="B18" s="59" t="s">
        <v>147</v>
      </c>
      <c r="C18" s="60">
        <f>$G$18/$G$6*C6</f>
        <v>72010</v>
      </c>
      <c r="D18" s="60">
        <f>$G$18/$G$6*D6</f>
        <v>72010</v>
      </c>
      <c r="E18" s="60">
        <f>$G$18/$G$6*E6</f>
        <v>36005</v>
      </c>
      <c r="F18" s="60">
        <f>$G$18/$G$6*F6</f>
        <v>36005</v>
      </c>
      <c r="G18" s="60">
        <f>项目投资!D26</f>
        <v>216030</v>
      </c>
      <c r="H18" s="71" t="s">
        <v>148</v>
      </c>
      <c r="I18" s="71"/>
      <c r="J18" s="71"/>
    </row>
    <row r="19" spans="1:36">
      <c r="A19" s="161">
        <v>13</v>
      </c>
      <c r="B19" s="54" t="s">
        <v>45</v>
      </c>
      <c r="C19" s="56">
        <f>C6*C44</f>
        <v>254800</v>
      </c>
      <c r="D19" s="56">
        <f t="shared" ref="D19:F19" si="13">D6*D44</f>
        <v>53200</v>
      </c>
      <c r="E19" s="56">
        <f t="shared" si="13"/>
        <v>71400</v>
      </c>
      <c r="F19" s="56">
        <f t="shared" si="13"/>
        <v>26600</v>
      </c>
      <c r="G19" s="56">
        <f>SUM(C19:F19)</f>
        <v>406000</v>
      </c>
      <c r="H19" s="48"/>
      <c r="R19" s="54" t="s">
        <v>45</v>
      </c>
      <c r="AH19" s="54" t="s">
        <v>46</v>
      </c>
      <c r="AI19" s="54" t="s">
        <v>45</v>
      </c>
      <c r="AJ19" s="50" t="s">
        <v>19</v>
      </c>
    </row>
    <row r="20" spans="1:36">
      <c r="A20" s="161">
        <v>14</v>
      </c>
      <c r="B20" s="54" t="s">
        <v>47</v>
      </c>
      <c r="C20" s="56">
        <f>C6*C45</f>
        <v>1092000</v>
      </c>
      <c r="D20" s="56">
        <f t="shared" ref="D20:F20" si="14">D6*D45</f>
        <v>228000</v>
      </c>
      <c r="E20" s="56">
        <f t="shared" si="14"/>
        <v>306000</v>
      </c>
      <c r="F20" s="56">
        <f t="shared" si="14"/>
        <v>114000</v>
      </c>
      <c r="G20" s="56">
        <f>SUM(C20:F20)</f>
        <v>1740000</v>
      </c>
      <c r="R20" s="54" t="s">
        <v>47</v>
      </c>
      <c r="AH20" s="54" t="s">
        <v>48</v>
      </c>
      <c r="AI20" s="54" t="s">
        <v>47</v>
      </c>
    </row>
    <row r="21" spans="1:36">
      <c r="A21" s="161">
        <v>15</v>
      </c>
      <c r="B21" s="54" t="s">
        <v>49</v>
      </c>
      <c r="C21" s="61">
        <f>$G$21/$G$6*C6</f>
        <v>55833.333333333328</v>
      </c>
      <c r="D21" s="61">
        <f>$G$21/$G$6*D6</f>
        <v>55833.333333333328</v>
      </c>
      <c r="E21" s="61">
        <f>$G$21/$G$6*E6</f>
        <v>27916.666666666664</v>
      </c>
      <c r="F21" s="61">
        <f>$G$21/$G$6*F6</f>
        <v>27916.666666666664</v>
      </c>
      <c r="G21" s="56">
        <f>项目投资!D27</f>
        <v>167500</v>
      </c>
      <c r="R21" s="54" t="s">
        <v>49</v>
      </c>
      <c r="AH21" s="54"/>
      <c r="AI21" s="54"/>
    </row>
    <row r="22" spans="1:36">
      <c r="A22" s="161">
        <v>16</v>
      </c>
      <c r="B22" s="54" t="s">
        <v>50</v>
      </c>
      <c r="C22" s="56">
        <f>C6*C47</f>
        <v>1456000</v>
      </c>
      <c r="D22" s="56">
        <f t="shared" ref="D22:F22" si="15">D6*D47</f>
        <v>304000</v>
      </c>
      <c r="E22" s="56">
        <f t="shared" si="15"/>
        <v>408000.00000000006</v>
      </c>
      <c r="F22" s="56">
        <f t="shared" si="15"/>
        <v>152000</v>
      </c>
      <c r="G22" s="56">
        <f>SUM(C22:F22)</f>
        <v>2320000</v>
      </c>
      <c r="R22" s="54" t="s">
        <v>50</v>
      </c>
      <c r="AH22" s="54" t="s">
        <v>51</v>
      </c>
      <c r="AI22" s="54" t="s">
        <v>50</v>
      </c>
    </row>
    <row r="23" spans="1:36">
      <c r="A23" s="161">
        <v>17</v>
      </c>
      <c r="B23" s="57" t="s">
        <v>52</v>
      </c>
      <c r="C23" s="61">
        <f>+C22+C21+C20+C19+C17</f>
        <v>4568643.333333333</v>
      </c>
      <c r="D23" s="61">
        <f t="shared" ref="D23:F23" si="16">+D22+D21+D20+D19+D17</f>
        <v>1055043.3333333333</v>
      </c>
      <c r="E23" s="61">
        <f t="shared" si="16"/>
        <v>1308321.6666666667</v>
      </c>
      <c r="F23" s="61">
        <f t="shared" si="16"/>
        <v>527521.66666666663</v>
      </c>
      <c r="G23" s="61">
        <f t="shared" ref="G23" si="17">+G22+G21+G20+G19+G17</f>
        <v>7459530</v>
      </c>
      <c r="R23" s="57" t="s">
        <v>52</v>
      </c>
      <c r="AH23" s="54" t="s">
        <v>53</v>
      </c>
      <c r="AI23" s="57" t="s">
        <v>52</v>
      </c>
    </row>
    <row r="24" spans="1:36">
      <c r="A24" s="161">
        <v>18</v>
      </c>
      <c r="B24" s="62" t="s">
        <v>54</v>
      </c>
      <c r="C24" s="61">
        <f>+C15-C23</f>
        <v>1537351.4812301034</v>
      </c>
      <c r="D24" s="61">
        <f t="shared" ref="D24:F24" si="18">+D15-D23</f>
        <v>-658773.38519017491</v>
      </c>
      <c r="E24" s="61">
        <f t="shared" si="18"/>
        <v>809509.28840330732</v>
      </c>
      <c r="F24" s="61">
        <f t="shared" si="18"/>
        <v>62653.307404912077</v>
      </c>
      <c r="G24" s="61">
        <f t="shared" ref="G24" si="19">+G15-G23</f>
        <v>1750740.6918481477</v>
      </c>
      <c r="I24" s="72"/>
      <c r="R24" s="54" t="s">
        <v>54</v>
      </c>
      <c r="AH24" s="54" t="s">
        <v>55</v>
      </c>
      <c r="AI24" s="54" t="s">
        <v>54</v>
      </c>
    </row>
    <row r="25" spans="1:36">
      <c r="A25" s="161">
        <v>19</v>
      </c>
      <c r="B25" s="54" t="s">
        <v>256</v>
      </c>
      <c r="C25" s="61">
        <f>IF(C24&lt;0,0,C24*0.15)</f>
        <v>230602.7221845155</v>
      </c>
      <c r="D25" s="61">
        <f>IF(D24&lt;0,0,D24*0.15)</f>
        <v>0</v>
      </c>
      <c r="E25" s="61">
        <f>IF(E24&lt;0,0,E24*0.15)</f>
        <v>121426.39326049609</v>
      </c>
      <c r="F25" s="61">
        <f>IF(F24&lt;0,0,F24*0.15)</f>
        <v>9397.9961107368108</v>
      </c>
      <c r="G25" s="61">
        <f>IF(G24&lt;0,0,G24*0.15)</f>
        <v>262611.10377722216</v>
      </c>
      <c r="H25" s="68"/>
      <c r="I25" s="68"/>
      <c r="J25" s="68"/>
      <c r="R25" s="54" t="s">
        <v>56</v>
      </c>
      <c r="AH25" s="54" t="s">
        <v>57</v>
      </c>
      <c r="AI25" s="54" t="s">
        <v>56</v>
      </c>
    </row>
    <row r="26" spans="1:36">
      <c r="A26" s="161">
        <v>20</v>
      </c>
      <c r="B26" s="54" t="s">
        <v>58</v>
      </c>
      <c r="C26" s="61">
        <f t="shared" ref="C26:F26" si="20">C24-C25</f>
        <v>1306748.7590455879</v>
      </c>
      <c r="D26" s="61">
        <f t="shared" si="20"/>
        <v>-658773.38519017491</v>
      </c>
      <c r="E26" s="61">
        <f t="shared" si="20"/>
        <v>688082.89514281123</v>
      </c>
      <c r="F26" s="61">
        <f t="shared" si="20"/>
        <v>53255.311294175262</v>
      </c>
      <c r="G26" s="56">
        <f>G24-G25</f>
        <v>1488129.5880709256</v>
      </c>
      <c r="H26" s="195"/>
      <c r="I26" s="68"/>
      <c r="J26" s="68"/>
      <c r="R26" s="54" t="s">
        <v>58</v>
      </c>
      <c r="AH26" s="54" t="s">
        <v>59</v>
      </c>
      <c r="AI26" s="54" t="s">
        <v>58</v>
      </c>
    </row>
    <row r="27" spans="1:36">
      <c r="A27" s="161">
        <v>21</v>
      </c>
      <c r="B27" s="54" t="s">
        <v>62</v>
      </c>
      <c r="C27" s="131">
        <f t="shared" ref="C27:G27" si="21">C26/C7</f>
        <v>3.5899691182571095E-2</v>
      </c>
      <c r="D27" s="131">
        <f t="shared" ref="D27:F27" si="22">D26/D7</f>
        <v>-8.66807085776546E-2</v>
      </c>
      <c r="E27" s="131">
        <f t="shared" si="22"/>
        <v>6.7459107366942272E-2</v>
      </c>
      <c r="F27" s="131">
        <f t="shared" si="22"/>
        <v>1.4014555603730333E-2</v>
      </c>
      <c r="G27" s="131">
        <f t="shared" si="21"/>
        <v>2.5657406690878026E-2</v>
      </c>
      <c r="H27" s="191"/>
      <c r="I27" s="68"/>
      <c r="J27" s="68"/>
      <c r="R27" s="54" t="s">
        <v>62</v>
      </c>
      <c r="AH27" s="54" t="s">
        <v>61</v>
      </c>
      <c r="AI27" s="54" t="s">
        <v>62</v>
      </c>
    </row>
    <row r="28" spans="1:36">
      <c r="H28" s="68"/>
      <c r="I28" s="68"/>
      <c r="J28" s="68"/>
      <c r="R28" s="54"/>
    </row>
    <row r="29" spans="1:36">
      <c r="A29" s="50" t="s">
        <v>63</v>
      </c>
      <c r="G29" s="51" t="s">
        <v>149</v>
      </c>
      <c r="H29" s="68"/>
      <c r="I29" s="68"/>
      <c r="J29" s="68"/>
      <c r="R29" s="54"/>
      <c r="AH29" s="50" t="s">
        <v>63</v>
      </c>
    </row>
    <row r="30" spans="1:36">
      <c r="A30" s="54" t="s">
        <v>66</v>
      </c>
      <c r="B30" s="57" t="s">
        <v>67</v>
      </c>
      <c r="C30" s="61"/>
      <c r="D30" s="61"/>
      <c r="E30" s="61"/>
      <c r="F30" s="61"/>
      <c r="G30" s="61"/>
      <c r="H30" s="68"/>
      <c r="I30" s="68"/>
      <c r="J30" s="68"/>
      <c r="L30" s="68"/>
      <c r="R30" s="57" t="s">
        <v>67</v>
      </c>
      <c r="AH30" s="54" t="s">
        <v>68</v>
      </c>
      <c r="AI30" s="57" t="s">
        <v>67</v>
      </c>
    </row>
    <row r="31" spans="1:36">
      <c r="A31" s="161">
        <v>1</v>
      </c>
      <c r="B31" s="59" t="s">
        <v>69</v>
      </c>
      <c r="C31" s="64">
        <f>销量!C8</f>
        <v>1820</v>
      </c>
      <c r="D31" s="64">
        <f>销量!D8</f>
        <v>380</v>
      </c>
      <c r="E31" s="64">
        <f>销量!E8</f>
        <v>1020</v>
      </c>
      <c r="F31" s="64">
        <f>销量!F8</f>
        <v>380</v>
      </c>
      <c r="G31" s="61"/>
      <c r="H31" s="68"/>
      <c r="I31" s="68"/>
      <c r="J31" s="68"/>
      <c r="L31" s="68"/>
      <c r="R31" s="54" t="s">
        <v>69</v>
      </c>
      <c r="AH31" s="54" t="s">
        <v>21</v>
      </c>
      <c r="AI31" s="54" t="s">
        <v>69</v>
      </c>
    </row>
    <row r="32" spans="1:36">
      <c r="A32" s="161">
        <v>2</v>
      </c>
      <c r="B32" s="54" t="s">
        <v>150</v>
      </c>
      <c r="C32" s="56">
        <f>C9/C6</f>
        <v>1783.7819999999999</v>
      </c>
      <c r="D32" s="56">
        <f t="shared" ref="D32:E32" si="23">D9/D6</f>
        <v>372.43800000000005</v>
      </c>
      <c r="E32" s="56">
        <f t="shared" si="23"/>
        <v>999.702</v>
      </c>
      <c r="F32" s="56">
        <f t="shared" ref="F32" si="24">F9/F6</f>
        <v>372.43800000000005</v>
      </c>
      <c r="G32" s="61"/>
      <c r="H32" s="68"/>
      <c r="I32" s="68"/>
      <c r="J32" s="68"/>
      <c r="K32" s="68"/>
      <c r="L32" s="68"/>
      <c r="M32" s="68"/>
      <c r="N32" s="68"/>
      <c r="AH32" s="54"/>
      <c r="AI32" s="54"/>
    </row>
    <row r="33" spans="1:35">
      <c r="A33" s="161">
        <v>3</v>
      </c>
      <c r="B33" s="59" t="s">
        <v>70</v>
      </c>
      <c r="C33" s="56">
        <f>材料成本!G40</f>
        <v>1275.923583</v>
      </c>
      <c r="D33" s="56">
        <f>材料成本!G41</f>
        <v>310.33203172290001</v>
      </c>
      <c r="E33" s="56">
        <f>材料成本!G42</f>
        <v>674.39700900000003</v>
      </c>
      <c r="F33" s="56">
        <f>材料成本!G43</f>
        <v>271.12803172290006</v>
      </c>
      <c r="G33" s="61"/>
      <c r="I33" s="68"/>
      <c r="J33" s="68"/>
      <c r="K33" s="68"/>
      <c r="L33" s="68"/>
      <c r="M33" s="68"/>
      <c r="N33" s="68"/>
      <c r="R33" s="54" t="s">
        <v>70</v>
      </c>
      <c r="AH33" s="54" t="s">
        <v>23</v>
      </c>
      <c r="AI33" s="54" t="s">
        <v>70</v>
      </c>
    </row>
    <row r="34" spans="1:35" ht="17.25" customHeight="1">
      <c r="A34" s="161">
        <v>4</v>
      </c>
      <c r="B34" s="54" t="s">
        <v>72</v>
      </c>
      <c r="C34" s="65">
        <f>C32-C33</f>
        <v>507.85841699999992</v>
      </c>
      <c r="D34" s="65">
        <f t="shared" ref="D34:E34" si="25">D32-D33</f>
        <v>62.105968277100033</v>
      </c>
      <c r="E34" s="65">
        <f t="shared" si="25"/>
        <v>325.30499099999997</v>
      </c>
      <c r="F34" s="65">
        <f t="shared" ref="F34" si="26">F32-F33</f>
        <v>101.30996827709998</v>
      </c>
      <c r="G34" s="61"/>
      <c r="I34" s="68"/>
      <c r="J34" s="68"/>
      <c r="K34" s="68"/>
      <c r="L34" s="68"/>
      <c r="M34" s="68"/>
      <c r="N34" s="68"/>
      <c r="R34" s="54" t="s">
        <v>72</v>
      </c>
      <c r="AH34" s="54" t="s">
        <v>71</v>
      </c>
      <c r="AI34" s="54" t="s">
        <v>72</v>
      </c>
    </row>
    <row r="35" spans="1:35">
      <c r="A35" s="54" t="s">
        <v>68</v>
      </c>
      <c r="B35" s="57" t="s">
        <v>8</v>
      </c>
      <c r="C35" s="61"/>
      <c r="D35" s="61"/>
      <c r="E35" s="61"/>
      <c r="F35" s="61"/>
      <c r="G35" s="61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57" t="s">
        <v>8</v>
      </c>
      <c r="AH35" s="54" t="s">
        <v>74</v>
      </c>
      <c r="AI35" s="57" t="s">
        <v>8</v>
      </c>
    </row>
    <row r="36" spans="1:35">
      <c r="A36" s="161">
        <v>1</v>
      </c>
      <c r="B36" s="54" t="s">
        <v>75</v>
      </c>
      <c r="C36" s="60">
        <f>'2022年'!C36</f>
        <v>102.32037519786874</v>
      </c>
      <c r="D36" s="60">
        <f>'2022年'!D36</f>
        <v>21.363594821533034</v>
      </c>
      <c r="E36" s="60">
        <f>'2022年'!E36</f>
        <v>57.344386099904455</v>
      </c>
      <c r="F36" s="60">
        <f>'2022年'!F36</f>
        <v>21.363594821533034</v>
      </c>
      <c r="G36" s="64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54" t="s">
        <v>75</v>
      </c>
      <c r="AH36" s="54" t="s">
        <v>71</v>
      </c>
      <c r="AI36" s="54" t="s">
        <v>75</v>
      </c>
    </row>
    <row r="37" spans="1:35">
      <c r="A37" s="161">
        <v>2</v>
      </c>
      <c r="B37" s="54" t="s">
        <v>76</v>
      </c>
      <c r="C37" s="60">
        <f>'2022年'!C37</f>
        <v>27.438301073959419</v>
      </c>
      <c r="D37" s="60">
        <f>'2022年'!D37</f>
        <v>5.7288760484091101</v>
      </c>
      <c r="E37" s="60">
        <f>'2022年'!E37</f>
        <v>15.377509393098137</v>
      </c>
      <c r="F37" s="60">
        <f>'2022年'!F37</f>
        <v>5.7288760484091101</v>
      </c>
      <c r="G37" s="64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54" t="s">
        <v>76</v>
      </c>
      <c r="AH37" s="54" t="s">
        <v>26</v>
      </c>
      <c r="AI37" s="54" t="s">
        <v>76</v>
      </c>
    </row>
    <row r="38" spans="1:35">
      <c r="A38" s="161">
        <v>3</v>
      </c>
      <c r="B38" s="54" t="s">
        <v>77</v>
      </c>
      <c r="C38" s="60">
        <f>'2022年'!C38</f>
        <v>72.799999999999983</v>
      </c>
      <c r="D38" s="60">
        <f>'2022年'!D38</f>
        <v>15.199999999999998</v>
      </c>
      <c r="E38" s="60">
        <f>'2022年'!E38</f>
        <v>40.799999999999997</v>
      </c>
      <c r="F38" s="60">
        <f>'2022年'!F38</f>
        <v>15.199999999999998</v>
      </c>
      <c r="G38" s="64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54" t="s">
        <v>77</v>
      </c>
      <c r="AH38" s="54" t="s">
        <v>32</v>
      </c>
      <c r="AI38" s="54" t="s">
        <v>77</v>
      </c>
    </row>
    <row r="39" spans="1:35">
      <c r="A39" s="54" t="s">
        <v>74</v>
      </c>
      <c r="B39" s="57" t="s">
        <v>79</v>
      </c>
      <c r="C39" s="61"/>
      <c r="D39" s="61"/>
      <c r="E39" s="61"/>
      <c r="F39" s="61"/>
      <c r="G39" s="61"/>
      <c r="R39" s="57" t="s">
        <v>79</v>
      </c>
      <c r="AH39" s="54" t="s">
        <v>78</v>
      </c>
      <c r="AI39" s="57" t="s">
        <v>79</v>
      </c>
    </row>
    <row r="40" spans="1:35">
      <c r="A40" s="161">
        <v>1</v>
      </c>
      <c r="B40" s="54" t="s">
        <v>81</v>
      </c>
      <c r="C40" s="61">
        <f>C34-C36-C37-C38</f>
        <v>305.29974072817174</v>
      </c>
      <c r="D40" s="61">
        <f t="shared" ref="D40:F40" si="27">D34-D36-D37-D38</f>
        <v>19.81349740715789</v>
      </c>
      <c r="E40" s="61">
        <f t="shared" si="27"/>
        <v>211.78309550699737</v>
      </c>
      <c r="F40" s="61">
        <f t="shared" si="27"/>
        <v>59.01749740715784</v>
      </c>
      <c r="G40" s="61"/>
      <c r="R40" s="54" t="s">
        <v>81</v>
      </c>
      <c r="AH40" s="54" t="s">
        <v>21</v>
      </c>
      <c r="AI40" s="54" t="s">
        <v>81</v>
      </c>
    </row>
    <row r="41" spans="1:35">
      <c r="A41" s="161">
        <v>2</v>
      </c>
      <c r="B41" s="54" t="s">
        <v>82</v>
      </c>
      <c r="C41" s="61"/>
      <c r="D41" s="61"/>
      <c r="E41" s="61"/>
      <c r="F41" s="61"/>
      <c r="G41" s="61"/>
      <c r="R41" s="54" t="s">
        <v>82</v>
      </c>
      <c r="AH41" s="54" t="s">
        <v>23</v>
      </c>
      <c r="AI41" s="54" t="s">
        <v>82</v>
      </c>
    </row>
    <row r="42" spans="1:35">
      <c r="A42" s="54" t="s">
        <v>78</v>
      </c>
      <c r="B42" s="57" t="s">
        <v>84</v>
      </c>
      <c r="C42" s="61"/>
      <c r="D42" s="61"/>
      <c r="E42" s="61"/>
      <c r="F42" s="61"/>
      <c r="G42" s="61"/>
      <c r="R42" s="57" t="s">
        <v>84</v>
      </c>
      <c r="AH42" s="54" t="s">
        <v>83</v>
      </c>
      <c r="AI42" s="57" t="s">
        <v>84</v>
      </c>
    </row>
    <row r="43" spans="1:35">
      <c r="A43" s="161">
        <v>1</v>
      </c>
      <c r="B43" s="62" t="s">
        <v>85</v>
      </c>
      <c r="C43" s="60">
        <f>'2022年'!C43</f>
        <v>81.899999999999991</v>
      </c>
      <c r="D43" s="60">
        <f>'2022年'!D43</f>
        <v>17.099999999999998</v>
      </c>
      <c r="E43" s="60">
        <f>'2022年'!E43</f>
        <v>45.9</v>
      </c>
      <c r="F43" s="60">
        <f>'2022年'!F43</f>
        <v>17.099999999999998</v>
      </c>
      <c r="G43" s="61"/>
      <c r="R43" s="54" t="s">
        <v>85</v>
      </c>
      <c r="AH43" s="54" t="s">
        <v>21</v>
      </c>
      <c r="AI43" s="54" t="s">
        <v>85</v>
      </c>
    </row>
    <row r="44" spans="1:35">
      <c r="A44" s="161">
        <v>2</v>
      </c>
      <c r="B44" s="62" t="s">
        <v>86</v>
      </c>
      <c r="C44" s="60">
        <f>'2022年'!C44</f>
        <v>12.74</v>
      </c>
      <c r="D44" s="60">
        <f>'2022年'!D44</f>
        <v>2.66</v>
      </c>
      <c r="E44" s="60">
        <f>'2022年'!E44</f>
        <v>7.1400000000000006</v>
      </c>
      <c r="F44" s="60">
        <f>'2022年'!F44</f>
        <v>2.66</v>
      </c>
      <c r="G44" s="61"/>
      <c r="R44" s="54" t="s">
        <v>86</v>
      </c>
      <c r="AH44" s="54" t="s">
        <v>23</v>
      </c>
      <c r="AI44" s="54" t="s">
        <v>86</v>
      </c>
    </row>
    <row r="45" spans="1:35">
      <c r="A45" s="161">
        <v>3</v>
      </c>
      <c r="B45" s="62" t="s">
        <v>87</v>
      </c>
      <c r="C45" s="60">
        <f>'2022年'!C45</f>
        <v>54.6</v>
      </c>
      <c r="D45" s="60">
        <f>'2022年'!D45</f>
        <v>11.4</v>
      </c>
      <c r="E45" s="60">
        <f>'2022年'!E45</f>
        <v>30.599999999999998</v>
      </c>
      <c r="F45" s="60">
        <f>'2022年'!F45</f>
        <v>11.4</v>
      </c>
      <c r="G45" s="61"/>
      <c r="R45" s="54" t="s">
        <v>87</v>
      </c>
      <c r="AH45" s="54" t="s">
        <v>71</v>
      </c>
      <c r="AI45" s="54" t="s">
        <v>87</v>
      </c>
    </row>
    <row r="46" spans="1:35" s="49" customFormat="1">
      <c r="A46" s="161">
        <v>4</v>
      </c>
      <c r="B46" s="62" t="s">
        <v>88</v>
      </c>
      <c r="C46" s="66">
        <f>C21/C6</f>
        <v>2.7916666666666665</v>
      </c>
      <c r="D46" s="66">
        <f t="shared" ref="D46:F46" si="28">D21/D6</f>
        <v>2.7916666666666665</v>
      </c>
      <c r="E46" s="66">
        <f t="shared" si="28"/>
        <v>2.7916666666666665</v>
      </c>
      <c r="F46" s="66">
        <f t="shared" si="28"/>
        <v>2.7916666666666665</v>
      </c>
      <c r="G46" s="66"/>
      <c r="R46" s="62" t="s">
        <v>90</v>
      </c>
      <c r="AH46" s="62" t="s">
        <v>29</v>
      </c>
      <c r="AI46" s="62" t="s">
        <v>90</v>
      </c>
    </row>
    <row r="47" spans="1:35" s="49" customFormat="1">
      <c r="A47" s="161">
        <v>5</v>
      </c>
      <c r="B47" s="62" t="s">
        <v>90</v>
      </c>
      <c r="C47" s="66">
        <f>'2022年'!C47</f>
        <v>72.8</v>
      </c>
      <c r="D47" s="66">
        <f>'2022年'!D47</f>
        <v>15.200000000000001</v>
      </c>
      <c r="E47" s="66">
        <f>'2022年'!E47</f>
        <v>40.800000000000004</v>
      </c>
      <c r="F47" s="66">
        <f>'2022年'!F47</f>
        <v>15.200000000000001</v>
      </c>
      <c r="G47" s="66"/>
      <c r="R47" s="62" t="s">
        <v>90</v>
      </c>
      <c r="AH47" s="62" t="s">
        <v>29</v>
      </c>
      <c r="AI47" s="62" t="s">
        <v>90</v>
      </c>
    </row>
    <row r="48" spans="1:35">
      <c r="A48" s="54" t="s">
        <v>83</v>
      </c>
      <c r="B48" s="57" t="s">
        <v>101</v>
      </c>
      <c r="C48" s="61">
        <f>C40-C43-C44-C45-C47-C46</f>
        <v>80.468074061505092</v>
      </c>
      <c r="D48" s="61">
        <f t="shared" ref="D48:F48" si="29">D40-D43-D44-D45-D47-D46</f>
        <v>-29.338169259508778</v>
      </c>
      <c r="E48" s="61">
        <f t="shared" si="29"/>
        <v>84.551428840330672</v>
      </c>
      <c r="F48" s="61">
        <f t="shared" si="29"/>
        <v>9.8658307404911767</v>
      </c>
      <c r="G48" s="61"/>
      <c r="R48" s="57" t="s">
        <v>101</v>
      </c>
      <c r="AH48" s="54" t="s">
        <v>100</v>
      </c>
      <c r="AI48" s="57" t="s">
        <v>101</v>
      </c>
    </row>
    <row r="51" spans="2:12">
      <c r="C51" s="67"/>
      <c r="D51" s="67"/>
      <c r="E51" s="67"/>
      <c r="F51" s="67"/>
    </row>
    <row r="54" spans="2:12">
      <c r="B54" s="68"/>
      <c r="C54" s="69"/>
      <c r="D54" s="69"/>
      <c r="E54" s="69"/>
      <c r="F54" s="69"/>
      <c r="G54" s="69"/>
      <c r="H54" s="68"/>
      <c r="I54" s="68"/>
      <c r="J54" s="68"/>
      <c r="K54" s="68"/>
      <c r="L54" s="68"/>
    </row>
    <row r="55" spans="2:12">
      <c r="B55" s="68"/>
      <c r="C55" s="69"/>
      <c r="D55" s="69"/>
      <c r="E55" s="69"/>
      <c r="F55" s="69"/>
      <c r="G55" s="69"/>
      <c r="H55" s="68"/>
      <c r="I55" s="68"/>
      <c r="J55" s="68"/>
      <c r="K55" s="68"/>
      <c r="L55" s="68"/>
    </row>
    <row r="56" spans="2:12">
      <c r="B56" s="68"/>
      <c r="C56" s="69"/>
      <c r="D56" s="69"/>
      <c r="E56" s="69"/>
      <c r="F56" s="69"/>
      <c r="G56" s="69"/>
      <c r="H56" s="68"/>
      <c r="I56" s="68"/>
      <c r="J56" s="68"/>
      <c r="K56" s="68"/>
      <c r="L56" s="68"/>
    </row>
    <row r="57" spans="2:12">
      <c r="B57" s="68"/>
      <c r="C57" s="69"/>
      <c r="D57" s="69"/>
      <c r="E57" s="69"/>
      <c r="F57" s="69"/>
      <c r="G57" s="69"/>
      <c r="H57" s="68"/>
      <c r="I57" s="68"/>
      <c r="J57" s="68"/>
      <c r="K57" s="68"/>
      <c r="L57" s="68"/>
    </row>
    <row r="58" spans="2:12">
      <c r="B58" s="68"/>
      <c r="C58" s="69"/>
      <c r="D58" s="69"/>
      <c r="E58" s="69"/>
      <c r="F58" s="69"/>
      <c r="G58" s="69"/>
      <c r="H58" s="68"/>
      <c r="I58" s="68"/>
      <c r="J58" s="68"/>
      <c r="K58" s="68"/>
      <c r="L58" s="68"/>
    </row>
    <row r="59" spans="2:12">
      <c r="B59" s="68"/>
      <c r="C59" s="69"/>
      <c r="D59" s="69"/>
      <c r="E59" s="69"/>
      <c r="F59" s="69"/>
      <c r="G59" s="69"/>
      <c r="H59" s="68"/>
      <c r="I59" s="68"/>
      <c r="J59" s="68"/>
      <c r="K59" s="68"/>
      <c r="L59" s="68"/>
    </row>
    <row r="60" spans="2:12">
      <c r="B60" s="68"/>
      <c r="C60" s="69"/>
      <c r="D60" s="69"/>
      <c r="E60" s="69"/>
      <c r="F60" s="69"/>
      <c r="G60" s="69"/>
      <c r="H60" s="68"/>
      <c r="I60" s="68"/>
      <c r="J60" s="68"/>
      <c r="K60" s="68"/>
      <c r="L60" s="68"/>
    </row>
    <row r="61" spans="2:12">
      <c r="B61" s="68"/>
      <c r="C61" s="69"/>
      <c r="D61" s="69"/>
      <c r="E61" s="69"/>
      <c r="F61" s="69"/>
      <c r="G61" s="69"/>
      <c r="H61" s="68"/>
      <c r="I61" s="68"/>
      <c r="J61" s="68"/>
      <c r="K61" s="68"/>
      <c r="L61" s="68"/>
    </row>
    <row r="62" spans="2:12">
      <c r="B62" s="68"/>
      <c r="C62" s="69"/>
      <c r="D62" s="69"/>
      <c r="E62" s="69"/>
      <c r="F62" s="69"/>
      <c r="G62" s="69"/>
      <c r="H62" s="68"/>
      <c r="I62" s="68"/>
      <c r="J62" s="68"/>
      <c r="K62" s="68"/>
      <c r="L62" s="68"/>
    </row>
    <row r="63" spans="2:12">
      <c r="B63" s="68"/>
      <c r="C63" s="69"/>
      <c r="D63" s="69"/>
      <c r="E63" s="69"/>
      <c r="F63" s="69"/>
      <c r="G63" s="69"/>
      <c r="H63" s="68"/>
      <c r="I63" s="68"/>
      <c r="J63" s="68"/>
      <c r="K63" s="68"/>
      <c r="L63" s="68"/>
    </row>
    <row r="64" spans="2:12">
      <c r="B64" s="68"/>
      <c r="C64" s="69"/>
      <c r="D64" s="69"/>
      <c r="E64" s="69"/>
      <c r="F64" s="69"/>
      <c r="G64" s="69"/>
      <c r="H64" s="68"/>
      <c r="I64" s="68"/>
      <c r="J64" s="68"/>
      <c r="K64" s="68"/>
      <c r="L64" s="68"/>
    </row>
    <row r="65" spans="2:12">
      <c r="B65" s="68"/>
      <c r="C65" s="69"/>
      <c r="D65" s="69"/>
      <c r="E65" s="69"/>
      <c r="F65" s="69"/>
      <c r="G65" s="69"/>
      <c r="H65" s="68"/>
      <c r="I65" s="68"/>
      <c r="J65" s="68"/>
      <c r="K65" s="68"/>
      <c r="L65" s="68"/>
    </row>
    <row r="66" spans="2:12">
      <c r="B66" s="68"/>
      <c r="C66" s="69"/>
      <c r="D66" s="69"/>
      <c r="E66" s="69"/>
      <c r="F66" s="69"/>
      <c r="G66" s="69"/>
      <c r="H66" s="68"/>
      <c r="I66" s="68"/>
      <c r="J66" s="68"/>
      <c r="K66" s="68"/>
      <c r="L66" s="68"/>
    </row>
    <row r="67" spans="2:12">
      <c r="B67" s="68"/>
      <c r="C67" s="69"/>
      <c r="D67" s="69"/>
      <c r="E67" s="69"/>
      <c r="F67" s="69"/>
      <c r="G67" s="69"/>
      <c r="H67" s="68"/>
    </row>
    <row r="68" spans="2:12">
      <c r="B68" s="68"/>
      <c r="C68" s="69"/>
      <c r="D68" s="69"/>
      <c r="E68" s="69"/>
      <c r="F68" s="69"/>
      <c r="G68" s="69"/>
      <c r="H68" s="68"/>
    </row>
    <row r="69" spans="2:12">
      <c r="B69" s="68"/>
      <c r="C69" s="69"/>
      <c r="D69" s="69"/>
      <c r="E69" s="69"/>
      <c r="F69" s="69"/>
      <c r="G69" s="69"/>
      <c r="H69" s="68"/>
    </row>
    <row r="70" spans="2:12">
      <c r="B70" s="68"/>
      <c r="C70" s="69"/>
      <c r="D70" s="69"/>
      <c r="E70" s="69"/>
      <c r="F70" s="69"/>
      <c r="G70" s="69"/>
      <c r="H70" s="68"/>
    </row>
    <row r="71" spans="2:12">
      <c r="B71" s="68"/>
      <c r="C71" s="69"/>
      <c r="D71" s="69"/>
      <c r="E71" s="69"/>
      <c r="F71" s="69"/>
      <c r="G71" s="69"/>
      <c r="H71" s="68"/>
    </row>
    <row r="72" spans="2:12">
      <c r="B72" s="68"/>
      <c r="C72" s="69"/>
      <c r="D72" s="69"/>
      <c r="E72" s="69"/>
      <c r="F72" s="69"/>
      <c r="G72" s="69"/>
      <c r="H72" s="68"/>
    </row>
    <row r="73" spans="2:12">
      <c r="B73" s="68"/>
      <c r="C73" s="69"/>
      <c r="D73" s="69"/>
      <c r="E73" s="69"/>
      <c r="F73" s="69"/>
      <c r="G73" s="69"/>
      <c r="H73" s="68"/>
    </row>
    <row r="74" spans="2:12">
      <c r="B74" s="68"/>
      <c r="C74" s="69"/>
      <c r="D74" s="69"/>
      <c r="E74" s="69"/>
      <c r="F74" s="69"/>
      <c r="G74" s="69"/>
      <c r="H74" s="68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11" activePane="bottomRight" state="frozen"/>
      <selection pane="topRight"/>
      <selection pane="bottomLeft"/>
      <selection pane="bottomRight" activeCell="G25" sqref="G25"/>
    </sheetView>
  </sheetViews>
  <sheetFormatPr defaultColWidth="9" defaultRowHeight="16.5"/>
  <cols>
    <col min="1" max="1" width="5.125" style="50" customWidth="1"/>
    <col min="2" max="2" width="17.5" style="50" customWidth="1"/>
    <col min="3" max="3" width="13.25" style="51" customWidth="1"/>
    <col min="4" max="4" width="20.25" style="51" bestFit="1" customWidth="1"/>
    <col min="5" max="6" width="13.25" style="51" customWidth="1"/>
    <col min="7" max="7" width="18.75" style="51" customWidth="1"/>
    <col min="8" max="8" width="12.375" style="50" customWidth="1"/>
    <col min="9" max="9" width="10.125" style="50" customWidth="1"/>
    <col min="10" max="16" width="9" style="50" customWidth="1"/>
    <col min="17" max="33" width="9" style="50"/>
    <col min="34" max="34" width="4.375" style="50" customWidth="1"/>
    <col min="35" max="35" width="13.875" style="50" customWidth="1"/>
    <col min="36" max="16384" width="9" style="50"/>
  </cols>
  <sheetData>
    <row r="1" spans="1:36">
      <c r="A1" s="262" t="s">
        <v>141</v>
      </c>
      <c r="B1" s="262"/>
      <c r="C1" s="266" t="s">
        <v>258</v>
      </c>
      <c r="D1" s="267"/>
      <c r="E1" s="267"/>
      <c r="F1" s="267"/>
      <c r="G1" s="268"/>
    </row>
    <row r="2" spans="1:36">
      <c r="A2" s="262" t="s">
        <v>142</v>
      </c>
      <c r="B2" s="262"/>
      <c r="C2" s="269" t="str">
        <f>'2022年'!C2:G2</f>
        <v>一汽解放</v>
      </c>
      <c r="D2" s="269"/>
      <c r="E2" s="269"/>
      <c r="F2" s="269"/>
      <c r="G2" s="269"/>
    </row>
    <row r="3" spans="1:36">
      <c r="A3" s="262" t="s">
        <v>143</v>
      </c>
      <c r="B3" s="262"/>
      <c r="C3" s="162" t="str">
        <f>销量!C5</f>
        <v>驾驶员座总成</v>
      </c>
      <c r="D3" s="162" t="str">
        <f>销量!D5</f>
        <v>前座总成</v>
      </c>
      <c r="E3" s="162" t="str">
        <f>销量!E5</f>
        <v>驾驶员座总成</v>
      </c>
      <c r="F3" s="162" t="str">
        <f>销量!F5</f>
        <v>前座总成</v>
      </c>
      <c r="G3" s="263" t="s">
        <v>17</v>
      </c>
    </row>
    <row r="4" spans="1:36" ht="28.5">
      <c r="A4" s="262" t="s">
        <v>144</v>
      </c>
      <c r="B4" s="262"/>
      <c r="C4" s="162" t="str">
        <f>销量!C6</f>
        <v>6800010EH13-C00</v>
      </c>
      <c r="D4" s="162" t="str">
        <f>销量!D6</f>
        <v>6900010BH13-C00</v>
      </c>
      <c r="E4" s="162" t="str">
        <f>销量!E6</f>
        <v>6800010DH13-C00</v>
      </c>
      <c r="F4" s="162" t="str">
        <f>销量!F6</f>
        <v>6900010AH13-C00</v>
      </c>
      <c r="G4" s="264"/>
    </row>
    <row r="5" spans="1:36">
      <c r="A5" s="262" t="s">
        <v>145</v>
      </c>
      <c r="B5" s="262"/>
      <c r="C5" s="53"/>
      <c r="D5" s="53"/>
      <c r="E5" s="53"/>
      <c r="F5" s="53"/>
      <c r="G5" s="265"/>
      <c r="AJ5" s="50" t="s">
        <v>18</v>
      </c>
    </row>
    <row r="6" spans="1:36" ht="17.25">
      <c r="A6" s="54" t="s">
        <v>15</v>
      </c>
      <c r="B6" s="55" t="s">
        <v>146</v>
      </c>
      <c r="C6" s="23">
        <f>销量!C11</f>
        <v>20000</v>
      </c>
      <c r="D6" s="23">
        <f>销量!D11</f>
        <v>20000</v>
      </c>
      <c r="E6" s="23">
        <f>销量!E11</f>
        <v>10000</v>
      </c>
      <c r="F6" s="23">
        <f>销量!F11</f>
        <v>10000</v>
      </c>
      <c r="G6" s="56">
        <f t="shared" ref="G6:G15" si="0">SUM(C6:F6)</f>
        <v>60000</v>
      </c>
      <c r="R6" s="55" t="s">
        <v>3</v>
      </c>
      <c r="AH6" s="54" t="s">
        <v>15</v>
      </c>
      <c r="AI6" s="55" t="s">
        <v>3</v>
      </c>
      <c r="AJ6" s="50" t="s">
        <v>19</v>
      </c>
    </row>
    <row r="7" spans="1:36">
      <c r="A7" s="246">
        <v>1</v>
      </c>
      <c r="B7" s="55" t="s">
        <v>20</v>
      </c>
      <c r="C7" s="56">
        <f>C6*销量!C8</f>
        <v>36400000</v>
      </c>
      <c r="D7" s="56">
        <f>D6*销量!D8</f>
        <v>7600000</v>
      </c>
      <c r="E7" s="56">
        <f>E6*销量!E8</f>
        <v>10200000</v>
      </c>
      <c r="F7" s="56">
        <f>F6*销量!F8</f>
        <v>3800000</v>
      </c>
      <c r="G7" s="56">
        <f t="shared" si="0"/>
        <v>58000000</v>
      </c>
      <c r="H7" s="51"/>
      <c r="R7" s="55" t="s">
        <v>20</v>
      </c>
      <c r="AH7" s="54" t="s">
        <v>21</v>
      </c>
      <c r="AI7" s="55" t="s">
        <v>20</v>
      </c>
      <c r="AJ7" s="50" t="s">
        <v>19</v>
      </c>
    </row>
    <row r="8" spans="1:36">
      <c r="A8" s="246">
        <v>2</v>
      </c>
      <c r="B8" s="246" t="s">
        <v>22</v>
      </c>
      <c r="C8" s="56">
        <f>C7*(1-销量!$L$9)</f>
        <v>1081116.3999999992</v>
      </c>
      <c r="D8" s="56">
        <f>D7*(1-销量!$L$9)</f>
        <v>225727.59999999983</v>
      </c>
      <c r="E8" s="56">
        <f>E7*(1-销量!$L$9)</f>
        <v>302950.19999999978</v>
      </c>
      <c r="F8" s="56">
        <f>F7*(1-销量!$L$9)</f>
        <v>112863.79999999992</v>
      </c>
      <c r="G8" s="56">
        <f t="shared" si="0"/>
        <v>1722657.9999999986</v>
      </c>
      <c r="H8" s="70"/>
      <c r="R8" s="246" t="s">
        <v>24</v>
      </c>
      <c r="AH8" s="54" t="s">
        <v>23</v>
      </c>
      <c r="AI8" s="246" t="s">
        <v>24</v>
      </c>
      <c r="AJ8" s="50" t="s">
        <v>19</v>
      </c>
    </row>
    <row r="9" spans="1:36">
      <c r="A9" s="246">
        <v>3</v>
      </c>
      <c r="B9" s="55" t="s">
        <v>25</v>
      </c>
      <c r="C9" s="56">
        <f>+C7-C8</f>
        <v>35318883.600000001</v>
      </c>
      <c r="D9" s="56">
        <f t="shared" ref="D9:F9" si="1">+D7-D8</f>
        <v>7374272.4000000004</v>
      </c>
      <c r="E9" s="56">
        <f t="shared" si="1"/>
        <v>9897049.8000000007</v>
      </c>
      <c r="F9" s="56">
        <f t="shared" si="1"/>
        <v>3687136.2</v>
      </c>
      <c r="G9" s="56">
        <f t="shared" si="0"/>
        <v>56277342</v>
      </c>
      <c r="R9" s="55" t="s">
        <v>25</v>
      </c>
      <c r="AH9" s="54" t="s">
        <v>26</v>
      </c>
      <c r="AI9" s="55" t="s">
        <v>25</v>
      </c>
      <c r="AJ9" s="50" t="s">
        <v>27</v>
      </c>
    </row>
    <row r="10" spans="1:36">
      <c r="A10" s="246">
        <v>4</v>
      </c>
      <c r="B10" s="54" t="s">
        <v>28</v>
      </c>
      <c r="C10" s="56">
        <f>C6*材料成本!H40</f>
        <v>25263286.943399999</v>
      </c>
      <c r="D10" s="56">
        <f>D6*材料成本!H41</f>
        <v>6144574.2281134203</v>
      </c>
      <c r="E10" s="56">
        <f>E6*材料成本!H42</f>
        <v>6676530.3890999993</v>
      </c>
      <c r="F10" s="56">
        <f>F6*材料成本!H43</f>
        <v>2684167.5140567105</v>
      </c>
      <c r="G10" s="56">
        <f t="shared" si="0"/>
        <v>40768559.074670129</v>
      </c>
      <c r="R10" s="54" t="s">
        <v>28</v>
      </c>
      <c r="AH10" s="54" t="s">
        <v>29</v>
      </c>
      <c r="AI10" s="54" t="s">
        <v>28</v>
      </c>
      <c r="AJ10" s="50" t="s">
        <v>30</v>
      </c>
    </row>
    <row r="11" spans="1:36">
      <c r="A11" s="246">
        <v>5</v>
      </c>
      <c r="B11" s="54" t="s">
        <v>31</v>
      </c>
      <c r="C11" s="56">
        <f>+C6*C36</f>
        <v>2046407.503957375</v>
      </c>
      <c r="D11" s="56">
        <f t="shared" ref="D11:E11" si="2">+D6*D36</f>
        <v>427271.89643066068</v>
      </c>
      <c r="E11" s="56">
        <f t="shared" si="2"/>
        <v>573443.8609990445</v>
      </c>
      <c r="F11" s="56">
        <f t="shared" ref="F11" si="3">+F6*F36</f>
        <v>213635.94821533034</v>
      </c>
      <c r="G11" s="56">
        <f t="shared" si="0"/>
        <v>3260759.2096024104</v>
      </c>
      <c r="R11" s="54" t="s">
        <v>31</v>
      </c>
      <c r="AH11" s="54" t="s">
        <v>32</v>
      </c>
      <c r="AI11" s="54" t="s">
        <v>31</v>
      </c>
    </row>
    <row r="12" spans="1:36">
      <c r="A12" s="246">
        <v>6</v>
      </c>
      <c r="B12" s="54" t="s">
        <v>33</v>
      </c>
      <c r="C12" s="56">
        <f>+C6*C37</f>
        <v>548766.02147918835</v>
      </c>
      <c r="D12" s="56">
        <f t="shared" ref="D12:E12" si="4">+D6*D37</f>
        <v>114577.5209681822</v>
      </c>
      <c r="E12" s="56">
        <f t="shared" si="4"/>
        <v>153775.09393098138</v>
      </c>
      <c r="F12" s="56">
        <f t="shared" ref="F12" si="5">+F6*F37</f>
        <v>57288.760484091101</v>
      </c>
      <c r="G12" s="56">
        <f t="shared" si="0"/>
        <v>874407.39686244307</v>
      </c>
      <c r="R12" s="54" t="s">
        <v>33</v>
      </c>
      <c r="AH12" s="54" t="s">
        <v>34</v>
      </c>
      <c r="AI12" s="54" t="s">
        <v>33</v>
      </c>
    </row>
    <row r="13" spans="1:36">
      <c r="A13" s="246">
        <v>7</v>
      </c>
      <c r="B13" s="54" t="s">
        <v>35</v>
      </c>
      <c r="C13" s="56">
        <f>+C6*C38</f>
        <v>1455999.9999999998</v>
      </c>
      <c r="D13" s="56">
        <f t="shared" ref="D13:E13" si="6">+D6*D38</f>
        <v>303999.99999999994</v>
      </c>
      <c r="E13" s="56">
        <f t="shared" si="6"/>
        <v>408000</v>
      </c>
      <c r="F13" s="56">
        <f t="shared" ref="F13" si="7">+F6*F38</f>
        <v>151999.99999999997</v>
      </c>
      <c r="G13" s="56">
        <f t="shared" si="0"/>
        <v>2320000</v>
      </c>
      <c r="R13" s="54" t="s">
        <v>35</v>
      </c>
      <c r="AH13" s="54" t="s">
        <v>36</v>
      </c>
      <c r="AI13" s="54" t="s">
        <v>35</v>
      </c>
      <c r="AJ13" s="50" t="s">
        <v>19</v>
      </c>
    </row>
    <row r="14" spans="1:36">
      <c r="A14" s="246">
        <v>8</v>
      </c>
      <c r="B14" s="57" t="s">
        <v>37</v>
      </c>
      <c r="C14" s="56">
        <f>SUM(C11:C13)</f>
        <v>4051173.5254365634</v>
      </c>
      <c r="D14" s="56">
        <f t="shared" ref="D14:F14" si="8">SUM(D11:D13)</f>
        <v>845849.41739884275</v>
      </c>
      <c r="E14" s="56">
        <f t="shared" si="8"/>
        <v>1135218.9549300259</v>
      </c>
      <c r="F14" s="56">
        <f t="shared" si="8"/>
        <v>422924.70869942138</v>
      </c>
      <c r="G14" s="56">
        <f t="shared" si="0"/>
        <v>6455166.6064648535</v>
      </c>
      <c r="R14" s="57" t="s">
        <v>37</v>
      </c>
      <c r="AH14" s="54" t="s">
        <v>38</v>
      </c>
      <c r="AI14" s="57" t="s">
        <v>37</v>
      </c>
    </row>
    <row r="15" spans="1:36">
      <c r="A15" s="246">
        <v>9</v>
      </c>
      <c r="B15" s="57" t="s">
        <v>39</v>
      </c>
      <c r="C15" s="56">
        <f>+C9-C10-C14</f>
        <v>6004423.1311634388</v>
      </c>
      <c r="D15" s="56">
        <f t="shared" ref="D15:F15" si="9">+D9-D10-D14</f>
        <v>383848.75448773731</v>
      </c>
      <c r="E15" s="56">
        <f t="shared" si="9"/>
        <v>2085300.4559699756</v>
      </c>
      <c r="F15" s="56">
        <f t="shared" si="9"/>
        <v>580043.97724386828</v>
      </c>
      <c r="G15" s="56">
        <f t="shared" si="0"/>
        <v>9053616.3188650198</v>
      </c>
      <c r="R15" s="57" t="s">
        <v>39</v>
      </c>
      <c r="AH15" s="54" t="s">
        <v>40</v>
      </c>
      <c r="AI15" s="57" t="s">
        <v>39</v>
      </c>
    </row>
    <row r="16" spans="1:36">
      <c r="A16" s="246">
        <v>10</v>
      </c>
      <c r="B16" s="54" t="s">
        <v>41</v>
      </c>
      <c r="C16" s="58">
        <f>+C15/C9</f>
        <v>0.17000602847943469</v>
      </c>
      <c r="D16" s="58">
        <f t="shared" ref="D16:F16" si="10">+D15/D9</f>
        <v>5.2052424112748706E-2</v>
      </c>
      <c r="E16" s="58">
        <f t="shared" si="10"/>
        <v>0.21069919805495729</v>
      </c>
      <c r="F16" s="58">
        <f t="shared" si="10"/>
        <v>0.15731558200748544</v>
      </c>
      <c r="G16" s="58">
        <f t="shared" ref="G16" si="11">+G15/G9</f>
        <v>0.16087498089133315</v>
      </c>
      <c r="R16" s="54" t="s">
        <v>41</v>
      </c>
      <c r="AH16" s="54" t="s">
        <v>42</v>
      </c>
      <c r="AI16" s="54" t="s">
        <v>41</v>
      </c>
    </row>
    <row r="17" spans="1:36">
      <c r="A17" s="246">
        <v>11</v>
      </c>
      <c r="B17" s="54" t="s">
        <v>43</v>
      </c>
      <c r="C17" s="56">
        <f>C6*C43+C18</f>
        <v>1710009.9999999998</v>
      </c>
      <c r="D17" s="56">
        <f t="shared" ref="D17:E17" si="12">D6*D43+D18</f>
        <v>414009.99999999994</v>
      </c>
      <c r="E17" s="56">
        <f t="shared" si="12"/>
        <v>495005</v>
      </c>
      <c r="F17" s="56">
        <f t="shared" ref="F17" si="13">F6*F43+F18</f>
        <v>207004.99999999997</v>
      </c>
      <c r="G17" s="56">
        <f>SUM(C17:F17)</f>
        <v>2826029.9999999995</v>
      </c>
      <c r="H17" s="70"/>
      <c r="R17" s="54" t="s">
        <v>43</v>
      </c>
      <c r="AH17" s="54" t="s">
        <v>44</v>
      </c>
      <c r="AI17" s="54" t="s">
        <v>43</v>
      </c>
    </row>
    <row r="18" spans="1:36" s="48" customFormat="1">
      <c r="A18" s="246">
        <v>12</v>
      </c>
      <c r="B18" s="59" t="s">
        <v>147</v>
      </c>
      <c r="C18" s="60">
        <f>$G$18/$G$6*C6</f>
        <v>72010</v>
      </c>
      <c r="D18" s="60">
        <f>$G$18/$G$6*D6</f>
        <v>72010</v>
      </c>
      <c r="E18" s="60">
        <f>$G$18/$G$6*E6</f>
        <v>36005</v>
      </c>
      <c r="F18" s="60">
        <f>$G$18/$G$6*F6</f>
        <v>36005</v>
      </c>
      <c r="G18" s="60">
        <f>项目投资!F26</f>
        <v>216030</v>
      </c>
      <c r="H18" s="71" t="s">
        <v>148</v>
      </c>
      <c r="I18" s="71"/>
      <c r="J18" s="71"/>
    </row>
    <row r="19" spans="1:36">
      <c r="A19" s="246">
        <v>13</v>
      </c>
      <c r="B19" s="54" t="s">
        <v>45</v>
      </c>
      <c r="C19" s="56">
        <f>C6*C44</f>
        <v>254800</v>
      </c>
      <c r="D19" s="56">
        <f t="shared" ref="D19:E19" si="14">D6*D44</f>
        <v>53200</v>
      </c>
      <c r="E19" s="56">
        <f t="shared" si="14"/>
        <v>71400</v>
      </c>
      <c r="F19" s="56">
        <f t="shared" ref="F19" si="15">F6*F44</f>
        <v>26600</v>
      </c>
      <c r="G19" s="56">
        <f>SUM(C19:F19)</f>
        <v>406000</v>
      </c>
      <c r="H19" s="48"/>
      <c r="R19" s="54" t="s">
        <v>45</v>
      </c>
      <c r="AH19" s="54" t="s">
        <v>46</v>
      </c>
      <c r="AI19" s="54" t="s">
        <v>45</v>
      </c>
      <c r="AJ19" s="50" t="s">
        <v>19</v>
      </c>
    </row>
    <row r="20" spans="1:36">
      <c r="A20" s="246">
        <v>14</v>
      </c>
      <c r="B20" s="54" t="s">
        <v>47</v>
      </c>
      <c r="C20" s="56">
        <f>C6*C45</f>
        <v>1092000</v>
      </c>
      <c r="D20" s="56">
        <f t="shared" ref="D20:E20" si="16">D6*D45</f>
        <v>228000</v>
      </c>
      <c r="E20" s="56">
        <f t="shared" si="16"/>
        <v>306000</v>
      </c>
      <c r="F20" s="56">
        <f t="shared" ref="F20" si="17">F6*F45</f>
        <v>114000</v>
      </c>
      <c r="G20" s="56">
        <f>SUM(C20:F20)</f>
        <v>1740000</v>
      </c>
      <c r="R20" s="54" t="s">
        <v>47</v>
      </c>
      <c r="AH20" s="54" t="s">
        <v>48</v>
      </c>
      <c r="AI20" s="54" t="s">
        <v>47</v>
      </c>
    </row>
    <row r="21" spans="1:36">
      <c r="A21" s="246">
        <v>15</v>
      </c>
      <c r="B21" s="54" t="s">
        <v>49</v>
      </c>
      <c r="C21" s="61">
        <f>$G$21/$G$6*C6</f>
        <v>55833.333333333328</v>
      </c>
      <c r="D21" s="61">
        <f>$G$21/$G$6*D6</f>
        <v>55833.333333333328</v>
      </c>
      <c r="E21" s="61">
        <f>$G$21/$G$6*E6</f>
        <v>27916.666666666664</v>
      </c>
      <c r="F21" s="61">
        <f>$G$21/$G$6*F6</f>
        <v>27916.666666666664</v>
      </c>
      <c r="G21" s="56">
        <f>项目投资!D27</f>
        <v>167500</v>
      </c>
      <c r="R21" s="54" t="s">
        <v>49</v>
      </c>
      <c r="AH21" s="54"/>
      <c r="AI21" s="54"/>
    </row>
    <row r="22" spans="1:36">
      <c r="A22" s="246">
        <v>16</v>
      </c>
      <c r="B22" s="54" t="s">
        <v>50</v>
      </c>
      <c r="C22" s="56">
        <f>C6*C47</f>
        <v>1456000</v>
      </c>
      <c r="D22" s="56">
        <f t="shared" ref="D22:E22" si="18">D6*D47</f>
        <v>304000</v>
      </c>
      <c r="E22" s="56">
        <f t="shared" si="18"/>
        <v>408000.00000000006</v>
      </c>
      <c r="F22" s="56">
        <f t="shared" ref="F22" si="19">F6*F47</f>
        <v>152000</v>
      </c>
      <c r="G22" s="56">
        <f>SUM(C22:F22)</f>
        <v>2320000</v>
      </c>
      <c r="R22" s="54" t="s">
        <v>50</v>
      </c>
      <c r="AH22" s="54" t="s">
        <v>51</v>
      </c>
      <c r="AI22" s="54" t="s">
        <v>50</v>
      </c>
    </row>
    <row r="23" spans="1:36">
      <c r="A23" s="246">
        <v>17</v>
      </c>
      <c r="B23" s="57" t="s">
        <v>52</v>
      </c>
      <c r="C23" s="61">
        <f>+C22+C21+C20+C19+C17</f>
        <v>4568643.333333333</v>
      </c>
      <c r="D23" s="61">
        <f t="shared" ref="D23:G23" si="20">+D22+D21+D20+D19+D17</f>
        <v>1055043.3333333333</v>
      </c>
      <c r="E23" s="61">
        <f t="shared" si="20"/>
        <v>1308321.6666666667</v>
      </c>
      <c r="F23" s="61">
        <f t="shared" si="20"/>
        <v>527521.66666666663</v>
      </c>
      <c r="G23" s="61">
        <f t="shared" si="20"/>
        <v>7459530</v>
      </c>
      <c r="R23" s="57" t="s">
        <v>52</v>
      </c>
      <c r="AH23" s="54" t="s">
        <v>53</v>
      </c>
      <c r="AI23" s="57" t="s">
        <v>52</v>
      </c>
    </row>
    <row r="24" spans="1:36">
      <c r="A24" s="246">
        <v>18</v>
      </c>
      <c r="B24" s="62" t="s">
        <v>54</v>
      </c>
      <c r="C24" s="61">
        <f>+C15-C23</f>
        <v>1435779.7978301058</v>
      </c>
      <c r="D24" s="61">
        <f t="shared" ref="D24:F24" si="21">+D15-D23</f>
        <v>-671194.57884559594</v>
      </c>
      <c r="E24" s="61">
        <f t="shared" si="21"/>
        <v>776978.78930330882</v>
      </c>
      <c r="F24" s="61">
        <f t="shared" si="21"/>
        <v>52522.310577201657</v>
      </c>
      <c r="G24" s="61">
        <f t="shared" ref="G24" si="22">+G15-G23</f>
        <v>1594086.3188650198</v>
      </c>
      <c r="I24" s="72"/>
      <c r="R24" s="54" t="s">
        <v>54</v>
      </c>
      <c r="AH24" s="54" t="s">
        <v>55</v>
      </c>
      <c r="AI24" s="54" t="s">
        <v>54</v>
      </c>
    </row>
    <row r="25" spans="1:36">
      <c r="A25" s="246">
        <v>19</v>
      </c>
      <c r="B25" s="54" t="s">
        <v>256</v>
      </c>
      <c r="C25" s="61">
        <f>IF(C24&lt;0,0,C24*0.15)</f>
        <v>215366.96967451586</v>
      </c>
      <c r="D25" s="61">
        <f>IF(D24&lt;0,0,D24*0.15)</f>
        <v>0</v>
      </c>
      <c r="E25" s="61">
        <f>IF(E24&lt;0,0,E24*0.15)</f>
        <v>116546.81839549632</v>
      </c>
      <c r="F25" s="61">
        <f>IF(F24&lt;0,0,F24*0.15)</f>
        <v>7878.3465865802482</v>
      </c>
      <c r="G25" s="61">
        <f>IF(G24&lt;0,0,G24*0.15)</f>
        <v>239112.94782975296</v>
      </c>
      <c r="H25" s="68"/>
      <c r="I25" s="68"/>
      <c r="J25" s="68"/>
      <c r="R25" s="54" t="s">
        <v>56</v>
      </c>
      <c r="AH25" s="54" t="s">
        <v>57</v>
      </c>
      <c r="AI25" s="54" t="s">
        <v>56</v>
      </c>
    </row>
    <row r="26" spans="1:36">
      <c r="A26" s="246">
        <v>20</v>
      </c>
      <c r="B26" s="54" t="s">
        <v>58</v>
      </c>
      <c r="C26" s="61">
        <f t="shared" ref="C26:F26" si="23">C24-C25</f>
        <v>1220412.82815559</v>
      </c>
      <c r="D26" s="61">
        <f t="shared" si="23"/>
        <v>-671194.57884559594</v>
      </c>
      <c r="E26" s="61">
        <f t="shared" si="23"/>
        <v>660431.97090781247</v>
      </c>
      <c r="F26" s="61">
        <f t="shared" si="23"/>
        <v>44643.963990621407</v>
      </c>
      <c r="G26" s="56">
        <f>G24-G25</f>
        <v>1354973.3710352669</v>
      </c>
      <c r="H26" s="195"/>
      <c r="I26" s="68"/>
      <c r="J26" s="68"/>
      <c r="R26" s="54" t="s">
        <v>58</v>
      </c>
      <c r="AH26" s="54" t="s">
        <v>59</v>
      </c>
      <c r="AI26" s="54" t="s">
        <v>58</v>
      </c>
    </row>
    <row r="27" spans="1:36">
      <c r="A27" s="246">
        <v>21</v>
      </c>
      <c r="B27" s="54" t="s">
        <v>62</v>
      </c>
      <c r="C27" s="131">
        <f t="shared" ref="C27:G27" si="24">C26/C7</f>
        <v>3.3527824949329398E-2</v>
      </c>
      <c r="D27" s="131">
        <f t="shared" si="24"/>
        <v>-8.8315076163894196E-2</v>
      </c>
      <c r="E27" s="131">
        <f t="shared" si="24"/>
        <v>6.4748232441942402E-2</v>
      </c>
      <c r="F27" s="131">
        <f t="shared" si="24"/>
        <v>1.1748411576479318E-2</v>
      </c>
      <c r="G27" s="131">
        <f t="shared" si="24"/>
        <v>2.3361609845435637E-2</v>
      </c>
      <c r="H27" s="191"/>
      <c r="I27" s="68"/>
      <c r="J27" s="68"/>
      <c r="R27" s="54" t="s">
        <v>62</v>
      </c>
      <c r="AH27" s="54" t="s">
        <v>61</v>
      </c>
      <c r="AI27" s="54" t="s">
        <v>62</v>
      </c>
    </row>
    <row r="28" spans="1:36">
      <c r="H28" s="68"/>
      <c r="I28" s="68"/>
      <c r="J28" s="68"/>
      <c r="R28" s="54"/>
    </row>
    <row r="29" spans="1:36">
      <c r="A29" s="50" t="s">
        <v>63</v>
      </c>
      <c r="G29" s="51" t="s">
        <v>149</v>
      </c>
      <c r="H29" s="68"/>
      <c r="I29" s="68"/>
      <c r="J29" s="68"/>
      <c r="R29" s="54"/>
      <c r="AH29" s="50" t="s">
        <v>63</v>
      </c>
    </row>
    <row r="30" spans="1:36">
      <c r="A30" s="54" t="s">
        <v>66</v>
      </c>
      <c r="B30" s="57" t="s">
        <v>67</v>
      </c>
      <c r="C30" s="61"/>
      <c r="D30" s="61"/>
      <c r="E30" s="61"/>
      <c r="F30" s="61"/>
      <c r="G30" s="61"/>
      <c r="H30" s="68"/>
      <c r="I30" s="68"/>
      <c r="J30" s="68"/>
      <c r="L30" s="68"/>
      <c r="R30" s="57" t="s">
        <v>67</v>
      </c>
      <c r="AH30" s="54" t="s">
        <v>68</v>
      </c>
      <c r="AI30" s="57" t="s">
        <v>67</v>
      </c>
    </row>
    <row r="31" spans="1:36">
      <c r="A31" s="246">
        <v>1</v>
      </c>
      <c r="B31" s="59" t="s">
        <v>69</v>
      </c>
      <c r="C31" s="64">
        <f>销量!C8</f>
        <v>1820</v>
      </c>
      <c r="D31" s="64">
        <f>销量!D8</f>
        <v>380</v>
      </c>
      <c r="E31" s="64">
        <f>销量!E8</f>
        <v>1020</v>
      </c>
      <c r="F31" s="64">
        <f>销量!F8</f>
        <v>380</v>
      </c>
      <c r="G31" s="61"/>
      <c r="H31" s="68"/>
      <c r="I31" s="68"/>
      <c r="J31" s="68"/>
      <c r="L31" s="68"/>
      <c r="R31" s="54" t="s">
        <v>69</v>
      </c>
      <c r="AH31" s="54" t="s">
        <v>21</v>
      </c>
      <c r="AI31" s="54" t="s">
        <v>69</v>
      </c>
    </row>
    <row r="32" spans="1:36">
      <c r="A32" s="246">
        <v>2</v>
      </c>
      <c r="B32" s="54" t="s">
        <v>150</v>
      </c>
      <c r="C32" s="56">
        <f>C9/C6</f>
        <v>1765.9441800000002</v>
      </c>
      <c r="D32" s="56">
        <f t="shared" ref="D32:E32" si="25">D9/D6</f>
        <v>368.71361999999999</v>
      </c>
      <c r="E32" s="56">
        <f t="shared" si="25"/>
        <v>989.70498000000009</v>
      </c>
      <c r="F32" s="56">
        <f t="shared" ref="F32" si="26">F9/F6</f>
        <v>368.71361999999999</v>
      </c>
      <c r="G32" s="61"/>
      <c r="H32" s="68"/>
      <c r="I32" s="68"/>
      <c r="J32" s="68"/>
      <c r="K32" s="68"/>
      <c r="L32" s="68"/>
      <c r="M32" s="68"/>
      <c r="N32" s="68"/>
      <c r="AH32" s="54"/>
      <c r="AI32" s="54"/>
    </row>
    <row r="33" spans="1:35">
      <c r="A33" s="246">
        <v>3</v>
      </c>
      <c r="B33" s="59" t="s">
        <v>70</v>
      </c>
      <c r="C33" s="56">
        <f>材料成本!H40</f>
        <v>1263.1643471699999</v>
      </c>
      <c r="D33" s="56">
        <f>材料成本!H41</f>
        <v>307.22871140567099</v>
      </c>
      <c r="E33" s="56">
        <f>材料成本!H42</f>
        <v>667.65303890999996</v>
      </c>
      <c r="F33" s="56">
        <f>材料成本!H43</f>
        <v>268.41675140567105</v>
      </c>
      <c r="G33" s="61"/>
      <c r="I33" s="68"/>
      <c r="J33" s="68"/>
      <c r="K33" s="68"/>
      <c r="L33" s="68"/>
      <c r="M33" s="68"/>
      <c r="N33" s="68"/>
      <c r="R33" s="54" t="s">
        <v>70</v>
      </c>
      <c r="AH33" s="54" t="s">
        <v>23</v>
      </c>
      <c r="AI33" s="54" t="s">
        <v>70</v>
      </c>
    </row>
    <row r="34" spans="1:35" ht="17.25" customHeight="1">
      <c r="A34" s="246">
        <v>4</v>
      </c>
      <c r="B34" s="54" t="s">
        <v>72</v>
      </c>
      <c r="C34" s="65">
        <f>C32-C33</f>
        <v>502.77983283000026</v>
      </c>
      <c r="D34" s="65">
        <f t="shared" ref="D34:E34" si="27">D32-D33</f>
        <v>61.484908594328999</v>
      </c>
      <c r="E34" s="65">
        <f t="shared" si="27"/>
        <v>322.05194109000013</v>
      </c>
      <c r="F34" s="65">
        <f t="shared" ref="F34" si="28">F32-F33</f>
        <v>100.29686859432894</v>
      </c>
      <c r="G34" s="61"/>
      <c r="I34" s="68"/>
      <c r="J34" s="68"/>
      <c r="K34" s="68"/>
      <c r="L34" s="68"/>
      <c r="M34" s="68"/>
      <c r="N34" s="68"/>
      <c r="R34" s="54" t="s">
        <v>72</v>
      </c>
      <c r="AH34" s="54" t="s">
        <v>71</v>
      </c>
      <c r="AI34" s="54" t="s">
        <v>72</v>
      </c>
    </row>
    <row r="35" spans="1:35">
      <c r="A35" s="54" t="s">
        <v>68</v>
      </c>
      <c r="B35" s="57" t="s">
        <v>8</v>
      </c>
      <c r="C35" s="61"/>
      <c r="D35" s="61"/>
      <c r="E35" s="61"/>
      <c r="F35" s="61"/>
      <c r="G35" s="61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57" t="s">
        <v>8</v>
      </c>
      <c r="AH35" s="54" t="s">
        <v>74</v>
      </c>
      <c r="AI35" s="57" t="s">
        <v>8</v>
      </c>
    </row>
    <row r="36" spans="1:35">
      <c r="A36" s="246">
        <v>1</v>
      </c>
      <c r="B36" s="54" t="s">
        <v>75</v>
      </c>
      <c r="C36" s="60">
        <f>'2022年'!C36</f>
        <v>102.32037519786874</v>
      </c>
      <c r="D36" s="60">
        <f>'2022年'!D36</f>
        <v>21.363594821533034</v>
      </c>
      <c r="E36" s="60">
        <f>'2022年'!E36</f>
        <v>57.344386099904455</v>
      </c>
      <c r="F36" s="60">
        <f>'2022年'!F36</f>
        <v>21.363594821533034</v>
      </c>
      <c r="G36" s="64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54" t="s">
        <v>75</v>
      </c>
      <c r="AH36" s="54" t="s">
        <v>71</v>
      </c>
      <c r="AI36" s="54" t="s">
        <v>75</v>
      </c>
    </row>
    <row r="37" spans="1:35">
      <c r="A37" s="246">
        <v>2</v>
      </c>
      <c r="B37" s="54" t="s">
        <v>76</v>
      </c>
      <c r="C37" s="60">
        <f>'2022年'!C37</f>
        <v>27.438301073959419</v>
      </c>
      <c r="D37" s="60">
        <f>'2022年'!D37</f>
        <v>5.7288760484091101</v>
      </c>
      <c r="E37" s="60">
        <f>'2022年'!E37</f>
        <v>15.377509393098137</v>
      </c>
      <c r="F37" s="60">
        <f>'2022年'!F37</f>
        <v>5.7288760484091101</v>
      </c>
      <c r="G37" s="64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54" t="s">
        <v>76</v>
      </c>
      <c r="AH37" s="54" t="s">
        <v>26</v>
      </c>
      <c r="AI37" s="54" t="s">
        <v>76</v>
      </c>
    </row>
    <row r="38" spans="1:35">
      <c r="A38" s="246">
        <v>3</v>
      </c>
      <c r="B38" s="54" t="s">
        <v>77</v>
      </c>
      <c r="C38" s="60">
        <f>'2022年'!C38</f>
        <v>72.799999999999983</v>
      </c>
      <c r="D38" s="60">
        <f>'2022年'!D38</f>
        <v>15.199999999999998</v>
      </c>
      <c r="E38" s="60">
        <f>'2022年'!E38</f>
        <v>40.799999999999997</v>
      </c>
      <c r="F38" s="60">
        <f>'2022年'!F38</f>
        <v>15.199999999999998</v>
      </c>
      <c r="G38" s="64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54" t="s">
        <v>77</v>
      </c>
      <c r="AH38" s="54" t="s">
        <v>32</v>
      </c>
      <c r="AI38" s="54" t="s">
        <v>77</v>
      </c>
    </row>
    <row r="39" spans="1:35">
      <c r="A39" s="54" t="s">
        <v>74</v>
      </c>
      <c r="B39" s="57" t="s">
        <v>79</v>
      </c>
      <c r="C39" s="61"/>
      <c r="D39" s="61"/>
      <c r="E39" s="61"/>
      <c r="F39" s="61"/>
      <c r="G39" s="61"/>
      <c r="R39" s="57" t="s">
        <v>79</v>
      </c>
      <c r="AH39" s="54" t="s">
        <v>78</v>
      </c>
      <c r="AI39" s="57" t="s">
        <v>79</v>
      </c>
    </row>
    <row r="40" spans="1:35">
      <c r="A40" s="246">
        <v>1</v>
      </c>
      <c r="B40" s="54" t="s">
        <v>81</v>
      </c>
      <c r="C40" s="61">
        <f>C34-C36-C37-C38</f>
        <v>300.22115655817208</v>
      </c>
      <c r="D40" s="61">
        <f t="shared" ref="D40:F40" si="29">D34-D36-D37-D38</f>
        <v>19.192437724386856</v>
      </c>
      <c r="E40" s="61">
        <f t="shared" si="29"/>
        <v>208.53004559699752</v>
      </c>
      <c r="F40" s="61">
        <f t="shared" si="29"/>
        <v>58.004397724386799</v>
      </c>
      <c r="G40" s="61"/>
      <c r="R40" s="54" t="s">
        <v>81</v>
      </c>
      <c r="AH40" s="54" t="s">
        <v>21</v>
      </c>
      <c r="AI40" s="54" t="s">
        <v>81</v>
      </c>
    </row>
    <row r="41" spans="1:35">
      <c r="A41" s="246">
        <v>2</v>
      </c>
      <c r="B41" s="54" t="s">
        <v>82</v>
      </c>
      <c r="C41" s="61"/>
      <c r="D41" s="61"/>
      <c r="E41" s="61"/>
      <c r="F41" s="61"/>
      <c r="G41" s="61"/>
      <c r="R41" s="54" t="s">
        <v>82</v>
      </c>
      <c r="AH41" s="54" t="s">
        <v>23</v>
      </c>
      <c r="AI41" s="54" t="s">
        <v>82</v>
      </c>
    </row>
    <row r="42" spans="1:35">
      <c r="A42" s="54" t="s">
        <v>78</v>
      </c>
      <c r="B42" s="57" t="s">
        <v>84</v>
      </c>
      <c r="C42" s="61"/>
      <c r="D42" s="61"/>
      <c r="E42" s="61"/>
      <c r="F42" s="61"/>
      <c r="G42" s="61"/>
      <c r="R42" s="57" t="s">
        <v>84</v>
      </c>
      <c r="AH42" s="54" t="s">
        <v>83</v>
      </c>
      <c r="AI42" s="57" t="s">
        <v>84</v>
      </c>
    </row>
    <row r="43" spans="1:35">
      <c r="A43" s="246">
        <v>1</v>
      </c>
      <c r="B43" s="62" t="s">
        <v>85</v>
      </c>
      <c r="C43" s="60">
        <f>'2022年'!C43</f>
        <v>81.899999999999991</v>
      </c>
      <c r="D43" s="60">
        <f>'2022年'!D43</f>
        <v>17.099999999999998</v>
      </c>
      <c r="E43" s="60">
        <f>'2022年'!E43</f>
        <v>45.9</v>
      </c>
      <c r="F43" s="60">
        <f>'2022年'!F43</f>
        <v>17.099999999999998</v>
      </c>
      <c r="G43" s="61"/>
      <c r="R43" s="54" t="s">
        <v>85</v>
      </c>
      <c r="AH43" s="54" t="s">
        <v>21</v>
      </c>
      <c r="AI43" s="54" t="s">
        <v>85</v>
      </c>
    </row>
    <row r="44" spans="1:35">
      <c r="A44" s="246">
        <v>2</v>
      </c>
      <c r="B44" s="62" t="s">
        <v>86</v>
      </c>
      <c r="C44" s="60">
        <f>'2022年'!C44</f>
        <v>12.74</v>
      </c>
      <c r="D44" s="60">
        <f>'2022年'!D44</f>
        <v>2.66</v>
      </c>
      <c r="E44" s="60">
        <f>'2022年'!E44</f>
        <v>7.1400000000000006</v>
      </c>
      <c r="F44" s="60">
        <f>'2022年'!F44</f>
        <v>2.66</v>
      </c>
      <c r="G44" s="61"/>
      <c r="R44" s="54" t="s">
        <v>86</v>
      </c>
      <c r="AH44" s="54" t="s">
        <v>23</v>
      </c>
      <c r="AI44" s="54" t="s">
        <v>86</v>
      </c>
    </row>
    <row r="45" spans="1:35">
      <c r="A45" s="246">
        <v>3</v>
      </c>
      <c r="B45" s="62" t="s">
        <v>87</v>
      </c>
      <c r="C45" s="60">
        <f>'2022年'!C45</f>
        <v>54.6</v>
      </c>
      <c r="D45" s="60">
        <f>'2022年'!D45</f>
        <v>11.4</v>
      </c>
      <c r="E45" s="60">
        <f>'2022年'!E45</f>
        <v>30.599999999999998</v>
      </c>
      <c r="F45" s="60">
        <f>'2022年'!F45</f>
        <v>11.4</v>
      </c>
      <c r="G45" s="61"/>
      <c r="R45" s="54" t="s">
        <v>87</v>
      </c>
      <c r="AH45" s="54" t="s">
        <v>71</v>
      </c>
      <c r="AI45" s="54" t="s">
        <v>87</v>
      </c>
    </row>
    <row r="46" spans="1:35" s="49" customFormat="1">
      <c r="A46" s="246">
        <v>4</v>
      </c>
      <c r="B46" s="62" t="s">
        <v>88</v>
      </c>
      <c r="C46" s="66">
        <f>C21/C6</f>
        <v>2.7916666666666665</v>
      </c>
      <c r="D46" s="66">
        <f t="shared" ref="D46:F46" si="30">D21/D6</f>
        <v>2.7916666666666665</v>
      </c>
      <c r="E46" s="66">
        <f t="shared" si="30"/>
        <v>2.7916666666666665</v>
      </c>
      <c r="F46" s="66">
        <f t="shared" si="30"/>
        <v>2.7916666666666665</v>
      </c>
      <c r="G46" s="66"/>
      <c r="R46" s="62" t="s">
        <v>90</v>
      </c>
      <c r="AH46" s="62" t="s">
        <v>29</v>
      </c>
      <c r="AI46" s="62" t="s">
        <v>90</v>
      </c>
    </row>
    <row r="47" spans="1:35" s="49" customFormat="1">
      <c r="A47" s="246">
        <v>5</v>
      </c>
      <c r="B47" s="62" t="s">
        <v>90</v>
      </c>
      <c r="C47" s="66">
        <f>'2022年'!C47</f>
        <v>72.8</v>
      </c>
      <c r="D47" s="66">
        <f>'2022年'!D47</f>
        <v>15.200000000000001</v>
      </c>
      <c r="E47" s="66">
        <f>'2022年'!E47</f>
        <v>40.800000000000004</v>
      </c>
      <c r="F47" s="66">
        <f>'2022年'!F47</f>
        <v>15.200000000000001</v>
      </c>
      <c r="G47" s="66"/>
      <c r="R47" s="62" t="s">
        <v>90</v>
      </c>
      <c r="AH47" s="62" t="s">
        <v>29</v>
      </c>
      <c r="AI47" s="62" t="s">
        <v>90</v>
      </c>
    </row>
    <row r="48" spans="1:35">
      <c r="A48" s="54" t="s">
        <v>83</v>
      </c>
      <c r="B48" s="57" t="s">
        <v>101</v>
      </c>
      <c r="C48" s="61">
        <f>C40-C43-C44-C45-C47-C46</f>
        <v>75.389489891505434</v>
      </c>
      <c r="D48" s="61">
        <f t="shared" ref="D48:F48" si="31">D40-D43-D44-D45-D47-D46</f>
        <v>-29.959228942279811</v>
      </c>
      <c r="E48" s="61">
        <f t="shared" si="31"/>
        <v>81.298378930330827</v>
      </c>
      <c r="F48" s="61">
        <f t="shared" si="31"/>
        <v>8.8527310577201348</v>
      </c>
      <c r="G48" s="61"/>
      <c r="R48" s="57" t="s">
        <v>101</v>
      </c>
      <c r="AH48" s="54" t="s">
        <v>100</v>
      </c>
      <c r="AI48" s="57" t="s">
        <v>101</v>
      </c>
    </row>
    <row r="51" spans="2:12">
      <c r="C51" s="67"/>
      <c r="D51" s="67"/>
      <c r="E51" s="67"/>
      <c r="F51" s="67"/>
    </row>
    <row r="54" spans="2:12">
      <c r="B54" s="68"/>
      <c r="C54" s="69"/>
      <c r="D54" s="69"/>
      <c r="E54" s="69"/>
      <c r="F54" s="69"/>
      <c r="G54" s="69"/>
      <c r="H54" s="68"/>
      <c r="I54" s="68"/>
      <c r="J54" s="68"/>
      <c r="K54" s="68"/>
      <c r="L54" s="68"/>
    </row>
    <row r="55" spans="2:12">
      <c r="B55" s="68"/>
      <c r="C55" s="69"/>
      <c r="D55" s="69"/>
      <c r="E55" s="69"/>
      <c r="F55" s="69"/>
      <c r="G55" s="69"/>
      <c r="H55" s="68"/>
      <c r="I55" s="68"/>
      <c r="J55" s="68"/>
      <c r="K55" s="68"/>
      <c r="L55" s="68"/>
    </row>
    <row r="56" spans="2:12">
      <c r="B56" s="68"/>
      <c r="C56" s="69"/>
      <c r="D56" s="69"/>
      <c r="E56" s="69"/>
      <c r="F56" s="69"/>
      <c r="G56" s="69"/>
      <c r="H56" s="68"/>
      <c r="I56" s="68"/>
      <c r="J56" s="68"/>
      <c r="K56" s="68"/>
      <c r="L56" s="68"/>
    </row>
    <row r="57" spans="2:12">
      <c r="B57" s="68"/>
      <c r="C57" s="69"/>
      <c r="D57" s="69"/>
      <c r="E57" s="69"/>
      <c r="F57" s="69"/>
      <c r="G57" s="69"/>
      <c r="H57" s="68"/>
      <c r="I57" s="68"/>
      <c r="J57" s="68"/>
      <c r="K57" s="68"/>
      <c r="L57" s="68"/>
    </row>
    <row r="58" spans="2:12">
      <c r="B58" s="68"/>
      <c r="C58" s="69"/>
      <c r="D58" s="69"/>
      <c r="E58" s="69"/>
      <c r="F58" s="69"/>
      <c r="G58" s="69"/>
      <c r="H58" s="68"/>
      <c r="I58" s="68"/>
      <c r="J58" s="68"/>
      <c r="K58" s="68"/>
      <c r="L58" s="68"/>
    </row>
    <row r="59" spans="2:12">
      <c r="B59" s="68"/>
      <c r="C59" s="69"/>
      <c r="D59" s="69"/>
      <c r="E59" s="69"/>
      <c r="F59" s="69"/>
      <c r="G59" s="69"/>
      <c r="H59" s="68"/>
      <c r="I59" s="68"/>
      <c r="J59" s="68"/>
      <c r="K59" s="68"/>
      <c r="L59" s="68"/>
    </row>
    <row r="60" spans="2:12">
      <c r="B60" s="68"/>
      <c r="C60" s="69"/>
      <c r="D60" s="69"/>
      <c r="E60" s="69"/>
      <c r="F60" s="69"/>
      <c r="G60" s="69"/>
      <c r="H60" s="68"/>
      <c r="I60" s="68"/>
      <c r="J60" s="68"/>
      <c r="K60" s="68"/>
      <c r="L60" s="68"/>
    </row>
    <row r="61" spans="2:12">
      <c r="B61" s="68"/>
      <c r="C61" s="69"/>
      <c r="D61" s="69"/>
      <c r="E61" s="69"/>
      <c r="F61" s="69"/>
      <c r="G61" s="69"/>
      <c r="H61" s="68"/>
      <c r="I61" s="68"/>
      <c r="J61" s="68"/>
      <c r="K61" s="68"/>
      <c r="L61" s="68"/>
    </row>
    <row r="62" spans="2:12">
      <c r="B62" s="68"/>
      <c r="C62" s="69"/>
      <c r="D62" s="69"/>
      <c r="E62" s="69"/>
      <c r="F62" s="69"/>
      <c r="G62" s="69"/>
      <c r="H62" s="68"/>
      <c r="I62" s="68"/>
      <c r="J62" s="68"/>
      <c r="K62" s="68"/>
      <c r="L62" s="68"/>
    </row>
    <row r="63" spans="2:12">
      <c r="B63" s="68"/>
      <c r="C63" s="69"/>
      <c r="D63" s="69"/>
      <c r="E63" s="69"/>
      <c r="F63" s="69"/>
      <c r="G63" s="69"/>
      <c r="H63" s="68"/>
      <c r="I63" s="68"/>
      <c r="J63" s="68"/>
      <c r="K63" s="68"/>
      <c r="L63" s="68"/>
    </row>
    <row r="64" spans="2:12">
      <c r="B64" s="68"/>
      <c r="C64" s="69"/>
      <c r="D64" s="69"/>
      <c r="E64" s="69"/>
      <c r="F64" s="69"/>
      <c r="G64" s="69"/>
      <c r="H64" s="68"/>
      <c r="I64" s="68"/>
      <c r="J64" s="68"/>
      <c r="K64" s="68"/>
      <c r="L64" s="68"/>
    </row>
    <row r="65" spans="2:12">
      <c r="B65" s="68"/>
      <c r="C65" s="69"/>
      <c r="D65" s="69"/>
      <c r="E65" s="69"/>
      <c r="F65" s="69"/>
      <c r="G65" s="69"/>
      <c r="H65" s="68"/>
      <c r="I65" s="68"/>
      <c r="J65" s="68"/>
      <c r="K65" s="68"/>
      <c r="L65" s="68"/>
    </row>
    <row r="66" spans="2:12">
      <c r="B66" s="68"/>
      <c r="C66" s="69"/>
      <c r="D66" s="69"/>
      <c r="E66" s="69"/>
      <c r="F66" s="69"/>
      <c r="G66" s="69"/>
      <c r="H66" s="68"/>
      <c r="I66" s="68"/>
      <c r="J66" s="68"/>
      <c r="K66" s="68"/>
      <c r="L66" s="68"/>
    </row>
    <row r="67" spans="2:12">
      <c r="B67" s="68"/>
      <c r="C67" s="69"/>
      <c r="D67" s="69"/>
      <c r="E67" s="69"/>
      <c r="F67" s="69"/>
      <c r="G67" s="69"/>
      <c r="H67" s="68"/>
    </row>
    <row r="68" spans="2:12">
      <c r="B68" s="68"/>
      <c r="C68" s="69"/>
      <c r="D68" s="69"/>
      <c r="E68" s="69"/>
      <c r="F68" s="69"/>
      <c r="G68" s="69"/>
      <c r="H68" s="68"/>
    </row>
    <row r="69" spans="2:12">
      <c r="B69" s="68"/>
      <c r="C69" s="69"/>
      <c r="D69" s="69"/>
      <c r="E69" s="69"/>
      <c r="F69" s="69"/>
      <c r="G69" s="69"/>
      <c r="H69" s="68"/>
    </row>
    <row r="70" spans="2:12">
      <c r="B70" s="68"/>
      <c r="C70" s="69"/>
      <c r="D70" s="69"/>
      <c r="E70" s="69"/>
      <c r="F70" s="69"/>
      <c r="G70" s="69"/>
      <c r="H70" s="68"/>
    </row>
    <row r="71" spans="2:12">
      <c r="B71" s="68"/>
      <c r="C71" s="69"/>
      <c r="D71" s="69"/>
      <c r="E71" s="69"/>
      <c r="F71" s="69"/>
      <c r="G71" s="69"/>
      <c r="H71" s="68"/>
    </row>
    <row r="72" spans="2:12">
      <c r="B72" s="68"/>
      <c r="C72" s="69"/>
      <c r="D72" s="69"/>
      <c r="E72" s="69"/>
      <c r="F72" s="69"/>
      <c r="G72" s="69"/>
      <c r="H72" s="68"/>
    </row>
    <row r="73" spans="2:12">
      <c r="B73" s="68"/>
      <c r="C73" s="69"/>
      <c r="D73" s="69"/>
      <c r="E73" s="69"/>
      <c r="F73" s="69"/>
      <c r="G73" s="69"/>
      <c r="H73" s="68"/>
    </row>
    <row r="74" spans="2:12">
      <c r="B74" s="68"/>
      <c r="C74" s="69"/>
      <c r="D74" s="69"/>
      <c r="E74" s="69"/>
      <c r="F74" s="69"/>
      <c r="G74" s="69"/>
      <c r="H74" s="68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17" activePane="bottomRight" state="frozen"/>
      <selection pane="topRight"/>
      <selection pane="bottomLeft"/>
      <selection pane="bottomRight" activeCell="H30" sqref="H30"/>
    </sheetView>
  </sheetViews>
  <sheetFormatPr defaultColWidth="9" defaultRowHeight="16.5"/>
  <cols>
    <col min="1" max="1" width="5.125" style="50" customWidth="1"/>
    <col min="2" max="2" width="17.5" style="50" customWidth="1"/>
    <col min="3" max="3" width="13.25" style="51" customWidth="1"/>
    <col min="4" max="4" width="20.25" style="51" bestFit="1" customWidth="1"/>
    <col min="5" max="6" width="13.25" style="51" customWidth="1"/>
    <col min="7" max="7" width="18.75" style="51" customWidth="1"/>
    <col min="8" max="8" width="12.375" style="50" customWidth="1"/>
    <col min="9" max="9" width="10.125" style="50" customWidth="1"/>
    <col min="10" max="16" width="9" style="50" customWidth="1"/>
    <col min="17" max="33" width="9" style="50"/>
    <col min="34" max="34" width="4.375" style="50" customWidth="1"/>
    <col min="35" max="35" width="13.875" style="50" customWidth="1"/>
    <col min="36" max="16384" width="9" style="50"/>
  </cols>
  <sheetData>
    <row r="1" spans="1:36">
      <c r="A1" s="262" t="s">
        <v>141</v>
      </c>
      <c r="B1" s="262"/>
      <c r="C1" s="266" t="s">
        <v>258</v>
      </c>
      <c r="D1" s="267"/>
      <c r="E1" s="267"/>
      <c r="F1" s="267"/>
      <c r="G1" s="268"/>
    </row>
    <row r="2" spans="1:36">
      <c r="A2" s="262" t="s">
        <v>142</v>
      </c>
      <c r="B2" s="262"/>
      <c r="C2" s="269" t="str">
        <f>'2022年'!C2:G2</f>
        <v>一汽解放</v>
      </c>
      <c r="D2" s="269"/>
      <c r="E2" s="269"/>
      <c r="F2" s="269"/>
      <c r="G2" s="269"/>
    </row>
    <row r="3" spans="1:36">
      <c r="A3" s="262" t="s">
        <v>143</v>
      </c>
      <c r="B3" s="262"/>
      <c r="C3" s="162" t="str">
        <f>销量!C5</f>
        <v>驾驶员座总成</v>
      </c>
      <c r="D3" s="162" t="str">
        <f>销量!D5</f>
        <v>前座总成</v>
      </c>
      <c r="E3" s="162" t="str">
        <f>销量!E5</f>
        <v>驾驶员座总成</v>
      </c>
      <c r="F3" s="162" t="str">
        <f>销量!F5</f>
        <v>前座总成</v>
      </c>
      <c r="G3" s="263" t="s">
        <v>17</v>
      </c>
    </row>
    <row r="4" spans="1:36" ht="28.5">
      <c r="A4" s="262" t="s">
        <v>144</v>
      </c>
      <c r="B4" s="262"/>
      <c r="C4" s="162" t="str">
        <f>销量!C6</f>
        <v>6800010EH13-C00</v>
      </c>
      <c r="D4" s="162" t="str">
        <f>销量!D6</f>
        <v>6900010BH13-C00</v>
      </c>
      <c r="E4" s="162" t="str">
        <f>销量!E6</f>
        <v>6800010DH13-C00</v>
      </c>
      <c r="F4" s="162" t="str">
        <f>销量!F6</f>
        <v>6900010AH13-C00</v>
      </c>
      <c r="G4" s="264"/>
    </row>
    <row r="5" spans="1:36">
      <c r="A5" s="262" t="s">
        <v>145</v>
      </c>
      <c r="B5" s="262"/>
      <c r="C5" s="53"/>
      <c r="D5" s="53"/>
      <c r="E5" s="53"/>
      <c r="F5" s="53"/>
      <c r="G5" s="265"/>
      <c r="AJ5" s="50" t="s">
        <v>18</v>
      </c>
    </row>
    <row r="6" spans="1:36" ht="17.25">
      <c r="A6" s="54" t="s">
        <v>15</v>
      </c>
      <c r="B6" s="55" t="s">
        <v>146</v>
      </c>
      <c r="C6" s="23">
        <f>销量!C11</f>
        <v>20000</v>
      </c>
      <c r="D6" s="23">
        <f>销量!D11</f>
        <v>20000</v>
      </c>
      <c r="E6" s="23">
        <f>销量!E11</f>
        <v>10000</v>
      </c>
      <c r="F6" s="23">
        <f>销量!F11</f>
        <v>10000</v>
      </c>
      <c r="G6" s="56">
        <f t="shared" ref="G6:G15" si="0">SUM(C6:F6)</f>
        <v>60000</v>
      </c>
      <c r="R6" s="55" t="s">
        <v>3</v>
      </c>
      <c r="AH6" s="54" t="s">
        <v>15</v>
      </c>
      <c r="AI6" s="55" t="s">
        <v>3</v>
      </c>
      <c r="AJ6" s="50" t="s">
        <v>19</v>
      </c>
    </row>
    <row r="7" spans="1:36">
      <c r="A7" s="246">
        <v>1</v>
      </c>
      <c r="B7" s="55" t="s">
        <v>20</v>
      </c>
      <c r="C7" s="56">
        <f>C6*销量!C8</f>
        <v>36400000</v>
      </c>
      <c r="D7" s="56">
        <f>D6*销量!D8</f>
        <v>7600000</v>
      </c>
      <c r="E7" s="56">
        <f>E6*销量!E8</f>
        <v>10200000</v>
      </c>
      <c r="F7" s="56">
        <f>F6*销量!F8</f>
        <v>3800000</v>
      </c>
      <c r="G7" s="56">
        <f t="shared" si="0"/>
        <v>58000000</v>
      </c>
      <c r="H7" s="51"/>
      <c r="R7" s="55" t="s">
        <v>20</v>
      </c>
      <c r="AH7" s="54" t="s">
        <v>21</v>
      </c>
      <c r="AI7" s="55" t="s">
        <v>20</v>
      </c>
      <c r="AJ7" s="50" t="s">
        <v>19</v>
      </c>
    </row>
    <row r="8" spans="1:36">
      <c r="A8" s="246">
        <v>2</v>
      </c>
      <c r="B8" s="246" t="s">
        <v>22</v>
      </c>
      <c r="C8" s="56">
        <f>C7*(1-销量!$L$10)</f>
        <v>1434305.2359999979</v>
      </c>
      <c r="D8" s="56">
        <f>D7*(1-销量!$L$10)</f>
        <v>299470.32399999956</v>
      </c>
      <c r="E8" s="56">
        <f>E7*(1-销量!$L$10)</f>
        <v>401920.69799999945</v>
      </c>
      <c r="F8" s="56">
        <f>F7*(1-销量!$L$10)</f>
        <v>149735.16199999978</v>
      </c>
      <c r="G8" s="56">
        <f t="shared" si="0"/>
        <v>2285431.4199999971</v>
      </c>
      <c r="H8" s="70"/>
      <c r="R8" s="246" t="s">
        <v>24</v>
      </c>
      <c r="AH8" s="54" t="s">
        <v>23</v>
      </c>
      <c r="AI8" s="246" t="s">
        <v>24</v>
      </c>
      <c r="AJ8" s="50" t="s">
        <v>19</v>
      </c>
    </row>
    <row r="9" spans="1:36">
      <c r="A9" s="246">
        <v>3</v>
      </c>
      <c r="B9" s="55" t="s">
        <v>25</v>
      </c>
      <c r="C9" s="56">
        <f>+C7-C8</f>
        <v>34965694.763999999</v>
      </c>
      <c r="D9" s="56">
        <f t="shared" ref="D9:E9" si="1">+D7-D8</f>
        <v>7300529.6760000009</v>
      </c>
      <c r="E9" s="56">
        <f t="shared" si="1"/>
        <v>9798079.3020000011</v>
      </c>
      <c r="F9" s="56">
        <f t="shared" ref="F9" si="2">+F7-F8</f>
        <v>3650264.8380000005</v>
      </c>
      <c r="G9" s="56">
        <f t="shared" si="0"/>
        <v>55714568.579999998</v>
      </c>
      <c r="R9" s="55" t="s">
        <v>25</v>
      </c>
      <c r="AH9" s="54" t="s">
        <v>26</v>
      </c>
      <c r="AI9" s="55" t="s">
        <v>25</v>
      </c>
      <c r="AJ9" s="50" t="s">
        <v>27</v>
      </c>
    </row>
    <row r="10" spans="1:36">
      <c r="A10" s="246">
        <v>4</v>
      </c>
      <c r="B10" s="54" t="s">
        <v>28</v>
      </c>
      <c r="C10" s="56">
        <f>C6*材料成本!I40</f>
        <v>24505388.335097995</v>
      </c>
      <c r="D10" s="56">
        <f>D6*材料成本!I41</f>
        <v>6083128.4858322851</v>
      </c>
      <c r="E10" s="56">
        <f>E6*材料成本!I42</f>
        <v>6609765.0852089999</v>
      </c>
      <c r="F10" s="56">
        <f>F6*材料成本!I43</f>
        <v>2657325.8389161434</v>
      </c>
      <c r="G10" s="56">
        <f t="shared" si="0"/>
        <v>39855607.745055422</v>
      </c>
      <c r="R10" s="54" t="s">
        <v>28</v>
      </c>
      <c r="AH10" s="54" t="s">
        <v>29</v>
      </c>
      <c r="AI10" s="54" t="s">
        <v>28</v>
      </c>
      <c r="AJ10" s="50" t="s">
        <v>30</v>
      </c>
    </row>
    <row r="11" spans="1:36">
      <c r="A11" s="246">
        <v>5</v>
      </c>
      <c r="B11" s="54" t="s">
        <v>31</v>
      </c>
      <c r="C11" s="56">
        <f>+C6*C36</f>
        <v>2046407.503957375</v>
      </c>
      <c r="D11" s="56">
        <f t="shared" ref="D11:E11" si="3">+D6*D36</f>
        <v>427271.89643066068</v>
      </c>
      <c r="E11" s="56">
        <f t="shared" si="3"/>
        <v>573443.8609990445</v>
      </c>
      <c r="F11" s="56">
        <f t="shared" ref="F11" si="4">+F6*F36</f>
        <v>213635.94821533034</v>
      </c>
      <c r="G11" s="56">
        <f t="shared" si="0"/>
        <v>3260759.2096024104</v>
      </c>
      <c r="R11" s="54" t="s">
        <v>31</v>
      </c>
      <c r="AH11" s="54" t="s">
        <v>32</v>
      </c>
      <c r="AI11" s="54" t="s">
        <v>31</v>
      </c>
    </row>
    <row r="12" spans="1:36">
      <c r="A12" s="246">
        <v>6</v>
      </c>
      <c r="B12" s="54" t="s">
        <v>33</v>
      </c>
      <c r="C12" s="56">
        <f>+C6*C37</f>
        <v>548766.02147918835</v>
      </c>
      <c r="D12" s="56">
        <f t="shared" ref="D12:E12" si="5">+D6*D37</f>
        <v>114577.5209681822</v>
      </c>
      <c r="E12" s="56">
        <f t="shared" si="5"/>
        <v>153775.09393098138</v>
      </c>
      <c r="F12" s="56">
        <f t="shared" ref="F12" si="6">+F6*F37</f>
        <v>57288.760484091101</v>
      </c>
      <c r="G12" s="56">
        <f t="shared" si="0"/>
        <v>874407.39686244307</v>
      </c>
      <c r="R12" s="54" t="s">
        <v>33</v>
      </c>
      <c r="AH12" s="54" t="s">
        <v>34</v>
      </c>
      <c r="AI12" s="54" t="s">
        <v>33</v>
      </c>
    </row>
    <row r="13" spans="1:36">
      <c r="A13" s="246">
        <v>7</v>
      </c>
      <c r="B13" s="54" t="s">
        <v>35</v>
      </c>
      <c r="C13" s="56">
        <f>+C6*C38</f>
        <v>1455999.9999999998</v>
      </c>
      <c r="D13" s="56">
        <f t="shared" ref="D13:E13" si="7">+D6*D38</f>
        <v>303999.99999999994</v>
      </c>
      <c r="E13" s="56">
        <f t="shared" si="7"/>
        <v>408000</v>
      </c>
      <c r="F13" s="56">
        <f t="shared" ref="F13" si="8">+F6*F38</f>
        <v>151999.99999999997</v>
      </c>
      <c r="G13" s="56">
        <f t="shared" si="0"/>
        <v>2320000</v>
      </c>
      <c r="R13" s="54" t="s">
        <v>35</v>
      </c>
      <c r="AH13" s="54" t="s">
        <v>36</v>
      </c>
      <c r="AI13" s="54" t="s">
        <v>35</v>
      </c>
      <c r="AJ13" s="50" t="s">
        <v>19</v>
      </c>
    </row>
    <row r="14" spans="1:36">
      <c r="A14" s="246">
        <v>8</v>
      </c>
      <c r="B14" s="57" t="s">
        <v>37</v>
      </c>
      <c r="C14" s="56">
        <f>SUM(C11:C13)</f>
        <v>4051173.5254365634</v>
      </c>
      <c r="D14" s="56">
        <f t="shared" ref="D14:F14" si="9">SUM(D11:D13)</f>
        <v>845849.41739884275</v>
      </c>
      <c r="E14" s="56">
        <f t="shared" si="9"/>
        <v>1135218.9549300259</v>
      </c>
      <c r="F14" s="56">
        <f t="shared" si="9"/>
        <v>422924.70869942138</v>
      </c>
      <c r="G14" s="56">
        <f t="shared" si="0"/>
        <v>6455166.6064648535</v>
      </c>
      <c r="R14" s="57" t="s">
        <v>37</v>
      </c>
      <c r="AH14" s="54" t="s">
        <v>38</v>
      </c>
      <c r="AI14" s="57" t="s">
        <v>37</v>
      </c>
    </row>
    <row r="15" spans="1:36">
      <c r="A15" s="246">
        <v>9</v>
      </c>
      <c r="B15" s="57" t="s">
        <v>39</v>
      </c>
      <c r="C15" s="56">
        <f>+C9-C10-C14</f>
        <v>6409132.9034654405</v>
      </c>
      <c r="D15" s="56">
        <f t="shared" ref="D15:F15" si="10">+D9-D10-D14</f>
        <v>371551.77276887302</v>
      </c>
      <c r="E15" s="56">
        <f t="shared" si="10"/>
        <v>2053095.2618609753</v>
      </c>
      <c r="F15" s="56">
        <f t="shared" si="10"/>
        <v>570014.29038443568</v>
      </c>
      <c r="G15" s="56">
        <f t="shared" si="0"/>
        <v>9403794.2284797244</v>
      </c>
      <c r="R15" s="57" t="s">
        <v>39</v>
      </c>
      <c r="AH15" s="54" t="s">
        <v>40</v>
      </c>
      <c r="AI15" s="57" t="s">
        <v>39</v>
      </c>
    </row>
    <row r="16" spans="1:36">
      <c r="A16" s="246">
        <v>10</v>
      </c>
      <c r="B16" s="54" t="s">
        <v>41</v>
      </c>
      <c r="C16" s="58">
        <f>+C15/C9</f>
        <v>0.1832977421648192</v>
      </c>
      <c r="D16" s="58">
        <f t="shared" ref="D16:G16" si="11">+D15/D9</f>
        <v>5.0893810347805914E-2</v>
      </c>
      <c r="E16" s="58">
        <f t="shared" si="11"/>
        <v>0.20954058429001426</v>
      </c>
      <c r="F16" s="58">
        <f t="shared" si="11"/>
        <v>0.15615696824254252</v>
      </c>
      <c r="G16" s="58">
        <f t="shared" si="11"/>
        <v>0.16878519331935432</v>
      </c>
      <c r="R16" s="54" t="s">
        <v>41</v>
      </c>
      <c r="AH16" s="54" t="s">
        <v>42</v>
      </c>
      <c r="AI16" s="54" t="s">
        <v>41</v>
      </c>
    </row>
    <row r="17" spans="1:36">
      <c r="A17" s="246">
        <v>11</v>
      </c>
      <c r="B17" s="54" t="s">
        <v>43</v>
      </c>
      <c r="C17" s="56">
        <f>C6*C43+C18</f>
        <v>1710009.9999999998</v>
      </c>
      <c r="D17" s="56">
        <f t="shared" ref="D17:E17" si="12">D6*D43+D18</f>
        <v>414009.99999999994</v>
      </c>
      <c r="E17" s="56">
        <f t="shared" si="12"/>
        <v>495005</v>
      </c>
      <c r="F17" s="56">
        <f t="shared" ref="F17" si="13">F6*F43+F18</f>
        <v>207004.99999999997</v>
      </c>
      <c r="G17" s="56">
        <f>SUM(C17:F17)</f>
        <v>2826029.9999999995</v>
      </c>
      <c r="H17" s="70"/>
      <c r="R17" s="54" t="s">
        <v>43</v>
      </c>
      <c r="AH17" s="54" t="s">
        <v>44</v>
      </c>
      <c r="AI17" s="54" t="s">
        <v>43</v>
      </c>
    </row>
    <row r="18" spans="1:36" s="48" customFormat="1">
      <c r="A18" s="246">
        <v>12</v>
      </c>
      <c r="B18" s="59" t="s">
        <v>147</v>
      </c>
      <c r="C18" s="60">
        <f>$G$18/$G$6*C6</f>
        <v>72010</v>
      </c>
      <c r="D18" s="60">
        <f>$G$18/$G$6*D6</f>
        <v>72010</v>
      </c>
      <c r="E18" s="60">
        <f>$G$18/$G$6*E6</f>
        <v>36005</v>
      </c>
      <c r="F18" s="60">
        <f>$G$18/$G$6*F6</f>
        <v>36005</v>
      </c>
      <c r="G18" s="60">
        <f>项目投资!H26</f>
        <v>216030</v>
      </c>
      <c r="H18" s="71" t="s">
        <v>148</v>
      </c>
      <c r="I18" s="71"/>
      <c r="J18" s="71"/>
    </row>
    <row r="19" spans="1:36">
      <c r="A19" s="246">
        <v>13</v>
      </c>
      <c r="B19" s="54" t="s">
        <v>45</v>
      </c>
      <c r="C19" s="56">
        <f>C6*C44</f>
        <v>254800</v>
      </c>
      <c r="D19" s="56">
        <f t="shared" ref="D19:E19" si="14">D6*D44</f>
        <v>53200</v>
      </c>
      <c r="E19" s="56">
        <f t="shared" si="14"/>
        <v>71400</v>
      </c>
      <c r="F19" s="56">
        <f t="shared" ref="F19" si="15">F6*F44</f>
        <v>26600</v>
      </c>
      <c r="G19" s="56">
        <f>SUM(C19:F19)</f>
        <v>406000</v>
      </c>
      <c r="H19" s="48"/>
      <c r="R19" s="54" t="s">
        <v>45</v>
      </c>
      <c r="AH19" s="54" t="s">
        <v>46</v>
      </c>
      <c r="AI19" s="54" t="s">
        <v>45</v>
      </c>
      <c r="AJ19" s="50" t="s">
        <v>19</v>
      </c>
    </row>
    <row r="20" spans="1:36">
      <c r="A20" s="246">
        <v>14</v>
      </c>
      <c r="B20" s="54" t="s">
        <v>47</v>
      </c>
      <c r="C20" s="56">
        <f>C6*C45</f>
        <v>1092000</v>
      </c>
      <c r="D20" s="56">
        <f t="shared" ref="D20:E20" si="16">D6*D45</f>
        <v>228000</v>
      </c>
      <c r="E20" s="56">
        <f t="shared" si="16"/>
        <v>306000</v>
      </c>
      <c r="F20" s="56">
        <f t="shared" ref="F20" si="17">F6*F45</f>
        <v>114000</v>
      </c>
      <c r="G20" s="56">
        <f>SUM(C20:F20)</f>
        <v>1740000</v>
      </c>
      <c r="R20" s="54" t="s">
        <v>47</v>
      </c>
      <c r="AH20" s="54" t="s">
        <v>48</v>
      </c>
      <c r="AI20" s="54" t="s">
        <v>47</v>
      </c>
    </row>
    <row r="21" spans="1:36">
      <c r="A21" s="246">
        <v>15</v>
      </c>
      <c r="B21" s="54" t="s">
        <v>49</v>
      </c>
      <c r="C21" s="61">
        <f>$G$21/$G$6*C6</f>
        <v>55833.333333333328</v>
      </c>
      <c r="D21" s="61">
        <f>$G$21/$G$6*D6</f>
        <v>55833.333333333328</v>
      </c>
      <c r="E21" s="61">
        <f>$G$21/$G$6*E6</f>
        <v>27916.666666666664</v>
      </c>
      <c r="F21" s="61">
        <f>$G$21/$G$6*F6</f>
        <v>27916.666666666664</v>
      </c>
      <c r="G21" s="56">
        <f>项目投资!H27</f>
        <v>167500</v>
      </c>
      <c r="R21" s="54" t="s">
        <v>49</v>
      </c>
      <c r="AH21" s="54"/>
      <c r="AI21" s="54"/>
    </row>
    <row r="22" spans="1:36">
      <c r="A22" s="246">
        <v>16</v>
      </c>
      <c r="B22" s="54" t="s">
        <v>50</v>
      </c>
      <c r="C22" s="56">
        <f>C6*C47</f>
        <v>1456000</v>
      </c>
      <c r="D22" s="56">
        <f t="shared" ref="D22:E22" si="18">D6*D47</f>
        <v>304000</v>
      </c>
      <c r="E22" s="56">
        <f t="shared" si="18"/>
        <v>408000.00000000006</v>
      </c>
      <c r="F22" s="56">
        <f t="shared" ref="F22" si="19">F6*F47</f>
        <v>152000</v>
      </c>
      <c r="G22" s="56">
        <f>SUM(C22:F22)</f>
        <v>2320000</v>
      </c>
      <c r="R22" s="54" t="s">
        <v>50</v>
      </c>
      <c r="AH22" s="54" t="s">
        <v>51</v>
      </c>
      <c r="AI22" s="54" t="s">
        <v>50</v>
      </c>
    </row>
    <row r="23" spans="1:36">
      <c r="A23" s="246">
        <v>17</v>
      </c>
      <c r="B23" s="57" t="s">
        <v>52</v>
      </c>
      <c r="C23" s="61">
        <f>+C22+C21+C20+C19+C17</f>
        <v>4568643.333333333</v>
      </c>
      <c r="D23" s="61">
        <f t="shared" ref="D23:G23" si="20">+D22+D21+D20+D19+D17</f>
        <v>1055043.3333333333</v>
      </c>
      <c r="E23" s="61">
        <f t="shared" si="20"/>
        <v>1308321.6666666667</v>
      </c>
      <c r="F23" s="61">
        <f t="shared" si="20"/>
        <v>527521.66666666663</v>
      </c>
      <c r="G23" s="61">
        <f t="shared" si="20"/>
        <v>7459530</v>
      </c>
      <c r="R23" s="57" t="s">
        <v>52</v>
      </c>
      <c r="AH23" s="54" t="s">
        <v>53</v>
      </c>
      <c r="AI23" s="57" t="s">
        <v>52</v>
      </c>
    </row>
    <row r="24" spans="1:36">
      <c r="A24" s="246">
        <v>18</v>
      </c>
      <c r="B24" s="62" t="s">
        <v>54</v>
      </c>
      <c r="C24" s="61">
        <f>+C15-C23</f>
        <v>1840489.5701321075</v>
      </c>
      <c r="D24" s="61">
        <f t="shared" ref="D24:G24" si="21">+D15-D23</f>
        <v>-683491.56056446023</v>
      </c>
      <c r="E24" s="61">
        <f t="shared" si="21"/>
        <v>744773.59519430855</v>
      </c>
      <c r="F24" s="61">
        <f t="shared" si="21"/>
        <v>42492.623717769049</v>
      </c>
      <c r="G24" s="61">
        <f t="shared" si="21"/>
        <v>1944264.2284797244</v>
      </c>
      <c r="I24" s="72"/>
      <c r="R24" s="54" t="s">
        <v>54</v>
      </c>
      <c r="AH24" s="54" t="s">
        <v>55</v>
      </c>
      <c r="AI24" s="54" t="s">
        <v>54</v>
      </c>
    </row>
    <row r="25" spans="1:36">
      <c r="A25" s="246">
        <v>19</v>
      </c>
      <c r="B25" s="54" t="s">
        <v>256</v>
      </c>
      <c r="C25" s="61">
        <f>IF(C24&lt;0,0,C24*0.15)</f>
        <v>276073.43551981612</v>
      </c>
      <c r="D25" s="61">
        <f>IF(D24&lt;0,0,D24*0.15)</f>
        <v>0</v>
      </c>
      <c r="E25" s="61">
        <f>IF(E24&lt;0,0,E24*0.15)</f>
        <v>111716.03927914628</v>
      </c>
      <c r="F25" s="61">
        <f>IF(F24&lt;0,0,F24*0.15)</f>
        <v>6373.8935576653575</v>
      </c>
      <c r="G25" s="61">
        <f>IF(G24&lt;0,0,G24*0.15)</f>
        <v>291639.63427195867</v>
      </c>
      <c r="H25" s="68"/>
      <c r="I25" s="68"/>
      <c r="J25" s="68"/>
      <c r="R25" s="54" t="s">
        <v>56</v>
      </c>
      <c r="AH25" s="54" t="s">
        <v>57</v>
      </c>
      <c r="AI25" s="54" t="s">
        <v>56</v>
      </c>
    </row>
    <row r="26" spans="1:36">
      <c r="A26" s="246">
        <v>20</v>
      </c>
      <c r="B26" s="54" t="s">
        <v>58</v>
      </c>
      <c r="C26" s="61">
        <f t="shared" ref="C26:F26" si="22">C24-C25</f>
        <v>1564416.1346122914</v>
      </c>
      <c r="D26" s="61">
        <f t="shared" si="22"/>
        <v>-683491.56056446023</v>
      </c>
      <c r="E26" s="61">
        <f t="shared" si="22"/>
        <v>633057.55591516232</v>
      </c>
      <c r="F26" s="61">
        <f t="shared" si="22"/>
        <v>36118.730160103689</v>
      </c>
      <c r="G26" s="56">
        <f>G24-G25</f>
        <v>1652624.5942077658</v>
      </c>
      <c r="H26" s="195"/>
      <c r="I26" s="68"/>
      <c r="J26" s="68"/>
      <c r="R26" s="54" t="s">
        <v>58</v>
      </c>
      <c r="AH26" s="54" t="s">
        <v>59</v>
      </c>
      <c r="AI26" s="54" t="s">
        <v>58</v>
      </c>
    </row>
    <row r="27" spans="1:36">
      <c r="A27" s="246">
        <v>21</v>
      </c>
      <c r="B27" s="54" t="s">
        <v>62</v>
      </c>
      <c r="C27" s="131">
        <f t="shared" ref="C27:G27" si="23">C26/C7</f>
        <v>4.2978465236601412E-2</v>
      </c>
      <c r="D27" s="131">
        <f t="shared" si="23"/>
        <v>-8.9933100074271077E-2</v>
      </c>
      <c r="E27" s="131">
        <f t="shared" si="23"/>
        <v>6.2064466266192386E-2</v>
      </c>
      <c r="F27" s="131">
        <f t="shared" si="23"/>
        <v>9.50492898950097E-3</v>
      </c>
      <c r="G27" s="131">
        <f t="shared" si="23"/>
        <v>2.8493527486340788E-2</v>
      </c>
      <c r="H27" s="191"/>
      <c r="I27" s="68"/>
      <c r="J27" s="68"/>
      <c r="R27" s="54" t="s">
        <v>62</v>
      </c>
      <c r="AH27" s="54" t="s">
        <v>61</v>
      </c>
      <c r="AI27" s="54" t="s">
        <v>62</v>
      </c>
    </row>
    <row r="28" spans="1:36">
      <c r="H28" s="68"/>
      <c r="I28" s="68"/>
      <c r="J28" s="68"/>
      <c r="R28" s="54"/>
    </row>
    <row r="29" spans="1:36">
      <c r="A29" s="50" t="s">
        <v>63</v>
      </c>
      <c r="G29" s="51" t="s">
        <v>149</v>
      </c>
      <c r="H29" s="68"/>
      <c r="I29" s="68"/>
      <c r="J29" s="68"/>
      <c r="R29" s="54"/>
      <c r="AH29" s="50" t="s">
        <v>63</v>
      </c>
    </row>
    <row r="30" spans="1:36">
      <c r="A30" s="54" t="s">
        <v>66</v>
      </c>
      <c r="B30" s="57" t="s">
        <v>67</v>
      </c>
      <c r="C30" s="61"/>
      <c r="D30" s="61"/>
      <c r="E30" s="61"/>
      <c r="F30" s="61"/>
      <c r="G30" s="61"/>
      <c r="H30" s="68"/>
      <c r="I30" s="68"/>
      <c r="J30" s="68"/>
      <c r="L30" s="68"/>
      <c r="R30" s="57" t="s">
        <v>67</v>
      </c>
      <c r="AH30" s="54" t="s">
        <v>68</v>
      </c>
      <c r="AI30" s="57" t="s">
        <v>67</v>
      </c>
    </row>
    <row r="31" spans="1:36">
      <c r="A31" s="246">
        <v>1</v>
      </c>
      <c r="B31" s="59" t="s">
        <v>69</v>
      </c>
      <c r="C31" s="64">
        <f>销量!C8</f>
        <v>1820</v>
      </c>
      <c r="D31" s="64">
        <f>销量!D8</f>
        <v>380</v>
      </c>
      <c r="E31" s="64">
        <f>销量!E8</f>
        <v>1020</v>
      </c>
      <c r="F31" s="64">
        <f>销量!F8</f>
        <v>380</v>
      </c>
      <c r="G31" s="61"/>
      <c r="H31" s="68"/>
      <c r="I31" s="68"/>
      <c r="J31" s="68"/>
      <c r="L31" s="68"/>
      <c r="R31" s="54" t="s">
        <v>69</v>
      </c>
      <c r="AH31" s="54" t="s">
        <v>21</v>
      </c>
      <c r="AI31" s="54" t="s">
        <v>69</v>
      </c>
    </row>
    <row r="32" spans="1:36">
      <c r="A32" s="246">
        <v>2</v>
      </c>
      <c r="B32" s="54" t="s">
        <v>150</v>
      </c>
      <c r="C32" s="56">
        <f>C9/C6</f>
        <v>1748.2847382</v>
      </c>
      <c r="D32" s="56">
        <f t="shared" ref="D32:E32" si="24">D9/D6</f>
        <v>365.02648380000005</v>
      </c>
      <c r="E32" s="56">
        <f t="shared" si="24"/>
        <v>979.8079302000001</v>
      </c>
      <c r="F32" s="56">
        <f t="shared" ref="F32" si="25">F9/F6</f>
        <v>365.02648380000005</v>
      </c>
      <c r="G32" s="61"/>
      <c r="H32" s="68"/>
      <c r="I32" s="68"/>
      <c r="J32" s="68"/>
      <c r="K32" s="68"/>
      <c r="L32" s="68"/>
      <c r="M32" s="68"/>
      <c r="N32" s="68"/>
      <c r="AH32" s="54"/>
      <c r="AI32" s="54"/>
    </row>
    <row r="33" spans="1:35">
      <c r="A33" s="246">
        <v>3</v>
      </c>
      <c r="B33" s="59" t="s">
        <v>70</v>
      </c>
      <c r="C33" s="56">
        <f>材料成本!I40</f>
        <v>1225.2694167548998</v>
      </c>
      <c r="D33" s="56">
        <f>材料成本!I41</f>
        <v>304.15642429161426</v>
      </c>
      <c r="E33" s="56">
        <f>材料成本!I42</f>
        <v>660.97650852089998</v>
      </c>
      <c r="F33" s="56">
        <f>材料成本!I43</f>
        <v>265.73258389161435</v>
      </c>
      <c r="G33" s="61"/>
      <c r="I33" s="68"/>
      <c r="J33" s="68"/>
      <c r="K33" s="68"/>
      <c r="L33" s="68"/>
      <c r="M33" s="68"/>
      <c r="N33" s="68"/>
      <c r="R33" s="54" t="s">
        <v>70</v>
      </c>
      <c r="AH33" s="54" t="s">
        <v>23</v>
      </c>
      <c r="AI33" s="54" t="s">
        <v>70</v>
      </c>
    </row>
    <row r="34" spans="1:35" ht="17.25" customHeight="1">
      <c r="A34" s="246">
        <v>4</v>
      </c>
      <c r="B34" s="54" t="s">
        <v>72</v>
      </c>
      <c r="C34" s="65">
        <f>C32-C33</f>
        <v>523.0153214451002</v>
      </c>
      <c r="D34" s="65">
        <f t="shared" ref="D34:E34" si="26">D32-D33</f>
        <v>60.870059508385793</v>
      </c>
      <c r="E34" s="65">
        <f t="shared" si="26"/>
        <v>318.83142167910012</v>
      </c>
      <c r="F34" s="65">
        <f t="shared" ref="F34" si="27">F32-F33</f>
        <v>99.293899908385697</v>
      </c>
      <c r="G34" s="61"/>
      <c r="I34" s="68"/>
      <c r="J34" s="68"/>
      <c r="K34" s="68"/>
      <c r="L34" s="68"/>
      <c r="M34" s="68"/>
      <c r="N34" s="68"/>
      <c r="R34" s="54" t="s">
        <v>72</v>
      </c>
      <c r="AH34" s="54" t="s">
        <v>71</v>
      </c>
      <c r="AI34" s="54" t="s">
        <v>72</v>
      </c>
    </row>
    <row r="35" spans="1:35">
      <c r="A35" s="54" t="s">
        <v>68</v>
      </c>
      <c r="B35" s="57" t="s">
        <v>8</v>
      </c>
      <c r="C35" s="61"/>
      <c r="D35" s="61"/>
      <c r="E35" s="61"/>
      <c r="F35" s="61"/>
      <c r="G35" s="61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57" t="s">
        <v>8</v>
      </c>
      <c r="AH35" s="54" t="s">
        <v>74</v>
      </c>
      <c r="AI35" s="57" t="s">
        <v>8</v>
      </c>
    </row>
    <row r="36" spans="1:35">
      <c r="A36" s="246">
        <v>1</v>
      </c>
      <c r="B36" s="54" t="s">
        <v>75</v>
      </c>
      <c r="C36" s="60">
        <f>'2022年'!C36</f>
        <v>102.32037519786874</v>
      </c>
      <c r="D36" s="60">
        <f>'2022年'!D36</f>
        <v>21.363594821533034</v>
      </c>
      <c r="E36" s="60">
        <f>'2022年'!E36</f>
        <v>57.344386099904455</v>
      </c>
      <c r="F36" s="60">
        <f>'2022年'!F36</f>
        <v>21.363594821533034</v>
      </c>
      <c r="G36" s="64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54" t="s">
        <v>75</v>
      </c>
      <c r="AH36" s="54" t="s">
        <v>71</v>
      </c>
      <c r="AI36" s="54" t="s">
        <v>75</v>
      </c>
    </row>
    <row r="37" spans="1:35">
      <c r="A37" s="246">
        <v>2</v>
      </c>
      <c r="B37" s="54" t="s">
        <v>76</v>
      </c>
      <c r="C37" s="60">
        <f>'2022年'!C37</f>
        <v>27.438301073959419</v>
      </c>
      <c r="D37" s="60">
        <f>'2022年'!D37</f>
        <v>5.7288760484091101</v>
      </c>
      <c r="E37" s="60">
        <f>'2022年'!E37</f>
        <v>15.377509393098137</v>
      </c>
      <c r="F37" s="60">
        <f>'2022年'!F37</f>
        <v>5.7288760484091101</v>
      </c>
      <c r="G37" s="64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54" t="s">
        <v>76</v>
      </c>
      <c r="AH37" s="54" t="s">
        <v>26</v>
      </c>
      <c r="AI37" s="54" t="s">
        <v>76</v>
      </c>
    </row>
    <row r="38" spans="1:35">
      <c r="A38" s="246">
        <v>3</v>
      </c>
      <c r="B38" s="54" t="s">
        <v>77</v>
      </c>
      <c r="C38" s="60">
        <f>'2022年'!C38</f>
        <v>72.799999999999983</v>
      </c>
      <c r="D38" s="60">
        <f>'2022年'!D38</f>
        <v>15.199999999999998</v>
      </c>
      <c r="E38" s="60">
        <f>'2022年'!E38</f>
        <v>40.799999999999997</v>
      </c>
      <c r="F38" s="60">
        <f>'2022年'!F38</f>
        <v>15.199999999999998</v>
      </c>
      <c r="G38" s="64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54" t="s">
        <v>77</v>
      </c>
      <c r="AH38" s="54" t="s">
        <v>32</v>
      </c>
      <c r="AI38" s="54" t="s">
        <v>77</v>
      </c>
    </row>
    <row r="39" spans="1:35">
      <c r="A39" s="54" t="s">
        <v>74</v>
      </c>
      <c r="B39" s="57" t="s">
        <v>79</v>
      </c>
      <c r="C39" s="61"/>
      <c r="D39" s="61"/>
      <c r="E39" s="61"/>
      <c r="F39" s="61"/>
      <c r="G39" s="61"/>
      <c r="R39" s="57" t="s">
        <v>79</v>
      </c>
      <c r="AH39" s="54" t="s">
        <v>78</v>
      </c>
      <c r="AI39" s="57" t="s">
        <v>79</v>
      </c>
    </row>
    <row r="40" spans="1:35">
      <c r="A40" s="246">
        <v>1</v>
      </c>
      <c r="B40" s="54" t="s">
        <v>81</v>
      </c>
      <c r="C40" s="61">
        <f>C34-C36-C37-C38</f>
        <v>320.45664517327202</v>
      </c>
      <c r="D40" s="61">
        <f t="shared" ref="D40:F40" si="28">D34-D36-D37-D38</f>
        <v>18.57758863844365</v>
      </c>
      <c r="E40" s="61">
        <f t="shared" si="28"/>
        <v>205.30952618609751</v>
      </c>
      <c r="F40" s="61">
        <f t="shared" si="28"/>
        <v>57.001429038443554</v>
      </c>
      <c r="G40" s="61"/>
      <c r="R40" s="54" t="s">
        <v>81</v>
      </c>
      <c r="AH40" s="54" t="s">
        <v>21</v>
      </c>
      <c r="AI40" s="54" t="s">
        <v>81</v>
      </c>
    </row>
    <row r="41" spans="1:35">
      <c r="A41" s="246">
        <v>2</v>
      </c>
      <c r="B41" s="54" t="s">
        <v>82</v>
      </c>
      <c r="C41" s="61"/>
      <c r="D41" s="61"/>
      <c r="E41" s="61"/>
      <c r="F41" s="61"/>
      <c r="G41" s="61"/>
      <c r="R41" s="54" t="s">
        <v>82</v>
      </c>
      <c r="AH41" s="54" t="s">
        <v>23</v>
      </c>
      <c r="AI41" s="54" t="s">
        <v>82</v>
      </c>
    </row>
    <row r="42" spans="1:35">
      <c r="A42" s="54" t="s">
        <v>78</v>
      </c>
      <c r="B42" s="57" t="s">
        <v>84</v>
      </c>
      <c r="C42" s="61"/>
      <c r="D42" s="61"/>
      <c r="E42" s="61"/>
      <c r="F42" s="61"/>
      <c r="G42" s="61"/>
      <c r="R42" s="57" t="s">
        <v>84</v>
      </c>
      <c r="AH42" s="54" t="s">
        <v>83</v>
      </c>
      <c r="AI42" s="57" t="s">
        <v>84</v>
      </c>
    </row>
    <row r="43" spans="1:35">
      <c r="A43" s="246">
        <v>1</v>
      </c>
      <c r="B43" s="62" t="s">
        <v>85</v>
      </c>
      <c r="C43" s="60">
        <f>'2022年'!C43</f>
        <v>81.899999999999991</v>
      </c>
      <c r="D43" s="60">
        <f>'2022年'!D43</f>
        <v>17.099999999999998</v>
      </c>
      <c r="E43" s="60">
        <f>'2022年'!E43</f>
        <v>45.9</v>
      </c>
      <c r="F43" s="60">
        <f>'2022年'!F43</f>
        <v>17.099999999999998</v>
      </c>
      <c r="G43" s="61"/>
      <c r="R43" s="54" t="s">
        <v>85</v>
      </c>
      <c r="AH43" s="54" t="s">
        <v>21</v>
      </c>
      <c r="AI43" s="54" t="s">
        <v>85</v>
      </c>
    </row>
    <row r="44" spans="1:35">
      <c r="A44" s="246">
        <v>2</v>
      </c>
      <c r="B44" s="62" t="s">
        <v>86</v>
      </c>
      <c r="C44" s="60">
        <f>'2022年'!C44</f>
        <v>12.74</v>
      </c>
      <c r="D44" s="60">
        <f>'2022年'!D44</f>
        <v>2.66</v>
      </c>
      <c r="E44" s="60">
        <f>'2022年'!E44</f>
        <v>7.1400000000000006</v>
      </c>
      <c r="F44" s="60">
        <f>'2022年'!F44</f>
        <v>2.66</v>
      </c>
      <c r="G44" s="61"/>
      <c r="R44" s="54" t="s">
        <v>86</v>
      </c>
      <c r="AH44" s="54" t="s">
        <v>23</v>
      </c>
      <c r="AI44" s="54" t="s">
        <v>86</v>
      </c>
    </row>
    <row r="45" spans="1:35">
      <c r="A45" s="246">
        <v>3</v>
      </c>
      <c r="B45" s="62" t="s">
        <v>87</v>
      </c>
      <c r="C45" s="60">
        <f>'2022年'!C45</f>
        <v>54.6</v>
      </c>
      <c r="D45" s="60">
        <f>'2022年'!D45</f>
        <v>11.4</v>
      </c>
      <c r="E45" s="60">
        <f>'2022年'!E45</f>
        <v>30.599999999999998</v>
      </c>
      <c r="F45" s="60">
        <f>'2022年'!F45</f>
        <v>11.4</v>
      </c>
      <c r="G45" s="61"/>
      <c r="R45" s="54" t="s">
        <v>87</v>
      </c>
      <c r="AH45" s="54" t="s">
        <v>71</v>
      </c>
      <c r="AI45" s="54" t="s">
        <v>87</v>
      </c>
    </row>
    <row r="46" spans="1:35" s="49" customFormat="1">
      <c r="A46" s="246">
        <v>4</v>
      </c>
      <c r="B46" s="62" t="s">
        <v>88</v>
      </c>
      <c r="C46" s="66">
        <f>C21/C6</f>
        <v>2.7916666666666665</v>
      </c>
      <c r="D46" s="66">
        <f t="shared" ref="D46:F46" si="29">D21/D6</f>
        <v>2.7916666666666665</v>
      </c>
      <c r="E46" s="66">
        <f t="shared" si="29"/>
        <v>2.7916666666666665</v>
      </c>
      <c r="F46" s="66">
        <f t="shared" si="29"/>
        <v>2.7916666666666665</v>
      </c>
      <c r="G46" s="66"/>
      <c r="R46" s="62" t="s">
        <v>90</v>
      </c>
      <c r="AH46" s="62" t="s">
        <v>29</v>
      </c>
      <c r="AI46" s="62" t="s">
        <v>90</v>
      </c>
    </row>
    <row r="47" spans="1:35" s="49" customFormat="1">
      <c r="A47" s="246">
        <v>5</v>
      </c>
      <c r="B47" s="62" t="s">
        <v>90</v>
      </c>
      <c r="C47" s="66">
        <f>'2022年'!C47</f>
        <v>72.8</v>
      </c>
      <c r="D47" s="66">
        <f>'2022年'!D47</f>
        <v>15.200000000000001</v>
      </c>
      <c r="E47" s="66">
        <f>'2022年'!E47</f>
        <v>40.800000000000004</v>
      </c>
      <c r="F47" s="66">
        <f>'2022年'!F47</f>
        <v>15.200000000000001</v>
      </c>
      <c r="G47" s="66"/>
      <c r="R47" s="62" t="s">
        <v>90</v>
      </c>
      <c r="AH47" s="62" t="s">
        <v>29</v>
      </c>
      <c r="AI47" s="62" t="s">
        <v>90</v>
      </c>
    </row>
    <row r="48" spans="1:35">
      <c r="A48" s="54" t="s">
        <v>83</v>
      </c>
      <c r="B48" s="57" t="s">
        <v>101</v>
      </c>
      <c r="C48" s="61">
        <f>C40-C43-C44-C45-C47-C46</f>
        <v>95.624978506605373</v>
      </c>
      <c r="D48" s="61">
        <f t="shared" ref="D48:F48" si="30">D40-D43-D44-D45-D47-D46</f>
        <v>-30.574078028223017</v>
      </c>
      <c r="E48" s="61">
        <f t="shared" si="30"/>
        <v>78.077859519430817</v>
      </c>
      <c r="F48" s="61">
        <f t="shared" si="30"/>
        <v>7.8497623717768903</v>
      </c>
      <c r="G48" s="61"/>
      <c r="R48" s="57" t="s">
        <v>101</v>
      </c>
      <c r="AH48" s="54" t="s">
        <v>100</v>
      </c>
      <c r="AI48" s="57" t="s">
        <v>101</v>
      </c>
    </row>
    <row r="51" spans="2:12">
      <c r="C51" s="67"/>
      <c r="D51" s="67"/>
      <c r="E51" s="67"/>
      <c r="F51" s="67"/>
    </row>
    <row r="54" spans="2:12">
      <c r="B54" s="68"/>
      <c r="C54" s="69"/>
      <c r="D54" s="69"/>
      <c r="E54" s="69"/>
      <c r="F54" s="69"/>
      <c r="G54" s="69"/>
      <c r="H54" s="68"/>
      <c r="I54" s="68"/>
      <c r="J54" s="68"/>
      <c r="K54" s="68"/>
      <c r="L54" s="68"/>
    </row>
    <row r="55" spans="2:12">
      <c r="B55" s="68"/>
      <c r="C55" s="69"/>
      <c r="D55" s="69"/>
      <c r="E55" s="69"/>
      <c r="F55" s="69"/>
      <c r="G55" s="69"/>
      <c r="H55" s="68"/>
      <c r="I55" s="68"/>
      <c r="J55" s="68"/>
      <c r="K55" s="68"/>
      <c r="L55" s="68"/>
    </row>
    <row r="56" spans="2:12">
      <c r="B56" s="68"/>
      <c r="C56" s="69"/>
      <c r="D56" s="69"/>
      <c r="E56" s="69"/>
      <c r="F56" s="69"/>
      <c r="G56" s="69"/>
      <c r="H56" s="68"/>
      <c r="I56" s="68"/>
      <c r="J56" s="68"/>
      <c r="K56" s="68"/>
      <c r="L56" s="68"/>
    </row>
    <row r="57" spans="2:12">
      <c r="B57" s="68"/>
      <c r="C57" s="69"/>
      <c r="D57" s="69"/>
      <c r="E57" s="69"/>
      <c r="F57" s="69"/>
      <c r="G57" s="69"/>
      <c r="H57" s="68"/>
      <c r="I57" s="68"/>
      <c r="J57" s="68"/>
      <c r="K57" s="68"/>
      <c r="L57" s="68"/>
    </row>
    <row r="58" spans="2:12">
      <c r="B58" s="68"/>
      <c r="C58" s="69"/>
      <c r="D58" s="69"/>
      <c r="E58" s="69"/>
      <c r="F58" s="69"/>
      <c r="G58" s="69"/>
      <c r="H58" s="68"/>
      <c r="I58" s="68"/>
      <c r="J58" s="68"/>
      <c r="K58" s="68"/>
      <c r="L58" s="68"/>
    </row>
    <row r="59" spans="2:12">
      <c r="B59" s="68"/>
      <c r="C59" s="69"/>
      <c r="D59" s="69"/>
      <c r="E59" s="69"/>
      <c r="F59" s="69"/>
      <c r="G59" s="69"/>
      <c r="H59" s="68"/>
      <c r="I59" s="68"/>
      <c r="J59" s="68"/>
      <c r="K59" s="68"/>
      <c r="L59" s="68"/>
    </row>
    <row r="60" spans="2:12">
      <c r="B60" s="68"/>
      <c r="C60" s="69"/>
      <c r="D60" s="69"/>
      <c r="E60" s="69"/>
      <c r="F60" s="69"/>
      <c r="G60" s="69"/>
      <c r="H60" s="68"/>
      <c r="I60" s="68"/>
      <c r="J60" s="68"/>
      <c r="K60" s="68"/>
      <c r="L60" s="68"/>
    </row>
    <row r="61" spans="2:12">
      <c r="B61" s="68"/>
      <c r="C61" s="69"/>
      <c r="D61" s="69"/>
      <c r="E61" s="69"/>
      <c r="F61" s="69"/>
      <c r="G61" s="69"/>
      <c r="H61" s="68"/>
      <c r="I61" s="68"/>
      <c r="J61" s="68"/>
      <c r="K61" s="68"/>
      <c r="L61" s="68"/>
    </row>
    <row r="62" spans="2:12">
      <c r="B62" s="68"/>
      <c r="C62" s="69"/>
      <c r="D62" s="69"/>
      <c r="E62" s="69"/>
      <c r="F62" s="69"/>
      <c r="G62" s="69"/>
      <c r="H62" s="68"/>
      <c r="I62" s="68"/>
      <c r="J62" s="68"/>
      <c r="K62" s="68"/>
      <c r="L62" s="68"/>
    </row>
    <row r="63" spans="2:12">
      <c r="B63" s="68"/>
      <c r="C63" s="69"/>
      <c r="D63" s="69"/>
      <c r="E63" s="69"/>
      <c r="F63" s="69"/>
      <c r="G63" s="69"/>
      <c r="H63" s="68"/>
      <c r="I63" s="68"/>
      <c r="J63" s="68"/>
      <c r="K63" s="68"/>
      <c r="L63" s="68"/>
    </row>
    <row r="64" spans="2:12">
      <c r="B64" s="68"/>
      <c r="C64" s="69"/>
      <c r="D64" s="69"/>
      <c r="E64" s="69"/>
      <c r="F64" s="69"/>
      <c r="G64" s="69"/>
      <c r="H64" s="68"/>
      <c r="I64" s="68"/>
      <c r="J64" s="68"/>
      <c r="K64" s="68"/>
      <c r="L64" s="68"/>
    </row>
    <row r="65" spans="2:12">
      <c r="B65" s="68"/>
      <c r="C65" s="69"/>
      <c r="D65" s="69"/>
      <c r="E65" s="69"/>
      <c r="F65" s="69"/>
      <c r="G65" s="69"/>
      <c r="H65" s="68"/>
      <c r="I65" s="68"/>
      <c r="J65" s="68"/>
      <c r="K65" s="68"/>
      <c r="L65" s="68"/>
    </row>
    <row r="66" spans="2:12">
      <c r="B66" s="68"/>
      <c r="C66" s="69"/>
      <c r="D66" s="69"/>
      <c r="E66" s="69"/>
      <c r="F66" s="69"/>
      <c r="G66" s="69"/>
      <c r="H66" s="68"/>
      <c r="I66" s="68"/>
      <c r="J66" s="68"/>
      <c r="K66" s="68"/>
      <c r="L66" s="68"/>
    </row>
    <row r="67" spans="2:12">
      <c r="B67" s="68"/>
      <c r="C67" s="69"/>
      <c r="D67" s="69"/>
      <c r="E67" s="69"/>
      <c r="F67" s="69"/>
      <c r="G67" s="69"/>
      <c r="H67" s="68"/>
    </row>
    <row r="68" spans="2:12">
      <c r="B68" s="68"/>
      <c r="C68" s="69"/>
      <c r="D68" s="69"/>
      <c r="E68" s="69"/>
      <c r="F68" s="69"/>
      <c r="G68" s="69"/>
      <c r="H68" s="68"/>
    </row>
    <row r="69" spans="2:12">
      <c r="B69" s="68"/>
      <c r="C69" s="69"/>
      <c r="D69" s="69"/>
      <c r="E69" s="69"/>
      <c r="F69" s="69"/>
      <c r="G69" s="69"/>
      <c r="H69" s="68"/>
    </row>
    <row r="70" spans="2:12">
      <c r="B70" s="68"/>
      <c r="C70" s="69"/>
      <c r="D70" s="69"/>
      <c r="E70" s="69"/>
      <c r="F70" s="69"/>
      <c r="G70" s="69"/>
      <c r="H70" s="68"/>
    </row>
    <row r="71" spans="2:12">
      <c r="B71" s="68"/>
      <c r="C71" s="69"/>
      <c r="D71" s="69"/>
      <c r="E71" s="69"/>
      <c r="F71" s="69"/>
      <c r="G71" s="69"/>
      <c r="H71" s="68"/>
    </row>
    <row r="72" spans="2:12">
      <c r="B72" s="68"/>
      <c r="C72" s="69"/>
      <c r="D72" s="69"/>
      <c r="E72" s="69"/>
      <c r="F72" s="69"/>
      <c r="G72" s="69"/>
      <c r="H72" s="68"/>
    </row>
    <row r="73" spans="2:12">
      <c r="B73" s="68"/>
      <c r="C73" s="69"/>
      <c r="D73" s="69"/>
      <c r="E73" s="69"/>
      <c r="F73" s="69"/>
      <c r="G73" s="69"/>
      <c r="H73" s="68"/>
    </row>
    <row r="74" spans="2:12">
      <c r="B74" s="68"/>
      <c r="C74" s="69"/>
      <c r="D74" s="69"/>
      <c r="E74" s="69"/>
      <c r="F74" s="69"/>
      <c r="G74" s="69"/>
      <c r="H74" s="68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pane xSplit="6" ySplit="2" topLeftCell="G3" activePane="bottomRight" state="frozen"/>
      <selection pane="topRight"/>
      <selection pane="bottomLeft"/>
      <selection pane="bottomRight" activeCell="C20" sqref="C20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14.875" customWidth="1"/>
    <col min="9" max="9" width="24.75" customWidth="1"/>
    <col min="10" max="10" width="14.125" customWidth="1"/>
    <col min="12" max="12" width="12" customWidth="1"/>
  </cols>
  <sheetData>
    <row r="1" spans="1:13" ht="20.25">
      <c r="A1" s="308" t="s">
        <v>151</v>
      </c>
      <c r="B1" s="308"/>
      <c r="C1" s="308"/>
      <c r="E1" s="309" t="s">
        <v>311</v>
      </c>
      <c r="F1" s="310"/>
      <c r="G1" s="310"/>
      <c r="H1" s="311"/>
      <c r="J1" s="305"/>
      <c r="K1" s="305"/>
      <c r="L1" s="305"/>
      <c r="M1" s="305"/>
    </row>
    <row r="2" spans="1:13" ht="23.45" customHeight="1">
      <c r="A2" s="28" t="s">
        <v>1</v>
      </c>
      <c r="B2" s="29" t="s">
        <v>152</v>
      </c>
      <c r="C2" s="30" t="s">
        <v>153</v>
      </c>
      <c r="E2" s="1" t="s">
        <v>154</v>
      </c>
      <c r="F2" s="1" t="s">
        <v>1</v>
      </c>
      <c r="G2" s="31" t="s">
        <v>155</v>
      </c>
      <c r="H2" s="1" t="s">
        <v>153</v>
      </c>
      <c r="J2" s="234"/>
      <c r="K2" s="234"/>
      <c r="L2" s="235"/>
      <c r="M2" s="236"/>
    </row>
    <row r="3" spans="1:13" ht="15.75" customHeight="1">
      <c r="A3" s="32" t="s">
        <v>156</v>
      </c>
      <c r="B3" s="33"/>
      <c r="C3" s="34"/>
      <c r="E3" s="316" t="s">
        <v>157</v>
      </c>
      <c r="F3" s="2" t="s">
        <v>158</v>
      </c>
      <c r="G3" s="35"/>
      <c r="H3" s="2"/>
      <c r="J3" s="306"/>
      <c r="K3" s="237"/>
      <c r="L3" s="238"/>
      <c r="M3" s="237"/>
    </row>
    <row r="4" spans="1:13" ht="15.75" customHeight="1">
      <c r="A4" s="32" t="s">
        <v>159</v>
      </c>
      <c r="B4" s="33"/>
      <c r="C4" s="36"/>
      <c r="E4" s="317"/>
      <c r="F4" s="2" t="s">
        <v>160</v>
      </c>
      <c r="G4" s="35"/>
      <c r="H4" s="2"/>
      <c r="J4" s="306"/>
      <c r="K4" s="237"/>
      <c r="L4" s="238"/>
      <c r="M4" s="237"/>
    </row>
    <row r="5" spans="1:13" ht="15.75" customHeight="1">
      <c r="A5" s="32" t="s">
        <v>161</v>
      </c>
      <c r="B5" s="37">
        <f>SUM(G3:G4)</f>
        <v>0</v>
      </c>
      <c r="C5" s="34"/>
      <c r="E5" s="318" t="s">
        <v>162</v>
      </c>
      <c r="F5" s="38" t="s">
        <v>163</v>
      </c>
      <c r="G5" s="178">
        <v>40</v>
      </c>
      <c r="H5" s="193"/>
      <c r="J5" s="307"/>
      <c r="K5" s="239"/>
      <c r="L5" s="240"/>
      <c r="M5" s="239"/>
    </row>
    <row r="6" spans="1:13" ht="15.75" customHeight="1">
      <c r="A6" s="32" t="s">
        <v>164</v>
      </c>
      <c r="B6" s="33"/>
      <c r="C6" s="34"/>
      <c r="E6" s="319"/>
      <c r="F6" s="38" t="s">
        <v>165</v>
      </c>
      <c r="G6" s="178">
        <v>20.5</v>
      </c>
      <c r="H6" s="178"/>
      <c r="I6" s="233"/>
      <c r="J6" s="307"/>
      <c r="K6" s="239"/>
      <c r="L6" s="240"/>
      <c r="M6" s="237"/>
    </row>
    <row r="7" spans="1:13" ht="15.75" customHeight="1">
      <c r="A7" s="39" t="s">
        <v>166</v>
      </c>
      <c r="B7" s="37">
        <f>SUM(B3:B6)</f>
        <v>0</v>
      </c>
      <c r="C7" s="34"/>
      <c r="E7" s="319"/>
      <c r="F7" s="38" t="s">
        <v>167</v>
      </c>
      <c r="G7" s="178">
        <v>18</v>
      </c>
      <c r="H7" s="193"/>
      <c r="J7" s="307"/>
      <c r="K7" s="239"/>
      <c r="L7" s="240"/>
      <c r="M7" s="237"/>
    </row>
    <row r="8" spans="1:13" ht="15.75" customHeight="1">
      <c r="A8" s="40" t="s">
        <v>168</v>
      </c>
      <c r="B8" s="37">
        <f>SUM(G5:G12)</f>
        <v>113.69999999999999</v>
      </c>
      <c r="C8" s="41"/>
      <c r="E8" s="319"/>
      <c r="F8" s="38" t="s">
        <v>169</v>
      </c>
      <c r="G8" s="178"/>
      <c r="H8" s="2"/>
      <c r="J8" s="307"/>
      <c r="K8" s="239"/>
      <c r="L8" s="240"/>
      <c r="M8" s="237"/>
    </row>
    <row r="9" spans="1:13" ht="15.75" customHeight="1">
      <c r="A9" s="32" t="s">
        <v>170</v>
      </c>
      <c r="B9" s="37">
        <f>SUM(G13:G21)</f>
        <v>83.75</v>
      </c>
      <c r="C9" s="34"/>
      <c r="E9" s="319"/>
      <c r="F9" s="2" t="s">
        <v>171</v>
      </c>
      <c r="G9" s="178"/>
      <c r="H9" s="163"/>
      <c r="J9" s="307"/>
      <c r="K9" s="237"/>
      <c r="L9" s="240"/>
      <c r="M9" s="241"/>
    </row>
    <row r="10" spans="1:13" ht="15.75" customHeight="1">
      <c r="A10" s="36" t="s">
        <v>17</v>
      </c>
      <c r="B10" s="37">
        <f>B7+B8+B9</f>
        <v>197.45</v>
      </c>
      <c r="C10" s="34"/>
      <c r="E10" s="319"/>
      <c r="F10" s="2" t="s">
        <v>172</v>
      </c>
      <c r="G10" s="179">
        <v>3.6</v>
      </c>
      <c r="H10" s="2"/>
      <c r="J10" s="307"/>
      <c r="K10" s="237"/>
      <c r="L10" s="242"/>
      <c r="M10" s="237"/>
    </row>
    <row r="11" spans="1:13" ht="15.75" customHeight="1">
      <c r="E11" s="319"/>
      <c r="F11" s="2" t="s">
        <v>173</v>
      </c>
      <c r="G11" s="179">
        <v>31.6</v>
      </c>
      <c r="H11" s="2"/>
      <c r="J11" s="307"/>
      <c r="K11" s="237"/>
      <c r="L11" s="242"/>
      <c r="M11" s="237"/>
    </row>
    <row r="12" spans="1:13" ht="15.75" customHeight="1">
      <c r="E12" s="320"/>
      <c r="F12" s="2" t="s">
        <v>174</v>
      </c>
      <c r="G12" s="178"/>
      <c r="H12" s="163"/>
      <c r="J12" s="307"/>
      <c r="K12" s="237"/>
      <c r="L12" s="240"/>
      <c r="M12" s="241"/>
    </row>
    <row r="13" spans="1:13" ht="15.75" customHeight="1">
      <c r="E13" s="316" t="s">
        <v>49</v>
      </c>
      <c r="F13" s="2" t="s">
        <v>175</v>
      </c>
      <c r="G13" s="178">
        <v>49.05</v>
      </c>
      <c r="H13" s="42"/>
      <c r="J13" s="306"/>
      <c r="K13" s="237"/>
      <c r="L13" s="240"/>
      <c r="M13" s="243"/>
    </row>
    <row r="14" spans="1:13" ht="15.75" customHeight="1">
      <c r="E14" s="317"/>
      <c r="F14" s="2" t="s">
        <v>176</v>
      </c>
      <c r="G14" s="178">
        <v>6.5</v>
      </c>
      <c r="H14" s="2"/>
      <c r="J14" s="306"/>
      <c r="K14" s="237"/>
      <c r="L14" s="240"/>
      <c r="M14" s="237"/>
    </row>
    <row r="15" spans="1:13" ht="15.75" customHeight="1">
      <c r="E15" s="317"/>
      <c r="F15" s="2" t="s">
        <v>177</v>
      </c>
      <c r="G15" s="178"/>
      <c r="H15" s="2"/>
      <c r="J15" s="306"/>
      <c r="K15" s="237"/>
      <c r="L15" s="240"/>
      <c r="M15" s="237"/>
    </row>
    <row r="16" spans="1:13" ht="15.75" customHeight="1">
      <c r="E16" s="317"/>
      <c r="F16" s="2" t="s">
        <v>178</v>
      </c>
      <c r="G16" s="178">
        <v>4.2</v>
      </c>
      <c r="H16" s="2"/>
      <c r="J16" s="306"/>
      <c r="K16" s="237"/>
      <c r="L16" s="240"/>
      <c r="M16" s="237"/>
    </row>
    <row r="17" spans="1:13" ht="15.75" customHeight="1">
      <c r="E17" s="317"/>
      <c r="F17" s="2" t="s">
        <v>179</v>
      </c>
      <c r="G17" s="178">
        <v>3.6</v>
      </c>
      <c r="H17" s="194"/>
      <c r="J17" s="306"/>
      <c r="K17" s="237"/>
      <c r="L17" s="240"/>
      <c r="M17" s="237"/>
    </row>
    <row r="18" spans="1:13" ht="15.75" customHeight="1">
      <c r="E18" s="317"/>
      <c r="F18" s="2" t="s">
        <v>180</v>
      </c>
      <c r="G18" s="178">
        <v>6</v>
      </c>
      <c r="H18" s="2"/>
      <c r="J18" s="306"/>
      <c r="K18" s="237"/>
      <c r="L18" s="240"/>
      <c r="M18" s="237"/>
    </row>
    <row r="19" spans="1:13" ht="15.75" customHeight="1">
      <c r="E19" s="317"/>
      <c r="F19" s="2" t="s">
        <v>181</v>
      </c>
      <c r="G19" s="178">
        <v>14.4</v>
      </c>
      <c r="H19" s="2"/>
      <c r="J19" s="306"/>
      <c r="K19" s="237"/>
      <c r="L19" s="244"/>
      <c r="M19" s="237"/>
    </row>
    <row r="20" spans="1:13" ht="15.75" customHeight="1">
      <c r="E20" s="317"/>
      <c r="F20" s="2" t="s">
        <v>182</v>
      </c>
      <c r="G20" s="178"/>
      <c r="H20" s="2"/>
      <c r="J20" s="306"/>
      <c r="K20" s="237"/>
      <c r="L20" s="238"/>
      <c r="M20" s="237"/>
    </row>
    <row r="21" spans="1:13" ht="15.75" customHeight="1">
      <c r="E21" s="321"/>
      <c r="F21" s="2" t="s">
        <v>129</v>
      </c>
      <c r="G21" s="178"/>
      <c r="H21" s="2"/>
      <c r="J21" s="306"/>
      <c r="K21" s="237"/>
      <c r="L21" s="238"/>
      <c r="M21" s="237"/>
    </row>
    <row r="22" spans="1:13" ht="15.75" customHeight="1">
      <c r="E22" s="1" t="s">
        <v>17</v>
      </c>
      <c r="F22" s="2"/>
      <c r="G22" s="31">
        <f>SUM(G3:G21)</f>
        <v>197.45</v>
      </c>
      <c r="H22" s="2"/>
      <c r="J22" s="306"/>
      <c r="K22" s="237"/>
      <c r="L22" s="245"/>
      <c r="M22" s="237"/>
    </row>
    <row r="23" spans="1:13" ht="30.75" customHeight="1">
      <c r="E23" s="312" t="s">
        <v>183</v>
      </c>
      <c r="F23" s="312"/>
      <c r="G23" s="312"/>
      <c r="H23" s="312"/>
    </row>
    <row r="25" spans="1:13" ht="17.25">
      <c r="A25" s="19" t="s">
        <v>1</v>
      </c>
      <c r="B25" s="19" t="s">
        <v>152</v>
      </c>
      <c r="C25" s="19" t="s">
        <v>184</v>
      </c>
      <c r="D25" s="180" t="s">
        <v>16</v>
      </c>
      <c r="E25" s="180" t="s">
        <v>185</v>
      </c>
      <c r="F25" s="180" t="s">
        <v>186</v>
      </c>
      <c r="G25" s="180" t="s">
        <v>187</v>
      </c>
      <c r="H25" s="180" t="s">
        <v>237</v>
      </c>
      <c r="I25" s="22" t="s">
        <v>17</v>
      </c>
      <c r="J25" s="46" t="s">
        <v>188</v>
      </c>
    </row>
    <row r="26" spans="1:13" ht="16.5">
      <c r="A26" s="43" t="s">
        <v>147</v>
      </c>
      <c r="B26" s="44">
        <f>(B5+B8)*10000</f>
        <v>1137000</v>
      </c>
      <c r="C26" s="45">
        <v>0.05</v>
      </c>
      <c r="D26" s="13">
        <f>B26*(1-C26)/5</f>
        <v>216030</v>
      </c>
      <c r="E26" s="13">
        <f t="shared" ref="E26:F27" si="0">D26</f>
        <v>216030</v>
      </c>
      <c r="F26" s="13">
        <f t="shared" si="0"/>
        <v>216030</v>
      </c>
      <c r="G26" s="13">
        <f>F26</f>
        <v>216030</v>
      </c>
      <c r="H26" s="13">
        <f>G26</f>
        <v>216030</v>
      </c>
      <c r="I26" s="13">
        <f>SUM(D26:H26)</f>
        <v>1080150</v>
      </c>
      <c r="J26" s="13">
        <f>B26*0.05</f>
        <v>56850</v>
      </c>
    </row>
    <row r="27" spans="1:13" ht="16.5">
      <c r="A27" s="43" t="s">
        <v>189</v>
      </c>
      <c r="B27" s="44">
        <f>B9*10000</f>
        <v>837500</v>
      </c>
      <c r="C27" s="13"/>
      <c r="D27" s="13">
        <f>B27/5</f>
        <v>167500</v>
      </c>
      <c r="E27" s="13">
        <f t="shared" si="0"/>
        <v>167500</v>
      </c>
      <c r="F27" s="13">
        <f t="shared" si="0"/>
        <v>167500</v>
      </c>
      <c r="G27" s="13">
        <f>F27</f>
        <v>167500</v>
      </c>
      <c r="H27" s="13">
        <f>G27</f>
        <v>167500</v>
      </c>
      <c r="I27" s="13">
        <f>SUM(D27:H27)</f>
        <v>837500</v>
      </c>
      <c r="J27" s="13"/>
    </row>
    <row r="28" spans="1:13" ht="16.5">
      <c r="A28" s="313" t="s">
        <v>109</v>
      </c>
      <c r="B28" s="314"/>
      <c r="C28" s="315"/>
      <c r="D28" s="13">
        <f>SUM(D26:D27)</f>
        <v>383530</v>
      </c>
      <c r="E28" s="13">
        <f t="shared" ref="E28:H28" si="1">SUM(E26:E27)</f>
        <v>383530</v>
      </c>
      <c r="F28" s="13">
        <f t="shared" si="1"/>
        <v>383530</v>
      </c>
      <c r="G28" s="13">
        <f t="shared" si="1"/>
        <v>383530</v>
      </c>
      <c r="H28" s="13">
        <f t="shared" si="1"/>
        <v>383530</v>
      </c>
      <c r="I28" s="47"/>
      <c r="J28" s="47"/>
    </row>
    <row r="35" spans="1:13" ht="15" customHeight="1" thickBot="1">
      <c r="A35" s="291" t="s">
        <v>286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</row>
    <row r="36" spans="1:13" ht="14.25" customHeight="1">
      <c r="A36" s="292" t="s">
        <v>287</v>
      </c>
      <c r="B36" s="292" t="s">
        <v>288</v>
      </c>
      <c r="C36" s="294" t="s">
        <v>259</v>
      </c>
      <c r="D36" s="294" t="s">
        <v>203</v>
      </c>
      <c r="E36" s="296" t="s">
        <v>260</v>
      </c>
      <c r="F36" s="297"/>
      <c r="G36" s="297"/>
      <c r="H36" s="298"/>
      <c r="I36" s="296" t="s">
        <v>261</v>
      </c>
      <c r="J36" s="297"/>
      <c r="K36" s="298"/>
      <c r="L36" s="294" t="s">
        <v>289</v>
      </c>
      <c r="M36" s="300" t="s">
        <v>262</v>
      </c>
    </row>
    <row r="37" spans="1:13" ht="14.25" customHeight="1">
      <c r="A37" s="293"/>
      <c r="B37" s="293"/>
      <c r="C37" s="295"/>
      <c r="D37" s="295"/>
      <c r="E37" s="197" t="s">
        <v>263</v>
      </c>
      <c r="F37" s="303" t="s">
        <v>264</v>
      </c>
      <c r="G37" s="303" t="s">
        <v>265</v>
      </c>
      <c r="H37" s="303" t="s">
        <v>166</v>
      </c>
      <c r="I37" s="303" t="s">
        <v>266</v>
      </c>
      <c r="J37" s="303" t="s">
        <v>267</v>
      </c>
      <c r="K37" s="303" t="s">
        <v>166</v>
      </c>
      <c r="L37" s="295"/>
      <c r="M37" s="301"/>
    </row>
    <row r="38" spans="1:13" ht="14.25" customHeight="1">
      <c r="A38" s="293"/>
      <c r="B38" s="293"/>
      <c r="C38" s="295"/>
      <c r="D38" s="295"/>
      <c r="E38" s="198" t="s">
        <v>268</v>
      </c>
      <c r="F38" s="304"/>
      <c r="G38" s="304"/>
      <c r="H38" s="304"/>
      <c r="I38" s="304"/>
      <c r="J38" s="304"/>
      <c r="K38" s="304"/>
      <c r="L38" s="299"/>
      <c r="M38" s="302"/>
    </row>
    <row r="39" spans="1:13" ht="25.5">
      <c r="A39" s="322">
        <v>1</v>
      </c>
      <c r="B39" s="289" t="s">
        <v>290</v>
      </c>
      <c r="C39" s="199" t="s">
        <v>269</v>
      </c>
      <c r="D39" s="200" t="s">
        <v>270</v>
      </c>
      <c r="E39" s="200">
        <v>1200</v>
      </c>
      <c r="F39" s="200">
        <v>1</v>
      </c>
      <c r="G39" s="200">
        <v>90</v>
      </c>
      <c r="H39" s="201">
        <f>E39*F39*G39</f>
        <v>108000</v>
      </c>
      <c r="I39" s="202"/>
      <c r="J39" s="203"/>
      <c r="K39" s="203" t="s">
        <v>271</v>
      </c>
      <c r="L39" s="325">
        <f>H39+H40+H41+H42+H43+H44+H45+H46+H47+H48</f>
        <v>490500</v>
      </c>
      <c r="M39" s="204"/>
    </row>
    <row r="40" spans="1:13" ht="16.5">
      <c r="A40" s="322"/>
      <c r="B40" s="289"/>
      <c r="C40" s="199" t="s">
        <v>291</v>
      </c>
      <c r="D40" s="200" t="s">
        <v>272</v>
      </c>
      <c r="E40" s="200">
        <v>1200</v>
      </c>
      <c r="F40" s="200">
        <v>1</v>
      </c>
      <c r="G40" s="200">
        <v>90</v>
      </c>
      <c r="H40" s="201">
        <f t="shared" ref="H40:H48" si="2">E40*F40*G40</f>
        <v>108000</v>
      </c>
      <c r="I40" s="202"/>
      <c r="J40" s="203"/>
      <c r="K40" s="203"/>
      <c r="L40" s="326"/>
      <c r="M40" s="204"/>
    </row>
    <row r="41" spans="1:13" ht="16.5">
      <c r="A41" s="322"/>
      <c r="B41" s="289"/>
      <c r="C41" s="199" t="s">
        <v>273</v>
      </c>
      <c r="D41" s="200" t="s">
        <v>292</v>
      </c>
      <c r="E41" s="200">
        <v>1500</v>
      </c>
      <c r="F41" s="200">
        <v>1</v>
      </c>
      <c r="G41" s="200">
        <v>15</v>
      </c>
      <c r="H41" s="201">
        <f t="shared" si="2"/>
        <v>22500</v>
      </c>
      <c r="I41" s="202"/>
      <c r="J41" s="203"/>
      <c r="K41" s="203"/>
      <c r="L41" s="326"/>
      <c r="M41" s="204"/>
    </row>
    <row r="42" spans="1:13" ht="33">
      <c r="A42" s="322"/>
      <c r="B42" s="289"/>
      <c r="C42" s="288" t="s">
        <v>274</v>
      </c>
      <c r="D42" s="200" t="s">
        <v>275</v>
      </c>
      <c r="E42" s="200">
        <v>800</v>
      </c>
      <c r="F42" s="200">
        <v>1</v>
      </c>
      <c r="G42" s="200">
        <v>45</v>
      </c>
      <c r="H42" s="201">
        <f t="shared" si="2"/>
        <v>36000</v>
      </c>
      <c r="I42" s="203"/>
      <c r="J42" s="203"/>
      <c r="K42" s="203"/>
      <c r="L42" s="326"/>
      <c r="M42" s="204"/>
    </row>
    <row r="43" spans="1:13" ht="33">
      <c r="A43" s="322"/>
      <c r="B43" s="289"/>
      <c r="C43" s="290"/>
      <c r="D43" s="200" t="s">
        <v>276</v>
      </c>
      <c r="E43" s="200">
        <v>800</v>
      </c>
      <c r="F43" s="200">
        <v>1</v>
      </c>
      <c r="G43" s="200">
        <v>45</v>
      </c>
      <c r="H43" s="201">
        <f t="shared" si="2"/>
        <v>36000</v>
      </c>
      <c r="I43" s="203"/>
      <c r="J43" s="203"/>
      <c r="K43" s="203"/>
      <c r="L43" s="326"/>
      <c r="M43" s="204"/>
    </row>
    <row r="44" spans="1:13" ht="16.5" customHeight="1">
      <c r="A44" s="322"/>
      <c r="B44" s="289"/>
      <c r="C44" s="288" t="s">
        <v>277</v>
      </c>
      <c r="D44" s="200" t="s">
        <v>278</v>
      </c>
      <c r="E44" s="200">
        <v>800</v>
      </c>
      <c r="F44" s="200">
        <v>1</v>
      </c>
      <c r="G44" s="200">
        <v>60</v>
      </c>
      <c r="H44" s="201">
        <f t="shared" si="2"/>
        <v>48000</v>
      </c>
      <c r="I44" s="203"/>
      <c r="J44" s="203"/>
      <c r="K44" s="203"/>
      <c r="L44" s="326"/>
      <c r="M44" s="204"/>
    </row>
    <row r="45" spans="1:13" ht="16.5">
      <c r="A45" s="322"/>
      <c r="B45" s="289"/>
      <c r="C45" s="289"/>
      <c r="D45" s="200" t="s">
        <v>279</v>
      </c>
      <c r="E45" s="200">
        <v>800</v>
      </c>
      <c r="F45" s="200">
        <v>1</v>
      </c>
      <c r="G45" s="200">
        <v>60</v>
      </c>
      <c r="H45" s="201">
        <f t="shared" si="2"/>
        <v>48000</v>
      </c>
      <c r="I45" s="203"/>
      <c r="J45" s="203"/>
      <c r="K45" s="203"/>
      <c r="L45" s="326"/>
      <c r="M45" s="204"/>
    </row>
    <row r="46" spans="1:13" ht="16.5">
      <c r="A46" s="322"/>
      <c r="B46" s="289"/>
      <c r="C46" s="289"/>
      <c r="D46" s="200" t="s">
        <v>280</v>
      </c>
      <c r="E46" s="200">
        <v>800</v>
      </c>
      <c r="F46" s="200">
        <v>1</v>
      </c>
      <c r="G46" s="200">
        <v>45</v>
      </c>
      <c r="H46" s="201">
        <f t="shared" si="2"/>
        <v>36000</v>
      </c>
      <c r="I46" s="203"/>
      <c r="J46" s="203"/>
      <c r="K46" s="203"/>
      <c r="L46" s="326"/>
      <c r="M46" s="204"/>
    </row>
    <row r="47" spans="1:13" ht="16.5">
      <c r="A47" s="322"/>
      <c r="B47" s="289"/>
      <c r="C47" s="289"/>
      <c r="D47" s="200" t="s">
        <v>281</v>
      </c>
      <c r="E47" s="200">
        <v>800</v>
      </c>
      <c r="F47" s="200">
        <v>1</v>
      </c>
      <c r="G47" s="200">
        <v>30</v>
      </c>
      <c r="H47" s="201">
        <f t="shared" si="2"/>
        <v>24000</v>
      </c>
      <c r="I47" s="203"/>
      <c r="J47" s="203"/>
      <c r="K47" s="203"/>
      <c r="L47" s="326"/>
      <c r="M47" s="204"/>
    </row>
    <row r="48" spans="1:13" ht="16.5">
      <c r="A48" s="323"/>
      <c r="B48" s="324"/>
      <c r="C48" s="290"/>
      <c r="D48" s="200" t="s">
        <v>282</v>
      </c>
      <c r="E48" s="200">
        <v>800</v>
      </c>
      <c r="F48" s="200">
        <v>1</v>
      </c>
      <c r="G48" s="200">
        <v>30</v>
      </c>
      <c r="H48" s="201">
        <f t="shared" si="2"/>
        <v>24000</v>
      </c>
      <c r="I48" s="203"/>
      <c r="J48" s="203"/>
      <c r="K48" s="203"/>
      <c r="L48" s="326"/>
      <c r="M48" s="204"/>
    </row>
    <row r="49" spans="1:13" ht="16.5">
      <c r="A49" s="270">
        <v>2</v>
      </c>
      <c r="B49" s="276" t="s">
        <v>293</v>
      </c>
      <c r="C49" s="279" t="s">
        <v>294</v>
      </c>
      <c r="D49" s="205" t="s">
        <v>295</v>
      </c>
      <c r="E49" s="206"/>
      <c r="F49" s="207"/>
      <c r="G49" s="207"/>
      <c r="H49" s="207"/>
      <c r="I49" s="207"/>
      <c r="J49" s="207"/>
      <c r="K49" s="208">
        <v>180000</v>
      </c>
      <c r="L49" s="280">
        <f>SUM(K49:K54)</f>
        <v>1137000</v>
      </c>
      <c r="M49" s="209"/>
    </row>
    <row r="50" spans="1:13" ht="16.5">
      <c r="A50" s="270"/>
      <c r="B50" s="277"/>
      <c r="C50" s="279"/>
      <c r="D50" s="205" t="s">
        <v>296</v>
      </c>
      <c r="E50" s="206"/>
      <c r="F50" s="207"/>
      <c r="G50" s="207"/>
      <c r="H50" s="207"/>
      <c r="I50" s="207"/>
      <c r="J50" s="207"/>
      <c r="K50" s="208">
        <v>165000</v>
      </c>
      <c r="L50" s="281"/>
      <c r="M50" s="209"/>
    </row>
    <row r="51" spans="1:13" ht="16.5">
      <c r="A51" s="270"/>
      <c r="B51" s="277"/>
      <c r="C51" s="279"/>
      <c r="D51" s="205" t="s">
        <v>297</v>
      </c>
      <c r="E51" s="210"/>
      <c r="F51" s="211"/>
      <c r="G51" s="211"/>
      <c r="H51" s="212"/>
      <c r="I51" s="213"/>
      <c r="J51" s="213"/>
      <c r="K51" s="208">
        <v>205000</v>
      </c>
      <c r="L51" s="281"/>
      <c r="M51" s="214"/>
    </row>
    <row r="52" spans="1:13" ht="16.5">
      <c r="A52" s="270"/>
      <c r="B52" s="277"/>
      <c r="C52" s="279"/>
      <c r="D52" s="205" t="s">
        <v>298</v>
      </c>
      <c r="E52" s="210"/>
      <c r="F52" s="211"/>
      <c r="G52" s="211"/>
      <c r="H52" s="212"/>
      <c r="I52" s="213"/>
      <c r="J52" s="213"/>
      <c r="K52" s="208">
        <v>151000</v>
      </c>
      <c r="L52" s="281"/>
      <c r="M52" s="215"/>
    </row>
    <row r="53" spans="1:13" ht="49.5">
      <c r="A53" s="270"/>
      <c r="B53" s="277"/>
      <c r="C53" s="279"/>
      <c r="D53" s="205" t="s">
        <v>299</v>
      </c>
      <c r="E53" s="210"/>
      <c r="F53" s="211"/>
      <c r="G53" s="211"/>
      <c r="H53" s="212"/>
      <c r="I53" s="213"/>
      <c r="J53" s="213"/>
      <c r="K53" s="208">
        <v>400000</v>
      </c>
      <c r="L53" s="281"/>
      <c r="M53" s="216" t="s">
        <v>300</v>
      </c>
    </row>
    <row r="54" spans="1:13" ht="16.5">
      <c r="A54" s="270"/>
      <c r="B54" s="278"/>
      <c r="C54" s="279"/>
      <c r="D54" s="205" t="s">
        <v>301</v>
      </c>
      <c r="E54" s="217"/>
      <c r="F54" s="218"/>
      <c r="G54" s="218"/>
      <c r="H54" s="213"/>
      <c r="I54" s="213"/>
      <c r="J54" s="213"/>
      <c r="K54" s="208">
        <v>36000</v>
      </c>
      <c r="L54" s="281"/>
      <c r="M54" s="219"/>
    </row>
    <row r="55" spans="1:13" ht="33">
      <c r="A55" s="220">
        <v>3</v>
      </c>
      <c r="B55" s="282" t="s">
        <v>302</v>
      </c>
      <c r="C55" s="221" t="s">
        <v>303</v>
      </c>
      <c r="D55" s="222" t="s">
        <v>304</v>
      </c>
      <c r="E55" s="223"/>
      <c r="F55" s="224"/>
      <c r="G55" s="224"/>
      <c r="H55" s="225"/>
      <c r="I55" s="225"/>
      <c r="J55" s="225"/>
      <c r="K55" s="226">
        <v>60000</v>
      </c>
      <c r="L55" s="285">
        <f>SUM(K55:K61)</f>
        <v>347000</v>
      </c>
      <c r="M55" s="227"/>
    </row>
    <row r="56" spans="1:13" ht="33">
      <c r="A56" s="270">
        <v>4</v>
      </c>
      <c r="B56" s="283"/>
      <c r="C56" s="271" t="s">
        <v>305</v>
      </c>
      <c r="D56" s="222" t="s">
        <v>306</v>
      </c>
      <c r="E56" s="223"/>
      <c r="F56" s="224"/>
      <c r="G56" s="224"/>
      <c r="H56" s="225"/>
      <c r="I56" s="225"/>
      <c r="J56" s="225"/>
      <c r="K56" s="226">
        <v>72000</v>
      </c>
      <c r="L56" s="286"/>
      <c r="M56" s="228" t="s">
        <v>307</v>
      </c>
    </row>
    <row r="57" spans="1:13" ht="33">
      <c r="A57" s="270"/>
      <c r="B57" s="283"/>
      <c r="C57" s="271"/>
      <c r="D57" s="222" t="s">
        <v>308</v>
      </c>
      <c r="E57" s="229"/>
      <c r="F57" s="225"/>
      <c r="G57" s="225"/>
      <c r="H57" s="225"/>
      <c r="I57" s="224"/>
      <c r="J57" s="225"/>
      <c r="K57" s="226">
        <v>72000</v>
      </c>
      <c r="L57" s="286"/>
      <c r="M57" s="228" t="s">
        <v>307</v>
      </c>
    </row>
    <row r="58" spans="1:13" ht="16.5">
      <c r="A58" s="220">
        <v>5</v>
      </c>
      <c r="B58" s="283"/>
      <c r="C58" s="221" t="s">
        <v>309</v>
      </c>
      <c r="D58" s="222" t="s">
        <v>309</v>
      </c>
      <c r="E58" s="229"/>
      <c r="F58" s="225"/>
      <c r="G58" s="225"/>
      <c r="H58" s="225"/>
      <c r="I58" s="225"/>
      <c r="J58" s="225"/>
      <c r="K58" s="226">
        <v>36000</v>
      </c>
      <c r="L58" s="286"/>
      <c r="M58" s="227"/>
    </row>
    <row r="59" spans="1:13" ht="16.5">
      <c r="A59" s="270">
        <v>6</v>
      </c>
      <c r="B59" s="283"/>
      <c r="C59" s="271" t="s">
        <v>283</v>
      </c>
      <c r="D59" s="222" t="s">
        <v>176</v>
      </c>
      <c r="E59" s="229"/>
      <c r="F59" s="225"/>
      <c r="G59" s="225"/>
      <c r="H59" s="225"/>
      <c r="I59" s="225"/>
      <c r="J59" s="225"/>
      <c r="K59" s="226">
        <v>65000</v>
      </c>
      <c r="L59" s="286"/>
      <c r="M59" s="227"/>
    </row>
    <row r="60" spans="1:13" ht="16.5">
      <c r="A60" s="270"/>
      <c r="B60" s="283"/>
      <c r="C60" s="271"/>
      <c r="D60" s="222" t="s">
        <v>310</v>
      </c>
      <c r="E60" s="229"/>
      <c r="F60" s="225"/>
      <c r="G60" s="225"/>
      <c r="H60" s="225"/>
      <c r="I60" s="225"/>
      <c r="J60" s="225"/>
      <c r="K60" s="226">
        <v>32000</v>
      </c>
      <c r="L60" s="286"/>
      <c r="M60" s="230"/>
    </row>
    <row r="61" spans="1:13" ht="16.5">
      <c r="A61" s="270"/>
      <c r="B61" s="284"/>
      <c r="C61" s="271"/>
      <c r="D61" s="222" t="s">
        <v>284</v>
      </c>
      <c r="E61" s="229"/>
      <c r="F61" s="225"/>
      <c r="G61" s="225"/>
      <c r="H61" s="225"/>
      <c r="I61" s="225"/>
      <c r="J61" s="225"/>
      <c r="K61" s="226">
        <v>10000</v>
      </c>
      <c r="L61" s="287"/>
      <c r="M61" s="227"/>
    </row>
    <row r="62" spans="1:13" ht="17.25" thickBot="1">
      <c r="A62" s="272" t="s">
        <v>285</v>
      </c>
      <c r="B62" s="273"/>
      <c r="C62" s="273"/>
      <c r="D62" s="273"/>
      <c r="E62" s="274"/>
      <c r="F62" s="274"/>
      <c r="G62" s="274"/>
      <c r="H62" s="274"/>
      <c r="I62" s="274"/>
      <c r="J62" s="274"/>
      <c r="K62" s="275"/>
      <c r="L62" s="231">
        <f>L39+L49+L55</f>
        <v>1974500</v>
      </c>
      <c r="M62" s="232"/>
    </row>
  </sheetData>
  <mergeCells count="42">
    <mergeCell ref="A49:A54"/>
    <mergeCell ref="J1:M1"/>
    <mergeCell ref="J3:J4"/>
    <mergeCell ref="J5:J12"/>
    <mergeCell ref="J13:J22"/>
    <mergeCell ref="A1:C1"/>
    <mergeCell ref="E1:H1"/>
    <mergeCell ref="E23:H23"/>
    <mergeCell ref="A28:C28"/>
    <mergeCell ref="E3:E4"/>
    <mergeCell ref="E5:E12"/>
    <mergeCell ref="E13:E21"/>
    <mergeCell ref="A39:A48"/>
    <mergeCell ref="B39:B48"/>
    <mergeCell ref="L39:L48"/>
    <mergeCell ref="C42:C43"/>
    <mergeCell ref="C44:C48"/>
    <mergeCell ref="A35:M35"/>
    <mergeCell ref="A36:A38"/>
    <mergeCell ref="B36:B38"/>
    <mergeCell ref="C36:C38"/>
    <mergeCell ref="D36:D38"/>
    <mergeCell ref="E36:H36"/>
    <mergeCell ref="I36:K36"/>
    <mergeCell ref="L36:L38"/>
    <mergeCell ref="M36:M38"/>
    <mergeCell ref="F37:F38"/>
    <mergeCell ref="G37:G38"/>
    <mergeCell ref="H37:H38"/>
    <mergeCell ref="I37:I38"/>
    <mergeCell ref="J37:J38"/>
    <mergeCell ref="K37:K38"/>
    <mergeCell ref="B49:B54"/>
    <mergeCell ref="C49:C54"/>
    <mergeCell ref="L49:L54"/>
    <mergeCell ref="B55:B61"/>
    <mergeCell ref="L55:L61"/>
    <mergeCell ref="A56:A57"/>
    <mergeCell ref="C56:C57"/>
    <mergeCell ref="A59:A61"/>
    <mergeCell ref="C59:C61"/>
    <mergeCell ref="A62:K62"/>
  </mergeCells>
  <phoneticPr fontId="3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2022-04-19T01:44:33Z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