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成本管控\轻卡减震-2022.4.1\"/>
    </mc:Choice>
  </mc:AlternateContent>
  <xr:revisionPtr revIDLastSave="0" documentId="13_ncr:1_{B427109D-2989-46D4-87B9-5AB23B475EE5}" xr6:coauthVersionLast="47" xr6:coauthVersionMax="47" xr10:uidLastSave="{00000000-0000-0000-0000-000000000000}"/>
  <bookViews>
    <workbookView xWindow="-108" yWindow="-108" windowWidth="23256" windowHeight="12720" tabRatio="827" firstSheet="1" activeTab="1" xr2:uid="{00000000-000D-0000-FFFF-FFFF00000000}"/>
  </bookViews>
  <sheets>
    <sheet name="总清单" sheetId="1" state="hidden" r:id="rId1"/>
    <sheet name="问题项" sheetId="5" r:id="rId2"/>
    <sheet name="完成情况" sheetId="14" r:id="rId3"/>
    <sheet name="塑料件测算" sheetId="12" r:id="rId4"/>
    <sheet name="线材 " sheetId="8" r:id="rId5"/>
    <sheet name="采购价格" sheetId="13" r:id="rId6"/>
    <sheet name="线材核算" sheetId="9" state="hidden" r:id="rId7"/>
  </sheets>
  <externalReferences>
    <externalReference r:id="rId8"/>
  </externalReferences>
  <definedNames>
    <definedName name="_xlnm._FilterDatabase" localSheetId="1" hidden="1">问题项!$A$8:$BJ$100</definedName>
    <definedName name="_xlnm._FilterDatabase" localSheetId="4" hidden="1">'线材 '!$A$2:$R$26</definedName>
    <definedName name="_xlnm._FilterDatabase" localSheetId="6" hidden="1">线材核算!$B$3:$X$61</definedName>
    <definedName name="_GoBack" localSheetId="6">线材核算!#REF!</definedName>
    <definedName name="_xlnm.Print_Area" localSheetId="1">问题项!$A$6:$BQ$102</definedName>
    <definedName name="_xlnm.Print_Area" localSheetId="4">'线材 '!$A$1:$T$26</definedName>
    <definedName name="_xlnm.Print_Area" localSheetId="6">线材核算!$B$1:$X$91</definedName>
    <definedName name="_xlnm.Print_Area" localSheetId="0">总清单!$A$1:$D$4</definedName>
    <definedName name="_xlnm.Print_Titles" localSheetId="1">问题项!$7:$8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4" l="1"/>
  <c r="AI40" i="5"/>
  <c r="AR40" i="5"/>
  <c r="AI41" i="5"/>
  <c r="AR41" i="5"/>
  <c r="AI42" i="5"/>
  <c r="AR42" i="5"/>
  <c r="AI43" i="5"/>
  <c r="AR43" i="5"/>
  <c r="AI44" i="5"/>
  <c r="AR44" i="5"/>
  <c r="AI45" i="5"/>
  <c r="AR45" i="5"/>
  <c r="AI46" i="5"/>
  <c r="AR46" i="5"/>
  <c r="AI47" i="5"/>
  <c r="AR47" i="5"/>
  <c r="AR38" i="5"/>
  <c r="AT38" i="5"/>
  <c r="S61" i="9"/>
  <c r="T61" i="9"/>
  <c r="T60" i="9"/>
  <c r="N60" i="9"/>
  <c r="O60" i="9"/>
  <c r="U60" i="9"/>
  <c r="V60" i="9"/>
  <c r="S59" i="9"/>
  <c r="T59" i="9"/>
  <c r="T58" i="9"/>
  <c r="N58" i="9"/>
  <c r="O58" i="9"/>
  <c r="U58" i="9"/>
  <c r="V58" i="9"/>
  <c r="S57" i="9"/>
  <c r="T57" i="9"/>
  <c r="T56" i="9"/>
  <c r="N56" i="9"/>
  <c r="O56" i="9"/>
  <c r="U56" i="9"/>
  <c r="V56" i="9"/>
  <c r="S55" i="9"/>
  <c r="T55" i="9"/>
  <c r="T54" i="9"/>
  <c r="N54" i="9"/>
  <c r="O54" i="9"/>
  <c r="U54" i="9"/>
  <c r="V54" i="9"/>
  <c r="S53" i="9"/>
  <c r="T53" i="9"/>
  <c r="T52" i="9"/>
  <c r="N52" i="9"/>
  <c r="O52" i="9"/>
  <c r="S51" i="9"/>
  <c r="T51" i="9"/>
  <c r="T50" i="9"/>
  <c r="N50" i="9"/>
  <c r="O50" i="9"/>
  <c r="U50" i="9"/>
  <c r="V50" i="9"/>
  <c r="S49" i="9"/>
  <c r="T49" i="9"/>
  <c r="T48" i="9"/>
  <c r="N48" i="9"/>
  <c r="O48" i="9"/>
  <c r="S47" i="9"/>
  <c r="T47" i="9"/>
  <c r="T46" i="9"/>
  <c r="N46" i="9"/>
  <c r="O46" i="9"/>
  <c r="S45" i="9"/>
  <c r="T45" i="9"/>
  <c r="T44" i="9"/>
  <c r="N44" i="9"/>
  <c r="O44" i="9"/>
  <c r="U44" i="9"/>
  <c r="V44" i="9"/>
  <c r="S43" i="9"/>
  <c r="T43" i="9"/>
  <c r="T42" i="9"/>
  <c r="N42" i="9"/>
  <c r="O42" i="9"/>
  <c r="U42" i="9"/>
  <c r="V42" i="9"/>
  <c r="S41" i="9"/>
  <c r="T41" i="9"/>
  <c r="T40" i="9"/>
  <c r="N40" i="9"/>
  <c r="O40" i="9"/>
  <c r="S39" i="9"/>
  <c r="T39" i="9"/>
  <c r="T38" i="9"/>
  <c r="N38" i="9"/>
  <c r="O38" i="9"/>
  <c r="U38" i="9"/>
  <c r="V38" i="9"/>
  <c r="S37" i="9"/>
  <c r="T37" i="9"/>
  <c r="T36" i="9"/>
  <c r="N36" i="9"/>
  <c r="O36" i="9"/>
  <c r="U36" i="9"/>
  <c r="V36" i="9"/>
  <c r="S35" i="9"/>
  <c r="T35" i="9"/>
  <c r="T34" i="9"/>
  <c r="N34" i="9"/>
  <c r="O34" i="9"/>
  <c r="U34" i="9"/>
  <c r="V34" i="9"/>
  <c r="S33" i="9"/>
  <c r="T33" i="9"/>
  <c r="T32" i="9"/>
  <c r="N32" i="9"/>
  <c r="O32" i="9"/>
  <c r="U32" i="9"/>
  <c r="V32" i="9"/>
  <c r="S31" i="9"/>
  <c r="T31" i="9"/>
  <c r="T30" i="9"/>
  <c r="N30" i="9"/>
  <c r="O30" i="9"/>
  <c r="S29" i="9"/>
  <c r="T29" i="9"/>
  <c r="T28" i="9"/>
  <c r="N28" i="9"/>
  <c r="O28" i="9"/>
  <c r="U28" i="9"/>
  <c r="V28" i="9"/>
  <c r="S27" i="9"/>
  <c r="T27" i="9"/>
  <c r="T26" i="9"/>
  <c r="T25" i="9"/>
  <c r="T24" i="9"/>
  <c r="R23" i="9"/>
  <c r="T23" i="9"/>
  <c r="N23" i="9"/>
  <c r="O23" i="9"/>
  <c r="U23" i="9"/>
  <c r="V23" i="9"/>
  <c r="S22" i="9"/>
  <c r="T22" i="9"/>
  <c r="T21" i="9"/>
  <c r="N21" i="9"/>
  <c r="O21" i="9"/>
  <c r="U21" i="9"/>
  <c r="V21" i="9"/>
  <c r="S20" i="9"/>
  <c r="T20" i="9"/>
  <c r="T19" i="9"/>
  <c r="N19" i="9"/>
  <c r="O19" i="9"/>
  <c r="U19" i="9"/>
  <c r="V19" i="9"/>
  <c r="S18" i="9"/>
  <c r="T18" i="9"/>
  <c r="T17" i="9"/>
  <c r="N17" i="9"/>
  <c r="O17" i="9"/>
  <c r="U17" i="9"/>
  <c r="V17" i="9"/>
  <c r="S16" i="9"/>
  <c r="T16" i="9"/>
  <c r="T15" i="9"/>
  <c r="N15" i="9"/>
  <c r="O15" i="9"/>
  <c r="U15" i="9"/>
  <c r="V15" i="9"/>
  <c r="S14" i="9"/>
  <c r="T14" i="9"/>
  <c r="T13" i="9"/>
  <c r="N13" i="9"/>
  <c r="O13" i="9"/>
  <c r="S12" i="9"/>
  <c r="T12" i="9"/>
  <c r="T11" i="9"/>
  <c r="T10" i="9"/>
  <c r="N10" i="9"/>
  <c r="O10" i="9"/>
  <c r="U10" i="9"/>
  <c r="V10" i="9"/>
  <c r="S9" i="9"/>
  <c r="T9" i="9"/>
  <c r="T8" i="9"/>
  <c r="N8" i="9"/>
  <c r="O8" i="9"/>
  <c r="U8" i="9"/>
  <c r="V8" i="9"/>
  <c r="S7" i="9"/>
  <c r="T7" i="9"/>
  <c r="T6" i="9"/>
  <c r="N6" i="9"/>
  <c r="O6" i="9"/>
  <c r="U6" i="9"/>
  <c r="V6" i="9"/>
  <c r="S5" i="9"/>
  <c r="T5" i="9"/>
  <c r="T4" i="9"/>
  <c r="N4" i="9"/>
  <c r="O4" i="9"/>
  <c r="U4" i="9"/>
  <c r="V4" i="9"/>
  <c r="S26" i="8"/>
  <c r="R26" i="8"/>
  <c r="O26" i="8"/>
  <c r="S25" i="8"/>
  <c r="R25" i="8"/>
  <c r="O25" i="8"/>
  <c r="S24" i="8"/>
  <c r="R24" i="8"/>
  <c r="O24" i="8"/>
  <c r="S23" i="8"/>
  <c r="R23" i="8"/>
  <c r="O23" i="8"/>
  <c r="S22" i="8"/>
  <c r="R22" i="8"/>
  <c r="O22" i="8"/>
  <c r="S21" i="8"/>
  <c r="R21" i="8"/>
  <c r="O21" i="8"/>
  <c r="S20" i="8"/>
  <c r="R20" i="8"/>
  <c r="O20" i="8"/>
  <c r="S19" i="8"/>
  <c r="R19" i="8"/>
  <c r="O19" i="8"/>
  <c r="S18" i="8"/>
  <c r="R18" i="8"/>
  <c r="O18" i="8"/>
  <c r="R17" i="8"/>
  <c r="O17" i="8"/>
  <c r="S16" i="8"/>
  <c r="R16" i="8"/>
  <c r="O16" i="8"/>
  <c r="S15" i="8"/>
  <c r="R15" i="8"/>
  <c r="O15" i="8"/>
  <c r="S14" i="8"/>
  <c r="R14" i="8"/>
  <c r="O14" i="8"/>
  <c r="S13" i="8"/>
  <c r="R13" i="8"/>
  <c r="O13" i="8"/>
  <c r="S12" i="8"/>
  <c r="R12" i="8"/>
  <c r="O12" i="8"/>
  <c r="S11" i="8"/>
  <c r="R11" i="8"/>
  <c r="O11" i="8"/>
  <c r="S10" i="8"/>
  <c r="R10" i="8"/>
  <c r="O10" i="8"/>
  <c r="S9" i="8"/>
  <c r="R9" i="8"/>
  <c r="O9" i="8"/>
  <c r="S8" i="8"/>
  <c r="R8" i="8"/>
  <c r="O8" i="8"/>
  <c r="S7" i="8"/>
  <c r="R7" i="8"/>
  <c r="O7" i="8"/>
  <c r="R6" i="8"/>
  <c r="O6" i="8"/>
  <c r="S5" i="8"/>
  <c r="R5" i="8"/>
  <c r="O5" i="8"/>
  <c r="S4" i="8"/>
  <c r="R4" i="8"/>
  <c r="O4" i="8"/>
  <c r="S3" i="8"/>
  <c r="R3" i="8"/>
  <c r="O3" i="8"/>
  <c r="U14" i="12"/>
  <c r="AA14" i="12"/>
  <c r="Y14" i="12"/>
  <c r="X14" i="12"/>
  <c r="H14" i="12"/>
  <c r="W14" i="12"/>
  <c r="R14" i="12"/>
  <c r="S14" i="12"/>
  <c r="AB14" i="12"/>
  <c r="H13" i="12"/>
  <c r="W13" i="12"/>
  <c r="U13" i="12"/>
  <c r="AA13" i="12"/>
  <c r="R13" i="12"/>
  <c r="S13" i="12"/>
  <c r="AB13" i="12"/>
  <c r="U9" i="12"/>
  <c r="AA9" i="12"/>
  <c r="Y9" i="12"/>
  <c r="X9" i="12"/>
  <c r="H9" i="12"/>
  <c r="W9" i="12"/>
  <c r="H8" i="12"/>
  <c r="W8" i="12"/>
  <c r="U8" i="12"/>
  <c r="AA8" i="12"/>
  <c r="R8" i="12"/>
  <c r="S8" i="12"/>
  <c r="AB8" i="12"/>
  <c r="U7" i="12"/>
  <c r="AA7" i="12"/>
  <c r="Y7" i="12"/>
  <c r="X7" i="12"/>
  <c r="H7" i="12"/>
  <c r="W7" i="12"/>
  <c r="H6" i="12"/>
  <c r="W6" i="12"/>
  <c r="U6" i="12"/>
  <c r="AA6" i="12"/>
  <c r="R6" i="12"/>
  <c r="S6" i="12"/>
  <c r="AB6" i="12"/>
  <c r="U5" i="12"/>
  <c r="AA5" i="12"/>
  <c r="Y5" i="12"/>
  <c r="X5" i="12"/>
  <c r="H5" i="12"/>
  <c r="W5" i="12"/>
  <c r="H4" i="12"/>
  <c r="W4" i="12"/>
  <c r="U4" i="12"/>
  <c r="AA4" i="12"/>
  <c r="R4" i="12"/>
  <c r="S4" i="12"/>
  <c r="AB4" i="12"/>
  <c r="U3" i="12"/>
  <c r="AA3" i="12"/>
  <c r="Y3" i="12"/>
  <c r="X3" i="12"/>
  <c r="H3" i="12"/>
  <c r="W3" i="12"/>
  <c r="BC99" i="5"/>
  <c r="BB99" i="5"/>
  <c r="AU99" i="5"/>
  <c r="AI99" i="5"/>
  <c r="BC98" i="5"/>
  <c r="BB98" i="5"/>
  <c r="AU98" i="5"/>
  <c r="AI98" i="5"/>
  <c r="AR98" i="5"/>
  <c r="BC97" i="5"/>
  <c r="BB97" i="5"/>
  <c r="AU97" i="5"/>
  <c r="AI97" i="5"/>
  <c r="AR97" i="5"/>
  <c r="BC96" i="5"/>
  <c r="BB96" i="5"/>
  <c r="AW96" i="5"/>
  <c r="AX96" i="5"/>
  <c r="AU96" i="5"/>
  <c r="AF96" i="5"/>
  <c r="AL96" i="5"/>
  <c r="BC95" i="5"/>
  <c r="BB95" i="5"/>
  <c r="AW95" i="5"/>
  <c r="AX95" i="5"/>
  <c r="AU95" i="5"/>
  <c r="AF95" i="5"/>
  <c r="AI95" i="5"/>
  <c r="BC94" i="5"/>
  <c r="BB94" i="5"/>
  <c r="AW94" i="5"/>
  <c r="AX94" i="5"/>
  <c r="AU94" i="5"/>
  <c r="AF94" i="5"/>
  <c r="AL94" i="5"/>
  <c r="BC93" i="5"/>
  <c r="BB93" i="5"/>
  <c r="AW93" i="5"/>
  <c r="AX93" i="5"/>
  <c r="AU93" i="5"/>
  <c r="AF93" i="5"/>
  <c r="AL93" i="5"/>
  <c r="BC92" i="5"/>
  <c r="BB92" i="5"/>
  <c r="AW92" i="5"/>
  <c r="AX92" i="5"/>
  <c r="AU92" i="5"/>
  <c r="AF92" i="5"/>
  <c r="AL92" i="5"/>
  <c r="BC91" i="5"/>
  <c r="BB91" i="5"/>
  <c r="AW91" i="5"/>
  <c r="AX91" i="5"/>
  <c r="AU91" i="5"/>
  <c r="AF91" i="5"/>
  <c r="BC90" i="5"/>
  <c r="BB90" i="5"/>
  <c r="AW90" i="5"/>
  <c r="AX90" i="5"/>
  <c r="AU90" i="5"/>
  <c r="AF90" i="5"/>
  <c r="AL90" i="5"/>
  <c r="BC89" i="5"/>
  <c r="BB89" i="5"/>
  <c r="AW89" i="5"/>
  <c r="AX89" i="5"/>
  <c r="AU89" i="5"/>
  <c r="AF89" i="5"/>
  <c r="AL89" i="5"/>
  <c r="BC88" i="5"/>
  <c r="BB88" i="5"/>
  <c r="AW88" i="5"/>
  <c r="AX88" i="5"/>
  <c r="AU88" i="5"/>
  <c r="AF88" i="5"/>
  <c r="AL88" i="5"/>
  <c r="BC87" i="5"/>
  <c r="BB87" i="5"/>
  <c r="AW87" i="5"/>
  <c r="AX87" i="5"/>
  <c r="AU87" i="5"/>
  <c r="AF87" i="5"/>
  <c r="BC86" i="5"/>
  <c r="BB86" i="5"/>
  <c r="AU86" i="5"/>
  <c r="BI85" i="5"/>
  <c r="BH85" i="5"/>
  <c r="BC85" i="5"/>
  <c r="BB85" i="5"/>
  <c r="AW85" i="5"/>
  <c r="AX85" i="5"/>
  <c r="AU85" i="5"/>
  <c r="BI84" i="5"/>
  <c r="BH84" i="5"/>
  <c r="BC84" i="5"/>
  <c r="BB84" i="5"/>
  <c r="AW84" i="5"/>
  <c r="AX84" i="5"/>
  <c r="AU84" i="5"/>
  <c r="AR84" i="5"/>
  <c r="AR83" i="5"/>
  <c r="AT83" i="5"/>
  <c r="AL84" i="5"/>
  <c r="AI84" i="5"/>
  <c r="AJ84" i="5"/>
  <c r="BH83" i="5"/>
  <c r="BC83" i="5"/>
  <c r="BB83" i="5"/>
  <c r="AU83" i="5"/>
  <c r="BI82" i="5"/>
  <c r="BH82" i="5"/>
  <c r="BC82" i="5"/>
  <c r="BB82" i="5"/>
  <c r="AW82" i="5"/>
  <c r="AX82" i="5"/>
  <c r="AU82" i="5"/>
  <c r="BI81" i="5"/>
  <c r="BH81" i="5"/>
  <c r="BC81" i="5"/>
  <c r="BB81" i="5"/>
  <c r="AW81" i="5"/>
  <c r="AX81" i="5"/>
  <c r="AU81" i="5"/>
  <c r="AR81" i="5"/>
  <c r="AR80" i="5"/>
  <c r="AT80" i="5"/>
  <c r="BI80" i="5"/>
  <c r="AL81" i="5"/>
  <c r="AI81" i="5"/>
  <c r="AJ81" i="5"/>
  <c r="BH80" i="5"/>
  <c r="BC80" i="5"/>
  <c r="BB80" i="5"/>
  <c r="AU80" i="5"/>
  <c r="BH79" i="5"/>
  <c r="BC79" i="5"/>
  <c r="BB79" i="5"/>
  <c r="AU79" i="5"/>
  <c r="AT79" i="5"/>
  <c r="AW79" i="5"/>
  <c r="AX79" i="5"/>
  <c r="BH78" i="5"/>
  <c r="BC78" i="5"/>
  <c r="BB78" i="5"/>
  <c r="AU78" i="5"/>
  <c r="AQ78" i="5"/>
  <c r="AI78" i="5"/>
  <c r="BH77" i="5"/>
  <c r="BC77" i="5"/>
  <c r="BB77" i="5"/>
  <c r="AU77" i="5"/>
  <c r="AI77" i="5"/>
  <c r="AJ77" i="5"/>
  <c r="BH76" i="5"/>
  <c r="BC76" i="5"/>
  <c r="BB76" i="5"/>
  <c r="AU76" i="5"/>
  <c r="AI76" i="5"/>
  <c r="AR76" i="5"/>
  <c r="AT76" i="5"/>
  <c r="BI76" i="5"/>
  <c r="BI75" i="5"/>
  <c r="BH75" i="5"/>
  <c r="BC75" i="5"/>
  <c r="BB75" i="5"/>
  <c r="AW75" i="5"/>
  <c r="AX75" i="5"/>
  <c r="AU75" i="5"/>
  <c r="BH74" i="5"/>
  <c r="BC74" i="5"/>
  <c r="BB74" i="5"/>
  <c r="AU74" i="5"/>
  <c r="AT74" i="5"/>
  <c r="AW74" i="5"/>
  <c r="AX74" i="5"/>
  <c r="AQ74" i="5"/>
  <c r="AI74" i="5"/>
  <c r="BH73" i="5"/>
  <c r="BC73" i="5"/>
  <c r="BB73" i="5"/>
  <c r="AU73" i="5"/>
  <c r="AI73" i="5"/>
  <c r="AR73" i="5"/>
  <c r="AT73" i="5"/>
  <c r="BH72" i="5"/>
  <c r="BC72" i="5"/>
  <c r="BB72" i="5"/>
  <c r="AU72" i="5"/>
  <c r="AT72" i="5"/>
  <c r="AW72" i="5"/>
  <c r="AX72" i="5"/>
  <c r="AQ72" i="5"/>
  <c r="AI72" i="5"/>
  <c r="AR72" i="5"/>
  <c r="BI71" i="5"/>
  <c r="BH71" i="5"/>
  <c r="BC71" i="5"/>
  <c r="BB71" i="5"/>
  <c r="AW71" i="5"/>
  <c r="AX71" i="5"/>
  <c r="AU71" i="5"/>
  <c r="AR71" i="5"/>
  <c r="AQ71" i="5"/>
  <c r="AI71" i="5"/>
  <c r="AJ71" i="5"/>
  <c r="BI70" i="5"/>
  <c r="BH70" i="5"/>
  <c r="BC70" i="5"/>
  <c r="BB70" i="5"/>
  <c r="AW70" i="5"/>
  <c r="AX70" i="5"/>
  <c r="AU70" i="5"/>
  <c r="AI70" i="5"/>
  <c r="AR70" i="5"/>
  <c r="BH69" i="5"/>
  <c r="BC69" i="5"/>
  <c r="BB69" i="5"/>
  <c r="AU69" i="5"/>
  <c r="AB69" i="5"/>
  <c r="BH68" i="5"/>
  <c r="BC68" i="5"/>
  <c r="BB68" i="5"/>
  <c r="AU68" i="5"/>
  <c r="AI68" i="5"/>
  <c r="AJ68" i="5"/>
  <c r="BH67" i="5"/>
  <c r="BC67" i="5"/>
  <c r="BB67" i="5"/>
  <c r="AU67" i="5"/>
  <c r="AI67" i="5"/>
  <c r="AR67" i="5"/>
  <c r="AT67" i="5"/>
  <c r="BI67" i="5"/>
  <c r="BI66" i="5"/>
  <c r="BH66" i="5"/>
  <c r="BC66" i="5"/>
  <c r="BB66" i="5"/>
  <c r="AW66" i="5"/>
  <c r="AX66" i="5"/>
  <c r="AU66" i="5"/>
  <c r="AR66" i="5"/>
  <c r="AQ66" i="5"/>
  <c r="AI66" i="5"/>
  <c r="AJ66" i="5"/>
  <c r="BI65" i="5"/>
  <c r="BH65" i="5"/>
  <c r="BC65" i="5"/>
  <c r="BB65" i="5"/>
  <c r="AW65" i="5"/>
  <c r="AX65" i="5"/>
  <c r="AU65" i="5"/>
  <c r="BI64" i="5"/>
  <c r="BH64" i="5"/>
  <c r="BC64" i="5"/>
  <c r="BB64" i="5"/>
  <c r="AW64" i="5"/>
  <c r="AX64" i="5"/>
  <c r="AU64" i="5"/>
  <c r="BI63" i="5"/>
  <c r="BH63" i="5"/>
  <c r="BC63" i="5"/>
  <c r="BB63" i="5"/>
  <c r="AW63" i="5"/>
  <c r="AX63" i="5"/>
  <c r="AU63" i="5"/>
  <c r="AI63" i="5"/>
  <c r="AR63" i="5"/>
  <c r="BH62" i="5"/>
  <c r="BC62" i="5"/>
  <c r="BB62" i="5"/>
  <c r="AU62" i="5"/>
  <c r="AB62" i="5"/>
  <c r="BI61" i="5"/>
  <c r="BH61" i="5"/>
  <c r="BC61" i="5"/>
  <c r="BB61" i="5"/>
  <c r="AW61" i="5"/>
  <c r="AX61" i="5"/>
  <c r="AU61" i="5"/>
  <c r="BI60" i="5"/>
  <c r="BH60" i="5"/>
  <c r="BC60" i="5"/>
  <c r="BB60" i="5"/>
  <c r="AW60" i="5"/>
  <c r="AX60" i="5"/>
  <c r="AU60" i="5"/>
  <c r="AI60" i="5"/>
  <c r="AJ60" i="5"/>
  <c r="BI59" i="5"/>
  <c r="BH59" i="5"/>
  <c r="BC59" i="5"/>
  <c r="BB59" i="5"/>
  <c r="AW59" i="5"/>
  <c r="AX59" i="5"/>
  <c r="AU59" i="5"/>
  <c r="AB59" i="5"/>
  <c r="BI58" i="5"/>
  <c r="BH58" i="5"/>
  <c r="BC58" i="5"/>
  <c r="BB58" i="5"/>
  <c r="AW58" i="5"/>
  <c r="AX58" i="5"/>
  <c r="AU58" i="5"/>
  <c r="BI57" i="5"/>
  <c r="BH57" i="5"/>
  <c r="BC57" i="5"/>
  <c r="BB57" i="5"/>
  <c r="AW57" i="5"/>
  <c r="AX57" i="5"/>
  <c r="AU57" i="5"/>
  <c r="AI57" i="5"/>
  <c r="AJ57" i="5"/>
  <c r="AR57" i="5"/>
  <c r="BI56" i="5"/>
  <c r="BH56" i="5"/>
  <c r="BC56" i="5"/>
  <c r="BB56" i="5"/>
  <c r="AW56" i="5"/>
  <c r="AX56" i="5"/>
  <c r="AU56" i="5"/>
  <c r="AB56" i="5"/>
  <c r="BI55" i="5"/>
  <c r="BH55" i="5"/>
  <c r="BC55" i="5"/>
  <c r="BB55" i="5"/>
  <c r="AW55" i="5"/>
  <c r="AX55" i="5"/>
  <c r="AU55" i="5"/>
  <c r="AI55" i="5"/>
  <c r="AR55" i="5"/>
  <c r="BI54" i="5"/>
  <c r="BH54" i="5"/>
  <c r="BC54" i="5"/>
  <c r="BB54" i="5"/>
  <c r="AW54" i="5"/>
  <c r="AX54" i="5"/>
  <c r="AU54" i="5"/>
  <c r="AI54" i="5"/>
  <c r="AR54" i="5"/>
  <c r="BI53" i="5"/>
  <c r="BH53" i="5"/>
  <c r="BC53" i="5"/>
  <c r="BB53" i="5"/>
  <c r="AW53" i="5"/>
  <c r="AX53" i="5"/>
  <c r="AU53" i="5"/>
  <c r="AI53" i="5"/>
  <c r="AJ53" i="5"/>
  <c r="BI52" i="5"/>
  <c r="BH52" i="5"/>
  <c r="BC52" i="5"/>
  <c r="BB52" i="5"/>
  <c r="AW52" i="5"/>
  <c r="AX52" i="5"/>
  <c r="AU52" i="5"/>
  <c r="BI51" i="5"/>
  <c r="BH51" i="5"/>
  <c r="BC51" i="5"/>
  <c r="BB51" i="5"/>
  <c r="AW51" i="5"/>
  <c r="AX51" i="5"/>
  <c r="AU51" i="5"/>
  <c r="AI51" i="5"/>
  <c r="AR51" i="5"/>
  <c r="BI50" i="5"/>
  <c r="BH50" i="5"/>
  <c r="BC50" i="5"/>
  <c r="BB50" i="5"/>
  <c r="AW50" i="5"/>
  <c r="AX50" i="5"/>
  <c r="AU50" i="5"/>
  <c r="BI49" i="5"/>
  <c r="BH49" i="5"/>
  <c r="BC49" i="5"/>
  <c r="BB49" i="5"/>
  <c r="AW49" i="5"/>
  <c r="AX49" i="5"/>
  <c r="AU49" i="5"/>
  <c r="BH48" i="5"/>
  <c r="BC48" i="5"/>
  <c r="BB48" i="5"/>
  <c r="AU48" i="5"/>
  <c r="BH47" i="5"/>
  <c r="BC47" i="5"/>
  <c r="BB47" i="5"/>
  <c r="AW47" i="5"/>
  <c r="AX47" i="5"/>
  <c r="AU47" i="5"/>
  <c r="BH46" i="5"/>
  <c r="BC46" i="5"/>
  <c r="BB46" i="5"/>
  <c r="AW46" i="5"/>
  <c r="AX46" i="5"/>
  <c r="AU46" i="5"/>
  <c r="BH45" i="5"/>
  <c r="BC45" i="5"/>
  <c r="BB45" i="5"/>
  <c r="AW45" i="5"/>
  <c r="AX45" i="5"/>
  <c r="AU45" i="5"/>
  <c r="BH44" i="5"/>
  <c r="BC44" i="5"/>
  <c r="BB44" i="5"/>
  <c r="AW44" i="5"/>
  <c r="AX44" i="5"/>
  <c r="AU44" i="5"/>
  <c r="BH43" i="5"/>
  <c r="BC43" i="5"/>
  <c r="BB43" i="5"/>
  <c r="AW43" i="5"/>
  <c r="AX43" i="5"/>
  <c r="AU43" i="5"/>
  <c r="BH42" i="5"/>
  <c r="BC42" i="5"/>
  <c r="BB42" i="5"/>
  <c r="AW42" i="5"/>
  <c r="AX42" i="5"/>
  <c r="AU42" i="5"/>
  <c r="BH41" i="5"/>
  <c r="BC41" i="5"/>
  <c r="BB41" i="5"/>
  <c r="AW41" i="5"/>
  <c r="AX41" i="5"/>
  <c r="AU41" i="5"/>
  <c r="BH40" i="5"/>
  <c r="BC40" i="5"/>
  <c r="BB40" i="5"/>
  <c r="AW40" i="5"/>
  <c r="AX40" i="5"/>
  <c r="AU40" i="5"/>
  <c r="BH39" i="5"/>
  <c r="BC39" i="5"/>
  <c r="BB39" i="5"/>
  <c r="AW39" i="5"/>
  <c r="AX39" i="5"/>
  <c r="AU39" i="5"/>
  <c r="AB39" i="5"/>
  <c r="AB38" i="5"/>
  <c r="AV38" i="5"/>
  <c r="AU38" i="5"/>
  <c r="BC37" i="5"/>
  <c r="BB37" i="5"/>
  <c r="AW37" i="5"/>
  <c r="AX37" i="5"/>
  <c r="AU37" i="5"/>
  <c r="BC36" i="5"/>
  <c r="BB36" i="5"/>
  <c r="AW36" i="5"/>
  <c r="AX36" i="5"/>
  <c r="AU36" i="5"/>
  <c r="BC35" i="5"/>
  <c r="BB35" i="5"/>
  <c r="AW35" i="5"/>
  <c r="AX35" i="5"/>
  <c r="AU35" i="5"/>
  <c r="AR35" i="5"/>
  <c r="AI35" i="5"/>
  <c r="AJ35" i="5"/>
  <c r="BC34" i="5"/>
  <c r="BB34" i="5"/>
  <c r="AW34" i="5"/>
  <c r="AX34" i="5"/>
  <c r="AU34" i="5"/>
  <c r="AR34" i="5"/>
  <c r="AI34" i="5"/>
  <c r="AJ34" i="5"/>
  <c r="BC33" i="5"/>
  <c r="BB33" i="5"/>
  <c r="AW33" i="5"/>
  <c r="AX33" i="5"/>
  <c r="AU33" i="5"/>
  <c r="AG33" i="5"/>
  <c r="AF33" i="5"/>
  <c r="BH32" i="5"/>
  <c r="BC32" i="5"/>
  <c r="BB32" i="5"/>
  <c r="AU32" i="5"/>
  <c r="AB32" i="5"/>
  <c r="BI31" i="5"/>
  <c r="BH31" i="5"/>
  <c r="BC31" i="5"/>
  <c r="BB31" i="5"/>
  <c r="AW31" i="5"/>
  <c r="AX31" i="5"/>
  <c r="AU31" i="5"/>
  <c r="BI30" i="5"/>
  <c r="BH30" i="5"/>
  <c r="BC30" i="5"/>
  <c r="BB30" i="5"/>
  <c r="AW30" i="5"/>
  <c r="AX30" i="5"/>
  <c r="AU30" i="5"/>
  <c r="BI29" i="5"/>
  <c r="BH29" i="5"/>
  <c r="BC29" i="5"/>
  <c r="BB29" i="5"/>
  <c r="AW29" i="5"/>
  <c r="AX29" i="5"/>
  <c r="AU29" i="5"/>
  <c r="BH28" i="5"/>
  <c r="BC28" i="5"/>
  <c r="BB28" i="5"/>
  <c r="AU28" i="5"/>
  <c r="AG28" i="5"/>
  <c r="AF28" i="5"/>
  <c r="AI28" i="5"/>
  <c r="BH27" i="5"/>
  <c r="BC27" i="5"/>
  <c r="BB27" i="5"/>
  <c r="AU27" i="5"/>
  <c r="AB27" i="5"/>
  <c r="BI26" i="5"/>
  <c r="BH26" i="5"/>
  <c r="BC26" i="5"/>
  <c r="BB26" i="5"/>
  <c r="AW26" i="5"/>
  <c r="AX26" i="5"/>
  <c r="AU26" i="5"/>
  <c r="AG26" i="5"/>
  <c r="AF26" i="5"/>
  <c r="AI26" i="5"/>
  <c r="BI25" i="5"/>
  <c r="BH25" i="5"/>
  <c r="BC25" i="5"/>
  <c r="BB25" i="5"/>
  <c r="AW25" i="5"/>
  <c r="AX25" i="5"/>
  <c r="AU25" i="5"/>
  <c r="AG25" i="5"/>
  <c r="AF25" i="5"/>
  <c r="BI24" i="5"/>
  <c r="BH24" i="5"/>
  <c r="BC24" i="5"/>
  <c r="BB24" i="5"/>
  <c r="AW24" i="5"/>
  <c r="AX24" i="5"/>
  <c r="AU24" i="5"/>
  <c r="AI24" i="5"/>
  <c r="AR24" i="5"/>
  <c r="BH23" i="5"/>
  <c r="BC23" i="5"/>
  <c r="BB23" i="5"/>
  <c r="AU23" i="5"/>
  <c r="AB23" i="5"/>
  <c r="BH22" i="5"/>
  <c r="BC22" i="5"/>
  <c r="BB22" i="5"/>
  <c r="AU22" i="5"/>
  <c r="AG22" i="5"/>
  <c r="AF22" i="5"/>
  <c r="BH21" i="5"/>
  <c r="BC21" i="5"/>
  <c r="BB21" i="5"/>
  <c r="AU21" i="5"/>
  <c r="AG21" i="5"/>
  <c r="AF21" i="5"/>
  <c r="BH20" i="5"/>
  <c r="BC20" i="5"/>
  <c r="BB20" i="5"/>
  <c r="AU20" i="5"/>
  <c r="AG20" i="5"/>
  <c r="AF20" i="5"/>
  <c r="BH19" i="5"/>
  <c r="BC19" i="5"/>
  <c r="BB19" i="5"/>
  <c r="AU19" i="5"/>
  <c r="AT19" i="5"/>
  <c r="AW19" i="5"/>
  <c r="AX19" i="5"/>
  <c r="AF19" i="5"/>
  <c r="AI19" i="5"/>
  <c r="BH18" i="5"/>
  <c r="BC18" i="5"/>
  <c r="BB18" i="5"/>
  <c r="AU18" i="5"/>
  <c r="AT18" i="5"/>
  <c r="AW18" i="5"/>
  <c r="AX18" i="5"/>
  <c r="AL18" i="5"/>
  <c r="AI18" i="5"/>
  <c r="AJ18" i="5"/>
  <c r="BH17" i="5"/>
  <c r="BC17" i="5"/>
  <c r="BB17" i="5"/>
  <c r="AU17" i="5"/>
  <c r="AG17" i="5"/>
  <c r="AF17" i="5"/>
  <c r="BH16" i="5"/>
  <c r="BC16" i="5"/>
  <c r="BB16" i="5"/>
  <c r="AU16" i="5"/>
  <c r="AT16" i="5"/>
  <c r="BI16" i="5"/>
  <c r="BH15" i="5"/>
  <c r="BC15" i="5"/>
  <c r="BB15" i="5"/>
  <c r="AU15" i="5"/>
  <c r="AG15" i="5"/>
  <c r="AF15" i="5"/>
  <c r="BH14" i="5"/>
  <c r="BC14" i="5"/>
  <c r="BB14" i="5"/>
  <c r="AU14" i="5"/>
  <c r="AI14" i="5"/>
  <c r="AR14" i="5"/>
  <c r="AT14" i="5"/>
  <c r="BH13" i="5"/>
  <c r="BC13" i="5"/>
  <c r="BB13" i="5"/>
  <c r="AU13" i="5"/>
  <c r="AG13" i="5"/>
  <c r="AF13" i="5"/>
  <c r="BH12" i="5"/>
  <c r="BC12" i="5"/>
  <c r="BB12" i="5"/>
  <c r="AU12" i="5"/>
  <c r="AG12" i="5"/>
  <c r="AF12" i="5"/>
  <c r="AI12" i="5"/>
  <c r="AJ12" i="5"/>
  <c r="BI11" i="5"/>
  <c r="BH11" i="5"/>
  <c r="BC11" i="5"/>
  <c r="BB11" i="5"/>
  <c r="AW11" i="5"/>
  <c r="AX11" i="5"/>
  <c r="AU11" i="5"/>
  <c r="BI10" i="5"/>
  <c r="BH10" i="5"/>
  <c r="BC10" i="5"/>
  <c r="BB10" i="5"/>
  <c r="AW10" i="5"/>
  <c r="AX10" i="5"/>
  <c r="AU10" i="5"/>
  <c r="AI10" i="5"/>
  <c r="AR10" i="5"/>
  <c r="AR9" i="5"/>
  <c r="AT9" i="5"/>
  <c r="BH9" i="5"/>
  <c r="BC9" i="5"/>
  <c r="BB9" i="5"/>
  <c r="AU9" i="5"/>
  <c r="AB9" i="5"/>
  <c r="BA5" i="5"/>
  <c r="AZ5" i="5"/>
  <c r="BA1" i="5"/>
  <c r="AZ1" i="5"/>
  <c r="AI89" i="5"/>
  <c r="AR89" i="5"/>
  <c r="AJ44" i="5"/>
  <c r="AR62" i="5"/>
  <c r="AT62" i="5"/>
  <c r="BI62" i="5"/>
  <c r="AR69" i="5"/>
  <c r="AT69" i="5"/>
  <c r="BI72" i="5"/>
  <c r="AI21" i="5"/>
  <c r="AR21" i="5"/>
  <c r="AT21" i="5"/>
  <c r="BI79" i="5"/>
  <c r="AI20" i="5"/>
  <c r="AR20" i="5"/>
  <c r="AT20" i="5"/>
  <c r="AI33" i="5"/>
  <c r="AJ33" i="5"/>
  <c r="AI15" i="5"/>
  <c r="AR15" i="5"/>
  <c r="AT15" i="5"/>
  <c r="AW16" i="5"/>
  <c r="AX16" i="5"/>
  <c r="AR78" i="5"/>
  <c r="AJ19" i="5"/>
  <c r="AR19" i="5"/>
  <c r="AJ51" i="5"/>
  <c r="AJ40" i="5"/>
  <c r="AI17" i="5"/>
  <c r="AR17" i="5"/>
  <c r="AT17" i="5"/>
  <c r="AW17" i="5"/>
  <c r="AX17" i="5"/>
  <c r="AI25" i="5"/>
  <c r="AR68" i="5"/>
  <c r="AT68" i="5"/>
  <c r="AW68" i="5"/>
  <c r="AX68" i="5"/>
  <c r="BI73" i="5"/>
  <c r="AW73" i="5"/>
  <c r="AX73" i="5"/>
  <c r="AJ46" i="5"/>
  <c r="AJ47" i="5"/>
  <c r="AW67" i="5"/>
  <c r="AX67" i="5"/>
  <c r="BI74" i="5"/>
  <c r="AI22" i="5"/>
  <c r="AJ63" i="5"/>
  <c r="AJ89" i="5"/>
  <c r="AI93" i="5"/>
  <c r="BI18" i="5"/>
  <c r="AI94" i="5"/>
  <c r="AR94" i="5"/>
  <c r="AJ98" i="5"/>
  <c r="AJ41" i="5"/>
  <c r="AJ14" i="5"/>
  <c r="AR60" i="5"/>
  <c r="AR77" i="5"/>
  <c r="AT77" i="5"/>
  <c r="AW77" i="5"/>
  <c r="AX77" i="5"/>
  <c r="AJ97" i="5"/>
  <c r="AI13" i="5"/>
  <c r="AJ13" i="5"/>
  <c r="AW9" i="5"/>
  <c r="BI9" i="5"/>
  <c r="BI68" i="5"/>
  <c r="AW83" i="5"/>
  <c r="AX83" i="5"/>
  <c r="BI83" i="5"/>
  <c r="AW62" i="5"/>
  <c r="AX62" i="5"/>
  <c r="AW14" i="5"/>
  <c r="AX14" i="5"/>
  <c r="BI14" i="5"/>
  <c r="AR28" i="5"/>
  <c r="AJ28" i="5"/>
  <c r="AW69" i="5"/>
  <c r="AX69" i="5"/>
  <c r="BI69" i="5"/>
  <c r="AL87" i="5"/>
  <c r="AI87" i="5"/>
  <c r="AR33" i="5"/>
  <c r="AR32" i="5"/>
  <c r="AT32" i="5"/>
  <c r="AW32" i="5"/>
  <c r="AX32" i="5"/>
  <c r="AJ72" i="5"/>
  <c r="AR74" i="5"/>
  <c r="AR48" i="5"/>
  <c r="AT48" i="5"/>
  <c r="AD14" i="12"/>
  <c r="AE14" i="12"/>
  <c r="U46" i="9"/>
  <c r="V46" i="9"/>
  <c r="BH38" i="5"/>
  <c r="BC38" i="5"/>
  <c r="BB38" i="5"/>
  <c r="AJ42" i="5"/>
  <c r="AJ74" i="5"/>
  <c r="AW76" i="5"/>
  <c r="AX76" i="5"/>
  <c r="AR95" i="5"/>
  <c r="AJ95" i="5"/>
  <c r="AJ78" i="5"/>
  <c r="AW80" i="5"/>
  <c r="AX80" i="5"/>
  <c r="AR99" i="5"/>
  <c r="AJ99" i="5"/>
  <c r="U30" i="9"/>
  <c r="V30" i="9"/>
  <c r="AR26" i="5"/>
  <c r="AJ26" i="5"/>
  <c r="AJ54" i="5"/>
  <c r="AR12" i="5"/>
  <c r="AT12" i="5"/>
  <c r="AL91" i="5"/>
  <c r="AI91" i="5"/>
  <c r="U13" i="9"/>
  <c r="V13" i="9"/>
  <c r="U48" i="9"/>
  <c r="V48" i="9"/>
  <c r="U52" i="9"/>
  <c r="V52" i="9"/>
  <c r="BI19" i="5"/>
  <c r="AI90" i="5"/>
  <c r="U40" i="9"/>
  <c r="V40" i="9"/>
  <c r="AJ10" i="5"/>
  <c r="AJ24" i="5"/>
  <c r="AJ43" i="5"/>
  <c r="AJ55" i="5"/>
  <c r="AJ76" i="5"/>
  <c r="R3" i="12"/>
  <c r="S3" i="12"/>
  <c r="AB3" i="12"/>
  <c r="AD3" i="12"/>
  <c r="AE3" i="12"/>
  <c r="AF3" i="12"/>
  <c r="X4" i="12"/>
  <c r="Y4" i="12"/>
  <c r="AD4" i="12"/>
  <c r="AE4" i="12"/>
  <c r="AF4" i="12"/>
  <c r="R5" i="12"/>
  <c r="S5" i="12"/>
  <c r="AB5" i="12"/>
  <c r="AD5" i="12"/>
  <c r="AE5" i="12"/>
  <c r="X6" i="12"/>
  <c r="Y6" i="12"/>
  <c r="AD6" i="12"/>
  <c r="AE6" i="12"/>
  <c r="AF6" i="12"/>
  <c r="R7" i="12"/>
  <c r="S7" i="12"/>
  <c r="AB7" i="12"/>
  <c r="AD7" i="12"/>
  <c r="AE7" i="12"/>
  <c r="X8" i="12"/>
  <c r="Y8" i="12"/>
  <c r="AD8" i="12"/>
  <c r="AE8" i="12"/>
  <c r="R9" i="12"/>
  <c r="S9" i="12"/>
  <c r="AB9" i="12"/>
  <c r="AD9" i="12"/>
  <c r="AE9" i="12"/>
  <c r="X13" i="12"/>
  <c r="AJ67" i="5"/>
  <c r="AJ70" i="5"/>
  <c r="AI88" i="5"/>
  <c r="AI92" i="5"/>
  <c r="AL95" i="5"/>
  <c r="AI96" i="5"/>
  <c r="Y13" i="12"/>
  <c r="AJ45" i="5"/>
  <c r="AJ73" i="5"/>
  <c r="AJ21" i="5"/>
  <c r="AR13" i="5"/>
  <c r="AT13" i="5"/>
  <c r="BI13" i="5"/>
  <c r="AJ15" i="5"/>
  <c r="AJ20" i="5"/>
  <c r="AJ94" i="5"/>
  <c r="AR25" i="5"/>
  <c r="AJ25" i="5"/>
  <c r="AJ17" i="5"/>
  <c r="AR23" i="5"/>
  <c r="AT23" i="5"/>
  <c r="AW23" i="5"/>
  <c r="AX23" i="5"/>
  <c r="BI77" i="5"/>
  <c r="AJ22" i="5"/>
  <c r="AR22" i="5"/>
  <c r="AT22" i="5"/>
  <c r="BI17" i="5"/>
  <c r="AR93" i="5"/>
  <c r="AJ93" i="5"/>
  <c r="AF5" i="12"/>
  <c r="AT78" i="5"/>
  <c r="AF9" i="12"/>
  <c r="AT99" i="5"/>
  <c r="AW99" i="5"/>
  <c r="AX99" i="5"/>
  <c r="BI38" i="5"/>
  <c r="AW38" i="5"/>
  <c r="AX38" i="5"/>
  <c r="AF7" i="12"/>
  <c r="AT97" i="5"/>
  <c r="AW97" i="5"/>
  <c r="AX97" i="5"/>
  <c r="AT98" i="5"/>
  <c r="AW98" i="5"/>
  <c r="AX98" i="5"/>
  <c r="AF8" i="12"/>
  <c r="AG14" i="12"/>
  <c r="AI14" i="12"/>
  <c r="BI15" i="5"/>
  <c r="AW15" i="5"/>
  <c r="AX15" i="5"/>
  <c r="AJ88" i="5"/>
  <c r="AR88" i="5"/>
  <c r="AJ96" i="5"/>
  <c r="AR96" i="5"/>
  <c r="AW12" i="5"/>
  <c r="AX12" i="5"/>
  <c r="BI12" i="5"/>
  <c r="AW13" i="5"/>
  <c r="AX13" i="5"/>
  <c r="AJ92" i="5"/>
  <c r="AR92" i="5"/>
  <c r="AW48" i="5"/>
  <c r="AX48" i="5"/>
  <c r="BI48" i="5"/>
  <c r="AW21" i="5"/>
  <c r="AX21" i="5"/>
  <c r="BI21" i="5"/>
  <c r="AR87" i="5"/>
  <c r="AJ87" i="5"/>
  <c r="AR90" i="5"/>
  <c r="AJ90" i="5"/>
  <c r="AD13" i="12"/>
  <c r="AE13" i="12"/>
  <c r="BI20" i="5"/>
  <c r="AW20" i="5"/>
  <c r="AX20" i="5"/>
  <c r="AR91" i="5"/>
  <c r="AJ91" i="5"/>
  <c r="AR27" i="5"/>
  <c r="AT27" i="5"/>
  <c r="AT28" i="5"/>
  <c r="AX9" i="5"/>
  <c r="BI23" i="5"/>
  <c r="AW22" i="5"/>
  <c r="AX22" i="5"/>
  <c r="BI22" i="5"/>
  <c r="AW28" i="5"/>
  <c r="AX28" i="5"/>
  <c r="BI28" i="5"/>
  <c r="AW78" i="5"/>
  <c r="AX78" i="5"/>
  <c r="BI78" i="5"/>
  <c r="AI13" i="12"/>
  <c r="AG13" i="12"/>
  <c r="BI27" i="5"/>
  <c r="AW27" i="5"/>
  <c r="AX27" i="5"/>
  <c r="AL86" i="5"/>
  <c r="AT86" i="5"/>
  <c r="AW86" i="5"/>
  <c r="AZ100" i="5"/>
  <c r="BA100" i="5"/>
  <c r="AX8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吴英格</author>
  </authors>
  <commentList>
    <comment ref="N11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GB/T13680-1992</t>
        </r>
      </text>
    </comment>
    <comment ref="AV18" authorId="1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含0.03元模摊，不含模摊0.6元</t>
        </r>
      </text>
    </comment>
    <comment ref="N31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GB/T13680-1992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L4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6" authorId="0" shapeId="0" xr:uid="{00000000-0006-0000-0600-000002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8" authorId="0" shapeId="0" xr:uid="{00000000-0006-0000-0600-000003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15" authorId="0" shapeId="0" xr:uid="{00000000-0006-0000-0600-000004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17" authorId="0" shapeId="0" xr:uid="{00000000-0006-0000-0600-000005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19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21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28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3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32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34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我司无图纸，按照厂家重量</t>
        </r>
      </text>
    </comment>
    <comment ref="L54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我司无图纸，按照厂家测算重量</t>
        </r>
      </text>
    </comment>
    <comment ref="L56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我司无图纸，按照厂家测算重量</t>
        </r>
      </text>
    </comment>
    <comment ref="G6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前期需求清单种写的是20#</t>
        </r>
      </text>
    </comment>
  </commentList>
</comments>
</file>

<file path=xl/sharedStrings.xml><?xml version="1.0" encoding="utf-8"?>
<sst xmlns="http://schemas.openxmlformats.org/spreadsheetml/2006/main" count="2205" uniqueCount="760">
  <si>
    <t>一汽轻卡减震座椅</t>
  </si>
  <si>
    <t>序号</t>
  </si>
  <si>
    <t>零件号</t>
  </si>
  <si>
    <t>零部件名称</t>
  </si>
  <si>
    <t>备注</t>
  </si>
  <si>
    <t>6800010HH26-C00
SLT0010666</t>
  </si>
  <si>
    <t>驾驶员座总成</t>
  </si>
  <si>
    <t>靠背通风+空气腰托</t>
  </si>
  <si>
    <t>6800010BH26-C00
SLT0010202</t>
  </si>
  <si>
    <t>电加热+靠背通风+空气腰托</t>
  </si>
  <si>
    <t>设计:</t>
  </si>
  <si>
    <t>校核：</t>
  </si>
  <si>
    <t>标准化：</t>
  </si>
  <si>
    <t>一汽轻卡减震驾驶员座总成EBOM清单</t>
  </si>
  <si>
    <t>会签：</t>
  </si>
  <si>
    <t>中文名称</t>
  </si>
  <si>
    <t xml:space="preserve">批准: </t>
  </si>
  <si>
    <t>日期：2021.9.17</t>
  </si>
  <si>
    <t>规格型号</t>
  </si>
  <si>
    <t>减震+靠背通风+空气腰托</t>
  </si>
  <si>
    <t>减震+靠背通风+加热+空气腰托</t>
  </si>
  <si>
    <t>版本：A</t>
  </si>
  <si>
    <t>车型配置</t>
  </si>
  <si>
    <t>说明：</t>
  </si>
  <si>
    <t>重量</t>
  </si>
  <si>
    <t>价格</t>
  </si>
  <si>
    <t>装配等级</t>
  </si>
  <si>
    <t>QAD号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</si>
  <si>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</si>
  <si>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</si>
  <si>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</si>
  <si>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</si>
  <si>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</si>
  <si>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</si>
  <si>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</si>
  <si>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</si>
  <si>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</si>
  <si>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</si>
  <si>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</si>
  <si>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</si>
  <si>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</si>
  <si>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设计重量
（Kg）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</si>
  <si>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</si>
  <si>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</si>
  <si>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</si>
  <si>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</si>
  <si>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</si>
  <si>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</si>
  <si>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</si>
  <si>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</si>
  <si>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</si>
  <si>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</si>
  <si>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</si>
  <si>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</si>
  <si>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</si>
  <si>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</si>
  <si>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</si>
  <si>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</si>
  <si>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</si>
  <si>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</si>
  <si>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</si>
  <si>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</si>
  <si>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用量</t>
  </si>
  <si>
    <t>通风成本</t>
  </si>
  <si>
    <t>通风加热成本</t>
  </si>
  <si>
    <t>是否有价格协议</t>
  </si>
  <si>
    <t>模摊</t>
  </si>
  <si>
    <t>采购问题项</t>
  </si>
  <si>
    <t>责任人</t>
  </si>
  <si>
    <t>完成时间</t>
  </si>
  <si>
    <t>长</t>
  </si>
  <si>
    <t>宽</t>
  </si>
  <si>
    <t>高</t>
  </si>
  <si>
    <t>模具费</t>
  </si>
  <si>
    <t>模摊件数</t>
  </si>
  <si>
    <t>模摊费用</t>
  </si>
  <si>
    <t>SLT0010412</t>
  </si>
  <si>
    <t>驾驶员扶手安装钣金焊接总成</t>
  </si>
  <si>
    <t>借用统帅</t>
  </si>
  <si>
    <t>个</t>
  </si>
  <si>
    <t>A</t>
  </si>
  <si>
    <t>N/A</t>
  </si>
  <si>
    <t>— —</t>
  </si>
  <si>
    <t>N</t>
  </si>
  <si>
    <t>Y</t>
  </si>
  <si>
    <t>分总成</t>
  </si>
  <si>
    <t>ASSY</t>
  </si>
  <si>
    <t>焊接</t>
  </si>
  <si>
    <t>河北外购</t>
  </si>
  <si>
    <t>沧州智凯</t>
  </si>
  <si>
    <t>采购核价</t>
  </si>
  <si>
    <t>吴英格</t>
  </si>
  <si>
    <t>SLT0010336</t>
  </si>
  <si>
    <t>钣金件</t>
  </si>
  <si>
    <t>SPFH590 3.0</t>
  </si>
  <si>
    <t>Q/BQB 301
Q/BQB 310</t>
  </si>
  <si>
    <t>54*29*90</t>
  </si>
  <si>
    <t>冲压</t>
  </si>
  <si>
    <t>85*84*3</t>
  </si>
  <si>
    <t>6.11</t>
  </si>
  <si>
    <t>BFA0000518</t>
  </si>
  <si>
    <t>焊接方螺母</t>
  </si>
  <si>
    <t>标准件
Q37108</t>
  </si>
  <si>
    <t>标准件</t>
  </si>
  <si>
    <t>M8</t>
  </si>
  <si>
    <t>SCS0004584</t>
  </si>
  <si>
    <t>320121300100</t>
  </si>
  <si>
    <t>头枕支管A</t>
  </si>
  <si>
    <t>借用C32B</t>
  </si>
  <si>
    <t>管材</t>
  </si>
  <si>
    <t>2.0
SPHC-P</t>
  </si>
  <si>
    <t>Q/BQB 301
Q/BQB 302</t>
  </si>
  <si>
    <t>77*50*2</t>
  </si>
  <si>
    <t>再兴</t>
  </si>
  <si>
    <t>刘志富</t>
  </si>
  <si>
    <t>SCS0004583</t>
  </si>
  <si>
    <t>320121300200</t>
  </si>
  <si>
    <t>头枕支管B</t>
  </si>
  <si>
    <t>SLT0002207</t>
  </si>
  <si>
    <t>6801612X2001A</t>
  </si>
  <si>
    <t>靠背风扇安装板</t>
  </si>
  <si>
    <t>C</t>
  </si>
  <si>
    <t>Q235 1.0</t>
  </si>
  <si>
    <t>GB/T 342
GB/T 700</t>
  </si>
  <si>
    <t>20*155*98</t>
  </si>
  <si>
    <t>155*100*1</t>
  </si>
  <si>
    <t>0.075</t>
  </si>
  <si>
    <t>4.87</t>
  </si>
  <si>
    <t>SLT0010760</t>
  </si>
  <si>
    <t>驾驶员靠背ECU固定钣金</t>
  </si>
  <si>
    <t>新开</t>
  </si>
  <si>
    <t>Q235 2.0</t>
  </si>
  <si>
    <t>240*10*2</t>
  </si>
  <si>
    <t>未定价</t>
  </si>
  <si>
    <t>采购定价</t>
  </si>
  <si>
    <t>SLT0010753</t>
  </si>
  <si>
    <t>驾驶员靠背网簧</t>
  </si>
  <si>
    <t>线材</t>
  </si>
  <si>
    <t>Φ3.0  65Mn</t>
  </si>
  <si>
    <t>SLT0010754</t>
  </si>
  <si>
    <t>驾驶员靠背网簧固定钣金</t>
  </si>
  <si>
    <t>34*20*1</t>
  </si>
  <si>
    <t>1B180-6805009</t>
  </si>
  <si>
    <t>司机背右旋转阶梯螺栓</t>
  </si>
  <si>
    <t>借用M4-2060</t>
  </si>
  <si>
    <t>紧固件</t>
  </si>
  <si>
    <t>φ20 45</t>
  </si>
  <si>
    <t>GB/T 342
GB/T 699</t>
  </si>
  <si>
    <t>20*21*20</t>
  </si>
  <si>
    <t>冷镦</t>
  </si>
  <si>
    <t>创和</t>
  </si>
  <si>
    <t>6801614X2001A</t>
  </si>
  <si>
    <t>驾驶员左侧侧翼支撑钢丝</t>
  </si>
  <si>
    <t>借用BA95</t>
  </si>
  <si>
    <t>Q235 φ6</t>
  </si>
  <si>
    <t>折弯</t>
  </si>
  <si>
    <t>海兴中盛</t>
  </si>
  <si>
    <t>采购降价</t>
  </si>
  <si>
    <t>SLT0002537</t>
  </si>
  <si>
    <t>6801621X2001A</t>
  </si>
  <si>
    <t>驾驶员调角器上连接板</t>
  </si>
  <si>
    <t>分总成
借用统帅</t>
  </si>
  <si>
    <t>QStE500TM 2.5</t>
  </si>
  <si>
    <t>276*80*2.5</t>
  </si>
  <si>
    <t>成卓</t>
  </si>
  <si>
    <t>SLT0002538</t>
  </si>
  <si>
    <t>6801622X2001A</t>
  </si>
  <si>
    <t>前排靠背复位卷簧限位支架</t>
  </si>
  <si>
    <t>32*31*3</t>
  </si>
  <si>
    <t>采购定价，目标价</t>
  </si>
  <si>
    <t>查QAD号</t>
  </si>
  <si>
    <t>SLT0010190</t>
  </si>
  <si>
    <t>复位卷簧下限位支架</t>
  </si>
  <si>
    <t>31*21*3</t>
  </si>
  <si>
    <t>SLT0010222</t>
  </si>
  <si>
    <t>驾驶员左侧调角器下连接板焊接总成</t>
  </si>
  <si>
    <t>文安恒德</t>
  </si>
  <si>
    <t>SLT0010223</t>
  </si>
  <si>
    <t>驾驶员左侧调角器下连接板</t>
  </si>
  <si>
    <t>QStE500TM 3.5</t>
  </si>
  <si>
    <t>电泳</t>
  </si>
  <si>
    <t>261*186*3.5</t>
  </si>
  <si>
    <t>6801634X2001A</t>
  </si>
  <si>
    <t>前排靠背复位卷簧安装支架</t>
  </si>
  <si>
    <t>B</t>
  </si>
  <si>
    <t>SAPH440 4.0</t>
  </si>
  <si>
    <t>54*25*4</t>
  </si>
  <si>
    <t>6.02</t>
  </si>
  <si>
    <t>6801635X2001A</t>
  </si>
  <si>
    <t>调角器下连接板上加强板</t>
  </si>
  <si>
    <t>79*73*2.5</t>
  </si>
  <si>
    <t>SLT0010230</t>
  </si>
  <si>
    <t>驾驶员座垫右侧安装板总成</t>
  </si>
  <si>
    <t>新开，分总成</t>
  </si>
  <si>
    <t>SLT0010231</t>
  </si>
  <si>
    <t>驾驶员座垫右侧安装板</t>
  </si>
  <si>
    <t>260*145*2.5</t>
  </si>
  <si>
    <t>BAS0000017</t>
  </si>
  <si>
    <t>321721801400</t>
  </si>
  <si>
    <t>中排独立软带轴承</t>
  </si>
  <si>
    <t>借用M60</t>
  </si>
  <si>
    <t>DC01 0.5</t>
  </si>
  <si>
    <t>——</t>
  </si>
  <si>
    <t>20*3.5*20</t>
  </si>
  <si>
    <t>QC /T712</t>
  </si>
  <si>
    <t>7/16'螺母</t>
  </si>
  <si>
    <t>SLT0010646</t>
  </si>
  <si>
    <t>扶手安装支架焊接总成</t>
  </si>
  <si>
    <t>泊头捷润</t>
  </si>
  <si>
    <t>SLT0010629</t>
  </si>
  <si>
    <t>扶手安装支架</t>
  </si>
  <si>
    <t>115*82*3</t>
  </si>
  <si>
    <t>SLT0010414</t>
  </si>
  <si>
    <t>扶手旋转轴</t>
  </si>
  <si>
    <t>45#</t>
  </si>
  <si>
    <t>SHT0011363</t>
  </si>
  <si>
    <t>焊接轴套</t>
  </si>
  <si>
    <t>借用H6，冷镦</t>
  </si>
  <si>
    <t>20#</t>
  </si>
  <si>
    <t>GB/T 702       GB/T699</t>
  </si>
  <si>
    <t>96*19*84</t>
  </si>
  <si>
    <t>SLT0010296</t>
  </si>
  <si>
    <t>驾驶员左侧滑轨总成</t>
  </si>
  <si>
    <t>地脚新开，分总成</t>
  </si>
  <si>
    <t>力乐</t>
  </si>
  <si>
    <t>查模摊</t>
  </si>
  <si>
    <t>纪内蒙</t>
  </si>
  <si>
    <t>SLT0002123</t>
  </si>
  <si>
    <t>6804540X2001A</t>
  </si>
  <si>
    <t>驾驶员右侧滑轨总成</t>
  </si>
  <si>
    <t>SLT0010550</t>
  </si>
  <si>
    <t>下底板焊接总成</t>
  </si>
  <si>
    <t>EA</t>
  </si>
  <si>
    <t>焊接总成件</t>
  </si>
  <si>
    <t>河北利达</t>
  </si>
  <si>
    <t>SLT0010660</t>
  </si>
  <si>
    <t>下底板焊接分总成</t>
  </si>
  <si>
    <t>SLT0010545</t>
  </si>
  <si>
    <t>减震器下底板</t>
  </si>
  <si>
    <t>SPFH590 /T=3.0</t>
  </si>
  <si>
    <t>3.0-Q /BQB 301
SPFH590-Q /BQB 310</t>
  </si>
  <si>
    <t>509*292*3</t>
  </si>
  <si>
    <t>SLT0010541</t>
  </si>
  <si>
    <t>阻尼器支架</t>
  </si>
  <si>
    <t>SAPH440 /T=3.0</t>
  </si>
  <si>
    <t>81*30*3</t>
  </si>
  <si>
    <t>SLT0010546</t>
  </si>
  <si>
    <t>直线阀下支架</t>
  </si>
  <si>
    <t>SAPH440 /T=2.0</t>
  </si>
  <si>
    <t>56*17*2</t>
  </si>
  <si>
    <t>SLT0010540</t>
  </si>
  <si>
    <t>滚轮下滑槽</t>
  </si>
  <si>
    <t>79*74*3</t>
  </si>
  <si>
    <t>SLT0010543</t>
  </si>
  <si>
    <t>滑轨左连接板1</t>
  </si>
  <si>
    <t>218*91*3</t>
  </si>
  <si>
    <t>SLT0010641</t>
  </si>
  <si>
    <t>滑轨左连接板2</t>
  </si>
  <si>
    <t>158*91*3</t>
  </si>
  <si>
    <t>SLT0010544</t>
  </si>
  <si>
    <t>滑轨右连接板1</t>
  </si>
  <si>
    <t>218*155*3</t>
  </si>
  <si>
    <t>SLT0010642</t>
  </si>
  <si>
    <t>滑轨右连接板2</t>
  </si>
  <si>
    <t>160*159*3</t>
  </si>
  <si>
    <t>SLT0010551</t>
  </si>
  <si>
    <t>上盖板焊接总成</t>
  </si>
  <si>
    <t>采购降价，采购价格是否有问题？</t>
  </si>
  <si>
    <t>SLT0010659</t>
  </si>
  <si>
    <t>上盖板焊接分总成</t>
  </si>
  <si>
    <t>SLT0010570</t>
  </si>
  <si>
    <t>减震器上盖板分总成</t>
  </si>
  <si>
    <t>SLT0010539</t>
  </si>
  <si>
    <t>减震器上盖板</t>
  </si>
  <si>
    <t>500*283*3</t>
  </si>
  <si>
    <t>BFA0000316</t>
  </si>
  <si>
    <t>M6</t>
  </si>
  <si>
    <t>SLT0010553</t>
  </si>
  <si>
    <t>上盖板加强件</t>
  </si>
  <si>
    <t>18*7*3</t>
  </si>
  <si>
    <t>SLT0010564</t>
  </si>
  <si>
    <t>滚轮上滑槽</t>
  </si>
  <si>
    <t>74*74*3</t>
  </si>
  <si>
    <t>SLT0010552</t>
  </si>
  <si>
    <t>左调角器焊接组件</t>
  </si>
  <si>
    <t>点焊</t>
  </si>
  <si>
    <t>SLT0010537</t>
  </si>
  <si>
    <t>调角器左连接板</t>
  </si>
  <si>
    <t>177*101*3</t>
  </si>
  <si>
    <t>Q37108</t>
  </si>
  <si>
    <t>SLT0010558</t>
  </si>
  <si>
    <t>右调角器焊接组件</t>
  </si>
  <si>
    <t>SLT0010538</t>
  </si>
  <si>
    <t>调角器右连接板</t>
  </si>
  <si>
    <t>200*191*3</t>
  </si>
  <si>
    <t>SLT0010557</t>
  </si>
  <si>
    <t>外绞架支撑板组件</t>
  </si>
  <si>
    <t>航天宏达</t>
  </si>
  <si>
    <t>查定价资料</t>
  </si>
  <si>
    <t>SLT0010547</t>
  </si>
  <si>
    <t>外绞架支撑板</t>
  </si>
  <si>
    <t>SPFH590 /T=6.0</t>
  </si>
  <si>
    <t>T=6</t>
  </si>
  <si>
    <t>340*12*6</t>
  </si>
  <si>
    <t>SLT0010684</t>
  </si>
  <si>
    <t>外绞架轴套组件</t>
  </si>
  <si>
    <t>装配总成件</t>
  </si>
  <si>
    <t>SLT0010535</t>
  </si>
  <si>
    <t>钢轴套1</t>
  </si>
  <si>
    <t>SLT0010524</t>
  </si>
  <si>
    <t>外绞架轴套</t>
  </si>
  <si>
    <t>非标件</t>
  </si>
  <si>
    <t>SWRCH35K</t>
  </si>
  <si>
    <t>Q /BQB 501
SWRCH35K-Q /BQB 517</t>
  </si>
  <si>
    <t>SLT0010549</t>
  </si>
  <si>
    <t>外绞架加强板</t>
  </si>
  <si>
    <t>Q235-A</t>
  </si>
  <si>
    <t>159*20.5*6</t>
  </si>
  <si>
    <t>泊头智凯</t>
  </si>
  <si>
    <t>SLT0010559</t>
  </si>
  <si>
    <t>外绞架加强片</t>
  </si>
  <si>
    <t>24*11*3</t>
  </si>
  <si>
    <t>SLT0010556</t>
  </si>
  <si>
    <t>内绞架支撑板组件</t>
  </si>
  <si>
    <t>SLT0010548</t>
  </si>
  <si>
    <t>内绞架支撑板</t>
  </si>
  <si>
    <t>322*40*6</t>
  </si>
  <si>
    <t>SLT0010269</t>
  </si>
  <si>
    <t>内绞架螺母轴套</t>
  </si>
  <si>
    <t>SLT0010528</t>
  </si>
  <si>
    <t>直线阀固定轴</t>
  </si>
  <si>
    <t>机加</t>
  </si>
  <si>
    <t>SLT0010565</t>
  </si>
  <si>
    <t>内绞架加强片</t>
  </si>
  <si>
    <t>SLT0010525</t>
  </si>
  <si>
    <t>内外绞架连接螺栓</t>
  </si>
  <si>
    <t>兴岳</t>
  </si>
  <si>
    <t>BFA0010072</t>
  </si>
  <si>
    <t>Q436220</t>
  </si>
  <si>
    <t>开口挡圈</t>
  </si>
  <si>
    <t>Φ22</t>
  </si>
  <si>
    <t>北京三浦</t>
  </si>
  <si>
    <t>重点降本</t>
  </si>
  <si>
    <t>采购降价？</t>
  </si>
  <si>
    <t>徐海峰</t>
  </si>
  <si>
    <t>SLT0010533</t>
  </si>
  <si>
    <t>上限位块</t>
  </si>
  <si>
    <t>塑料件</t>
  </si>
  <si>
    <t>橡胶</t>
  </si>
  <si>
    <t>注塑</t>
  </si>
  <si>
    <t>5%损耗</t>
  </si>
  <si>
    <t>日照浩利</t>
  </si>
  <si>
    <t>SLT0010534</t>
  </si>
  <si>
    <t>下限位块</t>
  </si>
  <si>
    <t>SHT0001187</t>
  </si>
  <si>
    <t>ZKGJ-6804060-51</t>
  </si>
  <si>
    <t>尼龙滚轮</t>
  </si>
  <si>
    <t>PA66杜邦</t>
  </si>
  <si>
    <t>4%损耗</t>
  </si>
  <si>
    <t>瑞隆祥</t>
  </si>
  <si>
    <t>是否有镶件？</t>
  </si>
  <si>
    <t>量本利谈价</t>
  </si>
  <si>
    <t>5万个</t>
  </si>
  <si>
    <t>10万个</t>
  </si>
  <si>
    <t>SLT0010563</t>
  </si>
  <si>
    <t>阻尼器总成</t>
  </si>
  <si>
    <t>路得坦摩</t>
  </si>
  <si>
    <t>目标价20元</t>
  </si>
  <si>
    <t>目标价15-17元</t>
  </si>
  <si>
    <t>SLT0010573</t>
  </si>
  <si>
    <t>下底板固定块组件</t>
  </si>
  <si>
    <t>机加工件</t>
  </si>
  <si>
    <t>文安万达</t>
  </si>
  <si>
    <t>塑料件+镶件，立项修改技术方案</t>
  </si>
  <si>
    <t>SLT0010522</t>
  </si>
  <si>
    <t>下底板固定块</t>
  </si>
  <si>
    <t>SLT0010536</t>
  </si>
  <si>
    <t>钢轴套2</t>
  </si>
  <si>
    <t>SLT0010574</t>
  </si>
  <si>
    <t>上盖板固定块组件</t>
  </si>
  <si>
    <t>SLT0010523</t>
  </si>
  <si>
    <t>上盖板固定块</t>
  </si>
  <si>
    <t>SLT0010630</t>
  </si>
  <si>
    <t>座框钢丝支撑焊接总成</t>
  </si>
  <si>
    <t>SLT0010631</t>
  </si>
  <si>
    <t>座框钢丝前端固定钣金</t>
  </si>
  <si>
    <t>67*44*3</t>
  </si>
  <si>
    <t>SLT0010683</t>
  </si>
  <si>
    <t>座框钢丝后端固定钣金</t>
  </si>
  <si>
    <t>SLT0010693</t>
  </si>
  <si>
    <t>60*42*3</t>
  </si>
  <si>
    <t>SLT0010648</t>
  </si>
  <si>
    <t>座框支撑钢丝A</t>
  </si>
  <si>
    <t>SLT0010649</t>
  </si>
  <si>
    <t>座框支撑钢丝B</t>
  </si>
  <si>
    <t>SLT0010650</t>
  </si>
  <si>
    <t>座框支撑钢丝C</t>
  </si>
  <si>
    <t>SLT0010652</t>
  </si>
  <si>
    <t>座框支撑钢丝E</t>
  </si>
  <si>
    <t>SLT0010694</t>
  </si>
  <si>
    <t>坐垫泡沫前段支撑钢丝</t>
  </si>
  <si>
    <t>Q235 φ5</t>
  </si>
  <si>
    <t>SLT0010653</t>
  </si>
  <si>
    <t>座框护面固定钢丝A</t>
  </si>
  <si>
    <t>SLT0010654</t>
  </si>
  <si>
    <t>座框护面固定钢丝B</t>
  </si>
  <si>
    <t>SLT0010655</t>
  </si>
  <si>
    <t>座框护面固定钢丝C</t>
  </si>
  <si>
    <t>SLT0010733</t>
  </si>
  <si>
    <t>驾驶员左侧护板-加热+通风+空气腰托</t>
  </si>
  <si>
    <t>新开（统帅护板基础上，增加加热安装孔+通风安装孔+腰托安装孔）</t>
  </si>
  <si>
    <t>2.5
PP-TP15</t>
  </si>
  <si>
    <t>黄骅雍丰</t>
  </si>
  <si>
    <t>SLT0010632</t>
  </si>
  <si>
    <t>驾驶员右侧护板</t>
  </si>
  <si>
    <t>PP-TP15 2.5</t>
  </si>
  <si>
    <t>SLT0010345</t>
  </si>
  <si>
    <t>驾驶员调角器手柄</t>
  </si>
  <si>
    <t>2.5
PA6+GF30</t>
  </si>
  <si>
    <t>汇铭</t>
  </si>
  <si>
    <t>0.043</t>
  </si>
  <si>
    <t>17</t>
  </si>
  <si>
    <t>预计降价</t>
  </si>
  <si>
    <t>QAD编码</t>
  </si>
  <si>
    <t>照片</t>
  </si>
  <si>
    <t>数量</t>
  </si>
  <si>
    <t>吨位</t>
  </si>
  <si>
    <t>净重kg</t>
  </si>
  <si>
    <t>毛重kg</t>
  </si>
  <si>
    <t>模穴</t>
  </si>
  <si>
    <t>原料单价/KG</t>
  </si>
  <si>
    <t>烘料时间</t>
  </si>
  <si>
    <t>周期</t>
  </si>
  <si>
    <t>人员</t>
  </si>
  <si>
    <t>设备</t>
  </si>
  <si>
    <t>机台功率     Kw</t>
  </si>
  <si>
    <t>烘料马达电热功率</t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</si>
  <si>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</si>
  <si>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</si>
  <si>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</si>
  <si>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</si>
  <si>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</si>
  <si>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</si>
  <si>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</si>
  <si>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</si>
  <si>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</si>
  <si>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</si>
  <si>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</si>
  <si>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</si>
  <si>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</si>
  <si>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>核算价格 A</t>
  </si>
  <si>
    <t>烘料</t>
  </si>
  <si>
    <t>机台</t>
  </si>
  <si>
    <t>SCS0004184</t>
  </si>
  <si>
    <t>头枕主插管-（锁止端）</t>
  </si>
  <si>
    <t>250T</t>
  </si>
  <si>
    <t>1+1</t>
  </si>
  <si>
    <t>PP-TP20</t>
  </si>
  <si>
    <t>SCS0004173</t>
  </si>
  <si>
    <t>头枕副插管-（自由端）</t>
  </si>
  <si>
    <t>200T</t>
  </si>
  <si>
    <t>1*8</t>
  </si>
  <si>
    <t>PA66</t>
  </si>
  <si>
    <t>SLT0010732</t>
  </si>
  <si>
    <t>驾驶员左侧护板-通风＋空气腰托</t>
  </si>
  <si>
    <t>450T</t>
  </si>
  <si>
    <t>300T</t>
  </si>
  <si>
    <t>208T</t>
  </si>
  <si>
    <t>金蝶号</t>
  </si>
  <si>
    <t>原料单价</t>
  </si>
  <si>
    <t>马达电热功率</t>
  </si>
  <si>
    <t>（荣昌规定损耗5%）产品材料损耗（实际%）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</si>
  <si>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2小时</t>
    </r>
    <r>
      <rPr>
        <sz val="11"/>
        <rFont val="宋体"/>
        <family val="3"/>
        <charset val="134"/>
      </rPr>
      <t>开模数</t>
    </r>
  </si>
  <si>
    <t>螺母</t>
  </si>
  <si>
    <t>瑞隆祥报价 B</t>
  </si>
  <si>
    <t>差额（核算与瑞隆祥）     B-A</t>
  </si>
  <si>
    <t>审批价格  C</t>
  </si>
  <si>
    <t>差额（核算与审批）     C-A</t>
  </si>
  <si>
    <t>2.0平台接头</t>
  </si>
  <si>
    <t>BPC0010012</t>
  </si>
  <si>
    <t>卡箍4mm</t>
  </si>
  <si>
    <t>HTF86/TJ</t>
  </si>
  <si>
    <t>POM</t>
  </si>
  <si>
    <t>原价格：0.26</t>
  </si>
  <si>
    <t>BPC0010100</t>
  </si>
  <si>
    <t>卡箍6mm</t>
  </si>
  <si>
    <t>1*2</t>
  </si>
  <si>
    <t>SA600/150</t>
  </si>
  <si>
    <t>原价格：0.22</t>
  </si>
  <si>
    <t>轻卡减震提升及H4-2.2方案新开件-线材</t>
  </si>
  <si>
    <t>种类</t>
  </si>
  <si>
    <t>3D/2D图号/版本号</t>
  </si>
  <si>
    <t>部件名称</t>
  </si>
  <si>
    <t>图片</t>
  </si>
  <si>
    <t>单台用量</t>
  </si>
  <si>
    <t>2.7图纸点检</t>
  </si>
  <si>
    <t>3D数据</t>
  </si>
  <si>
    <t>海兴中盛未税报价</t>
  </si>
  <si>
    <t>海兴中盛未税最终报价</t>
  </si>
  <si>
    <t>河北核算价</t>
  </si>
  <si>
    <t>公斤价格</t>
  </si>
  <si>
    <t>北京目标价格</t>
  </si>
  <si>
    <t>最终定价</t>
  </si>
  <si>
    <t>SLT0010781</t>
  </si>
  <si>
    <t>肩部支撑钢丝A</t>
  </si>
  <si>
    <t>Q235/Φ6</t>
  </si>
  <si>
    <t>/</t>
  </si>
  <si>
    <t>福田M4</t>
  </si>
  <si>
    <t>√</t>
  </si>
  <si>
    <t>SLT0010782</t>
  </si>
  <si>
    <t>肩部支撑钢丝B</t>
  </si>
  <si>
    <t>SLT0010783</t>
  </si>
  <si>
    <t>头枕支撑钢丝</t>
  </si>
  <si>
    <t>SLT0010751</t>
  </si>
  <si>
    <t>驾驶员靠背弯管</t>
  </si>
  <si>
    <t xml:space="preserve">B340LA </t>
  </si>
  <si>
    <t>轻卡减震舒适性提升</t>
  </si>
  <si>
    <t>自制</t>
  </si>
  <si>
    <r>
      <rPr>
        <sz val="10.5"/>
        <color theme="1"/>
        <rFont val="Calibri"/>
        <family val="2"/>
      </rPr>
      <t>Φ</t>
    </r>
    <r>
      <rPr>
        <sz val="10.5"/>
        <color theme="1"/>
        <rFont val="宋体"/>
        <family val="3"/>
        <charset val="134"/>
      </rPr>
      <t>3.2  65Mn</t>
    </r>
  </si>
  <si>
    <t>SLT0010755</t>
  </si>
  <si>
    <t>驾驶员靠背预埋钢丝A</t>
  </si>
  <si>
    <t>60 φ2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</si>
  <si>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</si>
  <si>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</si>
  <si>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</si>
  <si>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</si>
  <si>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</si>
  <si>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</si>
  <si>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</si>
  <si>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</si>
  <si>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</si>
  <si>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</si>
  <si>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</si>
  <si>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</si>
  <si>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</si>
  <si>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</si>
  <si>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</si>
  <si>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</si>
  <si>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SLT0010768</t>
  </si>
  <si>
    <t>驾驶员靠背下弯管</t>
  </si>
  <si>
    <r>
      <rPr>
        <sz val="10.5"/>
        <color theme="1"/>
        <rFont val="宋体"/>
        <family val="3"/>
        <charset val="134"/>
      </rPr>
      <t xml:space="preserve">Q235 </t>
    </r>
    <r>
      <rPr>
        <sz val="10.5"/>
        <color theme="1"/>
        <rFont val="Calibri"/>
        <family val="2"/>
      </rPr>
      <t>φ</t>
    </r>
    <r>
      <rPr>
        <sz val="10.5"/>
        <color theme="1"/>
        <rFont val="宋体"/>
        <family val="3"/>
        <charset val="134"/>
      </rPr>
      <t>20×1.5</t>
    </r>
  </si>
  <si>
    <t>SHT0011065</t>
  </si>
  <si>
    <t>预埋钢丝A</t>
  </si>
  <si>
    <t>60#</t>
  </si>
  <si>
    <t>H4-2.2座椅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</si>
  <si>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</si>
  <si>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</si>
  <si>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</si>
  <si>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</si>
  <si>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</si>
  <si>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</si>
  <si>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</si>
  <si>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</si>
  <si>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</si>
  <si>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</si>
  <si>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</si>
  <si>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</si>
  <si>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</si>
  <si>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</si>
  <si>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</si>
  <si>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</si>
  <si>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物料名称</t>
  </si>
  <si>
    <t>价格（未税）</t>
  </si>
  <si>
    <t>供应商</t>
  </si>
  <si>
    <t>BPC0010161</t>
  </si>
  <si>
    <t>轻卡座椅悬浮阀总成</t>
  </si>
  <si>
    <t>安路普（北京）汽车技术有限公司 昌平分公司</t>
  </si>
  <si>
    <t xml:space="preserve">SLT0010277 </t>
  </si>
  <si>
    <t>轻卡座椅气囊总成</t>
  </si>
  <si>
    <t>BPC0000063</t>
  </si>
  <si>
    <t>驾驶员靠背腰托总成</t>
  </si>
  <si>
    <t>北京美好生活家居用品有限公司</t>
  </si>
  <si>
    <t>BCL0010006</t>
  </si>
  <si>
    <t>气管卡扣</t>
  </si>
  <si>
    <t>北京瑞隆祥模具有限公司</t>
  </si>
  <si>
    <t>φ6卡箍</t>
  </si>
  <si>
    <t>BFA0010072(零件号Q436220）</t>
  </si>
  <si>
    <t>开口挡圈（Φ22）</t>
  </si>
  <si>
    <t>北京三浦有限责任公司</t>
  </si>
  <si>
    <t>BPC0000065</t>
  </si>
  <si>
    <t>驾驶员腰托开关</t>
  </si>
  <si>
    <t>慈溪市维克多自控元件有限公司</t>
  </si>
  <si>
    <t>SLT0010347</t>
  </si>
  <si>
    <t>扶手总成</t>
  </si>
  <si>
    <t>杭州阳晨聚氨酯制品有限公司</t>
  </si>
  <si>
    <t>SLT0010423</t>
  </si>
  <si>
    <t>扶手固定螺栓</t>
  </si>
  <si>
    <t>SLT0010427</t>
  </si>
  <si>
    <t>扶手堵盖C</t>
  </si>
  <si>
    <t>黄骅市汇铭汽车部件有限公司</t>
  </si>
  <si>
    <t>SCS0004029</t>
  </si>
  <si>
    <t>头枕主插管</t>
  </si>
  <si>
    <t>黄骅市雍丰塑料制品有限公司</t>
  </si>
  <si>
    <t>SCS0004036</t>
  </si>
  <si>
    <t>头枕副插管</t>
  </si>
  <si>
    <t>SHT0010958</t>
  </si>
  <si>
    <t>风扇</t>
  </si>
  <si>
    <t>吉林省德邦汽车电子有限公司</t>
  </si>
  <si>
    <t>SHT0010959</t>
  </si>
  <si>
    <t>减震钉</t>
  </si>
  <si>
    <t>SLT0002421</t>
  </si>
  <si>
    <t>靠背通风袋体</t>
  </si>
  <si>
    <t>BEC0010135</t>
  </si>
  <si>
    <t>靠背加热垫总成</t>
  </si>
  <si>
    <t>BEC0010136</t>
  </si>
  <si>
    <t>坐垫加热垫总成</t>
  </si>
  <si>
    <t>BEC0010141</t>
  </si>
  <si>
    <t>ECU及通风线束总成</t>
  </si>
  <si>
    <t>SHT0010954</t>
  </si>
  <si>
    <t>通风开关总成</t>
  </si>
  <si>
    <t>BEC0010142</t>
  </si>
  <si>
    <t>加热开关总成</t>
  </si>
  <si>
    <t>LAD3005(TSY0000701)</t>
  </si>
  <si>
    <t>通风主料</t>
  </si>
  <si>
    <t>江苏艾文德悦达汽车内饰有限责任公司</t>
  </si>
  <si>
    <t>LA1528E(TSY0000692)</t>
  </si>
  <si>
    <t>辅料</t>
  </si>
  <si>
    <t>江苏力乐汽车部件股份有限公司</t>
  </si>
  <si>
    <t>SLT0002123(6804540X2001A)</t>
  </si>
  <si>
    <t>SLT0010297</t>
  </si>
  <si>
    <t>驾驶员滑轨U型把手</t>
  </si>
  <si>
    <t>SLT0002545</t>
  </si>
  <si>
    <t>左侧手动调角器总成</t>
  </si>
  <si>
    <t>TSY0000426</t>
  </si>
  <si>
    <t>毛毡</t>
  </si>
  <si>
    <t>曲阜陆航座椅辅料有限公司</t>
  </si>
  <si>
    <t>日照浩利橡塑有限公司</t>
  </si>
  <si>
    <t>TSY0010347</t>
  </si>
  <si>
    <t>吊紧带</t>
  </si>
  <si>
    <t>上海绽奇工贸有限公司</t>
  </si>
  <si>
    <t>TSY0010348</t>
  </si>
  <si>
    <t>TSY0010349</t>
  </si>
  <si>
    <t>SLT0010094</t>
  </si>
  <si>
    <t>无纺布+PP条</t>
  </si>
  <si>
    <t>SLT0010095</t>
  </si>
  <si>
    <t>SLT0010096</t>
  </si>
  <si>
    <t>SLT0010097</t>
  </si>
  <si>
    <t>KT-17</t>
  </si>
  <si>
    <t>共聚 PP</t>
  </si>
  <si>
    <t>KT-16</t>
  </si>
  <si>
    <t>黑色拉链</t>
  </si>
  <si>
    <t>尼龙+树脂</t>
  </si>
  <si>
    <t>SLT0010734</t>
  </si>
  <si>
    <t>靠背海绵1</t>
  </si>
  <si>
    <t>天津琪安科技有限公司</t>
  </si>
  <si>
    <t>SLT0010735</t>
  </si>
  <si>
    <t>靠背海绵2</t>
  </si>
  <si>
    <t>SLT0010736</t>
  </si>
  <si>
    <t>坐垫海绵1</t>
  </si>
  <si>
    <t>SLT0010737</t>
  </si>
  <si>
    <t>坐垫海绵2</t>
  </si>
  <si>
    <t>阻尼器</t>
  </si>
  <si>
    <t>浙江路得坦摩汽车部件股份有限公司</t>
  </si>
  <si>
    <t>SLT0010315</t>
  </si>
  <si>
    <t>安全带插锁总成</t>
  </si>
  <si>
    <t>浙江万里安全器材制造有限公司</t>
  </si>
  <si>
    <t>名称</t>
  </si>
  <si>
    <t>零件名称</t>
  </si>
  <si>
    <t>耗用量</t>
  </si>
  <si>
    <t>直径</t>
  </si>
  <si>
    <t>下料尺寸mm</t>
  </si>
  <si>
    <t>含税单价</t>
  </si>
  <si>
    <t>材料费</t>
  </si>
  <si>
    <t>加工成本</t>
  </si>
  <si>
    <t>不含税单价</t>
  </si>
  <si>
    <t>厂家报价（不含税）</t>
  </si>
  <si>
    <t>废铁</t>
  </si>
  <si>
    <t>毛重</t>
  </si>
  <si>
    <t>实际称重</t>
  </si>
  <si>
    <t>工序</t>
  </si>
  <si>
    <t>次数</t>
  </si>
  <si>
    <t>工序费</t>
  </si>
  <si>
    <t>总工序费</t>
  </si>
  <si>
    <t>海兴中盛10.5-9.5元/kg,包工包料</t>
  </si>
  <si>
    <r>
      <rPr>
        <sz val="10"/>
        <rFont val="宋体"/>
        <family val="3"/>
        <charset val="134"/>
      </rPr>
      <t>Q235/</t>
    </r>
    <r>
      <rPr>
        <sz val="10"/>
        <rFont val="Calibri"/>
        <family val="2"/>
      </rPr>
      <t>φ</t>
    </r>
    <r>
      <rPr>
        <sz val="10"/>
        <rFont val="宋体"/>
        <family val="3"/>
        <charset val="134"/>
      </rPr>
      <t>6.0</t>
    </r>
  </si>
  <si>
    <t>截料折弯</t>
  </si>
  <si>
    <t>检具检验</t>
  </si>
  <si>
    <t>25*2</t>
  </si>
  <si>
    <t>拍扁</t>
  </si>
  <si>
    <t>80T</t>
  </si>
  <si>
    <r>
      <rPr>
        <sz val="10"/>
        <rFont val="宋体"/>
        <family val="3"/>
        <charset val="134"/>
      </rPr>
      <t>65Mn/</t>
    </r>
    <r>
      <rPr>
        <sz val="10"/>
        <rFont val="Calibri"/>
        <family val="2"/>
      </rPr>
      <t>Φ</t>
    </r>
    <r>
      <rPr>
        <sz val="10"/>
        <rFont val="宋体"/>
        <family val="3"/>
        <charset val="134"/>
      </rPr>
      <t>3.2</t>
    </r>
  </si>
  <si>
    <r>
      <rPr>
        <sz val="10"/>
        <rFont val="宋体"/>
        <family val="3"/>
        <charset val="134"/>
      </rPr>
      <t>?/</t>
    </r>
    <r>
      <rPr>
        <sz val="10"/>
        <rFont val="Calibri"/>
        <family val="2"/>
      </rPr>
      <t>Φ</t>
    </r>
    <r>
      <rPr>
        <sz val="10"/>
        <rFont val="宋体"/>
        <family val="3"/>
        <charset val="134"/>
      </rPr>
      <t>2</t>
    </r>
  </si>
  <si>
    <t>摆件</t>
  </si>
  <si>
    <t>整形</t>
  </si>
  <si>
    <r>
      <rPr>
        <sz val="10"/>
        <rFont val="宋体"/>
        <family val="3"/>
        <charset val="134"/>
      </rPr>
      <t xml:space="preserve">Q235 </t>
    </r>
    <r>
      <rPr>
        <sz val="10"/>
        <rFont val="Calibri"/>
        <family val="2"/>
      </rPr>
      <t>φ</t>
    </r>
    <r>
      <rPr>
        <sz val="10"/>
        <rFont val="宋体"/>
        <family val="3"/>
        <charset val="134"/>
      </rPr>
      <t>20×1.5</t>
    </r>
  </si>
  <si>
    <t>SHT0011513</t>
  </si>
  <si>
    <t>靠背泡沫预埋钢丝4</t>
  </si>
  <si>
    <t>2022.2.13李宁再次确认取消了</t>
  </si>
  <si>
    <t>SHT0011072</t>
  </si>
  <si>
    <t>坐垫泡沫预埋钢丝3.1</t>
  </si>
  <si>
    <t>SHT0011597</t>
  </si>
  <si>
    <t>坐垫泡沫预埋钢丝4.1</t>
  </si>
  <si>
    <t>接受最低价</t>
    <phoneticPr fontId="51" type="noConversion"/>
  </si>
  <si>
    <t>说明</t>
    <phoneticPr fontId="51" type="noConversion"/>
  </si>
  <si>
    <t>结论</t>
    <phoneticPr fontId="51" type="noConversion"/>
  </si>
  <si>
    <t>SLT0010412</t>
    <phoneticPr fontId="51" type="noConversion"/>
  </si>
  <si>
    <t>驾驶员扶手安装钣金</t>
    <phoneticPr fontId="51" type="noConversion"/>
  </si>
  <si>
    <t>焊接方螺母</t>
    <phoneticPr fontId="51" type="noConversion"/>
  </si>
  <si>
    <t>BFA0000518</t>
    <phoneticPr fontId="51" type="noConversion"/>
  </si>
  <si>
    <t>SLT0010760</t>
    <phoneticPr fontId="51" type="noConversion"/>
  </si>
  <si>
    <t>海兴中盛最低价0.96元</t>
    <phoneticPr fontId="51" type="noConversion"/>
  </si>
  <si>
    <t>BFA0000775</t>
    <phoneticPr fontId="51" type="noConversion"/>
  </si>
  <si>
    <t>SLT0002555</t>
    <phoneticPr fontId="51" type="noConversion"/>
  </si>
  <si>
    <t>SLT0010646</t>
    <phoneticPr fontId="51" type="noConversion"/>
  </si>
  <si>
    <t>SLT0010557</t>
    <phoneticPr fontId="51" type="noConversion"/>
  </si>
  <si>
    <t>SLT0010630</t>
    <phoneticPr fontId="51" type="noConversion"/>
  </si>
  <si>
    <t>1.生产效率低，6-7个工人一天出400个件
2.目标价仅够成本
3.可以找其他人对比</t>
    <phoneticPr fontId="51" type="noConversion"/>
  </si>
  <si>
    <t>1.生产效率低，6-7个工人出400个件
2.目标价仅够成本
3.可以找其他人对比</t>
    <phoneticPr fontId="51" type="noConversion"/>
  </si>
  <si>
    <t xml:space="preserve">1.总重量1.723kg
2.不含电泳未税23元
3.电泳荣昌自行进行
</t>
    <phoneticPr fontId="51" type="noConversion"/>
  </si>
  <si>
    <t>1.前期投入很多人力物力去改善、开发焊胎，另公司设变未收取费用
2.支持公司降本，但等下半年产品生产稳定后，通过提高生产效率或优化结构，来看能降低多少成本.目前此价无法调整</t>
    <phoneticPr fontId="51" type="noConversion"/>
  </si>
  <si>
    <t>1.前期投入很多人力物力去改善、开发焊胎，另公司设变未收取费用
2.支持公司降本，但等下半年产品生产稳定后，通过提高生产效率或优化结构，来看能降低多少成本，目前此价无法调整</t>
    <phoneticPr fontId="51" type="noConversion"/>
  </si>
  <si>
    <t>利达稳定后2022.6.1签订新的价格协议，5月份就开始谈判，量本利进行谈判</t>
    <phoneticPr fontId="51" type="noConversion"/>
  </si>
  <si>
    <t>利达稳定后2022.6.1签订新的价格协议，5月份就开始谈判，量本利进行谈判</t>
    <phoneticPr fontId="51" type="noConversion"/>
  </si>
  <si>
    <t>这个没有说明</t>
  </si>
  <si>
    <t>这个没有说明</t>
    <phoneticPr fontId="51" type="noConversion"/>
  </si>
  <si>
    <t>这个没有说明</t>
    <phoneticPr fontId="51" type="noConversion"/>
  </si>
  <si>
    <t>河北外购谁的？清算模具自制</t>
    <phoneticPr fontId="51" type="noConversion"/>
  </si>
  <si>
    <t>钢丝类的成本重新核算</t>
    <phoneticPr fontId="51" type="noConversion"/>
  </si>
  <si>
    <t>没有说明</t>
    <phoneticPr fontId="51" type="noConversion"/>
  </si>
  <si>
    <t>第一步同意电泳荣昌自行进行23元签订价格协议；第二步进一步核算，还存在差价荣昌自制或者二次布点</t>
    <phoneticPr fontId="51" type="noConversion"/>
  </si>
  <si>
    <t>暂时不动，技术立项设变</t>
    <phoneticPr fontId="51" type="noConversion"/>
  </si>
  <si>
    <t>成本根据提供资料重新核算</t>
    <phoneticPr fontId="51" type="noConversion"/>
  </si>
  <si>
    <t xml:space="preserve"> 明康 索取欠款20万北京</t>
    <phoneticPr fontId="48" type="noConversion"/>
  </si>
  <si>
    <t>清算账款后再议价</t>
    <phoneticPr fontId="48" type="noConversion"/>
  </si>
  <si>
    <t>暂时不动</t>
    <phoneticPr fontId="51" type="noConversion"/>
  </si>
  <si>
    <t>供应商不同意目标价</t>
    <phoneticPr fontId="51" type="noConversion"/>
  </si>
  <si>
    <t>钢丝类的成本重新核算</t>
    <phoneticPr fontId="51" type="noConversion"/>
  </si>
  <si>
    <t>成本重新核算</t>
    <phoneticPr fontId="51" type="noConversion"/>
  </si>
  <si>
    <t>分摊一半模具费1.05，电费1.18/度。烘料时间2小时，原材料14元/kg核算后单价6.76+1.05=7.81-8.38</t>
    <phoneticPr fontId="51" type="noConversion"/>
  </si>
  <si>
    <t>同意降低0.57元</t>
    <phoneticPr fontId="51" type="noConversion"/>
  </si>
  <si>
    <t>同意降低0.18元</t>
    <phoneticPr fontId="51" type="noConversion"/>
  </si>
  <si>
    <t>含模摊1.775+1.32=3.095-3.275=0.18</t>
    <phoneticPr fontId="51" type="noConversion"/>
  </si>
  <si>
    <t>含模摊0.215+0.96=1.175-1.515=0.34</t>
    <phoneticPr fontId="51" type="noConversion"/>
  </si>
  <si>
    <t>谈判中</t>
    <phoneticPr fontId="51" type="noConversion"/>
  </si>
  <si>
    <t>厂家反馈价格无下降空间，因需求量小，原材价格上涨等，正在做详细报价</t>
  </si>
  <si>
    <t>收回自制
5.10完成</t>
    <phoneticPr fontId="51" type="noConversion"/>
  </si>
  <si>
    <t>更换供应商</t>
    <phoneticPr fontId="51" type="noConversion"/>
  </si>
  <si>
    <t>模摊0.08，新价格上限位块1.1下限位块1.9</t>
  </si>
  <si>
    <t>模摊0.08，新价格上限位块1.1下限位块1.10</t>
  </si>
  <si>
    <t>已签订0.05元</t>
    <phoneticPr fontId="51" type="noConversion"/>
  </si>
  <si>
    <t>降低18.51%</t>
    <phoneticPr fontId="51" type="noConversion"/>
  </si>
  <si>
    <t>已完成</t>
    <phoneticPr fontId="51" type="noConversion"/>
  </si>
  <si>
    <t>已完成
新开发0.24</t>
    <phoneticPr fontId="51" type="noConversion"/>
  </si>
  <si>
    <t>对方在核算新价格降低1%</t>
    <phoneticPr fontId="51" type="noConversion"/>
  </si>
  <si>
    <t xml:space="preserve"> 签订中</t>
    <phoneticPr fontId="51" type="noConversion"/>
  </si>
  <si>
    <t>一汽轻卡</t>
    <phoneticPr fontId="51" type="noConversion"/>
  </si>
  <si>
    <t>总计</t>
    <phoneticPr fontId="51" type="noConversion"/>
  </si>
  <si>
    <t>已完成</t>
    <phoneticPr fontId="51" type="noConversion"/>
  </si>
  <si>
    <t>需重新核价</t>
    <phoneticPr fontId="51" type="noConversion"/>
  </si>
  <si>
    <t>需回收自制</t>
    <phoneticPr fontId="51" type="noConversion"/>
  </si>
  <si>
    <t>谈判中</t>
    <phoneticPr fontId="51" type="noConversion"/>
  </si>
  <si>
    <t>没有说明</t>
    <phoneticPr fontId="51" type="noConversion"/>
  </si>
  <si>
    <t>完成率</t>
    <phoneticPr fontId="51" type="noConversion"/>
  </si>
  <si>
    <t>沧州智凯</t>
    <phoneticPr fontId="51" type="noConversion"/>
  </si>
  <si>
    <t>0.6（不含模具费，模具摊销费为0.03元）</t>
    <phoneticPr fontId="51" type="noConversion"/>
  </si>
  <si>
    <t>13.98元（不含模具费，模具分摊费0.411元）</t>
    <phoneticPr fontId="51" type="noConversion"/>
  </si>
  <si>
    <t>12.24（不含模具费，模具分摊费0.3630）</t>
    <phoneticPr fontId="51" type="noConversion"/>
  </si>
  <si>
    <t>7.49(不含模具费，模具分摊费按照0.0708元/件)</t>
    <phoneticPr fontId="51" type="noConversion"/>
  </si>
  <si>
    <t>12.56（不含模具费，模具分摊费为0.08元/件）</t>
    <phoneticPr fontId="51" type="noConversion"/>
  </si>
  <si>
    <t>8.23（不含模具费，模具分摊费为0.08元/件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</si>
</sst>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176" formatCode="0.00000_ "/>
    <numFmt numFmtId="177" formatCode="0.000_);[Red]\(0.000\)"/>
    <numFmt numFmtId="178" formatCode="0_ "/>
    <numFmt numFmtId="179" formatCode="0.0000_);[Red]\(0.0000\)"/>
    <numFmt numFmtId="180" formatCode="0.00_ "/>
    <numFmt numFmtId="181" formatCode="0.00_);[Red]\(0.00\)"/>
    <numFmt numFmtId="182" formatCode="_ * #,##0.00000_ ;_ * \-#,##0.00000_ ;_ * &quot;-&quot;??_ ;_ @_ "/>
    <numFmt numFmtId="183" formatCode="_ * #,##0.0000_ ;_ * \-#,##0.0000_ ;_ * &quot;-&quot;????_ ;_ @_ "/>
    <numFmt numFmtId="184" formatCode="0.000000_);[Red]\(0.000000\)"/>
    <numFmt numFmtId="185" formatCode="0.0000"/>
    <numFmt numFmtId="186" formatCode="0.000_ "/>
    <numFmt numFmtId="187" formatCode="0.0_);[Red]\(0.0\)"/>
    <numFmt numFmtId="188" formatCode="0.00000"/>
    <numFmt numFmtId="189" formatCode="0_);[Red]\(0\)"/>
    <numFmt numFmtId="190" formatCode="0.0000_ "/>
    <numFmt numFmtId="191" formatCode="#,##0.0000_ "/>
    <numFmt numFmtId="192" formatCode="_ * #,##0.0000000000_ ;_ * \-#,##0.0000000000_ ;_ * &quot;-&quot;??_ ;_ @_ "/>
    <numFmt numFmtId="193" formatCode="_ * #,##0.0000_ ;_ * \-#,##0.0000_ ;_ * &quot;-&quot;??_ ;_ @_ "/>
  </numFmts>
  <fonts count="54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6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4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0"/>
      <name val="微软雅黑"/>
      <family val="2"/>
      <charset val="134"/>
    </font>
    <font>
      <sz val="11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4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indexed="0"/>
      <name val="宋体"/>
      <family val="3"/>
      <charset val="134"/>
    </font>
    <font>
      <sz val="26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  <scheme val="minor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0"/>
      <name val="Calibri"/>
      <family val="2"/>
    </font>
    <font>
      <sz val="10.5"/>
      <color theme="1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017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34">
    <xf numFmtId="0" fontId="0" fillId="0" borderId="0">
      <alignment vertical="center"/>
    </xf>
    <xf numFmtId="0" fontId="16" fillId="0" borderId="0"/>
    <xf numFmtId="0" fontId="50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38" fillId="0" borderId="0">
      <alignment vertical="center"/>
    </xf>
    <xf numFmtId="0" fontId="16" fillId="0" borderId="0"/>
    <xf numFmtId="0" fontId="50" fillId="0" borderId="0">
      <alignment vertical="center"/>
    </xf>
    <xf numFmtId="0" fontId="20" fillId="0" borderId="0" applyProtection="0">
      <alignment vertical="center"/>
    </xf>
    <xf numFmtId="0" fontId="43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45" fillId="0" borderId="0" applyNumberFormat="0" applyBorder="0" applyProtection="0">
      <alignment vertical="center"/>
    </xf>
    <xf numFmtId="0" fontId="50" fillId="0" borderId="0">
      <alignment vertical="center"/>
    </xf>
    <xf numFmtId="0" fontId="50" fillId="0" borderId="0"/>
    <xf numFmtId="0" fontId="16" fillId="0" borderId="0"/>
    <xf numFmtId="0" fontId="16" fillId="0" borderId="0"/>
    <xf numFmtId="0" fontId="5" fillId="0" borderId="0"/>
    <xf numFmtId="0" fontId="16" fillId="0" borderId="0">
      <alignment vertical="center"/>
    </xf>
    <xf numFmtId="0" fontId="45" fillId="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20" fillId="0" borderId="0" applyFont="0" applyFill="0" applyBorder="0" applyAlignment="0" applyProtection="0"/>
    <xf numFmtId="0" fontId="16" fillId="0" borderId="0"/>
    <xf numFmtId="0" fontId="16" fillId="0" borderId="0"/>
  </cellStyleXfs>
  <cellXfs count="624">
    <xf numFmtId="0" fontId="0" fillId="0" borderId="0" xfId="0">
      <alignment vertical="center"/>
    </xf>
    <xf numFmtId="0" fontId="1" fillId="2" borderId="0" xfId="15" applyFont="1" applyFill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3" borderId="0" xfId="15" applyFont="1" applyFill="1" applyAlignment="1">
      <alignment horizontal="center" vertical="center"/>
    </xf>
    <xf numFmtId="0" fontId="2" fillId="0" borderId="0" xfId="15" applyFont="1" applyAlignment="1">
      <alignment horizontal="center" vertical="center"/>
    </xf>
    <xf numFmtId="0" fontId="1" fillId="2" borderId="1" xfId="15" applyFont="1" applyFill="1" applyBorder="1" applyAlignment="1">
      <alignment horizontal="center" vertical="center"/>
    </xf>
    <xf numFmtId="0" fontId="1" fillId="4" borderId="1" xfId="15" applyFont="1" applyFill="1" applyBorder="1" applyAlignment="1">
      <alignment horizontal="center" vertical="center"/>
    </xf>
    <xf numFmtId="181" fontId="2" fillId="0" borderId="1" xfId="15" applyNumberFormat="1" applyFont="1" applyBorder="1" applyAlignment="1">
      <alignment horizontal="center" vertical="center"/>
    </xf>
    <xf numFmtId="177" fontId="2" fillId="0" borderId="1" xfId="15" applyNumberFormat="1" applyFont="1" applyBorder="1" applyAlignment="1">
      <alignment horizontal="center" vertical="center"/>
    </xf>
    <xf numFmtId="177" fontId="2" fillId="3" borderId="1" xfId="15" applyNumberFormat="1" applyFont="1" applyFill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shrinkToFit="1"/>
    </xf>
    <xf numFmtId="0" fontId="1" fillId="2" borderId="1" xfId="24" applyFont="1" applyFill="1" applyBorder="1" applyAlignment="1">
      <alignment horizontal="center" vertical="center"/>
    </xf>
    <xf numFmtId="0" fontId="1" fillId="4" borderId="1" xfId="24" applyFont="1" applyFill="1" applyBorder="1" applyAlignment="1">
      <alignment horizontal="center" vertical="center"/>
    </xf>
    <xf numFmtId="181" fontId="2" fillId="0" borderId="1" xfId="15" applyNumberFormat="1" applyFont="1" applyBorder="1" applyAlignment="1">
      <alignment horizontal="center" vertical="center" shrinkToFit="1"/>
    </xf>
    <xf numFmtId="180" fontId="1" fillId="2" borderId="1" xfId="15" applyNumberFormat="1" applyFont="1" applyFill="1" applyBorder="1" applyAlignment="1">
      <alignment horizontal="center" vertical="center"/>
    </xf>
    <xf numFmtId="0" fontId="5" fillId="2" borderId="1" xfId="24" applyFont="1" applyFill="1" applyBorder="1" applyAlignment="1">
      <alignment horizontal="center" vertical="center"/>
    </xf>
    <xf numFmtId="180" fontId="1" fillId="4" borderId="1" xfId="15" applyNumberFormat="1" applyFont="1" applyFill="1" applyBorder="1" applyAlignment="1">
      <alignment horizontal="center" vertical="center"/>
    </xf>
    <xf numFmtId="0" fontId="5" fillId="4" borderId="1" xfId="24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/>
    </xf>
    <xf numFmtId="0" fontId="11" fillId="6" borderId="1" xfId="6" applyFont="1" applyFill="1" applyBorder="1" applyAlignment="1">
      <alignment horizontal="center" vertical="center"/>
    </xf>
    <xf numFmtId="0" fontId="11" fillId="0" borderId="1" xfId="17" applyFont="1" applyBorder="1" applyAlignment="1">
      <alignment horizontal="center" vertical="center"/>
    </xf>
    <xf numFmtId="185" fontId="9" fillId="5" borderId="1" xfId="0" applyNumberFormat="1" applyFont="1" applyFill="1" applyBorder="1" applyAlignment="1">
      <alignment horizontal="center" vertical="center"/>
    </xf>
    <xf numFmtId="0" fontId="11" fillId="0" borderId="1" xfId="17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0" fontId="50" fillId="7" borderId="0" xfId="20" applyFill="1"/>
    <xf numFmtId="0" fontId="50" fillId="0" borderId="0" xfId="20" applyFill="1"/>
    <xf numFmtId="0" fontId="50" fillId="0" borderId="0" xfId="20"/>
    <xf numFmtId="0" fontId="50" fillId="0" borderId="0" xfId="20" applyAlignment="1">
      <alignment horizontal="center"/>
    </xf>
    <xf numFmtId="0" fontId="50" fillId="0" borderId="0" xfId="20" applyAlignment="1">
      <alignment horizontal="center" vertical="center"/>
    </xf>
    <xf numFmtId="0" fontId="50" fillId="0" borderId="0" xfId="20" applyAlignment="1">
      <alignment vertical="center"/>
    </xf>
    <xf numFmtId="0" fontId="50" fillId="0" borderId="1" xfId="20" applyBorder="1" applyAlignment="1">
      <alignment horizontal="center" vertical="center"/>
    </xf>
    <xf numFmtId="0" fontId="3" fillId="0" borderId="1" xfId="20" applyFont="1" applyBorder="1" applyAlignment="1">
      <alignment horizontal="center" vertical="center" wrapText="1"/>
    </xf>
    <xf numFmtId="0" fontId="13" fillId="0" borderId="1" xfId="20" applyFont="1" applyBorder="1" applyAlignment="1">
      <alignment horizontal="center" vertical="center" wrapText="1"/>
    </xf>
    <xf numFmtId="0" fontId="14" fillId="0" borderId="1" xfId="20" applyFont="1" applyBorder="1" applyAlignment="1">
      <alignment horizontal="center" vertical="center" wrapText="1"/>
    </xf>
    <xf numFmtId="0" fontId="50" fillId="7" borderId="1" xfId="20" applyFill="1" applyBorder="1" applyAlignment="1">
      <alignment horizontal="center" vertical="center"/>
    </xf>
    <xf numFmtId="0" fontId="3" fillId="7" borderId="1" xfId="20" applyFont="1" applyFill="1" applyBorder="1" applyAlignment="1">
      <alignment horizontal="center" vertical="center" wrapText="1"/>
    </xf>
    <xf numFmtId="0" fontId="13" fillId="7" borderId="1" xfId="20" applyFont="1" applyFill="1" applyBorder="1" applyAlignment="1">
      <alignment horizontal="center" vertical="center" wrapText="1"/>
    </xf>
    <xf numFmtId="0" fontId="15" fillId="0" borderId="1" xfId="20" applyFont="1" applyBorder="1" applyAlignment="1">
      <alignment horizontal="center" vertical="center" wrapText="1"/>
    </xf>
    <xf numFmtId="0" fontId="14" fillId="7" borderId="1" xfId="20" applyFont="1" applyFill="1" applyBorder="1" applyAlignment="1">
      <alignment horizontal="center" vertical="center" wrapText="1"/>
    </xf>
    <xf numFmtId="0" fontId="50" fillId="0" borderId="1" xfId="20" applyFill="1" applyBorder="1" applyAlignment="1">
      <alignment horizontal="center" vertical="center"/>
    </xf>
    <xf numFmtId="177" fontId="16" fillId="0" borderId="1" xfId="20" applyNumberFormat="1" applyFont="1" applyFill="1" applyBorder="1" applyAlignment="1">
      <alignment horizontal="center" vertical="center" wrapText="1"/>
    </xf>
    <xf numFmtId="177" fontId="3" fillId="0" borderId="1" xfId="20" applyNumberFormat="1" applyFont="1" applyFill="1" applyBorder="1" applyAlignment="1">
      <alignment horizontal="center" vertical="center" wrapText="1"/>
    </xf>
    <xf numFmtId="0" fontId="17" fillId="0" borderId="1" xfId="20" applyFont="1" applyFill="1" applyBorder="1" applyAlignment="1">
      <alignment horizontal="center"/>
    </xf>
    <xf numFmtId="0" fontId="3" fillId="0" borderId="1" xfId="32" applyFont="1" applyFill="1" applyBorder="1" applyAlignment="1" applyProtection="1">
      <alignment horizontal="center" vertical="center" wrapText="1"/>
      <protection locked="0"/>
    </xf>
    <xf numFmtId="0" fontId="17" fillId="0" borderId="1" xfId="20" applyFont="1" applyFill="1" applyBorder="1" applyAlignment="1">
      <alignment horizontal="center" vertical="center"/>
    </xf>
    <xf numFmtId="0" fontId="50" fillId="0" borderId="1" xfId="20" applyBorder="1" applyAlignment="1">
      <alignment horizontal="center" vertical="center" wrapText="1"/>
    </xf>
    <xf numFmtId="0" fontId="18" fillId="0" borderId="1" xfId="20" applyFont="1" applyBorder="1" applyAlignment="1">
      <alignment horizontal="center" vertical="center"/>
    </xf>
    <xf numFmtId="185" fontId="50" fillId="3" borderId="1" xfId="20" applyNumberFormat="1" applyFill="1" applyBorder="1" applyAlignment="1">
      <alignment horizontal="center" vertical="center"/>
    </xf>
    <xf numFmtId="185" fontId="50" fillId="0" borderId="1" xfId="20" applyNumberFormat="1" applyFill="1" applyBorder="1" applyAlignment="1">
      <alignment horizontal="center" vertical="center"/>
    </xf>
    <xf numFmtId="185" fontId="50" fillId="0" borderId="1" xfId="20" applyNumberFormat="1" applyBorder="1" applyAlignment="1">
      <alignment horizontal="center" vertical="center"/>
    </xf>
    <xf numFmtId="185" fontId="50" fillId="4" borderId="1" xfId="20" applyNumberFormat="1" applyFill="1" applyBorder="1" applyAlignment="1">
      <alignment horizontal="center" vertical="center"/>
    </xf>
    <xf numFmtId="0" fontId="18" fillId="7" borderId="1" xfId="20" applyFont="1" applyFill="1" applyBorder="1" applyAlignment="1">
      <alignment horizontal="center" vertical="center"/>
    </xf>
    <xf numFmtId="185" fontId="50" fillId="7" borderId="1" xfId="20" applyNumberFormat="1" applyFill="1" applyBorder="1" applyAlignment="1">
      <alignment horizontal="center" vertical="center"/>
    </xf>
    <xf numFmtId="0" fontId="50" fillId="7" borderId="0" xfId="20" applyFill="1" applyAlignment="1">
      <alignment horizontal="center" vertical="center"/>
    </xf>
    <xf numFmtId="0" fontId="3" fillId="0" borderId="1" xfId="20" applyFont="1" applyFill="1" applyBorder="1" applyAlignment="1">
      <alignment horizontal="center" vertical="center" wrapText="1"/>
    </xf>
    <xf numFmtId="0" fontId="3" fillId="0" borderId="1" xfId="20" applyFont="1" applyBorder="1" applyAlignment="1">
      <alignment horizontal="center" vertical="center"/>
    </xf>
    <xf numFmtId="185" fontId="17" fillId="3" borderId="1" xfId="20" applyNumberFormat="1" applyFont="1" applyFill="1" applyBorder="1" applyAlignment="1">
      <alignment horizontal="center" vertical="center"/>
    </xf>
    <xf numFmtId="185" fontId="17" fillId="0" borderId="1" xfId="20" applyNumberFormat="1" applyFont="1" applyFill="1" applyBorder="1" applyAlignment="1">
      <alignment horizontal="center" vertical="center"/>
    </xf>
    <xf numFmtId="186" fontId="50" fillId="0" borderId="0" xfId="20" applyNumberFormat="1" applyFill="1" applyAlignment="1">
      <alignment horizontal="center" vertical="center"/>
    </xf>
    <xf numFmtId="185" fontId="17" fillId="0" borderId="1" xfId="20" applyNumberFormat="1" applyFont="1" applyBorder="1" applyAlignment="1">
      <alignment horizontal="center" vertical="center"/>
    </xf>
    <xf numFmtId="0" fontId="17" fillId="0" borderId="1" xfId="20" applyFont="1" applyFill="1" applyBorder="1"/>
    <xf numFmtId="0" fontId="50" fillId="0" borderId="0" xfId="20" applyFill="1" applyBorder="1" applyAlignment="1">
      <alignment horizontal="center" vertical="center"/>
    </xf>
    <xf numFmtId="0" fontId="50" fillId="3" borderId="1" xfId="20" applyFill="1" applyBorder="1" applyAlignment="1">
      <alignment horizontal="center" vertical="center" wrapText="1"/>
    </xf>
    <xf numFmtId="0" fontId="50" fillId="0" borderId="1" xfId="20" applyBorder="1" applyAlignment="1">
      <alignment vertical="center"/>
    </xf>
    <xf numFmtId="0" fontId="50" fillId="0" borderId="0" xfId="20" applyFill="1" applyAlignment="1">
      <alignment vertical="center"/>
    </xf>
    <xf numFmtId="0" fontId="50" fillId="3" borderId="1" xfId="20" applyFill="1" applyBorder="1" applyAlignment="1">
      <alignment vertical="center"/>
    </xf>
    <xf numFmtId="0" fontId="19" fillId="0" borderId="0" xfId="19" applyFont="1" applyFill="1" applyBorder="1" applyAlignment="1">
      <alignment horizontal="center" vertical="center"/>
    </xf>
    <xf numFmtId="0" fontId="19" fillId="0" borderId="0" xfId="19" applyFont="1" applyFill="1" applyBorder="1" applyAlignment="1">
      <alignment horizontal="center" vertical="center" wrapText="1"/>
    </xf>
    <xf numFmtId="0" fontId="20" fillId="0" borderId="0" xfId="19" applyFont="1" applyFill="1" applyBorder="1" applyAlignment="1">
      <alignment horizontal="center" vertical="center"/>
    </xf>
    <xf numFmtId="0" fontId="20" fillId="0" borderId="0" xfId="19" applyFont="1" applyFill="1" applyBorder="1" applyAlignment="1">
      <alignment horizontal="center" vertical="center" wrapText="1"/>
    </xf>
    <xf numFmtId="181" fontId="0" fillId="0" borderId="0" xfId="0" applyNumberFormat="1">
      <alignment vertical="center"/>
    </xf>
    <xf numFmtId="176" fontId="1" fillId="8" borderId="1" xfId="19" applyNumberFormat="1" applyFont="1" applyFill="1" applyBorder="1" applyAlignment="1">
      <alignment horizontal="center" vertical="center" wrapText="1"/>
    </xf>
    <xf numFmtId="49" fontId="1" fillId="0" borderId="1" xfId="19" applyNumberFormat="1" applyFont="1" applyBorder="1" applyAlignment="1">
      <alignment horizontal="center" vertical="center"/>
    </xf>
    <xf numFmtId="0" fontId="19" fillId="0" borderId="1" xfId="19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shrinkToFit="1"/>
    </xf>
    <xf numFmtId="178" fontId="22" fillId="0" borderId="1" xfId="1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8" fontId="1" fillId="0" borderId="1" xfId="0" applyNumberFormat="1" applyFont="1" applyFill="1" applyBorder="1" applyAlignment="1">
      <alignment horizontal="center" vertical="center"/>
    </xf>
    <xf numFmtId="179" fontId="20" fillId="0" borderId="1" xfId="19" applyNumberFormat="1" applyFont="1" applyFill="1" applyBorder="1" applyAlignment="1">
      <alignment horizontal="center" vertical="center" wrapText="1"/>
    </xf>
    <xf numFmtId="178" fontId="20" fillId="0" borderId="1" xfId="19" applyNumberFormat="1" applyFont="1" applyBorder="1" applyAlignment="1">
      <alignment horizontal="center" vertical="center" wrapText="1"/>
    </xf>
    <xf numFmtId="179" fontId="20" fillId="9" borderId="1" xfId="19" applyNumberFormat="1" applyFont="1" applyFill="1" applyBorder="1" applyAlignment="1">
      <alignment horizontal="center" vertical="center" wrapText="1"/>
    </xf>
    <xf numFmtId="49" fontId="19" fillId="0" borderId="1" xfId="19" applyNumberFormat="1" applyFont="1" applyBorder="1" applyAlignment="1">
      <alignment horizontal="center" vertical="center"/>
    </xf>
    <xf numFmtId="0" fontId="23" fillId="0" borderId="1" xfId="19" applyFont="1" applyFill="1" applyBorder="1" applyAlignment="1">
      <alignment horizontal="center" vertical="center"/>
    </xf>
    <xf numFmtId="190" fontId="20" fillId="9" borderId="1" xfId="19" applyNumberFormat="1" applyFont="1" applyFill="1" applyBorder="1" applyAlignment="1">
      <alignment horizontal="center" vertical="center" wrapText="1"/>
    </xf>
    <xf numFmtId="176" fontId="23" fillId="8" borderId="1" xfId="1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2" fontId="22" fillId="0" borderId="1" xfId="3" applyNumberFormat="1" applyFont="1" applyFill="1" applyBorder="1" applyAlignment="1">
      <alignment horizontal="center" vertical="center" wrapText="1"/>
    </xf>
    <xf numFmtId="192" fontId="22" fillId="0" borderId="1" xfId="3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 shrinkToFit="1"/>
    </xf>
    <xf numFmtId="193" fontId="22" fillId="0" borderId="1" xfId="3" applyNumberFormat="1" applyFont="1" applyFill="1" applyBorder="1" applyAlignment="1">
      <alignment horizontal="center" vertical="center" wrapText="1"/>
    </xf>
    <xf numFmtId="43" fontId="24" fillId="6" borderId="1" xfId="25" applyNumberFormat="1" applyFont="1" applyFill="1" applyBorder="1" applyAlignment="1">
      <alignment horizontal="center" vertical="center" wrapText="1"/>
    </xf>
    <xf numFmtId="180" fontId="8" fillId="0" borderId="1" xfId="1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5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20" fillId="0" borderId="1" xfId="1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3" fontId="21" fillId="0" borderId="1" xfId="3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5" fillId="3" borderId="1" xfId="5" applyFont="1" applyFill="1" applyBorder="1" applyAlignment="1">
      <alignment horizontal="center" vertical="center"/>
    </xf>
    <xf numFmtId="9" fontId="21" fillId="0" borderId="1" xfId="0" applyNumberFormat="1" applyFont="1" applyFill="1" applyBorder="1" applyAlignment="1">
      <alignment horizontal="center" vertical="center" wrapText="1"/>
    </xf>
    <xf numFmtId="184" fontId="25" fillId="0" borderId="1" xfId="5" applyNumberFormat="1" applyFont="1" applyFill="1" applyBorder="1" applyAlignment="1">
      <alignment horizontal="center" vertical="center"/>
    </xf>
    <xf numFmtId="176" fontId="22" fillId="0" borderId="1" xfId="19" applyNumberFormat="1" applyFont="1" applyFill="1" applyBorder="1" applyAlignment="1">
      <alignment horizontal="center" vertical="center" wrapText="1"/>
    </xf>
    <xf numFmtId="0" fontId="22" fillId="0" borderId="1" xfId="19" applyFont="1" applyFill="1" applyBorder="1" applyAlignment="1">
      <alignment horizontal="center" vertical="center" wrapText="1"/>
    </xf>
    <xf numFmtId="2" fontId="22" fillId="0" borderId="1" xfId="19" applyNumberFormat="1" applyFont="1" applyFill="1" applyBorder="1" applyAlignment="1">
      <alignment horizontal="center" vertical="center" wrapText="1"/>
    </xf>
    <xf numFmtId="0" fontId="20" fillId="0" borderId="1" xfId="19" applyNumberFormat="1" applyFont="1" applyBorder="1" applyAlignment="1">
      <alignment horizontal="center" vertical="center" wrapText="1"/>
    </xf>
    <xf numFmtId="9" fontId="27" fillId="3" borderId="1" xfId="0" applyNumberFormat="1" applyFont="1" applyFill="1" applyBorder="1" applyAlignment="1">
      <alignment horizontal="center" vertical="center" wrapText="1"/>
    </xf>
    <xf numFmtId="184" fontId="25" fillId="3" borderId="1" xfId="5" applyNumberFormat="1" applyFont="1" applyFill="1" applyBorder="1" applyAlignment="1">
      <alignment horizontal="center" vertical="center"/>
    </xf>
    <xf numFmtId="180" fontId="22" fillId="0" borderId="1" xfId="19" applyNumberFormat="1" applyFont="1" applyFill="1" applyBorder="1" applyAlignment="1">
      <alignment horizontal="center" vertical="center" wrapText="1"/>
    </xf>
    <xf numFmtId="180" fontId="21" fillId="0" borderId="1" xfId="0" applyNumberFormat="1" applyFont="1" applyBorder="1" applyAlignment="1" applyProtection="1">
      <alignment horizontal="center" vertical="center" wrapText="1"/>
      <protection locked="0"/>
    </xf>
    <xf numFmtId="181" fontId="19" fillId="0" borderId="0" xfId="19" applyNumberFormat="1" applyFont="1" applyFill="1" applyBorder="1" applyAlignment="1">
      <alignment horizontal="center" vertical="center"/>
    </xf>
    <xf numFmtId="185" fontId="22" fillId="0" borderId="1" xfId="19" applyNumberFormat="1" applyFont="1" applyFill="1" applyBorder="1" applyAlignment="1">
      <alignment horizontal="center" vertical="center" wrapText="1"/>
    </xf>
    <xf numFmtId="180" fontId="1" fillId="0" borderId="1" xfId="25" applyNumberFormat="1" applyFont="1" applyFill="1" applyBorder="1" applyAlignment="1" applyProtection="1">
      <alignment horizontal="center" vertical="center" wrapText="1"/>
    </xf>
    <xf numFmtId="2" fontId="22" fillId="10" borderId="1" xfId="19" applyNumberFormat="1" applyFont="1" applyFill="1" applyBorder="1" applyAlignment="1">
      <alignment horizontal="center" vertical="center" wrapText="1"/>
    </xf>
    <xf numFmtId="181" fontId="28" fillId="0" borderId="0" xfId="19" applyNumberFormat="1" applyFont="1" applyFill="1" applyBorder="1" applyAlignment="1">
      <alignment horizontal="center" vertical="center" wrapText="1"/>
    </xf>
    <xf numFmtId="0" fontId="22" fillId="0" borderId="1" xfId="19" applyNumberFormat="1" applyFont="1" applyFill="1" applyBorder="1" applyAlignment="1">
      <alignment horizontal="center" vertical="center" wrapText="1"/>
    </xf>
    <xf numFmtId="181" fontId="20" fillId="0" borderId="1" xfId="3" applyNumberFormat="1" applyFont="1" applyFill="1" applyBorder="1" applyAlignment="1">
      <alignment horizontal="left" vertical="center" wrapText="1"/>
    </xf>
    <xf numFmtId="43" fontId="30" fillId="3" borderId="1" xfId="3" applyFont="1" applyFill="1" applyBorder="1" applyAlignment="1">
      <alignment horizontal="left" vertical="center" wrapText="1"/>
    </xf>
    <xf numFmtId="180" fontId="29" fillId="0" borderId="1" xfId="0" applyNumberFormat="1" applyFont="1" applyBorder="1" applyAlignment="1">
      <alignment horizontal="center" vertical="center"/>
    </xf>
    <xf numFmtId="43" fontId="20" fillId="3" borderId="1" xfId="19" applyNumberFormat="1" applyFont="1" applyFill="1" applyBorder="1" applyAlignment="1">
      <alignment horizontal="center" vertical="center" wrapText="1"/>
    </xf>
    <xf numFmtId="0" fontId="9" fillId="0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0" fontId="31" fillId="0" borderId="0" xfId="32" applyNumberFormat="1" applyFont="1" applyFill="1" applyAlignment="1" applyProtection="1">
      <alignment horizontal="center" vertical="center" wrapText="1"/>
      <protection locked="0"/>
    </xf>
    <xf numFmtId="0" fontId="9" fillId="0" borderId="0" xfId="32" applyNumberFormat="1" applyFont="1" applyFill="1" applyAlignment="1" applyProtection="1">
      <alignment horizontal="center" vertical="center" wrapText="1"/>
      <protection locked="0"/>
    </xf>
    <xf numFmtId="0" fontId="9" fillId="11" borderId="0" xfId="32" applyNumberFormat="1" applyFont="1" applyFill="1" applyAlignment="1" applyProtection="1">
      <alignment horizontal="center" vertical="center" wrapText="1"/>
      <protection locked="0"/>
    </xf>
    <xf numFmtId="0" fontId="31" fillId="0" borderId="0" xfId="32" applyNumberFormat="1" applyFont="1" applyFill="1" applyBorder="1" applyAlignment="1" applyProtection="1">
      <alignment horizontal="center" vertical="center" wrapText="1"/>
      <protection locked="0"/>
    </xf>
    <xf numFmtId="0" fontId="9" fillId="9" borderId="0" xfId="32" applyNumberFormat="1" applyFont="1" applyFill="1" applyAlignment="1" applyProtection="1">
      <alignment horizontal="center" vertical="center" wrapText="1"/>
      <protection locked="0"/>
    </xf>
    <xf numFmtId="0" fontId="9" fillId="0" borderId="0" xfId="32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32" applyNumberFormat="1" applyFont="1" applyFill="1" applyBorder="1" applyAlignment="1" applyProtection="1">
      <alignment horizontal="left" vertical="center" wrapText="1"/>
      <protection locked="0"/>
    </xf>
    <xf numFmtId="0" fontId="9" fillId="12" borderId="0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32" applyFont="1" applyFill="1" applyBorder="1" applyAlignment="1" applyProtection="1">
      <alignment horizontal="center" vertical="center" wrapText="1"/>
      <protection locked="0"/>
    </xf>
    <xf numFmtId="0" fontId="11" fillId="0" borderId="0" xfId="32" applyFont="1" applyFill="1" applyBorder="1" applyAlignment="1" applyProtection="1">
      <alignment horizontal="center" vertical="center" wrapText="1"/>
      <protection locked="0"/>
    </xf>
    <xf numFmtId="179" fontId="9" fillId="0" borderId="0" xfId="32" applyNumberFormat="1" applyFont="1" applyFill="1" applyBorder="1" applyAlignment="1" applyProtection="1">
      <alignment horizontal="center" vertical="center"/>
      <protection locked="0"/>
    </xf>
    <xf numFmtId="193" fontId="9" fillId="0" borderId="0" xfId="32" applyNumberFormat="1" applyFont="1" applyFill="1" applyBorder="1" applyAlignment="1" applyProtection="1">
      <alignment horizontal="center" vertical="center" wrapText="1"/>
      <protection locked="0"/>
    </xf>
    <xf numFmtId="43" fontId="9" fillId="0" borderId="0" xfId="32" applyNumberFormat="1" applyFont="1" applyFill="1" applyBorder="1" applyAlignment="1" applyProtection="1">
      <alignment horizontal="center" vertical="center" wrapText="1"/>
      <protection locked="0"/>
    </xf>
    <xf numFmtId="10" fontId="9" fillId="0" borderId="0" xfId="32" applyNumberFormat="1" applyFont="1" applyFill="1" applyBorder="1" applyAlignment="1" applyProtection="1">
      <alignment horizontal="center" vertical="center" wrapText="1"/>
      <protection locked="0"/>
    </xf>
    <xf numFmtId="43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2" applyFont="1" applyFill="1" applyBorder="1" applyAlignment="1" applyProtection="1">
      <alignment horizontal="center" vertical="center" wrapText="1"/>
      <protection locked="0"/>
    </xf>
    <xf numFmtId="0" fontId="9" fillId="0" borderId="4" xfId="32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32" applyFont="1" applyFill="1" applyBorder="1" applyAlignment="1" applyProtection="1">
      <alignment horizontal="center" vertical="center" wrapText="1"/>
      <protection locked="0"/>
    </xf>
    <xf numFmtId="0" fontId="3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32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6" borderId="1" xfId="32" applyFont="1" applyFill="1" applyBorder="1" applyAlignment="1" applyProtection="1">
      <alignment horizontal="center" vertical="center" wrapText="1"/>
      <protection locked="0"/>
    </xf>
    <xf numFmtId="0" fontId="32" fillId="0" borderId="1" xfId="32" applyFont="1" applyFill="1" applyBorder="1" applyAlignment="1" applyProtection="1">
      <alignment horizontal="center" vertical="center"/>
      <protection locked="0"/>
    </xf>
    <xf numFmtId="0" fontId="33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32" applyFont="1" applyFill="1" applyBorder="1" applyAlignment="1" applyProtection="1">
      <alignment horizontal="center" vertical="center" wrapText="1"/>
      <protection locked="0"/>
    </xf>
    <xf numFmtId="49" fontId="9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2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3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89" fontId="9" fillId="0" borderId="4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31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32" applyNumberFormat="1" applyFont="1" applyFill="1" applyBorder="1" applyAlignment="1" applyProtection="1">
      <alignment horizontal="left" vertical="center" wrapText="1"/>
      <protection locked="0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13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2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29" applyNumberFormat="1" applyFont="1" applyFill="1" applyBorder="1" applyAlignment="1" applyProtection="1">
      <alignment horizontal="center" vertical="center" wrapText="1"/>
    </xf>
    <xf numFmtId="0" fontId="9" fillId="0" borderId="1" xfId="28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16" applyNumberFormat="1" applyFont="1" applyFill="1" applyBorder="1" applyAlignment="1">
      <alignment horizontal="center" vertical="center" wrapText="1"/>
    </xf>
    <xf numFmtId="49" fontId="9" fillId="0" borderId="4" xfId="3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6" applyNumberFormat="1" applyFont="1" applyFill="1" applyBorder="1" applyAlignment="1">
      <alignment horizontal="center" vertical="center" wrapText="1"/>
    </xf>
    <xf numFmtId="49" fontId="9" fillId="14" borderId="1" xfId="0" applyNumberFormat="1" applyFont="1" applyFill="1" applyBorder="1" applyAlignment="1">
      <alignment horizontal="center" vertical="center" wrapText="1"/>
    </xf>
    <xf numFmtId="49" fontId="31" fillId="0" borderId="1" xfId="16" applyNumberFormat="1" applyFont="1" applyFill="1" applyBorder="1" applyAlignment="1">
      <alignment horizontal="center" vertical="center" wrapText="1"/>
    </xf>
    <xf numFmtId="49" fontId="31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0" fontId="10" fillId="0" borderId="1" xfId="32" applyFont="1" applyFill="1" applyBorder="1" applyAlignment="1" applyProtection="1">
      <alignment horizontal="center" vertical="center" wrapText="1"/>
      <protection locked="0"/>
    </xf>
    <xf numFmtId="0" fontId="10" fillId="0" borderId="4" xfId="32" applyFont="1" applyFill="1" applyBorder="1" applyAlignment="1" applyProtection="1">
      <alignment horizontal="center" vertical="center" wrapText="1"/>
      <protection locked="0"/>
    </xf>
    <xf numFmtId="0" fontId="9" fillId="0" borderId="4" xfId="18" applyFont="1" applyFill="1" applyBorder="1" applyAlignment="1">
      <alignment horizontal="center" vertical="center"/>
    </xf>
    <xf numFmtId="0" fontId="10" fillId="0" borderId="4" xfId="4" applyFont="1" applyFill="1" applyBorder="1" applyAlignment="1" applyProtection="1">
      <alignment horizontal="center" vertical="center" wrapText="1"/>
      <protection locked="0"/>
    </xf>
    <xf numFmtId="49" fontId="10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6" xfId="32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32" applyNumberFormat="1" applyFont="1" applyFill="1" applyBorder="1" applyAlignment="1" applyProtection="1">
      <alignment horizontal="center" vertical="center" wrapText="1"/>
      <protection locked="0"/>
    </xf>
    <xf numFmtId="187" fontId="23" fillId="9" borderId="11" xfId="19" applyNumberFormat="1" applyFont="1" applyFill="1" applyBorder="1" applyAlignment="1">
      <alignment horizontal="center" vertical="center" wrapText="1"/>
    </xf>
    <xf numFmtId="190" fontId="9" fillId="0" borderId="1" xfId="0" applyNumberFormat="1" applyFont="1" applyFill="1" applyBorder="1" applyAlignment="1">
      <alignment horizontal="left" vertical="center"/>
    </xf>
    <xf numFmtId="0" fontId="23" fillId="9" borderId="4" xfId="32" applyNumberFormat="1" applyFont="1" applyFill="1" applyBorder="1" applyAlignment="1" applyProtection="1">
      <alignment horizontal="center" vertical="center" wrapText="1"/>
      <protection locked="0"/>
    </xf>
    <xf numFmtId="187" fontId="23" fillId="9" borderId="4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2" applyFont="1" applyFill="1" applyBorder="1" applyAlignment="1" applyProtection="1">
      <alignment horizontal="left" vertical="center" wrapText="1"/>
      <protection locked="0"/>
    </xf>
    <xf numFmtId="49" fontId="9" fillId="0" borderId="1" xfId="32" applyNumberFormat="1" applyFont="1" applyFill="1" applyBorder="1" applyAlignment="1" applyProtection="1">
      <alignment horizontal="left" vertical="center" wrapText="1"/>
      <protection locked="0"/>
    </xf>
    <xf numFmtId="0" fontId="9" fillId="9" borderId="1" xfId="0" applyFont="1" applyFill="1" applyBorder="1" applyAlignment="1">
      <alignment horizontal="center" vertical="center" wrapText="1"/>
    </xf>
    <xf numFmtId="179" fontId="9" fillId="9" borderId="1" xfId="0" applyNumberFormat="1" applyFont="1" applyFill="1" applyBorder="1" applyAlignment="1">
      <alignment horizontal="center" vertical="center" wrapText="1"/>
    </xf>
    <xf numFmtId="179" fontId="9" fillId="9" borderId="1" xfId="0" applyNumberFormat="1" applyFont="1" applyFill="1" applyBorder="1" applyAlignment="1">
      <alignment horizontal="center" vertical="center"/>
    </xf>
    <xf numFmtId="177" fontId="23" fillId="9" borderId="1" xfId="4" applyNumberFormat="1" applyFont="1" applyFill="1" applyBorder="1" applyAlignment="1" applyProtection="1">
      <alignment horizontal="center" vertical="center" wrapText="1"/>
      <protection locked="0"/>
    </xf>
    <xf numFmtId="187" fontId="23" fillId="9" borderId="1" xfId="0" applyNumberFormat="1" applyFont="1" applyFill="1" applyBorder="1" applyAlignment="1">
      <alignment horizontal="center" vertical="center" wrapText="1"/>
    </xf>
    <xf numFmtId="190" fontId="9" fillId="9" borderId="1" xfId="0" applyNumberFormat="1" applyFont="1" applyFill="1" applyBorder="1" applyAlignment="1">
      <alignment horizontal="left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9" fillId="0" borderId="4" xfId="4" applyNumberFormat="1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center" vertical="center"/>
    </xf>
    <xf numFmtId="49" fontId="23" fillId="9" borderId="1" xfId="0" applyNumberFormat="1" applyFont="1" applyFill="1" applyBorder="1" applyAlignment="1">
      <alignment horizontal="center" vertical="center" wrapText="1"/>
    </xf>
    <xf numFmtId="187" fontId="23" fillId="9" borderId="1" xfId="32" applyNumberFormat="1" applyFont="1" applyFill="1" applyBorder="1" applyAlignment="1" applyProtection="1">
      <alignment horizontal="center" vertical="center" wrapText="1"/>
      <protection locked="0"/>
    </xf>
    <xf numFmtId="190" fontId="31" fillId="0" borderId="1" xfId="0" applyNumberFormat="1" applyFont="1" applyFill="1" applyBorder="1" applyAlignment="1">
      <alignment horizontal="left" vertical="center"/>
    </xf>
    <xf numFmtId="0" fontId="26" fillId="9" borderId="4" xfId="32" applyNumberFormat="1" applyFont="1" applyFill="1" applyBorder="1" applyAlignment="1" applyProtection="1">
      <alignment horizontal="center" vertical="center" wrapText="1"/>
      <protection locked="0"/>
    </xf>
    <xf numFmtId="187" fontId="26" fillId="9" borderId="1" xfId="32" applyNumberFormat="1" applyFont="1" applyFill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vertical="center" wrapText="1"/>
    </xf>
    <xf numFmtId="0" fontId="23" fillId="9" borderId="1" xfId="32" applyNumberFormat="1" applyFont="1" applyFill="1" applyBorder="1" applyAlignment="1" applyProtection="1">
      <alignment horizontal="center" vertical="center" wrapText="1"/>
      <protection locked="0"/>
    </xf>
    <xf numFmtId="190" fontId="9" fillId="0" borderId="1" xfId="32" applyNumberFormat="1" applyFont="1" applyFill="1" applyBorder="1" applyAlignment="1" applyProtection="1">
      <alignment horizontal="left" vertical="center"/>
      <protection locked="0"/>
    </xf>
    <xf numFmtId="49" fontId="9" fillId="0" borderId="4" xfId="4" applyNumberFormat="1" applyFont="1" applyFill="1" applyBorder="1" applyAlignment="1" applyProtection="1">
      <alignment horizontal="left" vertical="center" wrapText="1"/>
      <protection locked="0"/>
    </xf>
    <xf numFmtId="49" fontId="9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35" fillId="0" borderId="4" xfId="0" applyFont="1" applyFill="1" applyBorder="1" applyAlignment="1">
      <alignment horizontal="center" vertical="center" wrapText="1"/>
    </xf>
    <xf numFmtId="179" fontId="9" fillId="13" borderId="4" xfId="4" applyNumberFormat="1" applyFont="1" applyFill="1" applyBorder="1" applyAlignment="1" applyProtection="1">
      <alignment horizontal="center" vertical="center" wrapText="1"/>
      <protection locked="0"/>
    </xf>
    <xf numFmtId="179" fontId="23" fillId="9" borderId="4" xfId="4" applyNumberFormat="1" applyFont="1" applyFill="1" applyBorder="1" applyAlignment="1" applyProtection="1">
      <alignment horizontal="center" vertical="center" wrapText="1"/>
      <protection locked="0"/>
    </xf>
    <xf numFmtId="187" fontId="23" fillId="9" borderId="4" xfId="4" applyNumberFormat="1" applyFont="1" applyFill="1" applyBorder="1" applyAlignment="1" applyProtection="1">
      <alignment horizontal="center" vertical="center" wrapText="1"/>
      <protection locked="0"/>
    </xf>
    <xf numFmtId="179" fontId="9" fillId="0" borderId="4" xfId="4" applyNumberFormat="1" applyFont="1" applyFill="1" applyBorder="1" applyAlignment="1" applyProtection="1">
      <alignment horizontal="center" vertical="center" wrapText="1"/>
      <protection locked="0"/>
    </xf>
    <xf numFmtId="49" fontId="9" fillId="6" borderId="4" xfId="4" applyNumberFormat="1" applyFont="1" applyFill="1" applyBorder="1" applyAlignment="1" applyProtection="1">
      <alignment horizontal="center" vertical="center" wrapText="1"/>
      <protection locked="0"/>
    </xf>
    <xf numFmtId="179" fontId="35" fillId="0" borderId="1" xfId="0" applyNumberFormat="1" applyFont="1" applyFill="1" applyBorder="1" applyAlignment="1">
      <alignment horizontal="center" vertical="center" wrapText="1"/>
    </xf>
    <xf numFmtId="0" fontId="35" fillId="0" borderId="1" xfId="30" applyNumberFormat="1" applyFont="1" applyFill="1" applyBorder="1" applyAlignment="1" applyProtection="1">
      <alignment horizontal="center" vertical="center" wrapText="1"/>
    </xf>
    <xf numFmtId="179" fontId="9" fillId="4" borderId="4" xfId="4" applyNumberFormat="1" applyFont="1" applyFill="1" applyBorder="1" applyAlignment="1" applyProtection="1">
      <alignment horizontal="center" vertical="center" wrapText="1"/>
      <protection locked="0"/>
    </xf>
    <xf numFmtId="179" fontId="35" fillId="13" borderId="1" xfId="0" applyNumberFormat="1" applyFont="1" applyFill="1" applyBorder="1" applyAlignment="1">
      <alignment horizontal="center" vertical="center" wrapText="1"/>
    </xf>
    <xf numFmtId="49" fontId="31" fillId="6" borderId="4" xfId="4" applyNumberFormat="1" applyFont="1" applyFill="1" applyBorder="1" applyAlignment="1" applyProtection="1">
      <alignment horizontal="center" vertical="center" wrapText="1"/>
      <protection locked="0"/>
    </xf>
    <xf numFmtId="0" fontId="35" fillId="6" borderId="1" xfId="11" applyNumberFormat="1" applyFont="1" applyFill="1" applyBorder="1" applyAlignment="1" applyProtection="1">
      <alignment horizontal="center" vertical="center" wrapText="1"/>
    </xf>
    <xf numFmtId="187" fontId="23" fillId="9" borderId="1" xfId="19" applyNumberFormat="1" applyFont="1" applyFill="1" applyBorder="1" applyAlignment="1">
      <alignment horizontal="center" vertical="center" wrapText="1"/>
    </xf>
    <xf numFmtId="179" fontId="23" fillId="9" borderId="4" xfId="32" applyNumberFormat="1" applyFont="1" applyFill="1" applyBorder="1" applyAlignment="1" applyProtection="1">
      <alignment horizontal="center" vertical="center" wrapText="1"/>
      <protection locked="0"/>
    </xf>
    <xf numFmtId="10" fontId="23" fillId="9" borderId="4" xfId="32" applyNumberFormat="1" applyFont="1" applyFill="1" applyBorder="1" applyAlignment="1" applyProtection="1">
      <alignment horizontal="center" vertical="center" wrapText="1"/>
      <protection locked="0"/>
    </xf>
    <xf numFmtId="177" fontId="23" fillId="15" borderId="4" xfId="4" applyNumberFormat="1" applyFont="1" applyFill="1" applyBorder="1" applyAlignment="1" applyProtection="1">
      <alignment horizontal="center" vertical="center" wrapText="1"/>
      <protection locked="0"/>
    </xf>
    <xf numFmtId="10" fontId="23" fillId="9" borderId="4" xfId="4" applyNumberFormat="1" applyFont="1" applyFill="1" applyBorder="1" applyAlignment="1" applyProtection="1">
      <alignment horizontal="center" vertical="center" wrapText="1"/>
      <protection locked="0"/>
    </xf>
    <xf numFmtId="49" fontId="23" fillId="15" borderId="13" xfId="0" applyNumberFormat="1" applyFont="1" applyFill="1" applyBorder="1" applyAlignment="1">
      <alignment horizontal="center" vertical="center" wrapText="1"/>
    </xf>
    <xf numFmtId="187" fontId="23" fillId="9" borderId="1" xfId="4" applyNumberFormat="1" applyFont="1" applyFill="1" applyBorder="1" applyAlignment="1" applyProtection="1">
      <alignment horizontal="center" vertical="center" wrapText="1"/>
      <protection locked="0"/>
    </xf>
    <xf numFmtId="179" fontId="23" fillId="9" borderId="1" xfId="4" applyNumberFormat="1" applyFont="1" applyFill="1" applyBorder="1" applyAlignment="1" applyProtection="1">
      <alignment horizontal="center" vertical="center" wrapText="1"/>
      <protection locked="0"/>
    </xf>
    <xf numFmtId="177" fontId="23" fillId="15" borderId="1" xfId="4" applyNumberFormat="1" applyFont="1" applyFill="1" applyBorder="1" applyAlignment="1" applyProtection="1">
      <alignment horizontal="center" vertical="center" wrapText="1"/>
      <protection locked="0"/>
    </xf>
    <xf numFmtId="179" fontId="23" fillId="9" borderId="1" xfId="32" applyNumberFormat="1" applyFont="1" applyFill="1" applyBorder="1" applyAlignment="1" applyProtection="1">
      <alignment horizontal="center" vertical="center" wrapText="1"/>
      <protection locked="0"/>
    </xf>
    <xf numFmtId="49" fontId="23" fillId="15" borderId="1" xfId="0" applyNumberFormat="1" applyFont="1" applyFill="1" applyBorder="1" applyAlignment="1">
      <alignment horizontal="center" vertical="center" wrapText="1"/>
    </xf>
    <xf numFmtId="49" fontId="26" fillId="15" borderId="1" xfId="0" applyNumberFormat="1" applyFont="1" applyFill="1" applyBorder="1" applyAlignment="1">
      <alignment horizontal="center" vertical="center" wrapText="1"/>
    </xf>
    <xf numFmtId="179" fontId="23" fillId="9" borderId="1" xfId="0" applyNumberFormat="1" applyFont="1" applyFill="1" applyBorder="1" applyAlignment="1">
      <alignment horizontal="center" vertical="center" wrapText="1"/>
    </xf>
    <xf numFmtId="10" fontId="23" fillId="9" borderId="1" xfId="0" applyNumberFormat="1" applyFont="1" applyFill="1" applyBorder="1" applyAlignment="1">
      <alignment horizontal="center" vertical="center" wrapText="1"/>
    </xf>
    <xf numFmtId="179" fontId="26" fillId="9" borderId="4" xfId="4" applyNumberFormat="1" applyFont="1" applyFill="1" applyBorder="1" applyAlignment="1" applyProtection="1">
      <alignment horizontal="center" vertical="center" wrapText="1"/>
      <protection locked="0"/>
    </xf>
    <xf numFmtId="10" fontId="26" fillId="9" borderId="4" xfId="4" applyNumberFormat="1" applyFont="1" applyFill="1" applyBorder="1" applyAlignment="1" applyProtection="1">
      <alignment horizontal="center" vertical="center" wrapText="1"/>
      <protection locked="0"/>
    </xf>
    <xf numFmtId="179" fontId="26" fillId="9" borderId="1" xfId="32" applyNumberFormat="1" applyFont="1" applyFill="1" applyBorder="1" applyAlignment="1" applyProtection="1">
      <alignment horizontal="center" vertical="center" wrapText="1"/>
      <protection locked="0"/>
    </xf>
    <xf numFmtId="177" fontId="26" fillId="15" borderId="1" xfId="4" applyNumberFormat="1" applyFont="1" applyFill="1" applyBorder="1" applyAlignment="1" applyProtection="1">
      <alignment horizontal="center" vertical="center" wrapText="1"/>
      <protection locked="0"/>
    </xf>
    <xf numFmtId="10" fontId="23" fillId="9" borderId="1" xfId="32" applyNumberFormat="1" applyFont="1" applyFill="1" applyBorder="1" applyAlignment="1" applyProtection="1">
      <alignment horizontal="center" vertical="center" wrapText="1"/>
      <protection locked="0"/>
    </xf>
    <xf numFmtId="179" fontId="23" fillId="13" borderId="4" xfId="4" applyNumberFormat="1" applyFont="1" applyFill="1" applyBorder="1" applyAlignment="1" applyProtection="1">
      <alignment horizontal="center" vertical="center" wrapText="1"/>
      <protection locked="0"/>
    </xf>
    <xf numFmtId="177" fontId="9" fillId="15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15" borderId="4" xfId="32" applyNumberFormat="1" applyFont="1" applyFill="1" applyBorder="1" applyAlignment="1" applyProtection="1">
      <alignment horizontal="center" vertical="center" wrapText="1"/>
      <protection locked="0"/>
    </xf>
    <xf numFmtId="177" fontId="9" fillId="15" borderId="14" xfId="4" applyNumberFormat="1" applyFont="1" applyFill="1" applyBorder="1" applyAlignment="1" applyProtection="1">
      <alignment horizontal="center" vertical="center" wrapText="1"/>
      <protection locked="0"/>
    </xf>
    <xf numFmtId="0" fontId="9" fillId="15" borderId="14" xfId="32" applyNumberFormat="1" applyFont="1" applyFill="1" applyBorder="1" applyAlignment="1" applyProtection="1">
      <alignment horizontal="center" vertical="center" wrapText="1"/>
      <protection locked="0"/>
    </xf>
    <xf numFmtId="177" fontId="23" fillId="15" borderId="13" xfId="4" applyNumberFormat="1" applyFont="1" applyFill="1" applyBorder="1" applyAlignment="1" applyProtection="1">
      <alignment horizontal="center" vertical="center" wrapText="1"/>
      <protection locked="0"/>
    </xf>
    <xf numFmtId="177" fontId="9" fillId="15" borderId="4" xfId="4" applyNumberFormat="1" applyFont="1" applyFill="1" applyBorder="1" applyAlignment="1" applyProtection="1">
      <alignment horizontal="center" vertical="center" wrapText="1"/>
      <protection locked="0"/>
    </xf>
    <xf numFmtId="187" fontId="23" fillId="9" borderId="1" xfId="15" applyNumberFormat="1" applyFont="1" applyFill="1" applyBorder="1" applyAlignment="1">
      <alignment horizontal="center" vertical="center"/>
    </xf>
    <xf numFmtId="193" fontId="33" fillId="0" borderId="6" xfId="32" applyNumberFormat="1" applyFont="1" applyFill="1" applyBorder="1" applyAlignment="1" applyProtection="1">
      <alignment horizontal="center" vertical="center" wrapText="1"/>
      <protection locked="0"/>
    </xf>
    <xf numFmtId="43" fontId="33" fillId="0" borderId="6" xfId="32" applyNumberFormat="1" applyFont="1" applyFill="1" applyBorder="1" applyAlignment="1" applyProtection="1">
      <alignment horizontal="center" vertical="center" wrapText="1"/>
      <protection locked="0"/>
    </xf>
    <xf numFmtId="193" fontId="33" fillId="0" borderId="4" xfId="32" applyNumberFormat="1" applyFont="1" applyFill="1" applyBorder="1" applyAlignment="1" applyProtection="1">
      <alignment horizontal="center" vertical="center" wrapText="1"/>
      <protection locked="0"/>
    </xf>
    <xf numFmtId="43" fontId="33" fillId="0" borderId="4" xfId="32" applyNumberFormat="1" applyFont="1" applyFill="1" applyBorder="1" applyAlignment="1" applyProtection="1">
      <alignment horizontal="center" vertical="center" wrapText="1"/>
      <protection locked="0"/>
    </xf>
    <xf numFmtId="193" fontId="33" fillId="0" borderId="1" xfId="32" applyNumberFormat="1" applyFont="1" applyFill="1" applyBorder="1" applyAlignment="1" applyProtection="1">
      <alignment horizontal="center" vertical="center" wrapText="1"/>
      <protection locked="0"/>
    </xf>
    <xf numFmtId="43" fontId="33" fillId="0" borderId="1" xfId="32" applyNumberFormat="1" applyFont="1" applyFill="1" applyBorder="1" applyAlignment="1" applyProtection="1">
      <alignment horizontal="center" vertical="center" wrapText="1"/>
      <protection locked="0"/>
    </xf>
    <xf numFmtId="177" fontId="23" fillId="0" borderId="4" xfId="4" applyNumberFormat="1" applyFont="1" applyFill="1" applyBorder="1" applyAlignment="1" applyProtection="1">
      <alignment horizontal="center" vertical="center" wrapText="1"/>
      <protection locked="0"/>
    </xf>
    <xf numFmtId="193" fontId="23" fillId="0" borderId="4" xfId="4" applyNumberFormat="1" applyFont="1" applyFill="1" applyBorder="1" applyAlignment="1" applyProtection="1">
      <alignment horizontal="center" vertical="center" wrapText="1"/>
      <protection locked="0"/>
    </xf>
    <xf numFmtId="43" fontId="23" fillId="0" borderId="4" xfId="4" applyNumberFormat="1" applyFont="1" applyFill="1" applyBorder="1" applyAlignment="1" applyProtection="1">
      <alignment horizontal="center" vertical="center" wrapText="1"/>
      <protection locked="0"/>
    </xf>
    <xf numFmtId="43" fontId="23" fillId="15" borderId="1" xfId="0" applyNumberFormat="1" applyFont="1" applyFill="1" applyBorder="1" applyAlignment="1">
      <alignment horizontal="center" vertical="center" wrapText="1"/>
    </xf>
    <xf numFmtId="49" fontId="23" fillId="15" borderId="4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193" fontId="23" fillId="0" borderId="4" xfId="0" applyNumberFormat="1" applyFont="1" applyFill="1" applyBorder="1" applyAlignment="1">
      <alignment horizontal="center" vertical="center" wrapText="1"/>
    </xf>
    <xf numFmtId="43" fontId="23" fillId="0" borderId="4" xfId="0" applyNumberFormat="1" applyFont="1" applyFill="1" applyBorder="1" applyAlignment="1">
      <alignment horizontal="center" vertical="center" wrapText="1"/>
    </xf>
    <xf numFmtId="177" fontId="23" fillId="0" borderId="1" xfId="4" applyNumberFormat="1" applyFont="1" applyFill="1" applyBorder="1" applyAlignment="1" applyProtection="1">
      <alignment horizontal="center" vertical="center" wrapText="1"/>
      <protection locked="0"/>
    </xf>
    <xf numFmtId="193" fontId="23" fillId="0" borderId="1" xfId="4" applyNumberFormat="1" applyFont="1" applyFill="1" applyBorder="1" applyAlignment="1" applyProtection="1">
      <alignment horizontal="center" vertical="center" wrapText="1"/>
      <protection locked="0"/>
    </xf>
    <xf numFmtId="43" fontId="23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>
      <alignment horizontal="center" vertical="center" wrapText="1"/>
    </xf>
    <xf numFmtId="193" fontId="23" fillId="0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 wrapText="1"/>
    </xf>
    <xf numFmtId="49" fontId="26" fillId="15" borderId="4" xfId="0" applyNumberFormat="1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193" fontId="26" fillId="0" borderId="4" xfId="0" applyNumberFormat="1" applyFont="1" applyFill="1" applyBorder="1" applyAlignment="1">
      <alignment horizontal="center" vertical="center" wrapText="1"/>
    </xf>
    <xf numFmtId="43" fontId="26" fillId="0" borderId="4" xfId="0" applyNumberFormat="1" applyFont="1" applyFill="1" applyBorder="1" applyAlignment="1">
      <alignment horizontal="center" vertical="center" wrapText="1"/>
    </xf>
    <xf numFmtId="0" fontId="23" fillId="15" borderId="4" xfId="4" applyNumberFormat="1" applyFont="1" applyFill="1" applyBorder="1" applyAlignment="1" applyProtection="1">
      <alignment horizontal="center" vertical="center" wrapText="1"/>
      <protection locked="0"/>
    </xf>
    <xf numFmtId="0" fontId="26" fillId="15" borderId="1" xfId="4" applyNumberFormat="1" applyFont="1" applyFill="1" applyBorder="1" applyAlignment="1" applyProtection="1">
      <alignment horizontal="center" vertical="center" wrapText="1"/>
      <protection locked="0"/>
    </xf>
    <xf numFmtId="177" fontId="26" fillId="0" borderId="1" xfId="4" applyNumberFormat="1" applyFont="1" applyFill="1" applyBorder="1" applyAlignment="1" applyProtection="1">
      <alignment horizontal="center" vertical="center" wrapText="1"/>
      <protection locked="0"/>
    </xf>
    <xf numFmtId="193" fontId="26" fillId="0" borderId="1" xfId="0" applyNumberFormat="1" applyFont="1" applyFill="1" applyBorder="1" applyAlignment="1">
      <alignment horizontal="center" vertical="center" wrapText="1"/>
    </xf>
    <xf numFmtId="43" fontId="26" fillId="0" borderId="1" xfId="4" applyNumberFormat="1" applyFont="1" applyFill="1" applyBorder="1" applyAlignment="1" applyProtection="1">
      <alignment horizontal="center" vertical="center" wrapText="1"/>
      <protection locked="0"/>
    </xf>
    <xf numFmtId="43" fontId="26" fillId="15" borderId="1" xfId="0" applyNumberFormat="1" applyFont="1" applyFill="1" applyBorder="1" applyAlignment="1">
      <alignment horizontal="center" vertical="center" wrapText="1"/>
    </xf>
    <xf numFmtId="0" fontId="23" fillId="15" borderId="1" xfId="4" applyNumberFormat="1" applyFont="1" applyFill="1" applyBorder="1" applyAlignment="1" applyProtection="1">
      <alignment horizontal="center" vertical="center" wrapText="1"/>
      <protection locked="0"/>
    </xf>
    <xf numFmtId="193" fontId="9" fillId="0" borderId="4" xfId="32" applyNumberFormat="1" applyFont="1" applyFill="1" applyBorder="1" applyAlignment="1" applyProtection="1">
      <alignment horizontal="center" vertical="center" wrapText="1"/>
      <protection locked="0"/>
    </xf>
    <xf numFmtId="43" fontId="9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9" fillId="4" borderId="4" xfId="32" applyNumberFormat="1" applyFont="1" applyFill="1" applyBorder="1" applyAlignment="1" applyProtection="1">
      <alignment horizontal="center" vertical="center" wrapText="1"/>
      <protection locked="0"/>
    </xf>
    <xf numFmtId="10" fontId="33" fillId="0" borderId="6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32" applyNumberFormat="1" applyFont="1" applyFill="1" applyBorder="1" applyAlignment="1" applyProtection="1">
      <alignment horizontal="center" vertical="center" wrapText="1"/>
      <protection locked="0"/>
    </xf>
    <xf numFmtId="49" fontId="36" fillId="0" borderId="1" xfId="32" applyNumberFormat="1" applyFont="1" applyFill="1" applyBorder="1" applyAlignment="1" applyProtection="1">
      <alignment horizontal="center" vertical="center" wrapText="1"/>
      <protection locked="0"/>
    </xf>
    <xf numFmtId="179" fontId="36" fillId="16" borderId="1" xfId="32" applyNumberFormat="1" applyFont="1" applyFill="1" applyBorder="1" applyAlignment="1" applyProtection="1">
      <alignment horizontal="center" vertical="center" wrapText="1"/>
      <protection locked="0"/>
    </xf>
    <xf numFmtId="43" fontId="36" fillId="16" borderId="1" xfId="3" applyFont="1" applyFill="1" applyBorder="1" applyAlignment="1" applyProtection="1">
      <alignment horizontal="center" vertical="center" wrapText="1"/>
      <protection locked="0"/>
    </xf>
    <xf numFmtId="10" fontId="33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43" fontId="11" fillId="0" borderId="1" xfId="3" applyFont="1" applyFill="1" applyBorder="1" applyAlignment="1">
      <alignment horizontal="left" vertical="center" wrapText="1"/>
    </xf>
    <xf numFmtId="10" fontId="33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3" applyFont="1" applyFill="1" applyBorder="1" applyAlignment="1">
      <alignment horizontal="center" vertical="center" wrapText="1"/>
    </xf>
    <xf numFmtId="179" fontId="11" fillId="0" borderId="1" xfId="32" applyNumberFormat="1" applyFont="1" applyFill="1" applyBorder="1" applyAlignment="1" applyProtection="1">
      <alignment horizontal="center" vertical="center" wrapText="1"/>
      <protection locked="0"/>
    </xf>
    <xf numFmtId="43" fontId="11" fillId="0" borderId="1" xfId="3" applyFont="1" applyFill="1" applyBorder="1" applyAlignment="1" applyProtection="1">
      <alignment horizontal="center" vertical="center" wrapText="1"/>
      <protection locked="0"/>
    </xf>
    <xf numFmtId="0" fontId="9" fillId="0" borderId="1" xfId="4" applyFont="1" applyFill="1" applyBorder="1" applyAlignment="1" applyProtection="1">
      <alignment horizontal="center" vertical="center" wrapText="1" shrinkToFit="1"/>
      <protection locked="0"/>
    </xf>
    <xf numFmtId="10" fontId="23" fillId="15" borderId="1" xfId="0" applyNumberFormat="1" applyFont="1" applyFill="1" applyBorder="1" applyAlignment="1">
      <alignment horizontal="center" vertical="center" wrapText="1"/>
    </xf>
    <xf numFmtId="0" fontId="31" fillId="0" borderId="4" xfId="4" applyFont="1" applyFill="1" applyBorder="1" applyAlignment="1" applyProtection="1">
      <alignment horizontal="center" vertical="center" wrapText="1" shrinkToFit="1"/>
      <protection locked="0"/>
    </xf>
    <xf numFmtId="0" fontId="9" fillId="0" borderId="4" xfId="4" applyFont="1" applyFill="1" applyBorder="1" applyAlignment="1" applyProtection="1">
      <alignment horizontal="center" vertical="center" wrapText="1" shrinkToFit="1"/>
      <protection locked="0"/>
    </xf>
    <xf numFmtId="0" fontId="9" fillId="0" borderId="10" xfId="0" applyFont="1" applyFill="1" applyBorder="1" applyAlignment="1">
      <alignment horizontal="center" vertical="center" wrapText="1"/>
    </xf>
    <xf numFmtId="43" fontId="9" fillId="6" borderId="7" xfId="3" applyFont="1" applyFill="1" applyBorder="1" applyAlignment="1">
      <alignment horizontal="center" vertical="center" wrapText="1"/>
    </xf>
    <xf numFmtId="0" fontId="31" fillId="0" borderId="1" xfId="4" applyFont="1" applyFill="1" applyBorder="1" applyAlignment="1" applyProtection="1">
      <alignment horizontal="center" vertical="center" wrapText="1" shrinkToFi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4" applyFont="1" applyFill="1" applyBorder="1" applyAlignment="1" applyProtection="1">
      <alignment horizontal="center" vertical="center" wrapText="1" shrinkToFit="1"/>
      <protection locked="0"/>
    </xf>
    <xf numFmtId="0" fontId="9" fillId="6" borderId="7" xfId="0" applyFont="1" applyFill="1" applyBorder="1" applyAlignment="1">
      <alignment horizontal="center" vertical="center" wrapText="1"/>
    </xf>
    <xf numFmtId="10" fontId="26" fillId="15" borderId="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43" fontId="31" fillId="6" borderId="7" xfId="3" applyFont="1" applyFill="1" applyBorder="1" applyAlignment="1">
      <alignment horizontal="center" vertical="center" wrapText="1"/>
    </xf>
    <xf numFmtId="0" fontId="35" fillId="0" borderId="1" xfId="27" applyNumberFormat="1" applyFont="1" applyFill="1" applyBorder="1" applyAlignment="1" applyProtection="1">
      <alignment horizontal="center" vertical="center" wrapText="1"/>
    </xf>
    <xf numFmtId="0" fontId="9" fillId="0" borderId="1" xfId="27" applyNumberFormat="1" applyFont="1" applyFill="1" applyBorder="1" applyAlignment="1" applyProtection="1">
      <alignment horizontal="center" vertical="center" wrapText="1"/>
    </xf>
    <xf numFmtId="0" fontId="9" fillId="4" borderId="1" xfId="3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32" applyNumberFormat="1" applyFont="1" applyFill="1" applyBorder="1" applyAlignment="1" applyProtection="1">
      <alignment horizontal="center" vertical="center" wrapText="1"/>
      <protection locked="0"/>
    </xf>
    <xf numFmtId="183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183" fontId="9" fillId="4" borderId="1" xfId="32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32" applyNumberFormat="1" applyFont="1" applyFill="1" applyBorder="1" applyAlignment="1" applyProtection="1">
      <alignment horizontal="center" vertical="center" wrapText="1"/>
      <protection locked="0"/>
    </xf>
    <xf numFmtId="183" fontId="9" fillId="3" borderId="1" xfId="32" applyNumberFormat="1" applyFont="1" applyFill="1" applyBorder="1" applyAlignment="1" applyProtection="1">
      <alignment horizontal="center" vertical="center" wrapText="1"/>
      <protection locked="0"/>
    </xf>
    <xf numFmtId="183" fontId="9" fillId="2" borderId="1" xfId="32" applyNumberFormat="1" applyFont="1" applyFill="1" applyBorder="1" applyAlignment="1" applyProtection="1">
      <alignment horizontal="center" vertical="center" wrapText="1"/>
      <protection locked="0"/>
    </xf>
    <xf numFmtId="183" fontId="31" fillId="0" borderId="0" xfId="4" applyNumberFormat="1" applyFont="1" applyFill="1" applyBorder="1" applyAlignment="1" applyProtection="1">
      <alignment horizontal="center" vertical="center" wrapText="1"/>
      <protection locked="0"/>
    </xf>
    <xf numFmtId="183" fontId="31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31" fillId="2" borderId="1" xfId="32" applyNumberFormat="1" applyFont="1" applyFill="1" applyBorder="1" applyAlignment="1" applyProtection="1">
      <alignment horizontal="center" vertical="center" wrapText="1"/>
      <protection locked="0"/>
    </xf>
    <xf numFmtId="181" fontId="9" fillId="0" borderId="0" xfId="32" applyNumberFormat="1" applyFont="1" applyFill="1" applyAlignment="1" applyProtection="1">
      <alignment horizontal="center" vertical="center" wrapText="1"/>
      <protection locked="0"/>
    </xf>
    <xf numFmtId="177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4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9" fontId="35" fillId="4" borderId="4" xfId="0" applyNumberFormat="1" applyFont="1" applyFill="1" applyBorder="1" applyAlignment="1">
      <alignment horizontal="center" vertical="center" wrapText="1"/>
    </xf>
    <xf numFmtId="179" fontId="37" fillId="0" borderId="1" xfId="0" applyNumberFormat="1" applyFont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190" fontId="37" fillId="6" borderId="1" xfId="0" applyNumberFormat="1" applyFont="1" applyFill="1" applyBorder="1" applyAlignment="1">
      <alignment horizontal="center" vertical="center" wrapText="1"/>
    </xf>
    <xf numFmtId="179" fontId="37" fillId="4" borderId="1" xfId="0" applyNumberFormat="1" applyFont="1" applyFill="1" applyBorder="1" applyAlignment="1">
      <alignment horizontal="center" vertical="center" wrapText="1"/>
    </xf>
    <xf numFmtId="0" fontId="23" fillId="9" borderId="1" xfId="15" applyFont="1" applyFill="1" applyBorder="1" applyAlignment="1">
      <alignment horizontal="center" vertical="center"/>
    </xf>
    <xf numFmtId="0" fontId="9" fillId="6" borderId="4" xfId="32" applyNumberFormat="1" applyFont="1" applyFill="1" applyBorder="1" applyAlignment="1" applyProtection="1">
      <alignment horizontal="center" vertical="center" wrapText="1"/>
      <protection locked="0"/>
    </xf>
    <xf numFmtId="0" fontId="38" fillId="9" borderId="1" xfId="27" applyNumberFormat="1" applyFont="1" applyFill="1" applyBorder="1" applyAlignment="1" applyProtection="1">
      <alignment horizontal="center" vertical="center" wrapText="1"/>
    </xf>
    <xf numFmtId="187" fontId="38" fillId="9" borderId="1" xfId="27" applyNumberFormat="1" applyFont="1" applyFill="1" applyBorder="1" applyAlignment="1" applyProtection="1">
      <alignment horizontal="center" vertical="center" wrapText="1"/>
    </xf>
    <xf numFmtId="191" fontId="9" fillId="0" borderId="4" xfId="0" applyNumberFormat="1" applyFont="1" applyFill="1" applyBorder="1" applyAlignment="1">
      <alignment horizontal="center" vertical="center"/>
    </xf>
    <xf numFmtId="49" fontId="23" fillId="9" borderId="1" xfId="4" applyNumberFormat="1" applyFont="1" applyFill="1" applyBorder="1" applyAlignment="1" applyProtection="1">
      <alignment horizontal="center" vertical="center" wrapText="1"/>
      <protection locked="0"/>
    </xf>
    <xf numFmtId="179" fontId="9" fillId="0" borderId="4" xfId="0" applyNumberFormat="1" applyFont="1" applyFill="1" applyBorder="1" applyAlignment="1">
      <alignment horizontal="center" vertical="center"/>
    </xf>
    <xf numFmtId="49" fontId="23" fillId="9" borderId="4" xfId="4" applyNumberFormat="1" applyFont="1" applyFill="1" applyBorder="1" applyAlignment="1" applyProtection="1">
      <alignment horizontal="center" vertical="center" wrapText="1"/>
      <protection locked="0"/>
    </xf>
    <xf numFmtId="190" fontId="9" fillId="4" borderId="1" xfId="0" applyNumberFormat="1" applyFont="1" applyFill="1" applyBorder="1" applyAlignment="1">
      <alignment horizontal="left" vertical="center"/>
    </xf>
    <xf numFmtId="0" fontId="11" fillId="0" borderId="0" xfId="32" applyNumberFormat="1" applyFont="1" applyFill="1" applyBorder="1" applyAlignment="1" applyProtection="1">
      <alignment horizontal="center" vertical="center" wrapText="1"/>
      <protection locked="0"/>
    </xf>
    <xf numFmtId="179" fontId="23" fillId="9" borderId="1" xfId="15" applyNumberFormat="1" applyFont="1" applyFill="1" applyBorder="1" applyAlignment="1">
      <alignment horizontal="center" vertical="center"/>
    </xf>
    <xf numFmtId="179" fontId="38" fillId="9" borderId="1" xfId="27" applyNumberFormat="1" applyFont="1" applyFill="1" applyBorder="1" applyAlignment="1" applyProtection="1">
      <alignment horizontal="center" vertical="center" wrapText="1"/>
    </xf>
    <xf numFmtId="10" fontId="38" fillId="9" borderId="1" xfId="27" applyNumberFormat="1" applyFont="1" applyFill="1" applyBorder="1" applyAlignment="1" applyProtection="1">
      <alignment horizontal="center" vertical="center" wrapText="1"/>
    </xf>
    <xf numFmtId="10" fontId="23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31" fillId="15" borderId="4" xfId="32" applyNumberFormat="1" applyFont="1" applyFill="1" applyBorder="1" applyAlignment="1" applyProtection="1">
      <alignment horizontal="center" vertical="center" wrapText="1"/>
      <protection locked="0"/>
    </xf>
    <xf numFmtId="181" fontId="31" fillId="0" borderId="4" xfId="32" applyNumberFormat="1" applyFont="1" applyFill="1" applyBorder="1" applyAlignment="1" applyProtection="1">
      <alignment horizontal="center" vertical="center" wrapText="1"/>
      <protection locked="0"/>
    </xf>
    <xf numFmtId="49" fontId="23" fillId="4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9" fillId="0" borderId="7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41" fillId="0" borderId="0" xfId="9" applyFont="1" applyFill="1" applyBorder="1" applyAlignment="1">
      <alignment vertical="center"/>
    </xf>
    <xf numFmtId="0" fontId="9" fillId="2" borderId="11" xfId="32" applyNumberFormat="1" applyFont="1" applyFill="1" applyBorder="1" applyAlignment="1" applyProtection="1">
      <alignment horizontal="center" vertical="center" wrapText="1"/>
      <protection locked="0"/>
    </xf>
    <xf numFmtId="43" fontId="33" fillId="2" borderId="6" xfId="32" applyNumberFormat="1" applyFont="1" applyFill="1" applyBorder="1" applyAlignment="1" applyProtection="1">
      <alignment horizontal="center" vertical="center" wrapText="1"/>
      <protection locked="0"/>
    </xf>
    <xf numFmtId="43" fontId="33" fillId="2" borderId="4" xfId="32" applyNumberFormat="1" applyFont="1" applyFill="1" applyBorder="1" applyAlignment="1" applyProtection="1">
      <alignment horizontal="center" vertical="center" wrapText="1"/>
      <protection locked="0"/>
    </xf>
    <xf numFmtId="43" fontId="33" fillId="2" borderId="1" xfId="32" applyNumberFormat="1" applyFont="1" applyFill="1" applyBorder="1" applyAlignment="1" applyProtection="1">
      <alignment horizontal="center" vertical="center" wrapText="1"/>
      <protection locked="0"/>
    </xf>
    <xf numFmtId="43" fontId="23" fillId="2" borderId="4" xfId="4" applyNumberFormat="1" applyFont="1" applyFill="1" applyBorder="1" applyAlignment="1" applyProtection="1">
      <alignment horizontal="center" vertical="center" wrapText="1"/>
      <protection locked="0"/>
    </xf>
    <xf numFmtId="43" fontId="23" fillId="2" borderId="4" xfId="0" applyNumberFormat="1" applyFont="1" applyFill="1" applyBorder="1" applyAlignment="1">
      <alignment horizontal="center" vertical="center" wrapText="1"/>
    </xf>
    <xf numFmtId="43" fontId="23" fillId="2" borderId="1" xfId="4" applyNumberFormat="1" applyFont="1" applyFill="1" applyBorder="1" applyAlignment="1" applyProtection="1">
      <alignment horizontal="center" vertical="center" wrapText="1"/>
      <protection locked="0"/>
    </xf>
    <xf numFmtId="43" fontId="23" fillId="2" borderId="1" xfId="0" applyNumberFormat="1" applyFont="1" applyFill="1" applyBorder="1" applyAlignment="1">
      <alignment horizontal="center" vertical="center" wrapText="1"/>
    </xf>
    <xf numFmtId="43" fontId="26" fillId="2" borderId="1" xfId="4" applyNumberFormat="1" applyFont="1" applyFill="1" applyBorder="1" applyAlignment="1" applyProtection="1">
      <alignment horizontal="center" vertical="center" wrapText="1"/>
      <protection locked="0"/>
    </xf>
    <xf numFmtId="43" fontId="9" fillId="2" borderId="4" xfId="32" applyNumberFormat="1" applyFont="1" applyFill="1" applyBorder="1" applyAlignment="1" applyProtection="1">
      <alignment horizontal="center" vertical="center" wrapText="1"/>
      <protection locked="0"/>
    </xf>
    <xf numFmtId="43" fontId="9" fillId="2" borderId="0" xfId="32" applyNumberFormat="1" applyFont="1" applyFill="1" applyBorder="1" applyAlignment="1" applyProtection="1">
      <alignment horizontal="center" vertical="center" wrapText="1"/>
      <protection locked="0"/>
    </xf>
    <xf numFmtId="190" fontId="33" fillId="2" borderId="6" xfId="32" applyNumberFormat="1" applyFont="1" applyFill="1" applyBorder="1" applyAlignment="1" applyProtection="1">
      <alignment horizontal="center" vertical="center" wrapText="1"/>
      <protection locked="0"/>
    </xf>
    <xf numFmtId="190" fontId="33" fillId="2" borderId="4" xfId="32" applyNumberFormat="1" applyFont="1" applyFill="1" applyBorder="1" applyAlignment="1" applyProtection="1">
      <alignment horizontal="center" vertical="center" wrapText="1"/>
      <protection locked="0"/>
    </xf>
    <xf numFmtId="190" fontId="33" fillId="2" borderId="1" xfId="32" applyNumberFormat="1" applyFont="1" applyFill="1" applyBorder="1" applyAlignment="1" applyProtection="1">
      <alignment horizontal="center" vertical="center" wrapText="1"/>
      <protection locked="0"/>
    </xf>
    <xf numFmtId="190" fontId="23" fillId="2" borderId="4" xfId="4" applyNumberFormat="1" applyFont="1" applyFill="1" applyBorder="1" applyAlignment="1" applyProtection="1">
      <alignment horizontal="center" vertical="center" wrapText="1"/>
      <protection locked="0"/>
    </xf>
    <xf numFmtId="190" fontId="23" fillId="2" borderId="4" xfId="0" applyNumberFormat="1" applyFont="1" applyFill="1" applyBorder="1" applyAlignment="1">
      <alignment horizontal="center" vertical="center" wrapText="1"/>
    </xf>
    <xf numFmtId="190" fontId="23" fillId="2" borderId="1" xfId="4" applyNumberFormat="1" applyFont="1" applyFill="1" applyBorder="1" applyAlignment="1" applyProtection="1">
      <alignment horizontal="center" vertical="center" wrapText="1"/>
      <protection locked="0"/>
    </xf>
    <xf numFmtId="190" fontId="26" fillId="2" borderId="1" xfId="0" applyNumberFormat="1" applyFont="1" applyFill="1" applyBorder="1" applyAlignment="1">
      <alignment horizontal="center" vertical="center" wrapText="1"/>
    </xf>
    <xf numFmtId="190" fontId="23" fillId="2" borderId="1" xfId="0" applyNumberFormat="1" applyFont="1" applyFill="1" applyBorder="1" applyAlignment="1">
      <alignment horizontal="center" vertical="center" wrapText="1"/>
    </xf>
    <xf numFmtId="190" fontId="26" fillId="2" borderId="1" xfId="4" applyNumberFormat="1" applyFont="1" applyFill="1" applyBorder="1" applyAlignment="1" applyProtection="1">
      <alignment horizontal="center" vertical="center" wrapText="1"/>
      <protection locked="0"/>
    </xf>
    <xf numFmtId="190" fontId="9" fillId="2" borderId="4" xfId="32" applyNumberFormat="1" applyFont="1" applyFill="1" applyBorder="1" applyAlignment="1" applyProtection="1">
      <alignment horizontal="center" vertical="center" wrapText="1"/>
      <protection locked="0"/>
    </xf>
    <xf numFmtId="190" fontId="31" fillId="2" borderId="4" xfId="32" applyNumberFormat="1" applyFont="1" applyFill="1" applyBorder="1" applyAlignment="1" applyProtection="1">
      <alignment horizontal="center" vertical="center" wrapText="1"/>
      <protection locked="0"/>
    </xf>
    <xf numFmtId="190" fontId="9" fillId="2" borderId="0" xfId="32" applyNumberFormat="1" applyFont="1" applyFill="1" applyBorder="1" applyAlignment="1" applyProtection="1">
      <alignment horizontal="center" vertical="center" wrapText="1"/>
      <protection locked="0"/>
    </xf>
    <xf numFmtId="181" fontId="9" fillId="2" borderId="1" xfId="32" applyNumberFormat="1" applyFont="1" applyFill="1" applyBorder="1" applyAlignment="1" applyProtection="1">
      <alignment horizontal="center" vertical="center" wrapText="1"/>
      <protection locked="0"/>
    </xf>
    <xf numFmtId="14" fontId="9" fillId="2" borderId="1" xfId="32" applyNumberFormat="1" applyFont="1" applyFill="1" applyBorder="1" applyAlignment="1" applyProtection="1">
      <alignment horizontal="left" vertical="center" wrapText="1"/>
      <protection locked="0"/>
    </xf>
    <xf numFmtId="179" fontId="9" fillId="2" borderId="1" xfId="32" applyNumberFormat="1" applyFont="1" applyFill="1" applyBorder="1" applyAlignment="1" applyProtection="1">
      <alignment horizontal="center" vertical="center" wrapText="1"/>
      <protection locked="0"/>
    </xf>
    <xf numFmtId="14" fontId="9" fillId="4" borderId="1" xfId="32" applyNumberFormat="1" applyFont="1" applyFill="1" applyBorder="1" applyAlignment="1" applyProtection="1">
      <alignment horizontal="center" vertical="center" wrapText="1"/>
      <protection locked="0"/>
    </xf>
    <xf numFmtId="14" fontId="9" fillId="3" borderId="1" xfId="32" applyNumberFormat="1" applyFont="1" applyFill="1" applyBorder="1" applyAlignment="1" applyProtection="1">
      <alignment horizontal="center" vertical="center" wrapText="1"/>
      <protection locked="0"/>
    </xf>
    <xf numFmtId="0" fontId="50" fillId="17" borderId="1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50" fillId="16" borderId="1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0" fillId="18" borderId="3" xfId="0" applyFont="1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0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1" fillId="0" borderId="0" xfId="9" applyFont="1" applyFill="1" applyBorder="1" applyAlignment="1">
      <alignment horizontal="center" vertical="center"/>
    </xf>
    <xf numFmtId="14" fontId="9" fillId="2" borderId="2" xfId="32" applyNumberFormat="1" applyFont="1" applyFill="1" applyBorder="1" applyAlignment="1" applyProtection="1">
      <alignment horizontal="center" vertical="center" wrapText="1"/>
      <protection locked="0"/>
    </xf>
    <xf numFmtId="14" fontId="9" fillId="2" borderId="4" xfId="32" applyNumberFormat="1" applyFont="1" applyFill="1" applyBorder="1" applyAlignment="1" applyProtection="1">
      <alignment horizontal="center" vertical="center" wrapText="1"/>
      <protection locked="0"/>
    </xf>
    <xf numFmtId="14" fontId="9" fillId="3" borderId="2" xfId="32" applyNumberFormat="1" applyFont="1" applyFill="1" applyBorder="1" applyAlignment="1" applyProtection="1">
      <alignment horizontal="center" vertical="center" wrapText="1"/>
      <protection locked="0"/>
    </xf>
    <xf numFmtId="14" fontId="9" fillId="3" borderId="4" xfId="32" applyNumberFormat="1" applyFont="1" applyFill="1" applyBorder="1" applyAlignment="1" applyProtection="1">
      <alignment horizontal="center" vertical="center" wrapText="1"/>
      <protection locked="0"/>
    </xf>
    <xf numFmtId="183" fontId="9" fillId="4" borderId="2" xfId="32" applyNumberFormat="1" applyFont="1" applyFill="1" applyBorder="1" applyAlignment="1" applyProtection="1">
      <alignment horizontal="center" vertical="center" wrapText="1"/>
      <protection locked="0"/>
    </xf>
    <xf numFmtId="183" fontId="9" fillId="4" borderId="4" xfId="32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32" applyFont="1" applyFill="1" applyBorder="1" applyAlignment="1" applyProtection="1">
      <alignment horizontal="left" vertical="center"/>
      <protection locked="0"/>
    </xf>
    <xf numFmtId="0" fontId="7" fillId="0" borderId="1" xfId="32" applyFont="1" applyFill="1" applyBorder="1" applyAlignment="1" applyProtection="1">
      <alignment horizontal="left" vertical="center" wrapText="1"/>
      <protection locked="0"/>
    </xf>
    <xf numFmtId="0" fontId="32" fillId="0" borderId="1" xfId="32" applyFont="1" applyFill="1" applyBorder="1" applyAlignment="1" applyProtection="1">
      <alignment horizontal="center" vertical="center"/>
      <protection locked="0"/>
    </xf>
    <xf numFmtId="0" fontId="7" fillId="0" borderId="1" xfId="32" applyFont="1" applyFill="1" applyBorder="1" applyAlignment="1" applyProtection="1">
      <alignment horizontal="left" vertical="center"/>
      <protection locked="0"/>
    </xf>
    <xf numFmtId="0" fontId="32" fillId="0" borderId="1" xfId="32" applyFont="1" applyFill="1" applyBorder="1" applyAlignment="1" applyProtection="1">
      <alignment horizontal="left" vertical="center" wrapText="1"/>
      <protection locked="0"/>
    </xf>
    <xf numFmtId="0" fontId="9" fillId="2" borderId="2" xfId="32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32" applyNumberFormat="1" applyFont="1" applyFill="1" applyBorder="1" applyAlignment="1" applyProtection="1">
      <alignment horizontal="center" vertical="center" wrapText="1"/>
      <protection locked="0"/>
    </xf>
    <xf numFmtId="190" fontId="23" fillId="2" borderId="2" xfId="4" applyNumberFormat="1" applyFont="1" applyFill="1" applyBorder="1" applyAlignment="1" applyProtection="1">
      <alignment horizontal="center" vertical="center" wrapText="1"/>
      <protection locked="0"/>
    </xf>
    <xf numFmtId="190" fontId="23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32" applyFont="1" applyFill="1" applyBorder="1" applyAlignment="1" applyProtection="1">
      <alignment horizontal="center" vertical="center" wrapText="1"/>
      <protection locked="0"/>
    </xf>
    <xf numFmtId="0" fontId="9" fillId="0" borderId="1" xfId="32" applyNumberFormat="1" applyFont="1" applyFill="1" applyBorder="1" applyAlignment="1" applyProtection="1">
      <alignment horizontal="center" vertical="center" wrapText="1"/>
      <protection locked="0"/>
    </xf>
    <xf numFmtId="187" fontId="23" fillId="9" borderId="9" xfId="19" applyNumberFormat="1" applyFont="1" applyFill="1" applyBorder="1" applyAlignment="1">
      <alignment horizontal="center" vertical="center" wrapText="1"/>
    </xf>
    <xf numFmtId="187" fontId="23" fillId="9" borderId="12" xfId="19" applyNumberFormat="1" applyFont="1" applyFill="1" applyBorder="1" applyAlignment="1">
      <alignment horizontal="center" vertical="center" wrapText="1"/>
    </xf>
    <xf numFmtId="0" fontId="23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3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2" applyNumberFormat="1" applyFont="1" applyFill="1" applyBorder="1" applyAlignment="1" applyProtection="1">
      <alignment horizontal="left" vertical="center" wrapText="1"/>
      <protection locked="0"/>
    </xf>
    <xf numFmtId="179" fontId="31" fillId="0" borderId="1" xfId="32" applyNumberFormat="1" applyFont="1" applyFill="1" applyBorder="1" applyAlignment="1" applyProtection="1">
      <alignment horizontal="center" vertical="center" wrapText="1"/>
      <protection locked="0"/>
    </xf>
    <xf numFmtId="181" fontId="23" fillId="9" borderId="2" xfId="19" applyNumberFormat="1" applyFont="1" applyFill="1" applyBorder="1" applyAlignment="1">
      <alignment horizontal="center" vertical="center" wrapText="1"/>
    </xf>
    <xf numFmtId="181" fontId="23" fillId="9" borderId="4" xfId="19" applyNumberFormat="1" applyFont="1" applyFill="1" applyBorder="1" applyAlignment="1">
      <alignment horizontal="center" vertical="center" wrapText="1"/>
    </xf>
    <xf numFmtId="181" fontId="23" fillId="9" borderId="8" xfId="19" applyNumberFormat="1" applyFont="1" applyFill="1" applyBorder="1" applyAlignment="1">
      <alignment horizontal="center" vertical="center" wrapText="1"/>
    </xf>
    <xf numFmtId="181" fontId="23" fillId="9" borderId="10" xfId="19" applyNumberFormat="1" applyFont="1" applyFill="1" applyBorder="1" applyAlignment="1">
      <alignment horizontal="center" vertical="center" wrapText="1"/>
    </xf>
    <xf numFmtId="179" fontId="23" fillId="9" borderId="2" xfId="19" applyNumberFormat="1" applyFont="1" applyFill="1" applyBorder="1" applyAlignment="1">
      <alignment horizontal="center" vertical="center" wrapText="1"/>
    </xf>
    <xf numFmtId="179" fontId="23" fillId="9" borderId="4" xfId="19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15" borderId="2" xfId="32" applyFont="1" applyFill="1" applyBorder="1" applyAlignment="1" applyProtection="1">
      <alignment horizontal="center" vertical="center" wrapText="1"/>
      <protection locked="0"/>
    </xf>
    <xf numFmtId="0" fontId="23" fillId="15" borderId="4" xfId="32" applyFont="1" applyFill="1" applyBorder="1" applyAlignment="1" applyProtection="1">
      <alignment horizontal="center" vertical="center" wrapText="1"/>
      <protection locked="0"/>
    </xf>
    <xf numFmtId="0" fontId="26" fillId="15" borderId="2" xfId="32" applyNumberFormat="1" applyFont="1" applyFill="1" applyBorder="1" applyAlignment="1" applyProtection="1">
      <alignment horizontal="center" vertical="center" wrapText="1"/>
      <protection locked="0"/>
    </xf>
    <xf numFmtId="0" fontId="26" fillId="15" borderId="4" xfId="32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32" applyNumberFormat="1" applyFont="1" applyFill="1" applyBorder="1" applyAlignment="1" applyProtection="1">
      <alignment horizontal="center" vertical="center" wrapText="1"/>
      <protection locked="0"/>
    </xf>
    <xf numFmtId="193" fontId="23" fillId="0" borderId="2" xfId="32" applyNumberFormat="1" applyFont="1" applyFill="1" applyBorder="1" applyAlignment="1" applyProtection="1">
      <alignment horizontal="center" vertical="center" wrapText="1"/>
      <protection locked="0"/>
    </xf>
    <xf numFmtId="193" fontId="23" fillId="0" borderId="4" xfId="32" applyNumberFormat="1" applyFont="1" applyFill="1" applyBorder="1" applyAlignment="1" applyProtection="1">
      <alignment horizontal="center" vertical="center" wrapText="1"/>
      <protection locked="0"/>
    </xf>
    <xf numFmtId="43" fontId="23" fillId="0" borderId="2" xfId="32" applyNumberFormat="1" applyFont="1" applyFill="1" applyBorder="1" applyAlignment="1" applyProtection="1">
      <alignment horizontal="center" vertical="center" wrapText="1"/>
      <protection locked="0"/>
    </xf>
    <xf numFmtId="43" fontId="23" fillId="0" borderId="4" xfId="32" applyNumberFormat="1" applyFont="1" applyFill="1" applyBorder="1" applyAlignment="1" applyProtection="1">
      <alignment horizontal="center" vertical="center" wrapText="1"/>
      <protection locked="0"/>
    </xf>
    <xf numFmtId="10" fontId="23" fillId="9" borderId="2" xfId="19" applyNumberFormat="1" applyFont="1" applyFill="1" applyBorder="1" applyAlignment="1">
      <alignment horizontal="center" vertical="center" wrapText="1"/>
    </xf>
    <xf numFmtId="10" fontId="23" fillId="9" borderId="4" xfId="19" applyNumberFormat="1" applyFont="1" applyFill="1" applyBorder="1" applyAlignment="1">
      <alignment horizontal="center" vertical="center" wrapText="1"/>
    </xf>
    <xf numFmtId="187" fontId="23" fillId="9" borderId="2" xfId="19" applyNumberFormat="1" applyFont="1" applyFill="1" applyBorder="1" applyAlignment="1">
      <alignment horizontal="center" vertical="center" wrapText="1"/>
    </xf>
    <xf numFmtId="187" fontId="23" fillId="9" borderId="4" xfId="19" applyNumberFormat="1" applyFont="1" applyFill="1" applyBorder="1" applyAlignment="1">
      <alignment horizontal="center" vertical="center" wrapText="1"/>
    </xf>
    <xf numFmtId="0" fontId="23" fillId="15" borderId="1" xfId="32" applyFont="1" applyFill="1" applyBorder="1" applyAlignment="1" applyProtection="1">
      <alignment horizontal="center" vertical="center" wrapText="1"/>
      <protection locked="0"/>
    </xf>
    <xf numFmtId="0" fontId="9" fillId="0" borderId="1" xfId="4" applyFont="1" applyFill="1" applyBorder="1" applyAlignment="1" applyProtection="1">
      <alignment horizontal="center" vertical="center" wrapText="1" shrinkToFit="1"/>
      <protection locked="0"/>
    </xf>
    <xf numFmtId="43" fontId="9" fillId="0" borderId="2" xfId="3" applyFont="1" applyFill="1" applyBorder="1" applyAlignment="1" applyProtection="1">
      <alignment horizontal="center" vertical="center" wrapText="1"/>
      <protection locked="0"/>
    </xf>
    <xf numFmtId="43" fontId="9" fillId="0" borderId="4" xfId="3" applyFont="1" applyFill="1" applyBorder="1" applyAlignment="1" applyProtection="1">
      <alignment horizontal="center" vertical="center" wrapText="1"/>
      <protection locked="0"/>
    </xf>
    <xf numFmtId="43" fontId="23" fillId="2" borderId="2" xfId="32" applyNumberFormat="1" applyFont="1" applyFill="1" applyBorder="1" applyAlignment="1" applyProtection="1">
      <alignment horizontal="center" vertical="center" wrapText="1"/>
      <protection locked="0"/>
    </xf>
    <xf numFmtId="43" fontId="23" fillId="2" borderId="4" xfId="32" applyNumberFormat="1" applyFont="1" applyFill="1" applyBorder="1" applyAlignment="1" applyProtection="1">
      <alignment horizontal="center" vertical="center" wrapText="1"/>
      <protection locked="0"/>
    </xf>
    <xf numFmtId="43" fontId="23" fillId="15" borderId="2" xfId="32" applyNumberFormat="1" applyFont="1" applyFill="1" applyBorder="1" applyAlignment="1" applyProtection="1">
      <alignment horizontal="center" vertical="center" wrapText="1"/>
      <protection locked="0"/>
    </xf>
    <xf numFmtId="43" fontId="23" fillId="15" borderId="4" xfId="32" applyNumberFormat="1" applyFont="1" applyFill="1" applyBorder="1" applyAlignment="1" applyProtection="1">
      <alignment horizontal="center" vertical="center" wrapText="1"/>
      <protection locked="0"/>
    </xf>
    <xf numFmtId="190" fontId="26" fillId="2" borderId="2" xfId="32" applyNumberFormat="1" applyFont="1" applyFill="1" applyBorder="1" applyAlignment="1" applyProtection="1">
      <alignment horizontal="center" vertical="center" wrapText="1"/>
      <protection locked="0"/>
    </xf>
    <xf numFmtId="190" fontId="26" fillId="2" borderId="4" xfId="32" applyNumberFormat="1" applyFont="1" applyFill="1" applyBorder="1" applyAlignment="1" applyProtection="1">
      <alignment horizontal="center" vertical="center" wrapText="1"/>
      <protection locked="0"/>
    </xf>
    <xf numFmtId="10" fontId="23" fillId="15" borderId="2" xfId="32" applyNumberFormat="1" applyFont="1" applyFill="1" applyBorder="1" applyAlignment="1" applyProtection="1">
      <alignment horizontal="center" vertical="center" wrapText="1"/>
      <protection locked="0"/>
    </xf>
    <xf numFmtId="10" fontId="23" fillId="15" borderId="4" xfId="32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32" applyNumberFormat="1" applyFont="1" applyFill="1" applyBorder="1" applyAlignment="1" applyProtection="1">
      <alignment horizontal="center" vertical="center" wrapText="1"/>
      <protection locked="0"/>
    </xf>
    <xf numFmtId="183" fontId="9" fillId="4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32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2" fillId="0" borderId="1" xfId="32" applyFont="1" applyFill="1" applyBorder="1" applyAlignment="1" applyProtection="1">
      <alignment horizontal="left" vertical="top" wrapText="1"/>
      <protection locked="0"/>
    </xf>
    <xf numFmtId="0" fontId="32" fillId="0" borderId="1" xfId="32" applyFont="1" applyFill="1" applyBorder="1" applyAlignment="1" applyProtection="1">
      <alignment horizontal="center" vertical="top" wrapText="1"/>
      <protection locked="0"/>
    </xf>
    <xf numFmtId="0" fontId="7" fillId="0" borderId="1" xfId="32" applyFont="1" applyFill="1" applyBorder="1" applyAlignment="1" applyProtection="1">
      <alignment horizontal="left" vertical="top" wrapText="1"/>
      <protection locked="0"/>
    </xf>
    <xf numFmtId="0" fontId="33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32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32" applyNumberFormat="1" applyFont="1" applyFill="1" applyBorder="1" applyAlignment="1" applyProtection="1">
      <alignment horizontal="center" vertical="center"/>
      <protection locked="0"/>
    </xf>
    <xf numFmtId="0" fontId="33" fillId="0" borderId="7" xfId="32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32" applyNumberFormat="1" applyFont="1" applyFill="1" applyBorder="1" applyAlignment="1" applyProtection="1">
      <alignment horizontal="center" vertical="center" wrapText="1"/>
      <protection locked="0"/>
    </xf>
    <xf numFmtId="14" fontId="9" fillId="2" borderId="3" xfId="32" applyNumberFormat="1" applyFont="1" applyFill="1" applyBorder="1" applyAlignment="1" applyProtection="1">
      <alignment horizontal="center" vertical="center" wrapText="1"/>
      <protection locked="0"/>
    </xf>
    <xf numFmtId="14" fontId="10" fillId="2" borderId="2" xfId="0" applyNumberFormat="1" applyFont="1" applyFill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2" fontId="9" fillId="2" borderId="2" xfId="32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32" applyNumberFormat="1" applyFont="1" applyFill="1" applyBorder="1" applyAlignment="1" applyProtection="1">
      <alignment horizontal="center" vertical="center" wrapText="1"/>
      <protection locked="0"/>
    </xf>
    <xf numFmtId="2" fontId="9" fillId="2" borderId="4" xfId="32" applyNumberFormat="1" applyFont="1" applyFill="1" applyBorder="1" applyAlignment="1" applyProtection="1">
      <alignment horizontal="center" vertical="center" wrapText="1"/>
      <protection locked="0"/>
    </xf>
    <xf numFmtId="181" fontId="9" fillId="2" borderId="2" xfId="32" applyNumberFormat="1" applyFont="1" applyFill="1" applyBorder="1" applyAlignment="1" applyProtection="1">
      <alignment horizontal="center" vertical="center" wrapText="1"/>
      <protection locked="0"/>
    </xf>
    <xf numFmtId="181" fontId="9" fillId="2" borderId="3" xfId="32" applyNumberFormat="1" applyFont="1" applyFill="1" applyBorder="1" applyAlignment="1" applyProtection="1">
      <alignment horizontal="center" vertical="center" wrapText="1"/>
      <protection locked="0"/>
    </xf>
    <xf numFmtId="181" fontId="9" fillId="2" borderId="4" xfId="32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32" applyNumberFormat="1" applyFont="1" applyFill="1" applyBorder="1" applyAlignment="1" applyProtection="1">
      <alignment horizontal="center" vertical="center" wrapText="1"/>
      <protection locked="0"/>
    </xf>
    <xf numFmtId="14" fontId="9" fillId="3" borderId="3" xfId="32" applyNumberFormat="1" applyFont="1" applyFill="1" applyBorder="1" applyAlignment="1" applyProtection="1">
      <alignment horizontal="center" vertical="center" wrapText="1"/>
      <protection locked="0"/>
    </xf>
    <xf numFmtId="181" fontId="10" fillId="2" borderId="2" xfId="0" applyNumberFormat="1" applyFont="1" applyFill="1" applyBorder="1" applyAlignment="1">
      <alignment horizontal="center" vertical="center"/>
    </xf>
    <xf numFmtId="181" fontId="10" fillId="2" borderId="3" xfId="0" applyNumberFormat="1" applyFont="1" applyFill="1" applyBorder="1" applyAlignment="1">
      <alignment horizontal="center" vertical="center"/>
    </xf>
    <xf numFmtId="181" fontId="10" fillId="2" borderId="4" xfId="0" applyNumberFormat="1" applyFont="1" applyFill="1" applyBorder="1" applyAlignment="1">
      <alignment horizontal="center" vertical="center"/>
    </xf>
    <xf numFmtId="14" fontId="10" fillId="4" borderId="2" xfId="0" applyNumberFormat="1" applyFont="1" applyFill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center" vertical="center" wrapText="1"/>
    </xf>
    <xf numFmtId="14" fontId="10" fillId="4" borderId="4" xfId="0" applyNumberFormat="1" applyFont="1" applyFill="1" applyBorder="1" applyAlignment="1">
      <alignment horizontal="center" vertical="center" wrapText="1"/>
    </xf>
    <xf numFmtId="14" fontId="9" fillId="2" borderId="2" xfId="32" applyNumberFormat="1" applyFont="1" applyFill="1" applyBorder="1" applyAlignment="1" applyProtection="1">
      <alignment horizontal="left" vertical="center" wrapText="1"/>
      <protection locked="0"/>
    </xf>
    <xf numFmtId="14" fontId="9" fillId="2" borderId="3" xfId="32" applyNumberFormat="1" applyFont="1" applyFill="1" applyBorder="1" applyAlignment="1" applyProtection="1">
      <alignment horizontal="left" vertical="center" wrapText="1"/>
      <protection locked="0"/>
    </xf>
    <xf numFmtId="14" fontId="9" fillId="2" borderId="4" xfId="32" applyNumberFormat="1" applyFont="1" applyFill="1" applyBorder="1" applyAlignment="1" applyProtection="1">
      <alignment horizontal="left" vertical="center" wrapText="1"/>
      <protection locked="0"/>
    </xf>
    <xf numFmtId="14" fontId="9" fillId="3" borderId="2" xfId="32" applyNumberFormat="1" applyFont="1" applyFill="1" applyBorder="1" applyAlignment="1" applyProtection="1">
      <alignment horizontal="left" vertical="center" wrapText="1"/>
      <protection locked="0"/>
    </xf>
    <xf numFmtId="14" fontId="9" fillId="3" borderId="3" xfId="32" applyNumberFormat="1" applyFont="1" applyFill="1" applyBorder="1" applyAlignment="1" applyProtection="1">
      <alignment horizontal="left" vertical="center" wrapText="1"/>
      <protection locked="0"/>
    </xf>
    <xf numFmtId="14" fontId="9" fillId="3" borderId="4" xfId="32" applyNumberFormat="1" applyFont="1" applyFill="1" applyBorder="1" applyAlignment="1" applyProtection="1">
      <alignment horizontal="left" vertical="center" wrapText="1"/>
      <protection locked="0"/>
    </xf>
    <xf numFmtId="14" fontId="10" fillId="3" borderId="2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14" fontId="10" fillId="3" borderId="4" xfId="0" applyNumberFormat="1" applyFont="1" applyFill="1" applyBorder="1" applyAlignment="1">
      <alignment horizontal="center" vertical="center"/>
    </xf>
    <xf numFmtId="14" fontId="31" fillId="3" borderId="2" xfId="32" applyNumberFormat="1" applyFont="1" applyFill="1" applyBorder="1" applyAlignment="1" applyProtection="1">
      <alignment horizontal="center" vertical="center" wrapText="1"/>
      <protection locked="0"/>
    </xf>
    <xf numFmtId="0" fontId="50" fillId="0" borderId="2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178" fontId="1" fillId="8" borderId="2" xfId="19" applyNumberFormat="1" applyFont="1" applyFill="1" applyBorder="1" applyAlignment="1">
      <alignment horizontal="center" vertical="center" wrapText="1"/>
    </xf>
    <xf numFmtId="178" fontId="1" fillId="8" borderId="4" xfId="19" applyNumberFormat="1" applyFont="1" applyFill="1" applyBorder="1" applyAlignment="1">
      <alignment horizontal="center" vertical="center" wrapText="1"/>
    </xf>
    <xf numFmtId="176" fontId="1" fillId="8" borderId="2" xfId="19" applyNumberFormat="1" applyFont="1" applyFill="1" applyBorder="1" applyAlignment="1">
      <alignment horizontal="center" vertical="center" wrapText="1"/>
    </xf>
    <xf numFmtId="176" fontId="1" fillId="8" borderId="4" xfId="19" applyNumberFormat="1" applyFont="1" applyFill="1" applyBorder="1" applyAlignment="1">
      <alignment horizontal="center" vertical="center" wrapText="1"/>
    </xf>
    <xf numFmtId="0" fontId="1" fillId="8" borderId="2" xfId="19" applyFont="1" applyFill="1" applyBorder="1" applyAlignment="1">
      <alignment horizontal="center" vertical="center" wrapText="1"/>
    </xf>
    <xf numFmtId="0" fontId="1" fillId="8" borderId="4" xfId="19" applyFont="1" applyFill="1" applyBorder="1" applyAlignment="1">
      <alignment horizontal="center" vertical="center" wrapText="1"/>
    </xf>
    <xf numFmtId="0" fontId="23" fillId="8" borderId="1" xfId="19" applyFont="1" applyFill="1" applyBorder="1" applyAlignment="1">
      <alignment horizontal="center" vertical="center" wrapText="1"/>
    </xf>
    <xf numFmtId="0" fontId="1" fillId="8" borderId="1" xfId="19" applyFont="1" applyFill="1" applyBorder="1" applyAlignment="1">
      <alignment horizontal="center" vertical="center"/>
    </xf>
    <xf numFmtId="0" fontId="23" fillId="8" borderId="1" xfId="19" applyFont="1" applyFill="1" applyBorder="1" applyAlignment="1">
      <alignment horizontal="center" vertical="center"/>
    </xf>
    <xf numFmtId="178" fontId="1" fillId="8" borderId="1" xfId="19" applyNumberFormat="1" applyFont="1" applyFill="1" applyBorder="1" applyAlignment="1">
      <alignment horizontal="center" vertical="center" wrapText="1"/>
    </xf>
    <xf numFmtId="178" fontId="23" fillId="8" borderId="1" xfId="19" applyNumberFormat="1" applyFont="1" applyFill="1" applyBorder="1" applyAlignment="1">
      <alignment horizontal="center" vertical="center" wrapText="1"/>
    </xf>
    <xf numFmtId="0" fontId="1" fillId="8" borderId="1" xfId="19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6" fontId="23" fillId="8" borderId="1" xfId="19" applyNumberFormat="1" applyFont="1" applyFill="1" applyBorder="1" applyAlignment="1">
      <alignment horizontal="center" vertical="center" wrapText="1"/>
    </xf>
    <xf numFmtId="176" fontId="1" fillId="8" borderId="1" xfId="19" applyNumberFormat="1" applyFont="1" applyFill="1" applyBorder="1" applyAlignment="1">
      <alignment horizontal="center" vertical="center" wrapText="1"/>
    </xf>
    <xf numFmtId="43" fontId="1" fillId="8" borderId="1" xfId="3" applyNumberFormat="1" applyFont="1" applyFill="1" applyBorder="1" applyAlignment="1">
      <alignment horizontal="center" vertical="center" wrapText="1"/>
    </xf>
    <xf numFmtId="43" fontId="23" fillId="8" borderId="1" xfId="3" applyFont="1" applyFill="1" applyBorder="1" applyAlignment="1">
      <alignment horizontal="center" vertical="center" wrapText="1"/>
    </xf>
    <xf numFmtId="177" fontId="1" fillId="8" borderId="1" xfId="19" applyNumberFormat="1" applyFont="1" applyFill="1" applyBorder="1" applyAlignment="1">
      <alignment horizontal="center" vertical="center" wrapText="1"/>
    </xf>
    <xf numFmtId="177" fontId="23" fillId="8" borderId="1" xfId="19" applyNumberFormat="1" applyFont="1" applyFill="1" applyBorder="1" applyAlignment="1">
      <alignment horizontal="center" vertical="center" wrapText="1"/>
    </xf>
    <xf numFmtId="178" fontId="1" fillId="4" borderId="1" xfId="19" applyNumberFormat="1" applyFont="1" applyFill="1" applyBorder="1" applyAlignment="1">
      <alignment horizontal="center" vertical="center" wrapText="1"/>
    </xf>
    <xf numFmtId="177" fontId="1" fillId="4" borderId="1" xfId="19" applyNumberFormat="1" applyFont="1" applyFill="1" applyBorder="1" applyAlignment="1">
      <alignment horizontal="center" vertical="center" wrapText="1"/>
    </xf>
    <xf numFmtId="177" fontId="26" fillId="8" borderId="1" xfId="19" applyNumberFormat="1" applyFont="1" applyFill="1" applyBorder="1" applyAlignment="1">
      <alignment horizontal="center" vertical="center" wrapText="1"/>
    </xf>
    <xf numFmtId="184" fontId="1" fillId="8" borderId="1" xfId="19" applyNumberFormat="1" applyFont="1" applyFill="1" applyBorder="1" applyAlignment="1">
      <alignment horizontal="center" vertical="center" wrapText="1"/>
    </xf>
    <xf numFmtId="184" fontId="23" fillId="8" borderId="1" xfId="19" applyNumberFormat="1" applyFont="1" applyFill="1" applyBorder="1" applyAlignment="1">
      <alignment horizontal="center" vertical="center" wrapText="1"/>
    </xf>
    <xf numFmtId="180" fontId="1" fillId="8" borderId="1" xfId="19" applyNumberFormat="1" applyFont="1" applyFill="1" applyBorder="1" applyAlignment="1">
      <alignment horizontal="center" vertical="center" wrapText="1"/>
    </xf>
    <xf numFmtId="180" fontId="23" fillId="8" borderId="1" xfId="19" applyNumberFormat="1" applyFont="1" applyFill="1" applyBorder="1" applyAlignment="1">
      <alignment horizontal="center" vertical="center" wrapText="1"/>
    </xf>
    <xf numFmtId="43" fontId="20" fillId="3" borderId="1" xfId="3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" fillId="10" borderId="1" xfId="19" applyFont="1" applyFill="1" applyBorder="1" applyAlignment="1">
      <alignment horizontal="center" vertical="center" wrapText="1"/>
    </xf>
    <xf numFmtId="0" fontId="23" fillId="10" borderId="1" xfId="19" applyFont="1" applyFill="1" applyBorder="1" applyAlignment="1">
      <alignment horizontal="center" vertical="center" wrapText="1"/>
    </xf>
    <xf numFmtId="181" fontId="20" fillId="0" borderId="1" xfId="3" applyNumberFormat="1" applyFont="1" applyFill="1" applyBorder="1" applyAlignment="1">
      <alignment horizontal="center" vertical="center" wrapText="1"/>
    </xf>
    <xf numFmtId="0" fontId="12" fillId="0" borderId="6" xfId="20" applyFont="1" applyBorder="1" applyAlignment="1">
      <alignment horizontal="center" vertical="center"/>
    </xf>
    <xf numFmtId="0" fontId="2" fillId="0" borderId="0" xfId="15" applyFont="1" applyAlignment="1">
      <alignment horizontal="center" vertical="center"/>
    </xf>
    <xf numFmtId="181" fontId="2" fillId="0" borderId="1" xfId="15" applyNumberFormat="1" applyFont="1" applyBorder="1" applyAlignment="1">
      <alignment horizontal="center" vertical="center"/>
    </xf>
    <xf numFmtId="177" fontId="2" fillId="0" borderId="1" xfId="15" applyNumberFormat="1" applyFont="1" applyBorder="1" applyAlignment="1">
      <alignment horizontal="center" vertical="center"/>
    </xf>
    <xf numFmtId="0" fontId="2" fillId="0" borderId="1" xfId="15" applyFont="1" applyBorder="1" applyAlignment="1">
      <alignment horizontal="center" vertical="center"/>
    </xf>
    <xf numFmtId="0" fontId="1" fillId="0" borderId="1" xfId="15" applyFont="1" applyBorder="1" applyAlignment="1">
      <alignment horizontal="center" vertical="center"/>
    </xf>
    <xf numFmtId="0" fontId="1" fillId="2" borderId="1" xfId="15" applyFont="1" applyFill="1" applyBorder="1" applyAlignment="1">
      <alignment horizontal="center" vertical="center"/>
    </xf>
    <xf numFmtId="0" fontId="1" fillId="2" borderId="2" xfId="15" applyFont="1" applyFill="1" applyBorder="1" applyAlignment="1">
      <alignment horizontal="center" vertical="center"/>
    </xf>
    <xf numFmtId="0" fontId="1" fillId="2" borderId="3" xfId="15" applyFont="1" applyFill="1" applyBorder="1" applyAlignment="1">
      <alignment horizontal="center" vertical="center"/>
    </xf>
    <xf numFmtId="0" fontId="1" fillId="2" borderId="4" xfId="15" applyFont="1" applyFill="1" applyBorder="1" applyAlignment="1">
      <alignment horizontal="center" vertical="center"/>
    </xf>
    <xf numFmtId="0" fontId="2" fillId="0" borderId="1" xfId="15" applyFont="1" applyBorder="1" applyAlignment="1">
      <alignment horizontal="center" vertical="center" wrapText="1"/>
    </xf>
    <xf numFmtId="0" fontId="1" fillId="2" borderId="1" xfId="15" applyFont="1" applyFill="1" applyBorder="1" applyAlignment="1">
      <alignment horizontal="center" vertical="center" wrapText="1"/>
    </xf>
    <xf numFmtId="0" fontId="1" fillId="4" borderId="2" xfId="15" applyFont="1" applyFill="1" applyBorder="1" applyAlignment="1">
      <alignment horizontal="center" vertical="center"/>
    </xf>
    <xf numFmtId="0" fontId="1" fillId="4" borderId="4" xfId="15" applyFont="1" applyFill="1" applyBorder="1" applyAlignment="1">
      <alignment horizontal="center" vertical="center"/>
    </xf>
    <xf numFmtId="0" fontId="1" fillId="4" borderId="1" xfId="15" applyFont="1" applyFill="1" applyBorder="1" applyAlignment="1">
      <alignment horizontal="center" vertical="center" wrapText="1"/>
    </xf>
    <xf numFmtId="0" fontId="3" fillId="2" borderId="2" xfId="20" applyFont="1" applyFill="1" applyBorder="1" applyAlignment="1">
      <alignment horizontal="center" vertical="center" wrapText="1"/>
    </xf>
    <xf numFmtId="0" fontId="3" fillId="2" borderId="4" xfId="20" applyFont="1" applyFill="1" applyBorder="1" applyAlignment="1">
      <alignment horizontal="center" vertical="center" wrapText="1"/>
    </xf>
    <xf numFmtId="0" fontId="3" fillId="2" borderId="3" xfId="20" applyFont="1" applyFill="1" applyBorder="1" applyAlignment="1">
      <alignment horizontal="center" vertical="center" wrapText="1"/>
    </xf>
    <xf numFmtId="177" fontId="1" fillId="3" borderId="2" xfId="20" applyNumberFormat="1" applyFont="1" applyFill="1" applyBorder="1" applyAlignment="1">
      <alignment horizontal="center" vertical="center" wrapText="1"/>
    </xf>
    <xf numFmtId="177" fontId="1" fillId="3" borderId="4" xfId="20" applyNumberFormat="1" applyFont="1" applyFill="1" applyBorder="1" applyAlignment="1">
      <alignment horizontal="center" vertical="center" wrapText="1"/>
    </xf>
    <xf numFmtId="0" fontId="50" fillId="4" borderId="2" xfId="20" applyFill="1" applyBorder="1" applyAlignment="1">
      <alignment horizontal="center" vertical="center"/>
    </xf>
    <xf numFmtId="0" fontId="50" fillId="4" borderId="4" xfId="20" applyFill="1" applyBorder="1" applyAlignment="1">
      <alignment horizontal="center" vertical="center"/>
    </xf>
    <xf numFmtId="0" fontId="50" fillId="3" borderId="2" xfId="20" applyFill="1" applyBorder="1" applyAlignment="1">
      <alignment horizontal="center" vertical="center"/>
    </xf>
    <xf numFmtId="0" fontId="50" fillId="3" borderId="4" xfId="20" applyFill="1" applyBorder="1" applyAlignment="1">
      <alignment horizontal="center" vertical="center"/>
    </xf>
    <xf numFmtId="0" fontId="50" fillId="4" borderId="2" xfId="20" applyFill="1" applyBorder="1" applyAlignment="1">
      <alignment horizontal="center" vertical="center" wrapText="1"/>
    </xf>
    <xf numFmtId="0" fontId="50" fillId="4" borderId="4" xfId="20" applyFill="1" applyBorder="1" applyAlignment="1">
      <alignment horizontal="center" vertical="center" wrapText="1"/>
    </xf>
    <xf numFmtId="177" fontId="1" fillId="2" borderId="2" xfId="20" applyNumberFormat="1" applyFont="1" applyFill="1" applyBorder="1" applyAlignment="1">
      <alignment horizontal="center" vertical="center" wrapText="1"/>
    </xf>
    <xf numFmtId="177" fontId="1" fillId="2" borderId="4" xfId="20" applyNumberFormat="1" applyFont="1" applyFill="1" applyBorder="1" applyAlignment="1">
      <alignment horizontal="center" vertical="center" wrapText="1"/>
    </xf>
    <xf numFmtId="177" fontId="4" fillId="2" borderId="2" xfId="20" applyNumberFormat="1" applyFont="1" applyFill="1" applyBorder="1" applyAlignment="1">
      <alignment horizontal="center" vertical="center" wrapText="1"/>
    </xf>
    <xf numFmtId="177" fontId="4" fillId="2" borderId="4" xfId="20" applyNumberFormat="1" applyFont="1" applyFill="1" applyBorder="1" applyAlignment="1">
      <alignment horizontal="center" vertical="center" wrapText="1"/>
    </xf>
    <xf numFmtId="0" fontId="50" fillId="2" borderId="2" xfId="20" applyFill="1" applyBorder="1" applyAlignment="1">
      <alignment horizontal="center" vertical="center"/>
    </xf>
    <xf numFmtId="0" fontId="50" fillId="2" borderId="4" xfId="20" applyFill="1" applyBorder="1" applyAlignment="1">
      <alignment horizontal="center" vertical="center"/>
    </xf>
    <xf numFmtId="0" fontId="1" fillId="4" borderId="1" xfId="15" applyFont="1" applyFill="1" applyBorder="1" applyAlignment="1">
      <alignment horizontal="center" vertical="center"/>
    </xf>
    <xf numFmtId="0" fontId="2" fillId="0" borderId="1" xfId="15" applyFont="1" applyBorder="1" applyAlignment="1">
      <alignment horizontal="center" vertical="center" wrapText="1" shrinkToFit="1"/>
    </xf>
    <xf numFmtId="181" fontId="1" fillId="2" borderId="1" xfId="15" applyNumberFormat="1" applyFont="1" applyFill="1" applyBorder="1" applyAlignment="1">
      <alignment horizontal="center" vertical="center"/>
    </xf>
    <xf numFmtId="181" fontId="1" fillId="4" borderId="1" xfId="15" applyNumberFormat="1" applyFont="1" applyFill="1" applyBorder="1" applyAlignment="1">
      <alignment horizontal="center" vertical="center"/>
    </xf>
    <xf numFmtId="181" fontId="2" fillId="2" borderId="1" xfId="15" applyNumberFormat="1" applyFont="1" applyFill="1" applyBorder="1" applyAlignment="1">
      <alignment horizontal="center" vertical="center"/>
    </xf>
    <xf numFmtId="181" fontId="2" fillId="4" borderId="1" xfId="15" applyNumberFormat="1" applyFont="1" applyFill="1" applyBorder="1" applyAlignment="1">
      <alignment horizontal="center" vertical="center"/>
    </xf>
    <xf numFmtId="181" fontId="2" fillId="0" borderId="1" xfId="15" applyNumberFormat="1" applyFont="1" applyBorder="1" applyAlignment="1">
      <alignment horizontal="center" vertical="center" wrapText="1"/>
    </xf>
    <xf numFmtId="177" fontId="2" fillId="2" borderId="1" xfId="15" applyNumberFormat="1" applyFont="1" applyFill="1" applyBorder="1" applyAlignment="1">
      <alignment horizontal="center" vertical="center"/>
    </xf>
    <xf numFmtId="177" fontId="2" fillId="4" borderId="1" xfId="15" applyNumberFormat="1" applyFont="1" applyFill="1" applyBorder="1" applyAlignment="1">
      <alignment horizontal="center" vertical="center"/>
    </xf>
    <xf numFmtId="0" fontId="1" fillId="0" borderId="2" xfId="15" applyFont="1" applyBorder="1" applyAlignment="1">
      <alignment horizontal="center" vertical="center"/>
    </xf>
    <xf numFmtId="0" fontId="1" fillId="0" borderId="4" xfId="15" applyFont="1" applyBorder="1" applyAlignment="1">
      <alignment horizontal="center" vertical="center"/>
    </xf>
    <xf numFmtId="0" fontId="1" fillId="2" borderId="2" xfId="15" applyFont="1" applyFill="1" applyBorder="1" applyAlignment="1">
      <alignment horizontal="center" vertical="center" wrapText="1"/>
    </xf>
    <xf numFmtId="0" fontId="1" fillId="2" borderId="4" xfId="15" applyFont="1" applyFill="1" applyBorder="1" applyAlignment="1">
      <alignment horizontal="center" vertical="center" wrapText="1"/>
    </xf>
    <xf numFmtId="0" fontId="1" fillId="2" borderId="3" xfId="15" applyFont="1" applyFill="1" applyBorder="1" applyAlignment="1">
      <alignment horizontal="center" vertical="center" wrapText="1"/>
    </xf>
    <xf numFmtId="0" fontId="1" fillId="4" borderId="5" xfId="15" applyFont="1" applyFill="1" applyBorder="1" applyAlignment="1">
      <alignment horizontal="left" vertical="center" wrapText="1"/>
    </xf>
    <xf numFmtId="0" fontId="1" fillId="4" borderId="5" xfId="15" applyFont="1" applyFill="1" applyBorder="1" applyAlignment="1">
      <alignment horizontal="center" vertical="center"/>
    </xf>
    <xf numFmtId="0" fontId="1" fillId="4" borderId="2" xfId="15" applyFont="1" applyFill="1" applyBorder="1" applyAlignment="1">
      <alignment horizontal="center" vertical="center" wrapText="1"/>
    </xf>
    <xf numFmtId="0" fontId="1" fillId="4" borderId="4" xfId="15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 wrapText="1"/>
    </xf>
  </cellXfs>
  <cellStyles count="34">
    <cellStyle name="_x000a_mouse.drv=lm" xfId="6" xr:uid="{00000000-0005-0000-0000-000000000000}"/>
    <cellStyle name="BOM_Level_1" xfId="16" xr:uid="{00000000-0005-0000-0000-000001000000}"/>
    <cellStyle name="BOM_Level_Below3" xfId="4" xr:uid="{00000000-0005-0000-0000-000002000000}"/>
    <cellStyle name="Normal" xfId="17" xr:uid="{00000000-0005-0000-0000-000003000000}"/>
    <cellStyle name="常规" xfId="0" builtinId="0"/>
    <cellStyle name="常规 10" xfId="14" xr:uid="{00000000-0005-0000-0000-000005000000}"/>
    <cellStyle name="常规 12" xfId="10" xr:uid="{00000000-0005-0000-0000-000006000000}"/>
    <cellStyle name="常规 2" xfId="18" xr:uid="{00000000-0005-0000-0000-000007000000}"/>
    <cellStyle name="常规 2 10" xfId="15" xr:uid="{00000000-0005-0000-0000-000008000000}"/>
    <cellStyle name="常规 2 2" xfId="13" xr:uid="{00000000-0005-0000-0000-000009000000}"/>
    <cellStyle name="常规 2 27" xfId="7" xr:uid="{00000000-0005-0000-0000-00000A000000}"/>
    <cellStyle name="常规 3" xfId="19" xr:uid="{00000000-0005-0000-0000-00000B000000}"/>
    <cellStyle name="常规 3 2" xfId="12" xr:uid="{00000000-0005-0000-0000-00000C000000}"/>
    <cellStyle name="常规 3 29" xfId="2" xr:uid="{00000000-0005-0000-0000-00000D000000}"/>
    <cellStyle name="常规 4" xfId="20" xr:uid="{00000000-0005-0000-0000-00000E000000}"/>
    <cellStyle name="常规 40" xfId="5" xr:uid="{00000000-0005-0000-0000-00000F000000}"/>
    <cellStyle name="常规 44" xfId="1" xr:uid="{00000000-0005-0000-0000-000010000000}"/>
    <cellStyle name="常规 45" xfId="22" xr:uid="{00000000-0005-0000-0000-000011000000}"/>
    <cellStyle name="常规 5" xfId="23" xr:uid="{00000000-0005-0000-0000-000012000000}"/>
    <cellStyle name="常规 5 2" xfId="9" xr:uid="{00000000-0005-0000-0000-000013000000}"/>
    <cellStyle name="常规 5 3" xfId="24" xr:uid="{00000000-0005-0000-0000-000014000000}"/>
    <cellStyle name="常规 50" xfId="21" xr:uid="{00000000-0005-0000-0000-000015000000}"/>
    <cellStyle name="常规 6" xfId="8" xr:uid="{00000000-0005-0000-0000-000016000000}"/>
    <cellStyle name="常规_Sheet1" xfId="25" xr:uid="{00000000-0005-0000-0000-000017000000}"/>
    <cellStyle name="常规_正司机座椅 _21" xfId="26" xr:uid="{00000000-0005-0000-0000-000018000000}"/>
    <cellStyle name="常规_正司机座椅 _26" xfId="27" xr:uid="{00000000-0005-0000-0000-000019000000}"/>
    <cellStyle name="常规_正司机座椅 _28" xfId="28" xr:uid="{00000000-0005-0000-0000-00001A000000}"/>
    <cellStyle name="常规_正司机座椅 _34" xfId="29" xr:uid="{00000000-0005-0000-0000-00001B000000}"/>
    <cellStyle name="常规_正司机座椅 _39" xfId="11" xr:uid="{00000000-0005-0000-0000-00001C000000}"/>
    <cellStyle name="常规_正司机座椅 _40" xfId="30" xr:uid="{00000000-0005-0000-0000-00001D000000}"/>
    <cellStyle name="千位分隔" xfId="3" builtinId="3"/>
    <cellStyle name="千位分隔 2" xfId="31" xr:uid="{00000000-0005-0000-0000-00001F000000}"/>
    <cellStyle name="样式 1" xfId="32" xr:uid="{00000000-0005-0000-0000-000020000000}"/>
    <cellStyle name="样式 1 10" xfId="33" xr:uid="{00000000-0005-0000-0000-000021000000}"/>
  </cellStyles>
  <dxfs count="268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36"/>
      </font>
      <fill>
        <patternFill patternType="none"/>
      </fill>
    </dxf>
    <dxf>
      <fill>
        <patternFill patternType="solid">
          <bgColor indexed="23"/>
        </patternFill>
      </fill>
    </dxf>
    <dxf>
      <font>
        <b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7"/>
        </patternFill>
      </fill>
    </dxf>
  </dxfs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wmf"/><Relationship Id="rId21" Type="http://schemas.openxmlformats.org/officeDocument/2006/relationships/image" Target="../media/image21.emf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wmf"/><Relationship Id="rId11" Type="http://schemas.openxmlformats.org/officeDocument/2006/relationships/image" Target="../media/image11.wmf"/><Relationship Id="rId32" Type="http://schemas.openxmlformats.org/officeDocument/2006/relationships/image" Target="../media/image32.wmf"/><Relationship Id="rId37" Type="http://schemas.openxmlformats.org/officeDocument/2006/relationships/image" Target="../media/image37.emf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wmf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wmf"/><Relationship Id="rId27" Type="http://schemas.openxmlformats.org/officeDocument/2006/relationships/image" Target="../media/image27.wmf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wmf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wmf"/><Relationship Id="rId12" Type="http://schemas.openxmlformats.org/officeDocument/2006/relationships/image" Target="../media/image12.wmf"/><Relationship Id="rId17" Type="http://schemas.openxmlformats.org/officeDocument/2006/relationships/image" Target="../media/image17.emf"/><Relationship Id="rId25" Type="http://schemas.openxmlformats.org/officeDocument/2006/relationships/image" Target="../media/image25.wmf"/><Relationship Id="rId33" Type="http://schemas.openxmlformats.org/officeDocument/2006/relationships/image" Target="../media/image33.wmf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w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wmf"/><Relationship Id="rId23" Type="http://schemas.openxmlformats.org/officeDocument/2006/relationships/image" Target="../media/image23.wmf"/><Relationship Id="rId28" Type="http://schemas.openxmlformats.org/officeDocument/2006/relationships/image" Target="../media/image28.wmf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wmf"/><Relationship Id="rId31" Type="http://schemas.openxmlformats.org/officeDocument/2006/relationships/image" Target="../media/image31.wmf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wmf"/><Relationship Id="rId81" Type="http://schemas.openxmlformats.org/officeDocument/2006/relationships/image" Target="../media/image81.wmf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9" Type="http://schemas.openxmlformats.org/officeDocument/2006/relationships/image" Target="../media/image39.png"/><Relationship Id="rId34" Type="http://schemas.openxmlformats.org/officeDocument/2006/relationships/image" Target="../media/image34.wmf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7" Type="http://schemas.openxmlformats.org/officeDocument/2006/relationships/image" Target="../media/image7.emf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emf"/><Relationship Id="rId29" Type="http://schemas.openxmlformats.org/officeDocument/2006/relationships/image" Target="../media/image29.wmf"/><Relationship Id="rId24" Type="http://schemas.openxmlformats.org/officeDocument/2006/relationships/image" Target="../media/image24.w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wmf"/><Relationship Id="rId14" Type="http://schemas.openxmlformats.org/officeDocument/2006/relationships/image" Target="../media/image14.emf"/><Relationship Id="rId30" Type="http://schemas.openxmlformats.org/officeDocument/2006/relationships/image" Target="../media/image30.wmf"/><Relationship Id="rId35" Type="http://schemas.openxmlformats.org/officeDocument/2006/relationships/image" Target="../media/image35.wmf"/><Relationship Id="rId56" Type="http://schemas.openxmlformats.org/officeDocument/2006/relationships/image" Target="../media/image56.png"/><Relationship Id="rId77" Type="http://schemas.openxmlformats.org/officeDocument/2006/relationships/image" Target="../media/image77.wmf"/><Relationship Id="rId8" Type="http://schemas.openxmlformats.org/officeDocument/2006/relationships/image" Target="../media/image8.wmf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101.emf"/><Relationship Id="rId1" Type="http://schemas.openxmlformats.org/officeDocument/2006/relationships/image" Target="../media/image100.emf"/><Relationship Id="rId6" Type="http://schemas.openxmlformats.org/officeDocument/2006/relationships/image" Target="../media/image20.wmf"/><Relationship Id="rId5" Type="http://schemas.openxmlformats.org/officeDocument/2006/relationships/image" Target="../media/image32.wmf"/><Relationship Id="rId4" Type="http://schemas.openxmlformats.org/officeDocument/2006/relationships/image" Target="../media/image31.w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8.png"/><Relationship Id="rId13" Type="http://schemas.openxmlformats.org/officeDocument/2006/relationships/image" Target="../media/image113.emf"/><Relationship Id="rId18" Type="http://schemas.openxmlformats.org/officeDocument/2006/relationships/image" Target="../media/image118.emf"/><Relationship Id="rId3" Type="http://schemas.openxmlformats.org/officeDocument/2006/relationships/image" Target="../media/image104.png"/><Relationship Id="rId21" Type="http://schemas.openxmlformats.org/officeDocument/2006/relationships/image" Target="../media/image121.emf"/><Relationship Id="rId7" Type="http://schemas.openxmlformats.org/officeDocument/2006/relationships/image" Target="../media/image107.png"/><Relationship Id="rId12" Type="http://schemas.openxmlformats.org/officeDocument/2006/relationships/image" Target="../media/image112.png"/><Relationship Id="rId17" Type="http://schemas.openxmlformats.org/officeDocument/2006/relationships/image" Target="../media/image117.emf"/><Relationship Id="rId2" Type="http://schemas.openxmlformats.org/officeDocument/2006/relationships/image" Target="../media/image103.png"/><Relationship Id="rId16" Type="http://schemas.openxmlformats.org/officeDocument/2006/relationships/image" Target="../media/image116.emf"/><Relationship Id="rId20" Type="http://schemas.openxmlformats.org/officeDocument/2006/relationships/image" Target="../media/image120.emf"/><Relationship Id="rId1" Type="http://schemas.openxmlformats.org/officeDocument/2006/relationships/image" Target="../media/image102.png"/><Relationship Id="rId6" Type="http://schemas.openxmlformats.org/officeDocument/2006/relationships/image" Target="../media/image106.png"/><Relationship Id="rId11" Type="http://schemas.openxmlformats.org/officeDocument/2006/relationships/image" Target="../media/image111.png"/><Relationship Id="rId24" Type="http://schemas.openxmlformats.org/officeDocument/2006/relationships/image" Target="../media/image124.emf"/><Relationship Id="rId5" Type="http://schemas.openxmlformats.org/officeDocument/2006/relationships/image" Target="../media/image82.png"/><Relationship Id="rId15" Type="http://schemas.openxmlformats.org/officeDocument/2006/relationships/image" Target="../media/image115.png"/><Relationship Id="rId23" Type="http://schemas.openxmlformats.org/officeDocument/2006/relationships/image" Target="../media/image123.emf"/><Relationship Id="rId10" Type="http://schemas.openxmlformats.org/officeDocument/2006/relationships/image" Target="../media/image110.png"/><Relationship Id="rId19" Type="http://schemas.openxmlformats.org/officeDocument/2006/relationships/image" Target="../media/image119.emf"/><Relationship Id="rId4" Type="http://schemas.openxmlformats.org/officeDocument/2006/relationships/image" Target="../media/image105.png"/><Relationship Id="rId9" Type="http://schemas.openxmlformats.org/officeDocument/2006/relationships/image" Target="../media/image109.png"/><Relationship Id="rId14" Type="http://schemas.openxmlformats.org/officeDocument/2006/relationships/image" Target="../media/image114.png"/><Relationship Id="rId22" Type="http://schemas.openxmlformats.org/officeDocument/2006/relationships/image" Target="../media/image122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7.png"/><Relationship Id="rId13" Type="http://schemas.openxmlformats.org/officeDocument/2006/relationships/image" Target="../media/image112.png"/><Relationship Id="rId18" Type="http://schemas.openxmlformats.org/officeDocument/2006/relationships/image" Target="../media/image118.emf"/><Relationship Id="rId3" Type="http://schemas.openxmlformats.org/officeDocument/2006/relationships/image" Target="../media/image104.png"/><Relationship Id="rId21" Type="http://schemas.openxmlformats.org/officeDocument/2006/relationships/image" Target="../media/image121.emf"/><Relationship Id="rId7" Type="http://schemas.openxmlformats.org/officeDocument/2006/relationships/image" Target="../media/image106.png"/><Relationship Id="rId12" Type="http://schemas.openxmlformats.org/officeDocument/2006/relationships/image" Target="../media/image126.png"/><Relationship Id="rId17" Type="http://schemas.openxmlformats.org/officeDocument/2006/relationships/image" Target="../media/image117.emf"/><Relationship Id="rId25" Type="http://schemas.openxmlformats.org/officeDocument/2006/relationships/image" Target="../media/image128.png"/><Relationship Id="rId2" Type="http://schemas.openxmlformats.org/officeDocument/2006/relationships/image" Target="../media/image103.png"/><Relationship Id="rId16" Type="http://schemas.openxmlformats.org/officeDocument/2006/relationships/image" Target="../media/image120.emf"/><Relationship Id="rId20" Type="http://schemas.openxmlformats.org/officeDocument/2006/relationships/image" Target="../media/image127.emf"/><Relationship Id="rId1" Type="http://schemas.openxmlformats.org/officeDocument/2006/relationships/image" Target="../media/image102.png"/><Relationship Id="rId6" Type="http://schemas.openxmlformats.org/officeDocument/2006/relationships/image" Target="../media/image114.png"/><Relationship Id="rId11" Type="http://schemas.openxmlformats.org/officeDocument/2006/relationships/image" Target="../media/image110.png"/><Relationship Id="rId24" Type="http://schemas.openxmlformats.org/officeDocument/2006/relationships/image" Target="../media/image124.emf"/><Relationship Id="rId5" Type="http://schemas.openxmlformats.org/officeDocument/2006/relationships/image" Target="../media/image82.png"/><Relationship Id="rId15" Type="http://schemas.openxmlformats.org/officeDocument/2006/relationships/image" Target="../media/image116.emf"/><Relationship Id="rId23" Type="http://schemas.openxmlformats.org/officeDocument/2006/relationships/image" Target="../media/image123.emf"/><Relationship Id="rId10" Type="http://schemas.openxmlformats.org/officeDocument/2006/relationships/image" Target="../media/image109.png"/><Relationship Id="rId19" Type="http://schemas.openxmlformats.org/officeDocument/2006/relationships/image" Target="../media/image119.emf"/><Relationship Id="rId4" Type="http://schemas.openxmlformats.org/officeDocument/2006/relationships/image" Target="../media/image125.png"/><Relationship Id="rId9" Type="http://schemas.openxmlformats.org/officeDocument/2006/relationships/image" Target="../media/image115.png"/><Relationship Id="rId14" Type="http://schemas.openxmlformats.org/officeDocument/2006/relationships/image" Target="../media/image113.emf"/><Relationship Id="rId22" Type="http://schemas.openxmlformats.org/officeDocument/2006/relationships/image" Target="../media/image1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180340</xdr:colOff>
      <xdr:row>19</xdr:row>
      <xdr:rowOff>126365</xdr:rowOff>
    </xdr:from>
    <xdr:to>
      <xdr:col>17</xdr:col>
      <xdr:colOff>370200</xdr:colOff>
      <xdr:row>19</xdr:row>
      <xdr:rowOff>427432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5552440" y="634111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143510</xdr:colOff>
      <xdr:row>29</xdr:row>
      <xdr:rowOff>147955</xdr:rowOff>
    </xdr:from>
    <xdr:to>
      <xdr:col>17</xdr:col>
      <xdr:colOff>377534</xdr:colOff>
      <xdr:row>29</xdr:row>
      <xdr:rowOff>399955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15610" y="1143635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24</xdr:row>
      <xdr:rowOff>147320</xdr:rowOff>
    </xdr:from>
    <xdr:to>
      <xdr:col>17</xdr:col>
      <xdr:colOff>481330</xdr:colOff>
      <xdr:row>24</xdr:row>
      <xdr:rowOff>414655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76875" y="889889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81280</xdr:colOff>
      <xdr:row>22</xdr:row>
      <xdr:rowOff>55880</xdr:rowOff>
    </xdr:from>
    <xdr:to>
      <xdr:col>17</xdr:col>
      <xdr:colOff>471805</xdr:colOff>
      <xdr:row>22</xdr:row>
      <xdr:rowOff>454025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53380" y="7792720"/>
          <a:ext cx="390525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125095</xdr:colOff>
      <xdr:row>23</xdr:row>
      <xdr:rowOff>82550</xdr:rowOff>
    </xdr:from>
    <xdr:to>
      <xdr:col>17</xdr:col>
      <xdr:colOff>480060</xdr:colOff>
      <xdr:row>23</xdr:row>
      <xdr:rowOff>443865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97195" y="8326755"/>
          <a:ext cx="3549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28575</xdr:colOff>
      <xdr:row>18</xdr:row>
      <xdr:rowOff>400050</xdr:rowOff>
    </xdr:from>
    <xdr:to>
      <xdr:col>17</xdr:col>
      <xdr:colOff>442595</xdr:colOff>
      <xdr:row>18</xdr:row>
      <xdr:rowOff>647065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6825" y="766762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107315</xdr:colOff>
      <xdr:row>36</xdr:row>
      <xdr:rowOff>165100</xdr:rowOff>
    </xdr:from>
    <xdr:to>
      <xdr:col>17</xdr:col>
      <xdr:colOff>528320</xdr:colOff>
      <xdr:row>36</xdr:row>
      <xdr:rowOff>377190</xdr:rowOff>
    </xdr:to>
    <xdr:pic>
      <xdr:nvPicPr>
        <xdr:cNvPr id="210" name="Picture 2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5479415" y="14916785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72390</xdr:colOff>
      <xdr:row>35</xdr:row>
      <xdr:rowOff>65405</xdr:rowOff>
    </xdr:from>
    <xdr:to>
      <xdr:col>17</xdr:col>
      <xdr:colOff>476250</xdr:colOff>
      <xdr:row>35</xdr:row>
      <xdr:rowOff>431800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44490" y="14397990"/>
          <a:ext cx="403860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49530</xdr:colOff>
      <xdr:row>26</xdr:row>
      <xdr:rowOff>59690</xdr:rowOff>
    </xdr:from>
    <xdr:to>
      <xdr:col>17</xdr:col>
      <xdr:colOff>490220</xdr:colOff>
      <xdr:row>26</xdr:row>
      <xdr:rowOff>457835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21630" y="9825990"/>
          <a:ext cx="440690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71755</xdr:colOff>
      <xdr:row>27</xdr:row>
      <xdr:rowOff>12700</xdr:rowOff>
    </xdr:from>
    <xdr:to>
      <xdr:col>17</xdr:col>
      <xdr:colOff>494665</xdr:colOff>
      <xdr:row>27</xdr:row>
      <xdr:rowOff>422275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43855" y="10286365"/>
          <a:ext cx="4229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133985</xdr:colOff>
      <xdr:row>30</xdr:row>
      <xdr:rowOff>78105</xdr:rowOff>
    </xdr:from>
    <xdr:to>
      <xdr:col>17</xdr:col>
      <xdr:colOff>482600</xdr:colOff>
      <xdr:row>30</xdr:row>
      <xdr:rowOff>435610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06085" y="11873865"/>
          <a:ext cx="3486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146050</xdr:colOff>
      <xdr:row>8</xdr:row>
      <xdr:rowOff>76200</xdr:rowOff>
    </xdr:from>
    <xdr:to>
      <xdr:col>17</xdr:col>
      <xdr:colOff>430530</xdr:colOff>
      <xdr:row>8</xdr:row>
      <xdr:rowOff>403225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94300" y="70485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145415</xdr:colOff>
      <xdr:row>9</xdr:row>
      <xdr:rowOff>86360</xdr:rowOff>
    </xdr:from>
    <xdr:to>
      <xdr:col>17</xdr:col>
      <xdr:colOff>429895</xdr:colOff>
      <xdr:row>9</xdr:row>
      <xdr:rowOff>413385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17515" y="122745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127000</xdr:colOff>
      <xdr:row>10</xdr:row>
      <xdr:rowOff>99060</xdr:rowOff>
    </xdr:from>
    <xdr:to>
      <xdr:col>17</xdr:col>
      <xdr:colOff>469900</xdr:colOff>
      <xdr:row>10</xdr:row>
      <xdr:rowOff>437515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99100" y="1747520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82550</xdr:colOff>
      <xdr:row>13</xdr:row>
      <xdr:rowOff>82550</xdr:rowOff>
    </xdr:from>
    <xdr:to>
      <xdr:col>17</xdr:col>
      <xdr:colOff>505460</xdr:colOff>
      <xdr:row>13</xdr:row>
      <xdr:rowOff>398780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4650" y="3253105"/>
          <a:ext cx="42291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117475</xdr:colOff>
      <xdr:row>20</xdr:row>
      <xdr:rowOff>118110</xdr:rowOff>
    </xdr:from>
    <xdr:to>
      <xdr:col>17</xdr:col>
      <xdr:colOff>504190</xdr:colOff>
      <xdr:row>20</xdr:row>
      <xdr:rowOff>441325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89575" y="684022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98425</xdr:colOff>
      <xdr:row>21</xdr:row>
      <xdr:rowOff>53975</xdr:rowOff>
    </xdr:from>
    <xdr:to>
      <xdr:col>17</xdr:col>
      <xdr:colOff>502285</xdr:colOff>
      <xdr:row>21</xdr:row>
      <xdr:rowOff>424815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70525" y="7283450"/>
          <a:ext cx="403860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71755</xdr:colOff>
      <xdr:row>25</xdr:row>
      <xdr:rowOff>65405</xdr:rowOff>
    </xdr:from>
    <xdr:to>
      <xdr:col>17</xdr:col>
      <xdr:colOff>452120</xdr:colOff>
      <xdr:row>25</xdr:row>
      <xdr:rowOff>433070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3855" y="9324340"/>
          <a:ext cx="38036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111125</xdr:colOff>
      <xdr:row>90</xdr:row>
      <xdr:rowOff>64770</xdr:rowOff>
    </xdr:from>
    <xdr:to>
      <xdr:col>17</xdr:col>
      <xdr:colOff>454025</xdr:colOff>
      <xdr:row>90</xdr:row>
      <xdr:rowOff>433705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83225" y="42125900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81280</xdr:colOff>
      <xdr:row>91</xdr:row>
      <xdr:rowOff>75565</xdr:rowOff>
    </xdr:from>
    <xdr:to>
      <xdr:col>17</xdr:col>
      <xdr:colOff>413385</xdr:colOff>
      <xdr:row>91</xdr:row>
      <xdr:rowOff>414655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453380" y="42644060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158750</xdr:colOff>
      <xdr:row>98</xdr:row>
      <xdr:rowOff>55245</xdr:rowOff>
    </xdr:from>
    <xdr:to>
      <xdr:col>17</xdr:col>
      <xdr:colOff>414020</xdr:colOff>
      <xdr:row>98</xdr:row>
      <xdr:rowOff>414655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30850" y="46175295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153670</xdr:colOff>
      <xdr:row>28</xdr:row>
      <xdr:rowOff>106680</xdr:rowOff>
    </xdr:from>
    <xdr:to>
      <xdr:col>17</xdr:col>
      <xdr:colOff>401320</xdr:colOff>
      <xdr:row>28</xdr:row>
      <xdr:rowOff>409575</xdr:rowOff>
    </xdr:to>
    <xdr:pic>
      <xdr:nvPicPr>
        <xdr:cNvPr id="84" name="Picture 16079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5525770" y="1088771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151765</xdr:colOff>
      <xdr:row>86</xdr:row>
      <xdr:rowOff>74295</xdr:rowOff>
    </xdr:from>
    <xdr:to>
      <xdr:col>17</xdr:col>
      <xdr:colOff>386080</xdr:colOff>
      <xdr:row>86</xdr:row>
      <xdr:rowOff>415290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523865" y="4010596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94615</xdr:colOff>
      <xdr:row>87</xdr:row>
      <xdr:rowOff>55880</xdr:rowOff>
    </xdr:from>
    <xdr:to>
      <xdr:col>17</xdr:col>
      <xdr:colOff>410845</xdr:colOff>
      <xdr:row>87</xdr:row>
      <xdr:rowOff>424815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466715" y="40594915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143510</xdr:colOff>
      <xdr:row>88</xdr:row>
      <xdr:rowOff>54610</xdr:rowOff>
    </xdr:from>
    <xdr:to>
      <xdr:col>17</xdr:col>
      <xdr:colOff>363220</xdr:colOff>
      <xdr:row>88</xdr:row>
      <xdr:rowOff>410845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515610" y="41101010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89</xdr:row>
      <xdr:rowOff>65405</xdr:rowOff>
    </xdr:from>
    <xdr:to>
      <xdr:col>17</xdr:col>
      <xdr:colOff>361315</xdr:colOff>
      <xdr:row>89</xdr:row>
      <xdr:rowOff>471805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455920" y="41619170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92</xdr:row>
      <xdr:rowOff>92710</xdr:rowOff>
    </xdr:from>
    <xdr:to>
      <xdr:col>17</xdr:col>
      <xdr:colOff>412750</xdr:colOff>
      <xdr:row>92</xdr:row>
      <xdr:rowOff>389890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444490" y="43168570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93</xdr:row>
      <xdr:rowOff>102870</xdr:rowOff>
    </xdr:from>
    <xdr:to>
      <xdr:col>17</xdr:col>
      <xdr:colOff>447040</xdr:colOff>
      <xdr:row>93</xdr:row>
      <xdr:rowOff>396240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455920" y="43686095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74295</xdr:colOff>
      <xdr:row>94</xdr:row>
      <xdr:rowOff>75565</xdr:rowOff>
    </xdr:from>
    <xdr:to>
      <xdr:col>17</xdr:col>
      <xdr:colOff>424815</xdr:colOff>
      <xdr:row>94</xdr:row>
      <xdr:rowOff>420370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446395" y="44166155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95</xdr:row>
      <xdr:rowOff>85725</xdr:rowOff>
    </xdr:from>
    <xdr:to>
      <xdr:col>17</xdr:col>
      <xdr:colOff>421005</xdr:colOff>
      <xdr:row>95</xdr:row>
      <xdr:rowOff>397510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436870" y="44683680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85</xdr:row>
      <xdr:rowOff>42545</xdr:rowOff>
    </xdr:from>
    <xdr:to>
      <xdr:col>17</xdr:col>
      <xdr:colOff>429895</xdr:colOff>
      <xdr:row>85</xdr:row>
      <xdr:rowOff>424180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486400" y="39566850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48260</xdr:colOff>
      <xdr:row>96</xdr:row>
      <xdr:rowOff>156845</xdr:rowOff>
    </xdr:from>
    <xdr:to>
      <xdr:col>17</xdr:col>
      <xdr:colOff>488950</xdr:colOff>
      <xdr:row>96</xdr:row>
      <xdr:rowOff>363220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420360" y="4526216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148590</xdr:colOff>
      <xdr:row>97</xdr:row>
      <xdr:rowOff>45720</xdr:rowOff>
    </xdr:from>
    <xdr:to>
      <xdr:col>17</xdr:col>
      <xdr:colOff>389255</xdr:colOff>
      <xdr:row>97</xdr:row>
      <xdr:rowOff>403225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520690" y="45658405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131445</xdr:colOff>
      <xdr:row>33</xdr:row>
      <xdr:rowOff>100965</xdr:rowOff>
    </xdr:from>
    <xdr:to>
      <xdr:col>17</xdr:col>
      <xdr:colOff>455295</xdr:colOff>
      <xdr:row>33</xdr:row>
      <xdr:rowOff>435610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503545" y="13418820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93345</xdr:colOff>
      <xdr:row>32</xdr:row>
      <xdr:rowOff>36195</xdr:rowOff>
    </xdr:from>
    <xdr:to>
      <xdr:col>17</xdr:col>
      <xdr:colOff>386715</xdr:colOff>
      <xdr:row>32</xdr:row>
      <xdr:rowOff>485775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465445" y="12846685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31</xdr:row>
      <xdr:rowOff>66675</xdr:rowOff>
    </xdr:from>
    <xdr:to>
      <xdr:col>17</xdr:col>
      <xdr:colOff>494030</xdr:colOff>
      <xdr:row>31</xdr:row>
      <xdr:rowOff>460375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444490" y="12369800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34</xdr:row>
      <xdr:rowOff>88900</xdr:rowOff>
    </xdr:from>
    <xdr:to>
      <xdr:col>17</xdr:col>
      <xdr:colOff>454025</xdr:colOff>
      <xdr:row>34</xdr:row>
      <xdr:rowOff>407670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438775" y="13914120"/>
          <a:ext cx="387350" cy="318770"/>
        </a:xfrm>
        <a:prstGeom prst="rect">
          <a:avLst/>
        </a:prstGeom>
      </xdr:spPr>
    </xdr:pic>
    <xdr:clientData/>
  </xdr:twoCellAnchor>
  <xdr:twoCellAnchor>
    <xdr:from>
      <xdr:col>17</xdr:col>
      <xdr:colOff>125730</xdr:colOff>
      <xdr:row>17</xdr:row>
      <xdr:rowOff>137160</xdr:rowOff>
    </xdr:from>
    <xdr:to>
      <xdr:col>17</xdr:col>
      <xdr:colOff>419100</xdr:colOff>
      <xdr:row>17</xdr:row>
      <xdr:rowOff>359410</xdr:rowOff>
    </xdr:to>
    <xdr:pic>
      <xdr:nvPicPr>
        <xdr:cNvPr id="30" name="Picture 1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5497830" y="533717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159385</xdr:colOff>
      <xdr:row>77</xdr:row>
      <xdr:rowOff>106680</xdr:rowOff>
    </xdr:from>
    <xdr:to>
      <xdr:col>17</xdr:col>
      <xdr:colOff>473710</xdr:colOff>
      <xdr:row>77</xdr:row>
      <xdr:rowOff>401955</xdr:rowOff>
    </xdr:to>
    <xdr:pic>
      <xdr:nvPicPr>
        <xdr:cNvPr id="193" name="Picture 111" descr="888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5531485" y="35572065"/>
          <a:ext cx="314325" cy="29527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62865</xdr:colOff>
      <xdr:row>39</xdr:row>
      <xdr:rowOff>36195</xdr:rowOff>
    </xdr:from>
    <xdr:to>
      <xdr:col>17</xdr:col>
      <xdr:colOff>481965</xdr:colOff>
      <xdr:row>39</xdr:row>
      <xdr:rowOff>384810</xdr:rowOff>
    </xdr:to>
    <xdr:pic>
      <xdr:nvPicPr>
        <xdr:cNvPr id="194" name="图片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flipV="1">
          <a:off x="5434965" y="16221710"/>
          <a:ext cx="419100" cy="348615"/>
        </a:xfrm>
        <a:prstGeom prst="rect">
          <a:avLst/>
        </a:prstGeom>
      </xdr:spPr>
    </xdr:pic>
    <xdr:clientData/>
  </xdr:twoCellAnchor>
  <xdr:twoCellAnchor>
    <xdr:from>
      <xdr:col>17</xdr:col>
      <xdr:colOff>43815</xdr:colOff>
      <xdr:row>47</xdr:row>
      <xdr:rowOff>31115</xdr:rowOff>
    </xdr:from>
    <xdr:to>
      <xdr:col>17</xdr:col>
      <xdr:colOff>502920</xdr:colOff>
      <xdr:row>47</xdr:row>
      <xdr:rowOff>443865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415915" y="20275550"/>
          <a:ext cx="459105" cy="41275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49</xdr:row>
      <xdr:rowOff>149599</xdr:rowOff>
    </xdr:from>
    <xdr:to>
      <xdr:col>17</xdr:col>
      <xdr:colOff>497840</xdr:colOff>
      <xdr:row>49</xdr:row>
      <xdr:rowOff>451859</xdr:rowOff>
    </xdr:to>
    <xdr:pic>
      <xdr:nvPicPr>
        <xdr:cNvPr id="196" name="图片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467350" y="21408390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66040</xdr:colOff>
      <xdr:row>55</xdr:row>
      <xdr:rowOff>73660</xdr:rowOff>
    </xdr:from>
    <xdr:to>
      <xdr:col>17</xdr:col>
      <xdr:colOff>487680</xdr:colOff>
      <xdr:row>55</xdr:row>
      <xdr:rowOff>388620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438140" y="24377015"/>
          <a:ext cx="421640" cy="31496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56</xdr:row>
      <xdr:rowOff>85725</xdr:rowOff>
    </xdr:from>
    <xdr:to>
      <xdr:col>17</xdr:col>
      <xdr:colOff>504825</xdr:colOff>
      <xdr:row>56</xdr:row>
      <xdr:rowOff>401320</xdr:rowOff>
    </xdr:to>
    <xdr:pic>
      <xdr:nvPicPr>
        <xdr:cNvPr id="198" name="图片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448300" y="24896445"/>
          <a:ext cx="428625" cy="315595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57</xdr:row>
      <xdr:rowOff>57150</xdr:rowOff>
    </xdr:from>
    <xdr:to>
      <xdr:col>17</xdr:col>
      <xdr:colOff>466725</xdr:colOff>
      <xdr:row>57</xdr:row>
      <xdr:rowOff>455930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467350" y="25375235"/>
          <a:ext cx="371475" cy="3987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59</xdr:row>
      <xdr:rowOff>76200</xdr:rowOff>
    </xdr:from>
    <xdr:to>
      <xdr:col>17</xdr:col>
      <xdr:colOff>473710</xdr:colOff>
      <xdr:row>59</xdr:row>
      <xdr:rowOff>395605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429250" y="26409015"/>
          <a:ext cx="416560" cy="31940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60</xdr:row>
      <xdr:rowOff>66675</xdr:rowOff>
    </xdr:from>
    <xdr:to>
      <xdr:col>17</xdr:col>
      <xdr:colOff>458470</xdr:colOff>
      <xdr:row>60</xdr:row>
      <xdr:rowOff>414655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457825" y="26906855"/>
          <a:ext cx="372745" cy="34798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58</xdr:row>
      <xdr:rowOff>76200</xdr:rowOff>
    </xdr:from>
    <xdr:to>
      <xdr:col>17</xdr:col>
      <xdr:colOff>495935</xdr:colOff>
      <xdr:row>58</xdr:row>
      <xdr:rowOff>424815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457825" y="25901650"/>
          <a:ext cx="410210" cy="348615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51</xdr:row>
      <xdr:rowOff>66675</xdr:rowOff>
    </xdr:from>
    <xdr:to>
      <xdr:col>17</xdr:col>
      <xdr:colOff>428625</xdr:colOff>
      <xdr:row>51</xdr:row>
      <xdr:rowOff>414655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476875" y="22340570"/>
          <a:ext cx="323850" cy="34798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65</xdr:row>
      <xdr:rowOff>59690</xdr:rowOff>
    </xdr:from>
    <xdr:to>
      <xdr:col>17</xdr:col>
      <xdr:colOff>495300</xdr:colOff>
      <xdr:row>65</xdr:row>
      <xdr:rowOff>430530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476875" y="29436695"/>
          <a:ext cx="390525" cy="370840"/>
        </a:xfrm>
        <a:prstGeom prst="rect">
          <a:avLst/>
        </a:prstGeom>
      </xdr:spPr>
    </xdr:pic>
    <xdr:clientData/>
  </xdr:twoCellAnchor>
  <xdr:twoCellAnchor>
    <xdr:from>
      <xdr:col>17</xdr:col>
      <xdr:colOff>71120</xdr:colOff>
      <xdr:row>62</xdr:row>
      <xdr:rowOff>142875</xdr:rowOff>
    </xdr:from>
    <xdr:to>
      <xdr:col>17</xdr:col>
      <xdr:colOff>515620</xdr:colOff>
      <xdr:row>62</xdr:row>
      <xdr:rowOff>381000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443220" y="27997785"/>
          <a:ext cx="444500" cy="238125"/>
        </a:xfrm>
        <a:prstGeom prst="rect">
          <a:avLst/>
        </a:prstGeom>
      </xdr:spPr>
    </xdr:pic>
    <xdr:clientData/>
  </xdr:twoCellAnchor>
  <xdr:twoCellAnchor>
    <xdr:from>
      <xdr:col>17</xdr:col>
      <xdr:colOff>31115</xdr:colOff>
      <xdr:row>66</xdr:row>
      <xdr:rowOff>125095</xdr:rowOff>
    </xdr:from>
    <xdr:to>
      <xdr:col>17</xdr:col>
      <xdr:colOff>455930</xdr:colOff>
      <xdr:row>66</xdr:row>
      <xdr:rowOff>344170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079365" y="31910020"/>
          <a:ext cx="424815" cy="219075"/>
        </a:xfrm>
        <a:prstGeom prst="rect">
          <a:avLst/>
        </a:prstGeom>
      </xdr:spPr>
    </xdr:pic>
    <xdr:clientData/>
  </xdr:twoCellAnchor>
  <xdr:twoCellAnchor>
    <xdr:from>
      <xdr:col>17</xdr:col>
      <xdr:colOff>129540</xdr:colOff>
      <xdr:row>67</xdr:row>
      <xdr:rowOff>58420</xdr:rowOff>
    </xdr:from>
    <xdr:to>
      <xdr:col>17</xdr:col>
      <xdr:colOff>411480</xdr:colOff>
      <xdr:row>67</xdr:row>
      <xdr:rowOff>432435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501640" y="30450155"/>
          <a:ext cx="281940" cy="374015"/>
        </a:xfrm>
        <a:prstGeom prst="rect">
          <a:avLst/>
        </a:prstGeom>
      </xdr:spPr>
    </xdr:pic>
    <xdr:clientData/>
  </xdr:twoCellAnchor>
  <xdr:twoCellAnchor>
    <xdr:from>
      <xdr:col>17</xdr:col>
      <xdr:colOff>62230</xdr:colOff>
      <xdr:row>68</xdr:row>
      <xdr:rowOff>76200</xdr:rowOff>
    </xdr:from>
    <xdr:to>
      <xdr:col>17</xdr:col>
      <xdr:colOff>527685</xdr:colOff>
      <xdr:row>68</xdr:row>
      <xdr:rowOff>358775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434330" y="30975300"/>
          <a:ext cx="465455" cy="282575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69</xdr:row>
      <xdr:rowOff>114300</xdr:rowOff>
    </xdr:from>
    <xdr:to>
      <xdr:col>17</xdr:col>
      <xdr:colOff>517525</xdr:colOff>
      <xdr:row>69</xdr:row>
      <xdr:rowOff>382270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410200" y="31520765"/>
          <a:ext cx="479425" cy="26797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70</xdr:row>
      <xdr:rowOff>95250</xdr:rowOff>
    </xdr:from>
    <xdr:to>
      <xdr:col>17</xdr:col>
      <xdr:colOff>490220</xdr:colOff>
      <xdr:row>70</xdr:row>
      <xdr:rowOff>446405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486400" y="32009080"/>
          <a:ext cx="375920" cy="351155"/>
        </a:xfrm>
        <a:prstGeom prst="rect">
          <a:avLst/>
        </a:prstGeom>
      </xdr:spPr>
    </xdr:pic>
    <xdr:clientData/>
  </xdr:twoCellAnchor>
  <xdr:twoCellAnchor>
    <xdr:from>
      <xdr:col>17</xdr:col>
      <xdr:colOff>155575</xdr:colOff>
      <xdr:row>72</xdr:row>
      <xdr:rowOff>93345</xdr:rowOff>
    </xdr:from>
    <xdr:to>
      <xdr:col>17</xdr:col>
      <xdr:colOff>342900</xdr:colOff>
      <xdr:row>72</xdr:row>
      <xdr:rowOff>403225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527675" y="33021905"/>
          <a:ext cx="187325" cy="3098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73</xdr:row>
      <xdr:rowOff>85725</xdr:rowOff>
    </xdr:from>
    <xdr:to>
      <xdr:col>17</xdr:col>
      <xdr:colOff>469265</xdr:colOff>
      <xdr:row>73</xdr:row>
      <xdr:rowOff>410210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429250" y="33521650"/>
          <a:ext cx="412115" cy="324485"/>
        </a:xfrm>
        <a:prstGeom prst="rect">
          <a:avLst/>
        </a:prstGeom>
      </xdr:spPr>
    </xdr:pic>
    <xdr:clientData/>
  </xdr:twoCellAnchor>
  <xdr:twoCellAnchor>
    <xdr:from>
      <xdr:col>17</xdr:col>
      <xdr:colOff>42582</xdr:colOff>
      <xdr:row>64</xdr:row>
      <xdr:rowOff>117662</xdr:rowOff>
    </xdr:from>
    <xdr:to>
      <xdr:col>17</xdr:col>
      <xdr:colOff>442632</xdr:colOff>
      <xdr:row>64</xdr:row>
      <xdr:rowOff>418017</xdr:rowOff>
    </xdr:to>
    <xdr:pic>
      <xdr:nvPicPr>
        <xdr:cNvPr id="223" name="图片 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4645" y="28987115"/>
          <a:ext cx="400050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78</xdr:row>
      <xdr:rowOff>123825</xdr:rowOff>
    </xdr:from>
    <xdr:to>
      <xdr:col>17</xdr:col>
      <xdr:colOff>500380</xdr:colOff>
      <xdr:row>78</xdr:row>
      <xdr:rowOff>373380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448300" y="36096575"/>
          <a:ext cx="424180" cy="249555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75</xdr:row>
      <xdr:rowOff>76200</xdr:rowOff>
    </xdr:from>
    <xdr:to>
      <xdr:col>17</xdr:col>
      <xdr:colOff>486410</xdr:colOff>
      <xdr:row>75</xdr:row>
      <xdr:rowOff>434340</xdr:rowOff>
    </xdr:to>
    <xdr:pic>
      <xdr:nvPicPr>
        <xdr:cNvPr id="240" name="图片 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9250" y="34526855"/>
          <a:ext cx="429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76</xdr:row>
      <xdr:rowOff>66675</xdr:rowOff>
    </xdr:from>
    <xdr:to>
      <xdr:col>17</xdr:col>
      <xdr:colOff>483870</xdr:colOff>
      <xdr:row>76</xdr:row>
      <xdr:rowOff>422275</xdr:rowOff>
    </xdr:to>
    <xdr:pic>
      <xdr:nvPicPr>
        <xdr:cNvPr id="241" name="图片 2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35024695"/>
          <a:ext cx="4362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84</xdr:row>
      <xdr:rowOff>81915</xdr:rowOff>
    </xdr:from>
    <xdr:to>
      <xdr:col>17</xdr:col>
      <xdr:colOff>476250</xdr:colOff>
      <xdr:row>84</xdr:row>
      <xdr:rowOff>450850</xdr:rowOff>
    </xdr:to>
    <xdr:pic>
      <xdr:nvPicPr>
        <xdr:cNvPr id="245" name="图片 1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8775" y="3909885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55880</xdr:colOff>
      <xdr:row>80</xdr:row>
      <xdr:rowOff>62230</xdr:rowOff>
    </xdr:from>
    <xdr:to>
      <xdr:col>17</xdr:col>
      <xdr:colOff>465455</xdr:colOff>
      <xdr:row>80</xdr:row>
      <xdr:rowOff>427990</xdr:rowOff>
    </xdr:to>
    <xdr:pic>
      <xdr:nvPicPr>
        <xdr:cNvPr id="246" name="图片 17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7980" y="37049710"/>
          <a:ext cx="40957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83</xdr:row>
      <xdr:rowOff>66675</xdr:rowOff>
    </xdr:from>
    <xdr:to>
      <xdr:col>17</xdr:col>
      <xdr:colOff>496570</xdr:colOff>
      <xdr:row>83</xdr:row>
      <xdr:rowOff>447675</xdr:rowOff>
    </xdr:to>
    <xdr:pic>
      <xdr:nvPicPr>
        <xdr:cNvPr id="248" name="图片 18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8300" y="38576250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113665</xdr:colOff>
      <xdr:row>74</xdr:row>
      <xdr:rowOff>90805</xdr:rowOff>
    </xdr:from>
    <xdr:to>
      <xdr:col>17</xdr:col>
      <xdr:colOff>448310</xdr:colOff>
      <xdr:row>74</xdr:row>
      <xdr:rowOff>394335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485765" y="34034095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104140</xdr:colOff>
      <xdr:row>79</xdr:row>
      <xdr:rowOff>62230</xdr:rowOff>
    </xdr:from>
    <xdr:to>
      <xdr:col>17</xdr:col>
      <xdr:colOff>500380</xdr:colOff>
      <xdr:row>79</xdr:row>
      <xdr:rowOff>419735</xdr:rowOff>
    </xdr:to>
    <xdr:pic>
      <xdr:nvPicPr>
        <xdr:cNvPr id="252" name="图片 17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6240" y="36542345"/>
          <a:ext cx="396240" cy="35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66040</xdr:colOff>
      <xdr:row>81</xdr:row>
      <xdr:rowOff>69850</xdr:rowOff>
    </xdr:from>
    <xdr:to>
      <xdr:col>17</xdr:col>
      <xdr:colOff>475615</xdr:colOff>
      <xdr:row>81</xdr:row>
      <xdr:rowOff>438785</xdr:rowOff>
    </xdr:to>
    <xdr:pic>
      <xdr:nvPicPr>
        <xdr:cNvPr id="253" name="图片 1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8140" y="3756469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82</xdr:row>
      <xdr:rowOff>66675</xdr:rowOff>
    </xdr:from>
    <xdr:to>
      <xdr:col>17</xdr:col>
      <xdr:colOff>496570</xdr:colOff>
      <xdr:row>82</xdr:row>
      <xdr:rowOff>447675</xdr:rowOff>
    </xdr:to>
    <xdr:pic>
      <xdr:nvPicPr>
        <xdr:cNvPr id="254" name="图片 18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8300" y="3806888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52618</xdr:colOff>
      <xdr:row>45</xdr:row>
      <xdr:rowOff>145187</xdr:rowOff>
    </xdr:from>
    <xdr:to>
      <xdr:col>17</xdr:col>
      <xdr:colOff>466474</xdr:colOff>
      <xdr:row>45</xdr:row>
      <xdr:rowOff>459926</xdr:rowOff>
    </xdr:to>
    <xdr:pic>
      <xdr:nvPicPr>
        <xdr:cNvPr id="258" name="图片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424170" y="19374485"/>
          <a:ext cx="414020" cy="314960"/>
        </a:xfrm>
        <a:prstGeom prst="rect">
          <a:avLst/>
        </a:prstGeom>
      </xdr:spPr>
    </xdr:pic>
    <xdr:clientData/>
  </xdr:twoCellAnchor>
  <xdr:twoCellAnchor>
    <xdr:from>
      <xdr:col>17</xdr:col>
      <xdr:colOff>40640</xdr:colOff>
      <xdr:row>43</xdr:row>
      <xdr:rowOff>89535</xdr:rowOff>
    </xdr:from>
    <xdr:to>
      <xdr:col>17</xdr:col>
      <xdr:colOff>500380</xdr:colOff>
      <xdr:row>43</xdr:row>
      <xdr:rowOff>358140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412740" y="18304510"/>
          <a:ext cx="459740" cy="268605"/>
        </a:xfrm>
        <a:prstGeom prst="rect">
          <a:avLst/>
        </a:prstGeom>
      </xdr:spPr>
    </xdr:pic>
    <xdr:clientData/>
  </xdr:twoCellAnchor>
  <xdr:twoCellAnchor>
    <xdr:from>
      <xdr:col>17</xdr:col>
      <xdr:colOff>64135</xdr:colOff>
      <xdr:row>44</xdr:row>
      <xdr:rowOff>123190</xdr:rowOff>
    </xdr:from>
    <xdr:to>
      <xdr:col>17</xdr:col>
      <xdr:colOff>490220</xdr:colOff>
      <xdr:row>44</xdr:row>
      <xdr:rowOff>405130</xdr:rowOff>
    </xdr:to>
    <xdr:pic>
      <xdr:nvPicPr>
        <xdr:cNvPr id="260" name="图片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436235" y="18845530"/>
          <a:ext cx="426085" cy="281940"/>
        </a:xfrm>
        <a:prstGeom prst="rect">
          <a:avLst/>
        </a:prstGeom>
      </xdr:spPr>
    </xdr:pic>
    <xdr:clientData/>
  </xdr:twoCellAnchor>
  <xdr:twoCellAnchor>
    <xdr:from>
      <xdr:col>17</xdr:col>
      <xdr:colOff>9525</xdr:colOff>
      <xdr:row>71</xdr:row>
      <xdr:rowOff>153670</xdr:rowOff>
    </xdr:from>
    <xdr:to>
      <xdr:col>17</xdr:col>
      <xdr:colOff>537210</xdr:colOff>
      <xdr:row>71</xdr:row>
      <xdr:rowOff>385445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381625" y="32574865"/>
          <a:ext cx="527685" cy="231775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40</xdr:row>
      <xdr:rowOff>76200</xdr:rowOff>
    </xdr:from>
    <xdr:to>
      <xdr:col>17</xdr:col>
      <xdr:colOff>453390</xdr:colOff>
      <xdr:row>40</xdr:row>
      <xdr:rowOff>412750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448300" y="16769080"/>
          <a:ext cx="377190" cy="33655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41</xdr:row>
      <xdr:rowOff>95250</xdr:rowOff>
    </xdr:from>
    <xdr:to>
      <xdr:col>17</xdr:col>
      <xdr:colOff>469265</xdr:colOff>
      <xdr:row>41</xdr:row>
      <xdr:rowOff>431165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486400" y="17295495"/>
          <a:ext cx="354965" cy="3359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42</xdr:row>
      <xdr:rowOff>66675</xdr:rowOff>
    </xdr:from>
    <xdr:to>
      <xdr:col>17</xdr:col>
      <xdr:colOff>462280</xdr:colOff>
      <xdr:row>42</xdr:row>
      <xdr:rowOff>412115</xdr:rowOff>
    </xdr:to>
    <xdr:pic>
      <xdr:nvPicPr>
        <xdr:cNvPr id="265" name="图片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457825" y="17774285"/>
          <a:ext cx="376555" cy="345440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38</xdr:row>
      <xdr:rowOff>99060</xdr:rowOff>
    </xdr:from>
    <xdr:to>
      <xdr:col>17</xdr:col>
      <xdr:colOff>476885</xdr:colOff>
      <xdr:row>38</xdr:row>
      <xdr:rowOff>386715</xdr:rowOff>
    </xdr:to>
    <xdr:pic>
      <xdr:nvPicPr>
        <xdr:cNvPr id="266" name="图片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423535" y="15777210"/>
          <a:ext cx="425450" cy="287655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48</xdr:row>
      <xdr:rowOff>70485</xdr:rowOff>
    </xdr:from>
    <xdr:to>
      <xdr:col>17</xdr:col>
      <xdr:colOff>474980</xdr:colOff>
      <xdr:row>48</xdr:row>
      <xdr:rowOff>407035</xdr:rowOff>
    </xdr:to>
    <xdr:pic>
      <xdr:nvPicPr>
        <xdr:cNvPr id="267" name="图片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423535" y="20822285"/>
          <a:ext cx="423545" cy="336550"/>
        </a:xfrm>
        <a:prstGeom prst="rect">
          <a:avLst/>
        </a:prstGeom>
      </xdr:spPr>
    </xdr:pic>
    <xdr:clientData/>
  </xdr:twoCellAnchor>
  <xdr:twoCellAnchor>
    <xdr:from>
      <xdr:col>17</xdr:col>
      <xdr:colOff>61633</xdr:colOff>
      <xdr:row>50</xdr:row>
      <xdr:rowOff>127186</xdr:rowOff>
    </xdr:from>
    <xdr:to>
      <xdr:col>17</xdr:col>
      <xdr:colOff>464223</xdr:colOff>
      <xdr:row>50</xdr:row>
      <xdr:rowOff>429446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433695" y="21893530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53</xdr:row>
      <xdr:rowOff>76200</xdr:rowOff>
    </xdr:from>
    <xdr:to>
      <xdr:col>17</xdr:col>
      <xdr:colOff>523875</xdr:colOff>
      <xdr:row>53</xdr:row>
      <xdr:rowOff>455930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467350" y="23364825"/>
          <a:ext cx="428625" cy="37973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54</xdr:row>
      <xdr:rowOff>66675</xdr:rowOff>
    </xdr:from>
    <xdr:to>
      <xdr:col>17</xdr:col>
      <xdr:colOff>487680</xdr:colOff>
      <xdr:row>54</xdr:row>
      <xdr:rowOff>438785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429250" y="23862665"/>
          <a:ext cx="430530" cy="372110"/>
        </a:xfrm>
        <a:prstGeom prst="rect">
          <a:avLst/>
        </a:prstGeom>
      </xdr:spPr>
    </xdr:pic>
    <xdr:clientData/>
  </xdr:twoCellAnchor>
  <xdr:twoCellAnchor>
    <xdr:from>
      <xdr:col>17</xdr:col>
      <xdr:colOff>26670</xdr:colOff>
      <xdr:row>37</xdr:row>
      <xdr:rowOff>504190</xdr:rowOff>
    </xdr:from>
    <xdr:to>
      <xdr:col>17</xdr:col>
      <xdr:colOff>479425</xdr:colOff>
      <xdr:row>37</xdr:row>
      <xdr:rowOff>389255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398770" y="15674975"/>
          <a:ext cx="452755" cy="0"/>
        </a:xfrm>
        <a:prstGeom prst="rect">
          <a:avLst/>
        </a:prstGeom>
      </xdr:spPr>
    </xdr:pic>
    <xdr:clientData/>
  </xdr:twoCellAnchor>
  <xdr:twoCellAnchor>
    <xdr:from>
      <xdr:col>17</xdr:col>
      <xdr:colOff>96520</xdr:colOff>
      <xdr:row>46</xdr:row>
      <xdr:rowOff>57785</xdr:rowOff>
    </xdr:from>
    <xdr:to>
      <xdr:col>17</xdr:col>
      <xdr:colOff>457835</xdr:colOff>
      <xdr:row>46</xdr:row>
      <xdr:rowOff>436245</xdr:rowOff>
    </xdr:to>
    <xdr:pic>
      <xdr:nvPicPr>
        <xdr:cNvPr id="278" name="图片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468620" y="19794855"/>
          <a:ext cx="361315" cy="378460"/>
        </a:xfrm>
        <a:prstGeom prst="rect">
          <a:avLst/>
        </a:prstGeom>
      </xdr:spPr>
    </xdr:pic>
    <xdr:clientData/>
  </xdr:twoCellAnchor>
  <xdr:twoCellAnchor>
    <xdr:from>
      <xdr:col>17</xdr:col>
      <xdr:colOff>84455</xdr:colOff>
      <xdr:row>61</xdr:row>
      <xdr:rowOff>69215</xdr:rowOff>
    </xdr:from>
    <xdr:to>
      <xdr:col>17</xdr:col>
      <xdr:colOff>501015</xdr:colOff>
      <xdr:row>61</xdr:row>
      <xdr:rowOff>446405</xdr:rowOff>
    </xdr:to>
    <xdr:pic>
      <xdr:nvPicPr>
        <xdr:cNvPr id="281" name="图片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456555" y="27416760"/>
          <a:ext cx="41656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130810</xdr:colOff>
      <xdr:row>63</xdr:row>
      <xdr:rowOff>126365</xdr:rowOff>
    </xdr:from>
    <xdr:to>
      <xdr:col>17</xdr:col>
      <xdr:colOff>447675</xdr:colOff>
      <xdr:row>63</xdr:row>
      <xdr:rowOff>412750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502910" y="28488640"/>
          <a:ext cx="31686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168910</xdr:colOff>
      <xdr:row>11</xdr:row>
      <xdr:rowOff>40005</xdr:rowOff>
    </xdr:from>
    <xdr:to>
      <xdr:col>17</xdr:col>
      <xdr:colOff>407035</xdr:colOff>
      <xdr:row>11</xdr:row>
      <xdr:rowOff>427355</xdr:rowOff>
    </xdr:to>
    <xdr:pic>
      <xdr:nvPicPr>
        <xdr:cNvPr id="289" name="图片 288" descr="7b9886a80dec6bf7b0d0fb567df1a0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541010" y="2195830"/>
          <a:ext cx="238125" cy="387350"/>
        </a:xfrm>
        <a:prstGeom prst="rect">
          <a:avLst/>
        </a:prstGeom>
      </xdr:spPr>
    </xdr:pic>
    <xdr:clientData/>
  </xdr:twoCellAnchor>
  <xdr:twoCellAnchor>
    <xdr:from>
      <xdr:col>17</xdr:col>
      <xdr:colOff>173990</xdr:colOff>
      <xdr:row>12</xdr:row>
      <xdr:rowOff>93980</xdr:rowOff>
    </xdr:from>
    <xdr:to>
      <xdr:col>17</xdr:col>
      <xdr:colOff>393065</xdr:colOff>
      <xdr:row>12</xdr:row>
      <xdr:rowOff>448945</xdr:rowOff>
    </xdr:to>
    <xdr:pic>
      <xdr:nvPicPr>
        <xdr:cNvPr id="290" name="图片 289" descr="d4e09006448e48ef7ee9cf52ef087a3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546090" y="2757170"/>
          <a:ext cx="219075" cy="35496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14</xdr:row>
      <xdr:rowOff>513080</xdr:rowOff>
    </xdr:from>
    <xdr:to>
      <xdr:col>17</xdr:col>
      <xdr:colOff>478155</xdr:colOff>
      <xdr:row>14</xdr:row>
      <xdr:rowOff>589280</xdr:rowOff>
    </xdr:to>
    <xdr:pic>
      <xdr:nvPicPr>
        <xdr:cNvPr id="296" name="图片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133975" y="4170680"/>
          <a:ext cx="39243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28575</xdr:colOff>
      <xdr:row>15</xdr:row>
      <xdr:rowOff>217170</xdr:rowOff>
    </xdr:from>
    <xdr:to>
      <xdr:col>17</xdr:col>
      <xdr:colOff>494030</xdr:colOff>
      <xdr:row>15</xdr:row>
      <xdr:rowOff>364490</xdr:rowOff>
    </xdr:to>
    <xdr:pic>
      <xdr:nvPicPr>
        <xdr:cNvPr id="299" name="图片 5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400675" y="4402455"/>
          <a:ext cx="465455" cy="1473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77470</xdr:colOff>
      <xdr:row>16</xdr:row>
      <xdr:rowOff>489585</xdr:rowOff>
    </xdr:from>
    <xdr:to>
      <xdr:col>17</xdr:col>
      <xdr:colOff>372110</xdr:colOff>
      <xdr:row>16</xdr:row>
      <xdr:rowOff>867410</xdr:rowOff>
    </xdr:to>
    <xdr:pic>
      <xdr:nvPicPr>
        <xdr:cNvPr id="300" name="图片 6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125720" y="5880735"/>
          <a:ext cx="294640" cy="37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28575</xdr:colOff>
      <xdr:row>85</xdr:row>
      <xdr:rowOff>0</xdr:rowOff>
    </xdr:from>
    <xdr:to>
      <xdr:col>17</xdr:col>
      <xdr:colOff>487680</xdr:colOff>
      <xdr:row>85</xdr:row>
      <xdr:rowOff>76200</xdr:rowOff>
    </xdr:to>
    <xdr:pic>
      <xdr:nvPicPr>
        <xdr:cNvPr id="311" name="图片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400675" y="39524305"/>
          <a:ext cx="45910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113665</xdr:colOff>
      <xdr:row>85</xdr:row>
      <xdr:rowOff>0</xdr:rowOff>
    </xdr:from>
    <xdr:to>
      <xdr:col>17</xdr:col>
      <xdr:colOff>427990</xdr:colOff>
      <xdr:row>85</xdr:row>
      <xdr:rowOff>264160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485765" y="39524305"/>
          <a:ext cx="314325" cy="264160"/>
        </a:xfrm>
        <a:prstGeom prst="rect">
          <a:avLst/>
        </a:prstGeom>
      </xdr:spPr>
    </xdr:pic>
    <xdr:clientData/>
  </xdr:twoCellAnchor>
  <xdr:twoCellAnchor editAs="oneCell">
    <xdr:from>
      <xdr:col>67</xdr:col>
      <xdr:colOff>84305</xdr:colOff>
      <xdr:row>9</xdr:row>
      <xdr:rowOff>295275</xdr:rowOff>
    </xdr:from>
    <xdr:to>
      <xdr:col>68</xdr:col>
      <xdr:colOff>553374</xdr:colOff>
      <xdr:row>10</xdr:row>
      <xdr:rowOff>419100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8C8A5FF-402F-46FC-AA57-3DE65DFA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8555396" y="1431348"/>
          <a:ext cx="1106378" cy="622588"/>
        </a:xfrm>
        <a:prstGeom prst="rect">
          <a:avLst/>
        </a:prstGeom>
      </xdr:spPr>
    </xdr:pic>
    <xdr:clientData/>
  </xdr:twoCellAnchor>
  <xdr:twoCellAnchor editAs="oneCell">
    <xdr:from>
      <xdr:col>67</xdr:col>
      <xdr:colOff>112568</xdr:colOff>
      <xdr:row>8</xdr:row>
      <xdr:rowOff>57150</xdr:rowOff>
    </xdr:from>
    <xdr:to>
      <xdr:col>68</xdr:col>
      <xdr:colOff>426893</xdr:colOff>
      <xdr:row>9</xdr:row>
      <xdr:rowOff>270702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17AF911-7668-4633-B2A0-EE4482B36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8583659" y="694459"/>
          <a:ext cx="951634" cy="712316"/>
        </a:xfrm>
        <a:prstGeom prst="rect">
          <a:avLst/>
        </a:prstGeom>
      </xdr:spPr>
    </xdr:pic>
    <xdr:clientData/>
  </xdr:twoCellAnchor>
  <xdr:twoCellAnchor editAs="oneCell">
    <xdr:from>
      <xdr:col>65</xdr:col>
      <xdr:colOff>665884</xdr:colOff>
      <xdr:row>15</xdr:row>
      <xdr:rowOff>61601</xdr:rowOff>
    </xdr:from>
    <xdr:to>
      <xdr:col>65</xdr:col>
      <xdr:colOff>1433666</xdr:colOff>
      <xdr:row>15</xdr:row>
      <xdr:rowOff>429491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E7C9F21-0F4E-4812-B797-93D66F38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6130539" y="4924546"/>
          <a:ext cx="767782" cy="367890"/>
        </a:xfrm>
        <a:prstGeom prst="rect">
          <a:avLst/>
        </a:prstGeom>
      </xdr:spPr>
    </xdr:pic>
    <xdr:clientData/>
  </xdr:twoCellAnchor>
  <xdr:twoCellAnchor editAs="oneCell">
    <xdr:from>
      <xdr:col>65</xdr:col>
      <xdr:colOff>28576</xdr:colOff>
      <xdr:row>9</xdr:row>
      <xdr:rowOff>264280</xdr:rowOff>
    </xdr:from>
    <xdr:to>
      <xdr:col>65</xdr:col>
      <xdr:colOff>1685926</xdr:colOff>
      <xdr:row>10</xdr:row>
      <xdr:rowOff>485775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F1F5011-D603-423E-872B-1E5F4C604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5469851" y="1397755"/>
          <a:ext cx="1657350" cy="726320"/>
        </a:xfrm>
        <a:prstGeom prst="rect">
          <a:avLst/>
        </a:prstGeom>
      </xdr:spPr>
    </xdr:pic>
    <xdr:clientData/>
  </xdr:twoCellAnchor>
  <xdr:twoCellAnchor editAs="oneCell">
    <xdr:from>
      <xdr:col>65</xdr:col>
      <xdr:colOff>37231</xdr:colOff>
      <xdr:row>8</xdr:row>
      <xdr:rowOff>57150</xdr:rowOff>
    </xdr:from>
    <xdr:to>
      <xdr:col>65</xdr:col>
      <xdr:colOff>1704974</xdr:colOff>
      <xdr:row>9</xdr:row>
      <xdr:rowOff>219075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BC93931-F502-4EFA-B850-B072F9771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5478506" y="685800"/>
          <a:ext cx="1667743" cy="666750"/>
        </a:xfrm>
        <a:prstGeom prst="rect">
          <a:avLst/>
        </a:prstGeom>
      </xdr:spPr>
    </xdr:pic>
    <xdr:clientData/>
  </xdr:twoCellAnchor>
  <xdr:twoCellAnchor editAs="oneCell">
    <xdr:from>
      <xdr:col>65</xdr:col>
      <xdr:colOff>95251</xdr:colOff>
      <xdr:row>16</xdr:row>
      <xdr:rowOff>692905</xdr:rowOff>
    </xdr:from>
    <xdr:to>
      <xdr:col>65</xdr:col>
      <xdr:colOff>1609725</xdr:colOff>
      <xdr:row>16</xdr:row>
      <xdr:rowOff>1285875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AD35567B-739B-4246-B078-8EE1406E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5536526" y="6084055"/>
          <a:ext cx="1514474" cy="592970"/>
        </a:xfrm>
        <a:prstGeom prst="rect">
          <a:avLst/>
        </a:prstGeom>
      </xdr:spPr>
    </xdr:pic>
    <xdr:clientData/>
  </xdr:twoCellAnchor>
  <xdr:twoCellAnchor editAs="oneCell">
    <xdr:from>
      <xdr:col>65</xdr:col>
      <xdr:colOff>94381</xdr:colOff>
      <xdr:row>16</xdr:row>
      <xdr:rowOff>114299</xdr:rowOff>
    </xdr:from>
    <xdr:to>
      <xdr:col>65</xdr:col>
      <xdr:colOff>1619250</xdr:colOff>
      <xdr:row>16</xdr:row>
      <xdr:rowOff>657224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3EB38470-BE73-492D-B3FE-5BEC9C7F9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5535656" y="5505449"/>
          <a:ext cx="1524869" cy="542925"/>
        </a:xfrm>
        <a:prstGeom prst="rect">
          <a:avLst/>
        </a:prstGeom>
      </xdr:spPr>
    </xdr:pic>
    <xdr:clientData/>
  </xdr:twoCellAnchor>
  <xdr:twoCellAnchor editAs="oneCell">
    <xdr:from>
      <xdr:col>65</xdr:col>
      <xdr:colOff>85725</xdr:colOff>
      <xdr:row>14</xdr:row>
      <xdr:rowOff>247650</xdr:rowOff>
    </xdr:from>
    <xdr:to>
      <xdr:col>65</xdr:col>
      <xdr:colOff>1666875</xdr:colOff>
      <xdr:row>14</xdr:row>
      <xdr:rowOff>973970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ED80D5DE-F251-4131-96E9-30CE6DF8D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5527000" y="3905250"/>
          <a:ext cx="1581150" cy="726320"/>
        </a:xfrm>
        <a:prstGeom prst="rect">
          <a:avLst/>
        </a:prstGeom>
      </xdr:spPr>
    </xdr:pic>
    <xdr:clientData/>
  </xdr:twoCellAnchor>
  <xdr:twoCellAnchor editAs="oneCell">
    <xdr:from>
      <xdr:col>65</xdr:col>
      <xdr:colOff>180975</xdr:colOff>
      <xdr:row>85</xdr:row>
      <xdr:rowOff>123825</xdr:rowOff>
    </xdr:from>
    <xdr:to>
      <xdr:col>65</xdr:col>
      <xdr:colOff>1474258</xdr:colOff>
      <xdr:row>86</xdr:row>
      <xdr:rowOff>256803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4F2815F-D7D2-4A5C-9458-EE7326CD4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5622250" y="41500425"/>
          <a:ext cx="1293283" cy="637802"/>
        </a:xfrm>
        <a:prstGeom prst="rect">
          <a:avLst/>
        </a:prstGeom>
      </xdr:spPr>
    </xdr:pic>
    <xdr:clientData/>
  </xdr:twoCellAnchor>
  <xdr:twoCellAnchor editAs="oneCell">
    <xdr:from>
      <xdr:col>65</xdr:col>
      <xdr:colOff>314324</xdr:colOff>
      <xdr:row>86</xdr:row>
      <xdr:rowOff>314325</xdr:rowOff>
    </xdr:from>
    <xdr:to>
      <xdr:col>65</xdr:col>
      <xdr:colOff>1475317</xdr:colOff>
      <xdr:row>88</xdr:row>
      <xdr:rowOff>169162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B38A9D5C-C513-4B3E-A0E6-32B28EC5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5755599" y="42195750"/>
          <a:ext cx="1160993" cy="864488"/>
        </a:xfrm>
        <a:prstGeom prst="rect">
          <a:avLst/>
        </a:prstGeom>
      </xdr:spPr>
    </xdr:pic>
    <xdr:clientData/>
  </xdr:twoCellAnchor>
  <xdr:twoCellAnchor editAs="oneCell">
    <xdr:from>
      <xdr:col>65</xdr:col>
      <xdr:colOff>552450</xdr:colOff>
      <xdr:row>73</xdr:row>
      <xdr:rowOff>81085</xdr:rowOff>
    </xdr:from>
    <xdr:to>
      <xdr:col>65</xdr:col>
      <xdr:colOff>1236434</xdr:colOff>
      <xdr:row>73</xdr:row>
      <xdr:rowOff>437205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F924ECAE-EAFB-4383-8AF3-82D686B4E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5993725" y="34904485"/>
          <a:ext cx="683984" cy="356120"/>
        </a:xfrm>
        <a:prstGeom prst="rect">
          <a:avLst/>
        </a:prstGeom>
      </xdr:spPr>
    </xdr:pic>
    <xdr:clientData/>
  </xdr:twoCellAnchor>
  <xdr:twoCellAnchor editAs="oneCell">
    <xdr:from>
      <xdr:col>65</xdr:col>
      <xdr:colOff>161925</xdr:colOff>
      <xdr:row>18</xdr:row>
      <xdr:rowOff>39737</xdr:rowOff>
    </xdr:from>
    <xdr:to>
      <xdr:col>65</xdr:col>
      <xdr:colOff>1571625</xdr:colOff>
      <xdr:row>18</xdr:row>
      <xdr:rowOff>906087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7747660C-4111-4665-8CCD-10A202AD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5603200" y="7307312"/>
          <a:ext cx="1409700" cy="866350"/>
        </a:xfrm>
        <a:prstGeom prst="rect">
          <a:avLst/>
        </a:prstGeom>
      </xdr:spPr>
    </xdr:pic>
    <xdr:clientData/>
  </xdr:twoCellAnchor>
  <xdr:twoCellAnchor editAs="oneCell">
    <xdr:from>
      <xdr:col>65</xdr:col>
      <xdr:colOff>135225</xdr:colOff>
      <xdr:row>17</xdr:row>
      <xdr:rowOff>58396</xdr:rowOff>
    </xdr:from>
    <xdr:to>
      <xdr:col>65</xdr:col>
      <xdr:colOff>1543050</xdr:colOff>
      <xdr:row>17</xdr:row>
      <xdr:rowOff>955963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2B4FD3EF-49A2-42A0-A3F0-171EC9392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16200000">
          <a:off x="25855009" y="6536576"/>
          <a:ext cx="897567" cy="1407825"/>
        </a:xfrm>
        <a:prstGeom prst="rect">
          <a:avLst/>
        </a:prstGeom>
      </xdr:spPr>
    </xdr:pic>
    <xdr:clientData/>
  </xdr:twoCellAnchor>
  <xdr:twoCellAnchor editAs="oneCell">
    <xdr:from>
      <xdr:col>65</xdr:col>
      <xdr:colOff>123826</xdr:colOff>
      <xdr:row>22</xdr:row>
      <xdr:rowOff>323850</xdr:rowOff>
    </xdr:from>
    <xdr:to>
      <xdr:col>65</xdr:col>
      <xdr:colOff>1480595</xdr:colOff>
      <xdr:row>24</xdr:row>
      <xdr:rowOff>394200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396E3066-A9D4-48DF-8693-F2F82326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5627966" y="10077450"/>
          <a:ext cx="1356769" cy="1076190"/>
        </a:xfrm>
        <a:prstGeom prst="rect">
          <a:avLst/>
        </a:prstGeom>
      </xdr:spPr>
    </xdr:pic>
    <xdr:clientData/>
  </xdr:twoCellAnchor>
  <xdr:twoCellAnchor editAs="oneCell">
    <xdr:from>
      <xdr:col>65</xdr:col>
      <xdr:colOff>142876</xdr:colOff>
      <xdr:row>26</xdr:row>
      <xdr:rowOff>342900</xdr:rowOff>
    </xdr:from>
    <xdr:to>
      <xdr:col>65</xdr:col>
      <xdr:colOff>1562347</xdr:colOff>
      <xdr:row>28</xdr:row>
      <xdr:rowOff>413250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61DF8FF4-F367-4A7C-B64C-9EB17EA23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5647016" y="12108180"/>
          <a:ext cx="1419471" cy="1076190"/>
        </a:xfrm>
        <a:prstGeom prst="rect">
          <a:avLst/>
        </a:prstGeom>
      </xdr:spPr>
    </xdr:pic>
    <xdr:clientData/>
  </xdr:twoCellAnchor>
  <xdr:twoCellAnchor editAs="oneCell">
    <xdr:from>
      <xdr:col>65</xdr:col>
      <xdr:colOff>190501</xdr:colOff>
      <xdr:row>31</xdr:row>
      <xdr:rowOff>266700</xdr:rowOff>
    </xdr:from>
    <xdr:to>
      <xdr:col>65</xdr:col>
      <xdr:colOff>1447482</xdr:colOff>
      <xdr:row>33</xdr:row>
      <xdr:rowOff>337050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AE75379E-4A11-4FF6-8A08-4D27EFB49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5694641" y="14546580"/>
          <a:ext cx="1256981" cy="1076190"/>
        </a:xfrm>
        <a:prstGeom prst="rect">
          <a:avLst/>
        </a:prstGeom>
      </xdr:spPr>
    </xdr:pic>
    <xdr:clientData/>
  </xdr:twoCellAnchor>
  <xdr:twoCellAnchor editAs="oneCell">
    <xdr:from>
      <xdr:col>65</xdr:col>
      <xdr:colOff>133349</xdr:colOff>
      <xdr:row>62</xdr:row>
      <xdr:rowOff>171450</xdr:rowOff>
    </xdr:from>
    <xdr:to>
      <xdr:col>65</xdr:col>
      <xdr:colOff>1733550</xdr:colOff>
      <xdr:row>64</xdr:row>
      <xdr:rowOff>241800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E9A1499F-F8AE-4E4E-AAA5-A2A7160F8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5637489" y="29828490"/>
          <a:ext cx="1600201" cy="1076190"/>
        </a:xfrm>
        <a:prstGeom prst="rect">
          <a:avLst/>
        </a:prstGeom>
      </xdr:spPr>
    </xdr:pic>
    <xdr:clientData/>
  </xdr:twoCellAnchor>
  <xdr:twoCellAnchor editAs="oneCell">
    <xdr:from>
      <xdr:col>65</xdr:col>
      <xdr:colOff>180975</xdr:colOff>
      <xdr:row>68</xdr:row>
      <xdr:rowOff>123825</xdr:rowOff>
    </xdr:from>
    <xdr:to>
      <xdr:col>65</xdr:col>
      <xdr:colOff>1781176</xdr:colOff>
      <xdr:row>70</xdr:row>
      <xdr:rowOff>194175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D3FDC3C5-2231-4DFA-B1DA-9CF61C12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5685115" y="32798385"/>
          <a:ext cx="1600201" cy="1076190"/>
        </a:xfrm>
        <a:prstGeom prst="rect">
          <a:avLst/>
        </a:prstGeom>
      </xdr:spPr>
    </xdr:pic>
    <xdr:clientData/>
  </xdr:twoCellAnchor>
  <xdr:twoCellAnchor editAs="oneCell">
    <xdr:from>
      <xdr:col>65</xdr:col>
      <xdr:colOff>209551</xdr:colOff>
      <xdr:row>71</xdr:row>
      <xdr:rowOff>57150</xdr:rowOff>
    </xdr:from>
    <xdr:to>
      <xdr:col>65</xdr:col>
      <xdr:colOff>1617376</xdr:colOff>
      <xdr:row>71</xdr:row>
      <xdr:rowOff>490078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839DBEBB-056E-403D-8F76-80A8C2E7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16200000">
          <a:off x="26201140" y="33753021"/>
          <a:ext cx="432928" cy="1407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</xdr:row>
      <xdr:rowOff>95250</xdr:rowOff>
    </xdr:from>
    <xdr:to>
      <xdr:col>3</xdr:col>
      <xdr:colOff>0</xdr:colOff>
      <xdr:row>3</xdr:row>
      <xdr:rowOff>0</xdr:rowOff>
    </xdr:to>
    <xdr:pic>
      <xdr:nvPicPr>
        <xdr:cNvPr id="3" name="Picture 11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1150" y="1333500"/>
          <a:ext cx="171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212913</xdr:colOff>
      <xdr:row>3</xdr:row>
      <xdr:rowOff>78441</xdr:rowOff>
    </xdr:from>
    <xdr:to>
      <xdr:col>3</xdr:col>
      <xdr:colOff>3363</xdr:colOff>
      <xdr:row>3</xdr:row>
      <xdr:rowOff>430866</xdr:rowOff>
    </xdr:to>
    <xdr:pic>
      <xdr:nvPicPr>
        <xdr:cNvPr id="4" name="Picture 1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4325" y="1773555"/>
          <a:ext cx="171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4</xdr:row>
      <xdr:rowOff>67235</xdr:rowOff>
    </xdr:from>
    <xdr:to>
      <xdr:col>2</xdr:col>
      <xdr:colOff>428483</xdr:colOff>
      <xdr:row>4</xdr:row>
      <xdr:rowOff>448235</xdr:rowOff>
    </xdr:to>
    <xdr:pic>
      <xdr:nvPicPr>
        <xdr:cNvPr id="5" name="Picture 111" descr="88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2100" y="2219325"/>
          <a:ext cx="190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89647</xdr:colOff>
      <xdr:row>6</xdr:row>
      <xdr:rowOff>98051</xdr:rowOff>
    </xdr:from>
    <xdr:to>
      <xdr:col>2</xdr:col>
      <xdr:colOff>575422</xdr:colOff>
      <xdr:row>6</xdr:row>
      <xdr:rowOff>307601</xdr:rowOff>
    </xdr:to>
    <xdr:pic>
      <xdr:nvPicPr>
        <xdr:cNvPr id="6" name="图片 4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1135" y="3126740"/>
          <a:ext cx="29146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150158</xdr:colOff>
      <xdr:row>7</xdr:row>
      <xdr:rowOff>39220</xdr:rowOff>
    </xdr:from>
    <xdr:to>
      <xdr:col>2</xdr:col>
      <xdr:colOff>416858</xdr:colOff>
      <xdr:row>7</xdr:row>
      <xdr:rowOff>401170</xdr:rowOff>
    </xdr:to>
    <xdr:pic>
      <xdr:nvPicPr>
        <xdr:cNvPr id="7" name="图片 4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1460" y="3467735"/>
          <a:ext cx="231140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</xdr:row>
      <xdr:rowOff>95250</xdr:rowOff>
    </xdr:from>
    <xdr:to>
      <xdr:col>3</xdr:col>
      <xdr:colOff>0</xdr:colOff>
      <xdr:row>5</xdr:row>
      <xdr:rowOff>304800</xdr:rowOff>
    </xdr:to>
    <xdr:pic>
      <xdr:nvPicPr>
        <xdr:cNvPr id="8" name="图片 4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8750" y="2724150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228039</xdr:colOff>
      <xdr:row>8</xdr:row>
      <xdr:rowOff>69476</xdr:rowOff>
    </xdr:from>
    <xdr:to>
      <xdr:col>2</xdr:col>
      <xdr:colOff>513789</xdr:colOff>
      <xdr:row>9</xdr:row>
      <xdr:rowOff>0</xdr:rowOff>
    </xdr:to>
    <xdr:pic>
      <xdr:nvPicPr>
        <xdr:cNvPr id="9" name="图片 4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99565" y="3898265"/>
          <a:ext cx="153035" cy="330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2</xdr:row>
      <xdr:rowOff>160020</xdr:rowOff>
    </xdr:from>
    <xdr:to>
      <xdr:col>5</xdr:col>
      <xdr:colOff>777240</xdr:colOff>
      <xdr:row>2</xdr:row>
      <xdr:rowOff>502920</xdr:rowOff>
    </xdr:to>
    <xdr:pic>
      <xdr:nvPicPr>
        <xdr:cNvPr id="2" name="图片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315" y="819785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137160</xdr:colOff>
      <xdr:row>3</xdr:row>
      <xdr:rowOff>60960</xdr:rowOff>
    </xdr:from>
    <xdr:to>
      <xdr:col>5</xdr:col>
      <xdr:colOff>670560</xdr:colOff>
      <xdr:row>3</xdr:row>
      <xdr:rowOff>338824</xdr:rowOff>
    </xdr:to>
    <xdr:pic>
      <xdr:nvPicPr>
        <xdr:cNvPr id="3" name="图片 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0035" y="1323340"/>
          <a:ext cx="533400" cy="27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76200</xdr:colOff>
      <xdr:row>4</xdr:row>
      <xdr:rowOff>182880</xdr:rowOff>
    </xdr:from>
    <xdr:to>
      <xdr:col>5</xdr:col>
      <xdr:colOff>690549</xdr:colOff>
      <xdr:row>4</xdr:row>
      <xdr:rowOff>228599</xdr:rowOff>
    </xdr:to>
    <xdr:pic>
      <xdr:nvPicPr>
        <xdr:cNvPr id="4" name="图片 1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9075" y="1871980"/>
          <a:ext cx="614045" cy="45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5</xdr:row>
      <xdr:rowOff>45720</xdr:rowOff>
    </xdr:from>
    <xdr:to>
      <xdr:col>5</xdr:col>
      <xdr:colOff>601980</xdr:colOff>
      <xdr:row>5</xdr:row>
      <xdr:rowOff>457200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3375" y="2161540"/>
          <a:ext cx="4114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60960</xdr:colOff>
      <xdr:row>6</xdr:row>
      <xdr:rowOff>114300</xdr:rowOff>
    </xdr:from>
    <xdr:to>
      <xdr:col>5</xdr:col>
      <xdr:colOff>952500</xdr:colOff>
      <xdr:row>7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3835" y="2778125"/>
          <a:ext cx="891540" cy="41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228600</xdr:colOff>
      <xdr:row>8</xdr:row>
      <xdr:rowOff>205740</xdr:rowOff>
    </xdr:from>
    <xdr:to>
      <xdr:col>5</xdr:col>
      <xdr:colOff>876300</xdr:colOff>
      <xdr:row>8</xdr:row>
      <xdr:rowOff>320040</xdr:rowOff>
    </xdr:to>
    <xdr:pic>
      <xdr:nvPicPr>
        <xdr:cNvPr id="7" name="图片 8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448175" y="3662680"/>
          <a:ext cx="1143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91440</xdr:colOff>
      <xdr:row>9</xdr:row>
      <xdr:rowOff>182880</xdr:rowOff>
    </xdr:from>
    <xdr:to>
      <xdr:col>5</xdr:col>
      <xdr:colOff>914400</xdr:colOff>
      <xdr:row>9</xdr:row>
      <xdr:rowOff>350520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4315" y="4371340"/>
          <a:ext cx="8229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53340</xdr:colOff>
      <xdr:row>10</xdr:row>
      <xdr:rowOff>281940</xdr:rowOff>
    </xdr:from>
    <xdr:to>
      <xdr:col>5</xdr:col>
      <xdr:colOff>944880</xdr:colOff>
      <xdr:row>10</xdr:row>
      <xdr:rowOff>426720</xdr:rowOff>
    </xdr:to>
    <xdr:pic>
      <xdr:nvPicPr>
        <xdr:cNvPr id="9" name="图片 1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6215" y="5003800"/>
          <a:ext cx="89154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251460</xdr:colOff>
      <xdr:row>12</xdr:row>
      <xdr:rowOff>190500</xdr:rowOff>
    </xdr:from>
    <xdr:to>
      <xdr:col>5</xdr:col>
      <xdr:colOff>1082040</xdr:colOff>
      <xdr:row>12</xdr:row>
      <xdr:rowOff>350520</xdr:rowOff>
    </xdr:to>
    <xdr:pic>
      <xdr:nvPicPr>
        <xdr:cNvPr id="10" name="图片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536440" y="6049645"/>
          <a:ext cx="160020" cy="824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205740</xdr:colOff>
      <xdr:row>13</xdr:row>
      <xdr:rowOff>160020</xdr:rowOff>
    </xdr:from>
    <xdr:to>
      <xdr:col>5</xdr:col>
      <xdr:colOff>883920</xdr:colOff>
      <xdr:row>13</xdr:row>
      <xdr:rowOff>320040</xdr:rowOff>
    </xdr:to>
    <xdr:pic>
      <xdr:nvPicPr>
        <xdr:cNvPr id="11" name="图片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417695" y="6678930"/>
          <a:ext cx="16002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14</xdr:row>
      <xdr:rowOff>179340</xdr:rowOff>
    </xdr:from>
    <xdr:to>
      <xdr:col>5</xdr:col>
      <xdr:colOff>1021080</xdr:colOff>
      <xdr:row>14</xdr:row>
      <xdr:rowOff>388620</xdr:rowOff>
    </xdr:to>
    <xdr:pic>
      <xdr:nvPicPr>
        <xdr:cNvPr id="12" name="图片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3375" y="7466965"/>
          <a:ext cx="83058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60960</xdr:colOff>
      <xdr:row>15</xdr:row>
      <xdr:rowOff>137160</xdr:rowOff>
    </xdr:from>
    <xdr:to>
      <xdr:col>5</xdr:col>
      <xdr:colOff>1211580</xdr:colOff>
      <xdr:row>15</xdr:row>
      <xdr:rowOff>472440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3835" y="7951470"/>
          <a:ext cx="1015365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289560</xdr:colOff>
      <xdr:row>16</xdr:row>
      <xdr:rowOff>76200</xdr:rowOff>
    </xdr:from>
    <xdr:to>
      <xdr:col>5</xdr:col>
      <xdr:colOff>929640</xdr:colOff>
      <xdr:row>16</xdr:row>
      <xdr:rowOff>464820</xdr:rowOff>
    </xdr:to>
    <xdr:pic>
      <xdr:nvPicPr>
        <xdr:cNvPr id="14" name="图片 116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435" y="8524240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170450</xdr:colOff>
      <xdr:row>7</xdr:row>
      <xdr:rowOff>263892</xdr:rowOff>
    </xdr:from>
    <xdr:to>
      <xdr:col>5</xdr:col>
      <xdr:colOff>780050</xdr:colOff>
      <xdr:row>7</xdr:row>
      <xdr:rowOff>376187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371975" y="3204845"/>
          <a:ext cx="11176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160020</xdr:colOff>
      <xdr:row>11</xdr:row>
      <xdr:rowOff>53340</xdr:rowOff>
    </xdr:from>
    <xdr:to>
      <xdr:col>5</xdr:col>
      <xdr:colOff>723900</xdr:colOff>
      <xdr:row>11</xdr:row>
      <xdr:rowOff>586740</xdr:rowOff>
    </xdr:to>
    <xdr:pic>
      <xdr:nvPicPr>
        <xdr:cNvPr id="16" name="图片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2895" y="5437505"/>
          <a:ext cx="563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244475</xdr:colOff>
      <xdr:row>17</xdr:row>
      <xdr:rowOff>114300</xdr:rowOff>
    </xdr:from>
    <xdr:to>
      <xdr:col>5</xdr:col>
      <xdr:colOff>950323</xdr:colOff>
      <xdr:row>17</xdr:row>
      <xdr:rowOff>472274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9103360"/>
          <a:ext cx="705485" cy="35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312420</xdr:colOff>
      <xdr:row>19</xdr:row>
      <xdr:rowOff>85725</xdr:rowOff>
    </xdr:from>
    <xdr:to>
      <xdr:col>5</xdr:col>
      <xdr:colOff>887137</xdr:colOff>
      <xdr:row>19</xdr:row>
      <xdr:rowOff>449580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295" y="10156825"/>
          <a:ext cx="5746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335279</xdr:colOff>
      <xdr:row>20</xdr:row>
      <xdr:rowOff>52071</xdr:rowOff>
    </xdr:from>
    <xdr:to>
      <xdr:col>5</xdr:col>
      <xdr:colOff>842502</xdr:colOff>
      <xdr:row>20</xdr:row>
      <xdr:rowOff>457201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7520" y="10664190"/>
          <a:ext cx="507365" cy="40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325120</xdr:colOff>
      <xdr:row>21</xdr:row>
      <xdr:rowOff>85725</xdr:rowOff>
    </xdr:from>
    <xdr:to>
      <xdr:col>5</xdr:col>
      <xdr:colOff>768380</xdr:colOff>
      <xdr:row>21</xdr:row>
      <xdr:rowOff>396241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995" y="11238865"/>
          <a:ext cx="44323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255905</xdr:colOff>
      <xdr:row>18</xdr:row>
      <xdr:rowOff>73660</xdr:rowOff>
    </xdr:from>
    <xdr:to>
      <xdr:col>5</xdr:col>
      <xdr:colOff>1013374</xdr:colOff>
      <xdr:row>18</xdr:row>
      <xdr:rowOff>498965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8780" y="9603740"/>
          <a:ext cx="75692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321944</xdr:colOff>
      <xdr:row>22</xdr:row>
      <xdr:rowOff>45085</xdr:rowOff>
    </xdr:from>
    <xdr:to>
      <xdr:col>5</xdr:col>
      <xdr:colOff>874652</xdr:colOff>
      <xdr:row>22</xdr:row>
      <xdr:rowOff>533400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74185" y="11739245"/>
          <a:ext cx="553085" cy="488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308609</xdr:colOff>
      <xdr:row>23</xdr:row>
      <xdr:rowOff>168910</xdr:rowOff>
    </xdr:from>
    <xdr:to>
      <xdr:col>5</xdr:col>
      <xdr:colOff>975360</xdr:colOff>
      <xdr:row>23</xdr:row>
      <xdr:rowOff>427880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2404090"/>
          <a:ext cx="66738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282575</xdr:colOff>
      <xdr:row>24</xdr:row>
      <xdr:rowOff>43180</xdr:rowOff>
    </xdr:from>
    <xdr:to>
      <xdr:col>5</xdr:col>
      <xdr:colOff>902617</xdr:colOff>
      <xdr:row>24</xdr:row>
      <xdr:rowOff>472440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12819380"/>
          <a:ext cx="61976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381635</xdr:colOff>
      <xdr:row>25</xdr:row>
      <xdr:rowOff>155575</xdr:rowOff>
    </xdr:from>
    <xdr:to>
      <xdr:col>5</xdr:col>
      <xdr:colOff>823117</xdr:colOff>
      <xdr:row>25</xdr:row>
      <xdr:rowOff>518161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4510" y="13472795"/>
          <a:ext cx="441325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3</xdr:row>
      <xdr:rowOff>152400</xdr:rowOff>
    </xdr:from>
    <xdr:to>
      <xdr:col>4</xdr:col>
      <xdr:colOff>1333500</xdr:colOff>
      <xdr:row>4</xdr:row>
      <xdr:rowOff>342900</xdr:rowOff>
    </xdr:to>
    <xdr:pic>
      <xdr:nvPicPr>
        <xdr:cNvPr id="2" name="图片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0475" y="609600"/>
          <a:ext cx="12192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5</xdr:row>
      <xdr:rowOff>76200</xdr:rowOff>
    </xdr:from>
    <xdr:to>
      <xdr:col>4</xdr:col>
      <xdr:colOff>1303020</xdr:colOff>
      <xdr:row>6</xdr:row>
      <xdr:rowOff>396240</xdr:rowOff>
    </xdr:to>
    <xdr:pic>
      <xdr:nvPicPr>
        <xdr:cNvPr id="3" name="图片 1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7615" y="1395730"/>
          <a:ext cx="121158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7</xdr:row>
      <xdr:rowOff>266700</xdr:rowOff>
    </xdr:from>
    <xdr:to>
      <xdr:col>4</xdr:col>
      <xdr:colOff>1282041</xdr:colOff>
      <xdr:row>8</xdr:row>
      <xdr:rowOff>220980</xdr:rowOff>
    </xdr:to>
    <xdr:pic>
      <xdr:nvPicPr>
        <xdr:cNvPr id="4" name="图片 1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3815" y="2448560"/>
          <a:ext cx="111379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205740</xdr:colOff>
      <xdr:row>9</xdr:row>
      <xdr:rowOff>121920</xdr:rowOff>
    </xdr:from>
    <xdr:to>
      <xdr:col>4</xdr:col>
      <xdr:colOff>830580</xdr:colOff>
      <xdr:row>11</xdr:row>
      <xdr:rowOff>327660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91915" y="3166110"/>
          <a:ext cx="62484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83820</xdr:colOff>
      <xdr:row>12</xdr:row>
      <xdr:rowOff>152400</xdr:rowOff>
    </xdr:from>
    <xdr:to>
      <xdr:col>4</xdr:col>
      <xdr:colOff>1338580</xdr:colOff>
      <xdr:row>13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9995" y="4478020"/>
          <a:ext cx="125476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53340</xdr:colOff>
      <xdr:row>14</xdr:row>
      <xdr:rowOff>251459</xdr:rowOff>
    </xdr:from>
    <xdr:to>
      <xdr:col>4</xdr:col>
      <xdr:colOff>1287789</xdr:colOff>
      <xdr:row>15</xdr:row>
      <xdr:rowOff>243839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150995" y="5027295"/>
          <a:ext cx="411480" cy="123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137160</xdr:colOff>
      <xdr:row>16</xdr:row>
      <xdr:rowOff>228600</xdr:rowOff>
    </xdr:from>
    <xdr:to>
      <xdr:col>4</xdr:col>
      <xdr:colOff>1208356</xdr:colOff>
      <xdr:row>17</xdr:row>
      <xdr:rowOff>137160</xdr:rowOff>
    </xdr:to>
    <xdr:pic>
      <xdr:nvPicPr>
        <xdr:cNvPr id="8" name="图片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194810" y="5906770"/>
          <a:ext cx="327660" cy="1071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45720</xdr:colOff>
      <xdr:row>18</xdr:row>
      <xdr:rowOff>236220</xdr:rowOff>
    </xdr:from>
    <xdr:to>
      <xdr:col>4</xdr:col>
      <xdr:colOff>1333500</xdr:colOff>
      <xdr:row>19</xdr:row>
      <xdr:rowOff>220980</xdr:rowOff>
    </xdr:to>
    <xdr:pic>
      <xdr:nvPicPr>
        <xdr:cNvPr id="9" name="图片 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1895" y="7148830"/>
          <a:ext cx="128778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45720</xdr:colOff>
      <xdr:row>20</xdr:row>
      <xdr:rowOff>236220</xdr:rowOff>
    </xdr:from>
    <xdr:to>
      <xdr:col>4</xdr:col>
      <xdr:colOff>1333500</xdr:colOff>
      <xdr:row>21</xdr:row>
      <xdr:rowOff>220980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1895" y="8011160"/>
          <a:ext cx="128778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411480</xdr:colOff>
      <xdr:row>22</xdr:row>
      <xdr:rowOff>373380</xdr:rowOff>
    </xdr:from>
    <xdr:to>
      <xdr:col>4</xdr:col>
      <xdr:colOff>975360</xdr:colOff>
      <xdr:row>25</xdr:row>
      <xdr:rowOff>304800</xdr:rowOff>
    </xdr:to>
    <xdr:pic>
      <xdr:nvPicPr>
        <xdr:cNvPr id="11" name="图片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7655" y="9010650"/>
          <a:ext cx="563880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27</xdr:row>
      <xdr:rowOff>236220</xdr:rowOff>
    </xdr:from>
    <xdr:to>
      <xdr:col>4</xdr:col>
      <xdr:colOff>1295400</xdr:colOff>
      <xdr:row>28</xdr:row>
      <xdr:rowOff>137160</xdr:rowOff>
    </xdr:to>
    <xdr:pic>
      <xdr:nvPicPr>
        <xdr:cNvPr id="12" name="图片 14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208145" y="10539730"/>
          <a:ext cx="320040" cy="1226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99060</xdr:colOff>
      <xdr:row>29</xdr:row>
      <xdr:rowOff>289560</xdr:rowOff>
    </xdr:from>
    <xdr:to>
      <xdr:col>4</xdr:col>
      <xdr:colOff>1229360</xdr:colOff>
      <xdr:row>30</xdr:row>
      <xdr:rowOff>137160</xdr:rowOff>
    </xdr:to>
    <xdr:pic>
      <xdr:nvPicPr>
        <xdr:cNvPr id="13" name="图片 15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217035" y="11476990"/>
          <a:ext cx="266700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160020</xdr:colOff>
      <xdr:row>31</xdr:row>
      <xdr:rowOff>274320</xdr:rowOff>
    </xdr:from>
    <xdr:to>
      <xdr:col>4</xdr:col>
      <xdr:colOff>990600</xdr:colOff>
      <xdr:row>32</xdr:row>
      <xdr:rowOff>64500</xdr:rowOff>
    </xdr:to>
    <xdr:pic>
      <xdr:nvPicPr>
        <xdr:cNvPr id="14" name="图片 16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6195" y="12755880"/>
          <a:ext cx="830580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99060</xdr:colOff>
      <xdr:row>33</xdr:row>
      <xdr:rowOff>205740</xdr:rowOff>
    </xdr:from>
    <xdr:to>
      <xdr:col>4</xdr:col>
      <xdr:colOff>1249680</xdr:colOff>
      <xdr:row>34</xdr:row>
      <xdr:rowOff>121920</xdr:rowOff>
    </xdr:to>
    <xdr:pic>
      <xdr:nvPicPr>
        <xdr:cNvPr id="15" name="图片 17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85235" y="13549630"/>
          <a:ext cx="11506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35</xdr:row>
      <xdr:rowOff>220980</xdr:rowOff>
    </xdr:from>
    <xdr:to>
      <xdr:col>4</xdr:col>
      <xdr:colOff>807720</xdr:colOff>
      <xdr:row>36</xdr:row>
      <xdr:rowOff>190500</xdr:rowOff>
    </xdr:to>
    <xdr:pic>
      <xdr:nvPicPr>
        <xdr:cNvPr id="16" name="图片 116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3815" y="14427200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121919</xdr:colOff>
      <xdr:row>37</xdr:row>
      <xdr:rowOff>114300</xdr:rowOff>
    </xdr:from>
    <xdr:to>
      <xdr:col>4</xdr:col>
      <xdr:colOff>1293870</xdr:colOff>
      <xdr:row>38</xdr:row>
      <xdr:rowOff>289560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7460" y="15182850"/>
          <a:ext cx="117221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39</xdr:row>
      <xdr:rowOff>60960</xdr:rowOff>
    </xdr:from>
    <xdr:to>
      <xdr:col>4</xdr:col>
      <xdr:colOff>1330705</xdr:colOff>
      <xdr:row>40</xdr:row>
      <xdr:rowOff>350520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4755" y="15991840"/>
          <a:ext cx="126174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144780</xdr:colOff>
      <xdr:row>41</xdr:row>
      <xdr:rowOff>114300</xdr:rowOff>
    </xdr:from>
    <xdr:to>
      <xdr:col>4</xdr:col>
      <xdr:colOff>1155800</xdr:colOff>
      <xdr:row>42</xdr:row>
      <xdr:rowOff>335280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0955" y="16907510"/>
          <a:ext cx="101092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243840</xdr:colOff>
      <xdr:row>43</xdr:row>
      <xdr:rowOff>121920</xdr:rowOff>
    </xdr:from>
    <xdr:to>
      <xdr:col>4</xdr:col>
      <xdr:colOff>997519</xdr:colOff>
      <xdr:row>44</xdr:row>
      <xdr:rowOff>304800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0015" y="17777460"/>
          <a:ext cx="75311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167640</xdr:colOff>
      <xdr:row>45</xdr:row>
      <xdr:rowOff>106680</xdr:rowOff>
    </xdr:from>
    <xdr:to>
      <xdr:col>4</xdr:col>
      <xdr:colOff>990600</xdr:colOff>
      <xdr:row>46</xdr:row>
      <xdr:rowOff>264086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3815" y="18624550"/>
          <a:ext cx="822960" cy="575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112908</xdr:colOff>
      <xdr:row>47</xdr:row>
      <xdr:rowOff>198120</xdr:rowOff>
    </xdr:from>
    <xdr:to>
      <xdr:col>4</xdr:col>
      <xdr:colOff>1224990</xdr:colOff>
      <xdr:row>48</xdr:row>
      <xdr:rowOff>158188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164965" y="19211290"/>
          <a:ext cx="37973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182880</xdr:colOff>
      <xdr:row>49</xdr:row>
      <xdr:rowOff>83820</xdr:rowOff>
    </xdr:from>
    <xdr:to>
      <xdr:col>4</xdr:col>
      <xdr:colOff>982980</xdr:colOff>
      <xdr:row>50</xdr:row>
      <xdr:rowOff>371605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3869055" y="20326350"/>
          <a:ext cx="800100" cy="706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129540</xdr:colOff>
      <xdr:row>51</xdr:row>
      <xdr:rowOff>114300</xdr:rowOff>
    </xdr:from>
    <xdr:to>
      <xdr:col>4</xdr:col>
      <xdr:colOff>1287041</xdr:colOff>
      <xdr:row>52</xdr:row>
      <xdr:rowOff>144780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5715" y="21219160"/>
          <a:ext cx="115697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144780</xdr:colOff>
      <xdr:row>53</xdr:row>
      <xdr:rowOff>83819</xdr:rowOff>
    </xdr:from>
    <xdr:to>
      <xdr:col>4</xdr:col>
      <xdr:colOff>1120140</xdr:colOff>
      <xdr:row>54</xdr:row>
      <xdr:rowOff>339969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0955" y="22050375"/>
          <a:ext cx="975360" cy="675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190499</xdr:colOff>
      <xdr:row>55</xdr:row>
      <xdr:rowOff>60959</xdr:rowOff>
    </xdr:from>
    <xdr:to>
      <xdr:col>4</xdr:col>
      <xdr:colOff>1099750</xdr:colOff>
      <xdr:row>56</xdr:row>
      <xdr:rowOff>388620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6040" y="22889845"/>
          <a:ext cx="909320" cy="74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57</xdr:row>
      <xdr:rowOff>68580</xdr:rowOff>
    </xdr:from>
    <xdr:to>
      <xdr:col>4</xdr:col>
      <xdr:colOff>1193950</xdr:colOff>
      <xdr:row>58</xdr:row>
      <xdr:rowOff>335280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6675" y="23760430"/>
          <a:ext cx="10033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175259</xdr:colOff>
      <xdr:row>59</xdr:row>
      <xdr:rowOff>68580</xdr:rowOff>
    </xdr:from>
    <xdr:to>
      <xdr:col>4</xdr:col>
      <xdr:colOff>1067356</xdr:colOff>
      <xdr:row>60</xdr:row>
      <xdr:rowOff>381000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0800" y="24622760"/>
          <a:ext cx="892175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104775</xdr:colOff>
      <xdr:row>45</xdr:row>
      <xdr:rowOff>28575</xdr:rowOff>
    </xdr:from>
    <xdr:to>
      <xdr:col>42</xdr:col>
      <xdr:colOff>236651</xdr:colOff>
      <xdr:row>74</xdr:row>
      <xdr:rowOff>46519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7240250" y="18546445"/>
          <a:ext cx="13085445" cy="8897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hewei1230/FileStorage/File/2022-03/&#36731;&#21345;&#20943;&#38663;&#25552;&#21319;&#26041;&#26696;&#37096;&#32447;&#26448;&#28165;&#21333;%20&#30446;&#266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清单"/>
      <sheetName val="问题项"/>
      <sheetName val="塑料件测算"/>
      <sheetName val="线材 "/>
      <sheetName val="采购价格"/>
      <sheetName val="线材核算"/>
      <sheetName val="Sheet1"/>
      <sheetName val="重量"/>
    </sheetNames>
    <sheetDataSet>
      <sheetData sheetId="0"/>
      <sheetData sheetId="1"/>
      <sheetData sheetId="2"/>
      <sheetData sheetId="3"/>
      <sheetData sheetId="4"/>
      <sheetData sheetId="5">
        <row r="4">
          <cell r="C4" t="str">
            <v>SLT0010781</v>
          </cell>
          <cell r="D4" t="str">
            <v>肩部支撑钢丝A</v>
          </cell>
          <cell r="E4">
            <v>0</v>
          </cell>
          <cell r="F4">
            <v>1</v>
          </cell>
          <cell r="G4" t="str">
            <v>Q235/φ6.0</v>
          </cell>
          <cell r="H4">
            <v>6</v>
          </cell>
          <cell r="I4">
            <v>0</v>
          </cell>
          <cell r="J4">
            <v>5.5</v>
          </cell>
          <cell r="K4">
            <v>0</v>
          </cell>
          <cell r="L4">
            <v>4.2000000000000003E-2</v>
          </cell>
          <cell r="M4">
            <v>4.2000000000000003E-2</v>
          </cell>
          <cell r="N4">
            <v>0</v>
          </cell>
          <cell r="O4">
            <v>0.23100000000000001</v>
          </cell>
          <cell r="P4" t="str">
            <v>截料折弯</v>
          </cell>
          <cell r="Q4">
            <v>0</v>
          </cell>
          <cell r="R4">
            <v>6</v>
          </cell>
          <cell r="S4">
            <v>0.04</v>
          </cell>
          <cell r="T4">
            <v>0.24</v>
          </cell>
          <cell r="U4">
            <v>0.59379829059829103</v>
          </cell>
          <cell r="V4">
            <v>0.52548521291884098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 t="str">
            <v>检具检验</v>
          </cell>
          <cell r="Q5">
            <v>0</v>
          </cell>
          <cell r="R5">
            <v>1</v>
          </cell>
          <cell r="S5">
            <v>2.3831908831908801E-2</v>
          </cell>
          <cell r="T5">
            <v>2.3831908831908801E-2</v>
          </cell>
          <cell r="U5">
            <v>0</v>
          </cell>
          <cell r="V5">
            <v>0</v>
          </cell>
        </row>
        <row r="6">
          <cell r="C6" t="str">
            <v>SLT0010782</v>
          </cell>
          <cell r="D6" t="str">
            <v>肩部支撑钢丝B</v>
          </cell>
          <cell r="E6">
            <v>0</v>
          </cell>
          <cell r="F6">
            <v>1</v>
          </cell>
          <cell r="G6" t="str">
            <v>Q235/φ6.0</v>
          </cell>
          <cell r="H6">
            <v>6</v>
          </cell>
          <cell r="I6">
            <v>0</v>
          </cell>
          <cell r="J6">
            <v>5.5</v>
          </cell>
          <cell r="K6">
            <v>0</v>
          </cell>
          <cell r="L6">
            <v>2.5000000000000001E-2</v>
          </cell>
          <cell r="M6">
            <v>2.5000000000000001E-2</v>
          </cell>
          <cell r="N6">
            <v>0</v>
          </cell>
          <cell r="O6">
            <v>0.13750000000000001</v>
          </cell>
          <cell r="P6" t="str">
            <v>截料折弯</v>
          </cell>
          <cell r="Q6">
            <v>0</v>
          </cell>
          <cell r="R6">
            <v>3</v>
          </cell>
          <cell r="S6">
            <v>0.04</v>
          </cell>
          <cell r="T6">
            <v>0.12</v>
          </cell>
          <cell r="U6">
            <v>0.337598290598291</v>
          </cell>
          <cell r="V6">
            <v>0.29875954920202702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检具检验</v>
          </cell>
          <cell r="Q7">
            <v>0</v>
          </cell>
          <cell r="R7">
            <v>1</v>
          </cell>
          <cell r="S7">
            <v>2.3831908831908801E-2</v>
          </cell>
          <cell r="T7">
            <v>2.3831908831908801E-2</v>
          </cell>
          <cell r="U7">
            <v>0</v>
          </cell>
          <cell r="V7">
            <v>0</v>
          </cell>
        </row>
        <row r="8">
          <cell r="C8" t="str">
            <v>SLT0010783</v>
          </cell>
          <cell r="D8" t="str">
            <v>头枕支撑钢丝</v>
          </cell>
          <cell r="E8">
            <v>0</v>
          </cell>
          <cell r="F8">
            <v>1</v>
          </cell>
          <cell r="G8" t="str">
            <v>Q235/φ6.0</v>
          </cell>
          <cell r="H8">
            <v>6</v>
          </cell>
          <cell r="I8">
            <v>0</v>
          </cell>
          <cell r="J8">
            <v>5.5</v>
          </cell>
          <cell r="K8">
            <v>0</v>
          </cell>
          <cell r="L8">
            <v>3.2000000000000001E-2</v>
          </cell>
          <cell r="M8">
            <v>3.2000000000000001E-2</v>
          </cell>
          <cell r="N8">
            <v>0</v>
          </cell>
          <cell r="O8">
            <v>0.17599999999999999</v>
          </cell>
          <cell r="P8" t="str">
            <v>截料折弯</v>
          </cell>
          <cell r="Q8">
            <v>0</v>
          </cell>
          <cell r="R8">
            <v>1</v>
          </cell>
          <cell r="S8">
            <v>0.04</v>
          </cell>
          <cell r="T8">
            <v>0.04</v>
          </cell>
          <cell r="U8">
            <v>0.28779829059829098</v>
          </cell>
          <cell r="V8">
            <v>0.25468875274184999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检具检验</v>
          </cell>
          <cell r="Q9">
            <v>0</v>
          </cell>
          <cell r="R9">
            <v>1</v>
          </cell>
          <cell r="S9">
            <v>2.3831908831908801E-2</v>
          </cell>
          <cell r="T9">
            <v>2.3831908831908801E-2</v>
          </cell>
          <cell r="U9">
            <v>0</v>
          </cell>
          <cell r="V9">
            <v>0</v>
          </cell>
        </row>
        <row r="10">
          <cell r="C10" t="str">
            <v>SLT0010751</v>
          </cell>
          <cell r="D10" t="str">
            <v>驾驶员靠背弯管</v>
          </cell>
          <cell r="E10">
            <v>0</v>
          </cell>
          <cell r="F10">
            <v>1</v>
          </cell>
          <cell r="G10" t="str">
            <v>B340LA</v>
          </cell>
          <cell r="H10" t="str">
            <v>25*2</v>
          </cell>
          <cell r="I10">
            <v>0</v>
          </cell>
          <cell r="J10">
            <v>7.2</v>
          </cell>
          <cell r="K10">
            <v>0</v>
          </cell>
          <cell r="L10">
            <v>1.3363</v>
          </cell>
          <cell r="M10">
            <v>1.3363</v>
          </cell>
          <cell r="N10">
            <v>0</v>
          </cell>
          <cell r="O10">
            <v>9.6213599999999992</v>
          </cell>
          <cell r="P10" t="str">
            <v>截料折弯</v>
          </cell>
          <cell r="Q10">
            <v>0</v>
          </cell>
          <cell r="R10">
            <v>4</v>
          </cell>
          <cell r="S10">
            <v>0.08</v>
          </cell>
          <cell r="T10">
            <v>0.32</v>
          </cell>
          <cell r="U10">
            <v>12.1982302905983</v>
          </cell>
          <cell r="V10">
            <v>10.7948940624764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 t="str">
            <v>拍扁</v>
          </cell>
          <cell r="Q11" t="str">
            <v>80T</v>
          </cell>
          <cell r="R11">
            <v>4</v>
          </cell>
          <cell r="S11">
            <v>0.05</v>
          </cell>
          <cell r="T11">
            <v>0.2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 t="str">
            <v>检具检验</v>
          </cell>
          <cell r="Q12">
            <v>0</v>
          </cell>
          <cell r="R12">
            <v>1</v>
          </cell>
          <cell r="S12">
            <v>2.3831908831908801E-2</v>
          </cell>
          <cell r="T12">
            <v>2.3831908831908801E-2</v>
          </cell>
          <cell r="U12">
            <v>0</v>
          </cell>
          <cell r="V12">
            <v>0</v>
          </cell>
        </row>
        <row r="13">
          <cell r="C13" t="str">
            <v>SLT0010753</v>
          </cell>
          <cell r="D13" t="str">
            <v>驾驶员靠背网簧</v>
          </cell>
          <cell r="E13">
            <v>0</v>
          </cell>
          <cell r="F13">
            <v>1</v>
          </cell>
          <cell r="G13" t="str">
            <v>65Mn/Φ3.2</v>
          </cell>
          <cell r="H13">
            <v>3.2</v>
          </cell>
          <cell r="I13">
            <v>0</v>
          </cell>
          <cell r="J13">
            <v>5.5</v>
          </cell>
          <cell r="K13">
            <v>0</v>
          </cell>
          <cell r="L13">
            <v>5.0700000000000002E-2</v>
          </cell>
          <cell r="M13">
            <v>5.0700000000000002E-2</v>
          </cell>
          <cell r="N13">
            <v>0</v>
          </cell>
          <cell r="O13">
            <v>0.27884999999999999</v>
          </cell>
          <cell r="P13" t="str">
            <v>截料折弯</v>
          </cell>
          <cell r="Q13">
            <v>0</v>
          </cell>
          <cell r="R13">
            <v>16</v>
          </cell>
          <cell r="S13">
            <v>0.04</v>
          </cell>
          <cell r="T13">
            <v>0.64</v>
          </cell>
          <cell r="U13">
            <v>1.1312182905982899</v>
          </cell>
          <cell r="V13">
            <v>1.00107813327282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 t="str">
            <v>检具检验</v>
          </cell>
          <cell r="Q14">
            <v>0</v>
          </cell>
          <cell r="R14">
            <v>1</v>
          </cell>
          <cell r="S14">
            <v>2.3831908831908801E-2</v>
          </cell>
          <cell r="T14">
            <v>2.3831908831908801E-2</v>
          </cell>
          <cell r="U14">
            <v>0</v>
          </cell>
          <cell r="V14">
            <v>0</v>
          </cell>
        </row>
        <row r="15">
          <cell r="C15" t="str">
            <v>SLT0010755</v>
          </cell>
          <cell r="D15" t="str">
            <v>驾驶员靠背预埋钢丝A</v>
          </cell>
          <cell r="E15">
            <v>0</v>
          </cell>
          <cell r="F15">
            <v>1</v>
          </cell>
          <cell r="G15" t="str">
            <v>?/Φ2</v>
          </cell>
          <cell r="H15">
            <v>2</v>
          </cell>
          <cell r="I15">
            <v>0</v>
          </cell>
          <cell r="J15">
            <v>5.5</v>
          </cell>
          <cell r="K15">
            <v>0</v>
          </cell>
          <cell r="L15">
            <v>1.0999999999999999E-2</v>
          </cell>
          <cell r="M15">
            <v>1.0999999999999999E-2</v>
          </cell>
          <cell r="N15">
            <v>0</v>
          </cell>
          <cell r="O15">
            <v>6.0499999999999998E-2</v>
          </cell>
          <cell r="P15" t="str">
            <v>截料折弯</v>
          </cell>
          <cell r="Q15">
            <v>0</v>
          </cell>
          <cell r="R15">
            <v>6</v>
          </cell>
          <cell r="S15">
            <v>0.04</v>
          </cell>
          <cell r="T15">
            <v>0.24</v>
          </cell>
          <cell r="U15">
            <v>0.38919829059829097</v>
          </cell>
          <cell r="V15">
            <v>0.344423266016186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str">
            <v>检具检验</v>
          </cell>
          <cell r="Q16">
            <v>0</v>
          </cell>
          <cell r="R16">
            <v>1</v>
          </cell>
          <cell r="S16">
            <v>2.3831908831908801E-2</v>
          </cell>
          <cell r="T16">
            <v>2.3831908831908801E-2</v>
          </cell>
          <cell r="U16">
            <v>0</v>
          </cell>
          <cell r="V16">
            <v>0</v>
          </cell>
        </row>
        <row r="17">
          <cell r="C17" t="str">
            <v>SLT0010756</v>
          </cell>
          <cell r="D17" t="str">
            <v>驾驶员靠背预埋钢丝B</v>
          </cell>
          <cell r="E17">
            <v>0</v>
          </cell>
          <cell r="F17">
            <v>1</v>
          </cell>
          <cell r="G17" t="str">
            <v>?/Φ2</v>
          </cell>
          <cell r="H17">
            <v>2</v>
          </cell>
          <cell r="I17">
            <v>0</v>
          </cell>
          <cell r="J17">
            <v>5.5</v>
          </cell>
          <cell r="K17">
            <v>0</v>
          </cell>
          <cell r="L17">
            <v>1.0999999999999999E-2</v>
          </cell>
          <cell r="M17">
            <v>1.0999999999999999E-2</v>
          </cell>
          <cell r="N17">
            <v>0</v>
          </cell>
          <cell r="O17">
            <v>6.0499999999999998E-2</v>
          </cell>
          <cell r="P17" t="str">
            <v>截料折弯</v>
          </cell>
          <cell r="Q17">
            <v>0</v>
          </cell>
          <cell r="R17">
            <v>6</v>
          </cell>
          <cell r="S17">
            <v>0.04</v>
          </cell>
          <cell r="T17">
            <v>0.24</v>
          </cell>
          <cell r="U17">
            <v>0.38919829059829097</v>
          </cell>
          <cell r="V17">
            <v>0.344423266016186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 t="str">
            <v>检具检验</v>
          </cell>
          <cell r="Q18">
            <v>0</v>
          </cell>
          <cell r="R18">
            <v>1</v>
          </cell>
          <cell r="S18">
            <v>2.3831908831908801E-2</v>
          </cell>
          <cell r="T18">
            <v>2.3831908831908801E-2</v>
          </cell>
          <cell r="U18">
            <v>0</v>
          </cell>
          <cell r="V18">
            <v>0</v>
          </cell>
        </row>
        <row r="19">
          <cell r="C19" t="str">
            <v>SLT0010757</v>
          </cell>
          <cell r="D19" t="str">
            <v>驾驶员靠背预埋钢丝C</v>
          </cell>
          <cell r="E19">
            <v>0</v>
          </cell>
          <cell r="F19">
            <v>1</v>
          </cell>
          <cell r="G19" t="str">
            <v>?/Φ2</v>
          </cell>
          <cell r="H19">
            <v>2</v>
          </cell>
          <cell r="I19">
            <v>0</v>
          </cell>
          <cell r="J19">
            <v>5.5</v>
          </cell>
          <cell r="K19">
            <v>0</v>
          </cell>
          <cell r="L19">
            <v>8.0000000000000002E-3</v>
          </cell>
          <cell r="M19">
            <v>8.0000000000000002E-3</v>
          </cell>
          <cell r="N19">
            <v>0</v>
          </cell>
          <cell r="O19">
            <v>4.3999999999999997E-2</v>
          </cell>
          <cell r="P19" t="str">
            <v>截料折弯</v>
          </cell>
          <cell r="Q19">
            <v>0</v>
          </cell>
          <cell r="R19">
            <v>6</v>
          </cell>
          <cell r="S19">
            <v>0.04</v>
          </cell>
          <cell r="T19">
            <v>0.24</v>
          </cell>
          <cell r="U19">
            <v>0.36939829059829099</v>
          </cell>
          <cell r="V19">
            <v>0.32690114212238103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检具检验</v>
          </cell>
          <cell r="Q20">
            <v>0</v>
          </cell>
          <cell r="R20">
            <v>1</v>
          </cell>
          <cell r="S20">
            <v>2.3831908831908801E-2</v>
          </cell>
          <cell r="T20">
            <v>2.3831908831908801E-2</v>
          </cell>
          <cell r="U20">
            <v>0</v>
          </cell>
          <cell r="V20">
            <v>0</v>
          </cell>
        </row>
        <row r="21">
          <cell r="C21" t="str">
            <v>SLT0010758</v>
          </cell>
          <cell r="D21" t="str">
            <v>驾驶员靠背预埋钢丝D</v>
          </cell>
          <cell r="E21">
            <v>0</v>
          </cell>
          <cell r="F21">
            <v>1</v>
          </cell>
          <cell r="G21" t="str">
            <v>?/Φ2</v>
          </cell>
          <cell r="H21">
            <v>2</v>
          </cell>
          <cell r="I21">
            <v>0</v>
          </cell>
          <cell r="J21">
            <v>5.5</v>
          </cell>
          <cell r="K21">
            <v>0</v>
          </cell>
          <cell r="L21">
            <v>7.0000000000000001E-3</v>
          </cell>
          <cell r="M21">
            <v>7.0000000000000001E-3</v>
          </cell>
          <cell r="N21">
            <v>0</v>
          </cell>
          <cell r="O21">
            <v>3.85E-2</v>
          </cell>
          <cell r="P21" t="str">
            <v>截料折弯</v>
          </cell>
          <cell r="Q21">
            <v>0</v>
          </cell>
          <cell r="R21">
            <v>5</v>
          </cell>
          <cell r="S21">
            <v>0.04</v>
          </cell>
          <cell r="T21">
            <v>0.2</v>
          </cell>
          <cell r="U21">
            <v>0.31479829059829101</v>
          </cell>
          <cell r="V21">
            <v>0.27858255805158499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 t="str">
            <v>检具检验</v>
          </cell>
          <cell r="Q22">
            <v>0</v>
          </cell>
          <cell r="R22">
            <v>1</v>
          </cell>
          <cell r="S22">
            <v>2.3831908831908801E-2</v>
          </cell>
          <cell r="T22">
            <v>2.3831908831908801E-2</v>
          </cell>
          <cell r="U22">
            <v>0</v>
          </cell>
          <cell r="V22">
            <v>0</v>
          </cell>
        </row>
        <row r="23">
          <cell r="C23" t="str">
            <v>SLT0010759</v>
          </cell>
          <cell r="D23" t="str">
            <v>驾驶员靠背钢丝焊接总成</v>
          </cell>
          <cell r="E23">
            <v>0</v>
          </cell>
          <cell r="F23">
            <v>1</v>
          </cell>
          <cell r="G23" t="str">
            <v>?/Φ2</v>
          </cell>
          <cell r="H23">
            <v>2</v>
          </cell>
          <cell r="I23">
            <v>0</v>
          </cell>
          <cell r="J23">
            <v>5.5</v>
          </cell>
          <cell r="K23">
            <v>0</v>
          </cell>
          <cell r="L23">
            <v>0.25679999999999997</v>
          </cell>
          <cell r="M23">
            <v>0.25679999999999997</v>
          </cell>
          <cell r="N23">
            <v>0</v>
          </cell>
          <cell r="O23">
            <v>1.4124000000000001</v>
          </cell>
          <cell r="P23" t="str">
            <v>截料折弯</v>
          </cell>
          <cell r="Q23">
            <v>0</v>
          </cell>
          <cell r="R23">
            <v>22</v>
          </cell>
          <cell r="S23">
            <v>0.04</v>
          </cell>
          <cell r="T23">
            <v>0.88</v>
          </cell>
          <cell r="U23">
            <v>3.6914782905982899</v>
          </cell>
          <cell r="V23">
            <v>3.2667949474321198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str">
            <v>焊接</v>
          </cell>
          <cell r="Q24">
            <v>0</v>
          </cell>
          <cell r="R24">
            <v>8</v>
          </cell>
          <cell r="S24">
            <v>0.05</v>
          </cell>
          <cell r="T24">
            <v>0.4</v>
          </cell>
          <cell r="U24">
            <v>0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摆件</v>
          </cell>
          <cell r="Q25">
            <v>0</v>
          </cell>
          <cell r="R25">
            <v>4</v>
          </cell>
          <cell r="S25">
            <v>0.04</v>
          </cell>
          <cell r="T25">
            <v>0.16</v>
          </cell>
          <cell r="U25">
            <v>0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str">
            <v>整形</v>
          </cell>
          <cell r="Q26">
            <v>0</v>
          </cell>
          <cell r="R26">
            <v>1</v>
          </cell>
          <cell r="S26">
            <v>0.2</v>
          </cell>
          <cell r="T26">
            <v>0.2</v>
          </cell>
          <cell r="U26">
            <v>0</v>
          </cell>
          <cell r="V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检具检验</v>
          </cell>
          <cell r="Q27">
            <v>0</v>
          </cell>
          <cell r="R27">
            <v>1</v>
          </cell>
          <cell r="S27">
            <v>2.3831908831908801E-2</v>
          </cell>
          <cell r="T27">
            <v>2.3831908831908801E-2</v>
          </cell>
          <cell r="U27">
            <v>0</v>
          </cell>
          <cell r="V27">
            <v>0</v>
          </cell>
        </row>
        <row r="28">
          <cell r="C28" t="str">
            <v>SLT0010764</v>
          </cell>
          <cell r="D28" t="str">
            <v>驾驶员座垫预埋钢丝A</v>
          </cell>
          <cell r="E28">
            <v>0</v>
          </cell>
          <cell r="F28">
            <v>1</v>
          </cell>
          <cell r="G28" t="str">
            <v>?/Φ2</v>
          </cell>
          <cell r="H28">
            <v>2</v>
          </cell>
          <cell r="I28">
            <v>0</v>
          </cell>
          <cell r="J28">
            <v>5.5</v>
          </cell>
          <cell r="K28">
            <v>0</v>
          </cell>
          <cell r="L28">
            <v>0.01</v>
          </cell>
          <cell r="M28">
            <v>0.01</v>
          </cell>
          <cell r="N28">
            <v>0</v>
          </cell>
          <cell r="O28">
            <v>5.5E-2</v>
          </cell>
          <cell r="P28" t="str">
            <v>截料折弯</v>
          </cell>
          <cell r="Q28">
            <v>0</v>
          </cell>
          <cell r="R28">
            <v>4</v>
          </cell>
          <cell r="S28">
            <v>0.04</v>
          </cell>
          <cell r="T28">
            <v>0.16</v>
          </cell>
          <cell r="U28">
            <v>0.28659829059829101</v>
          </cell>
          <cell r="V28">
            <v>0.253626805839195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str">
            <v>检具检验</v>
          </cell>
          <cell r="Q29">
            <v>0</v>
          </cell>
          <cell r="R29">
            <v>1</v>
          </cell>
          <cell r="S29">
            <v>2.3831908831908801E-2</v>
          </cell>
          <cell r="T29">
            <v>2.3831908831908801E-2</v>
          </cell>
          <cell r="U29">
            <v>0</v>
          </cell>
          <cell r="V29">
            <v>0</v>
          </cell>
        </row>
        <row r="30">
          <cell r="C30" t="str">
            <v>SLT0010765</v>
          </cell>
          <cell r="D30" t="str">
            <v>驾驶员座垫预埋钢丝B</v>
          </cell>
          <cell r="E30">
            <v>0</v>
          </cell>
          <cell r="F30">
            <v>1</v>
          </cell>
          <cell r="G30" t="str">
            <v>?/Φ2</v>
          </cell>
          <cell r="H30">
            <v>2</v>
          </cell>
          <cell r="I30">
            <v>0</v>
          </cell>
          <cell r="J30">
            <v>5.5</v>
          </cell>
          <cell r="K30">
            <v>0</v>
          </cell>
          <cell r="L30">
            <v>0.01</v>
          </cell>
          <cell r="M30">
            <v>0.01</v>
          </cell>
          <cell r="N30">
            <v>0</v>
          </cell>
          <cell r="O30">
            <v>5.5E-2</v>
          </cell>
          <cell r="P30" t="str">
            <v>截料折弯</v>
          </cell>
          <cell r="Q30">
            <v>0</v>
          </cell>
          <cell r="R30">
            <v>4</v>
          </cell>
          <cell r="S30">
            <v>0.04</v>
          </cell>
          <cell r="T30">
            <v>0.16</v>
          </cell>
          <cell r="U30">
            <v>0.28659829059829101</v>
          </cell>
          <cell r="V30">
            <v>0.253626805839195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str">
            <v>检具检验</v>
          </cell>
          <cell r="Q31">
            <v>0</v>
          </cell>
          <cell r="R31">
            <v>1</v>
          </cell>
          <cell r="S31">
            <v>2.3831908831908801E-2</v>
          </cell>
          <cell r="T31">
            <v>2.3831908831908801E-2</v>
          </cell>
          <cell r="U31">
            <v>0</v>
          </cell>
          <cell r="V31">
            <v>0</v>
          </cell>
        </row>
        <row r="32">
          <cell r="C32" t="str">
            <v>SLT0010766</v>
          </cell>
          <cell r="D32" t="str">
            <v>驾驶员座垫预埋钢丝C</v>
          </cell>
          <cell r="E32">
            <v>0</v>
          </cell>
          <cell r="F32">
            <v>1</v>
          </cell>
          <cell r="G32" t="str">
            <v>?/Φ2</v>
          </cell>
          <cell r="H32">
            <v>2</v>
          </cell>
          <cell r="I32">
            <v>0</v>
          </cell>
          <cell r="J32">
            <v>5.5</v>
          </cell>
          <cell r="K32">
            <v>0</v>
          </cell>
          <cell r="L32">
            <v>7.0000000000000001E-3</v>
          </cell>
          <cell r="M32">
            <v>7.0000000000000001E-3</v>
          </cell>
          <cell r="N32">
            <v>0</v>
          </cell>
          <cell r="O32">
            <v>3.85E-2</v>
          </cell>
          <cell r="P32" t="str">
            <v>截料折弯</v>
          </cell>
          <cell r="Q32">
            <v>0</v>
          </cell>
          <cell r="R32">
            <v>5</v>
          </cell>
          <cell r="S32">
            <v>0.04</v>
          </cell>
          <cell r="T32">
            <v>0.2</v>
          </cell>
          <cell r="U32">
            <v>0.31479829059829101</v>
          </cell>
          <cell r="V32">
            <v>0.27858255805158499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 t="str">
            <v>检具检验</v>
          </cell>
          <cell r="Q33">
            <v>0</v>
          </cell>
          <cell r="R33">
            <v>1</v>
          </cell>
          <cell r="S33">
            <v>2.3831908831908801E-2</v>
          </cell>
          <cell r="T33">
            <v>2.3831908831908801E-2</v>
          </cell>
          <cell r="U33">
            <v>0</v>
          </cell>
          <cell r="V33">
            <v>0</v>
          </cell>
        </row>
        <row r="34">
          <cell r="C34" t="str">
            <v>SLT0010767</v>
          </cell>
          <cell r="D34" t="str">
            <v>驾驶员座垫预埋钢丝D</v>
          </cell>
          <cell r="E34">
            <v>0</v>
          </cell>
          <cell r="F34">
            <v>1</v>
          </cell>
          <cell r="G34" t="str">
            <v>?/Φ2</v>
          </cell>
          <cell r="H34">
            <v>2</v>
          </cell>
          <cell r="I34">
            <v>0</v>
          </cell>
          <cell r="J34">
            <v>5.5</v>
          </cell>
          <cell r="K34">
            <v>0</v>
          </cell>
          <cell r="L34">
            <v>8.9999999999999993E-3</v>
          </cell>
          <cell r="M34">
            <v>8.9999999999999993E-3</v>
          </cell>
          <cell r="N34">
            <v>0</v>
          </cell>
          <cell r="O34">
            <v>4.9500000000000002E-2</v>
          </cell>
          <cell r="P34" t="str">
            <v>截料折弯</v>
          </cell>
          <cell r="Q34">
            <v>0</v>
          </cell>
          <cell r="R34">
            <v>5</v>
          </cell>
          <cell r="S34">
            <v>0.04</v>
          </cell>
          <cell r="T34">
            <v>0.2</v>
          </cell>
          <cell r="U34">
            <v>0.327998290598291</v>
          </cell>
          <cell r="V34">
            <v>0.29026397398078801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 t="str">
            <v>检具检验</v>
          </cell>
          <cell r="Q35">
            <v>0</v>
          </cell>
          <cell r="R35">
            <v>1</v>
          </cell>
          <cell r="S35">
            <v>2.3831908831908801E-2</v>
          </cell>
          <cell r="T35">
            <v>2.3831908831908801E-2</v>
          </cell>
          <cell r="U35">
            <v>0</v>
          </cell>
          <cell r="V35">
            <v>0</v>
          </cell>
        </row>
        <row r="36">
          <cell r="C36" t="str">
            <v>SLT0010768</v>
          </cell>
          <cell r="D36" t="str">
            <v>驾驶员靠背下弯管</v>
          </cell>
          <cell r="E36">
            <v>0</v>
          </cell>
          <cell r="F36">
            <v>1</v>
          </cell>
          <cell r="G36" t="str">
            <v>Q235 φ20×1.5</v>
          </cell>
          <cell r="H36">
            <v>20</v>
          </cell>
          <cell r="I36">
            <v>0</v>
          </cell>
          <cell r="J36">
            <v>7</v>
          </cell>
          <cell r="K36">
            <v>0</v>
          </cell>
          <cell r="L36">
            <v>0.36330000000000001</v>
          </cell>
          <cell r="M36">
            <v>0.36330000000000001</v>
          </cell>
          <cell r="N36">
            <v>0</v>
          </cell>
          <cell r="O36">
            <v>2.5430999999999999</v>
          </cell>
          <cell r="P36" t="str">
            <v>截料折弯</v>
          </cell>
          <cell r="Q36">
            <v>0</v>
          </cell>
          <cell r="R36">
            <v>5</v>
          </cell>
          <cell r="S36">
            <v>0.08</v>
          </cell>
          <cell r="T36">
            <v>0.4</v>
          </cell>
          <cell r="U36">
            <v>3.56031829059829</v>
          </cell>
          <cell r="V36">
            <v>3.1507241509719401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 t="str">
            <v>检具检验</v>
          </cell>
          <cell r="Q37">
            <v>0</v>
          </cell>
          <cell r="R37">
            <v>1</v>
          </cell>
          <cell r="S37">
            <v>2.3831908831908801E-2</v>
          </cell>
          <cell r="T37">
            <v>2.3831908831908801E-2</v>
          </cell>
          <cell r="U37">
            <v>0</v>
          </cell>
          <cell r="V37">
            <v>0</v>
          </cell>
        </row>
        <row r="38">
          <cell r="C38" t="str">
            <v>SHT0011065</v>
          </cell>
          <cell r="D38" t="str">
            <v>预埋钢丝A</v>
          </cell>
          <cell r="E38">
            <v>0</v>
          </cell>
          <cell r="F38">
            <v>1</v>
          </cell>
          <cell r="G38" t="str">
            <v>60#</v>
          </cell>
          <cell r="H38">
            <v>0</v>
          </cell>
          <cell r="I38">
            <v>0</v>
          </cell>
          <cell r="J38">
            <v>5.5</v>
          </cell>
          <cell r="K38">
            <v>0</v>
          </cell>
          <cell r="L38">
            <v>1.0999999999999999E-2</v>
          </cell>
          <cell r="M38">
            <v>1.0999999999999999E-2</v>
          </cell>
          <cell r="N38">
            <v>0</v>
          </cell>
          <cell r="O38">
            <v>6.0499999999999998E-2</v>
          </cell>
          <cell r="P38" t="str">
            <v>截料折弯</v>
          </cell>
          <cell r="Q38">
            <v>0</v>
          </cell>
          <cell r="R38">
            <v>5</v>
          </cell>
          <cell r="S38">
            <v>0.04</v>
          </cell>
          <cell r="T38">
            <v>0.2</v>
          </cell>
          <cell r="U38">
            <v>0.34119829059829099</v>
          </cell>
          <cell r="V38">
            <v>0.30194538990999198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str">
            <v>检具检验</v>
          </cell>
          <cell r="Q39">
            <v>0</v>
          </cell>
          <cell r="R39">
            <v>1</v>
          </cell>
          <cell r="S39">
            <v>2.3831908831908801E-2</v>
          </cell>
          <cell r="T39">
            <v>2.3831908831908801E-2</v>
          </cell>
          <cell r="U39">
            <v>0</v>
          </cell>
          <cell r="V39">
            <v>0</v>
          </cell>
        </row>
        <row r="40">
          <cell r="C40" t="str">
            <v>SHT0011066</v>
          </cell>
          <cell r="D40" t="str">
            <v>预埋钢丝B</v>
          </cell>
          <cell r="E40">
            <v>0</v>
          </cell>
          <cell r="F40">
            <v>1</v>
          </cell>
          <cell r="G40" t="str">
            <v>60#</v>
          </cell>
          <cell r="H40">
            <v>0</v>
          </cell>
          <cell r="I40">
            <v>0</v>
          </cell>
          <cell r="J40">
            <v>5.5</v>
          </cell>
          <cell r="K40">
            <v>0</v>
          </cell>
          <cell r="L40">
            <v>1.0999999999999999E-2</v>
          </cell>
          <cell r="M40">
            <v>1.0999999999999999E-2</v>
          </cell>
          <cell r="N40">
            <v>0</v>
          </cell>
          <cell r="O40">
            <v>6.0499999999999998E-2</v>
          </cell>
          <cell r="P40" t="str">
            <v>截料折弯</v>
          </cell>
          <cell r="Q40">
            <v>0</v>
          </cell>
          <cell r="R40">
            <v>5</v>
          </cell>
          <cell r="S40">
            <v>0.04</v>
          </cell>
          <cell r="T40">
            <v>0.2</v>
          </cell>
          <cell r="U40">
            <v>0.34119829059829099</v>
          </cell>
          <cell r="V40">
            <v>0.30194538990999198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 t="str">
            <v>检具检验</v>
          </cell>
          <cell r="Q41">
            <v>0</v>
          </cell>
          <cell r="R41">
            <v>1</v>
          </cell>
          <cell r="S41">
            <v>2.3831908831908801E-2</v>
          </cell>
          <cell r="T41">
            <v>2.3831908831908801E-2</v>
          </cell>
          <cell r="U41">
            <v>0</v>
          </cell>
          <cell r="V41">
            <v>0</v>
          </cell>
        </row>
        <row r="42">
          <cell r="C42" t="str">
            <v>SHT0011067</v>
          </cell>
          <cell r="D42" t="str">
            <v>预埋钢丝C</v>
          </cell>
          <cell r="E42">
            <v>0</v>
          </cell>
          <cell r="F42">
            <v>1</v>
          </cell>
          <cell r="G42" t="str">
            <v>60#</v>
          </cell>
          <cell r="H42">
            <v>0</v>
          </cell>
          <cell r="I42">
            <v>0</v>
          </cell>
          <cell r="J42">
            <v>5.5</v>
          </cell>
          <cell r="K42">
            <v>0</v>
          </cell>
          <cell r="L42">
            <v>7.0000000000000001E-3</v>
          </cell>
          <cell r="M42">
            <v>7.0000000000000001E-3</v>
          </cell>
          <cell r="N42">
            <v>0</v>
          </cell>
          <cell r="O42">
            <v>3.85E-2</v>
          </cell>
          <cell r="P42" t="str">
            <v>截料折弯</v>
          </cell>
          <cell r="Q42">
            <v>0</v>
          </cell>
          <cell r="R42">
            <v>3</v>
          </cell>
          <cell r="S42">
            <v>0.04</v>
          </cell>
          <cell r="T42">
            <v>0.12</v>
          </cell>
          <cell r="U42">
            <v>0.21879829059829101</v>
          </cell>
          <cell r="V42">
            <v>0.193626805839195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 t="str">
            <v>检具检验</v>
          </cell>
          <cell r="Q43">
            <v>0</v>
          </cell>
          <cell r="R43">
            <v>1</v>
          </cell>
          <cell r="S43">
            <v>2.3831908831908801E-2</v>
          </cell>
          <cell r="T43">
            <v>2.3831908831908801E-2</v>
          </cell>
          <cell r="U43">
            <v>0</v>
          </cell>
          <cell r="V43">
            <v>0</v>
          </cell>
        </row>
        <row r="44">
          <cell r="C44" t="str">
            <v>SHT0011068</v>
          </cell>
          <cell r="D44" t="str">
            <v>预埋钢丝D</v>
          </cell>
          <cell r="E44">
            <v>0</v>
          </cell>
          <cell r="F44">
            <v>1</v>
          </cell>
          <cell r="G44" t="str">
            <v>60#</v>
          </cell>
          <cell r="H44">
            <v>0</v>
          </cell>
          <cell r="I44">
            <v>0</v>
          </cell>
          <cell r="J44">
            <v>5.5</v>
          </cell>
          <cell r="K44">
            <v>0</v>
          </cell>
          <cell r="L44">
            <v>1.2E-2</v>
          </cell>
          <cell r="M44">
            <v>1.2E-2</v>
          </cell>
          <cell r="N44">
            <v>0</v>
          </cell>
          <cell r="O44">
            <v>6.6000000000000003E-2</v>
          </cell>
          <cell r="P44" t="str">
            <v>截料折弯</v>
          </cell>
          <cell r="Q44">
            <v>0</v>
          </cell>
          <cell r="R44">
            <v>4</v>
          </cell>
          <cell r="S44">
            <v>0.04</v>
          </cell>
          <cell r="T44">
            <v>0.16</v>
          </cell>
          <cell r="U44">
            <v>0.299798290598291</v>
          </cell>
          <cell r="V44">
            <v>0.26530822176839902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 t="str">
            <v>检具检验</v>
          </cell>
          <cell r="Q45">
            <v>0</v>
          </cell>
          <cell r="R45">
            <v>1</v>
          </cell>
          <cell r="S45">
            <v>2.3831908831908801E-2</v>
          </cell>
          <cell r="T45">
            <v>2.3831908831908801E-2</v>
          </cell>
          <cell r="U45">
            <v>0</v>
          </cell>
          <cell r="V45">
            <v>0</v>
          </cell>
        </row>
        <row r="46">
          <cell r="C46" t="str">
            <v>SHT0011069</v>
          </cell>
          <cell r="D46" t="str">
            <v>预埋钢丝E</v>
          </cell>
          <cell r="E46">
            <v>0</v>
          </cell>
          <cell r="F46">
            <v>1</v>
          </cell>
          <cell r="G46" t="str">
            <v>60#</v>
          </cell>
          <cell r="H46">
            <v>0</v>
          </cell>
          <cell r="I46">
            <v>0</v>
          </cell>
          <cell r="J46">
            <v>5.5</v>
          </cell>
          <cell r="K46">
            <v>0</v>
          </cell>
          <cell r="L46">
            <v>1.2E-2</v>
          </cell>
          <cell r="M46">
            <v>1.2E-2</v>
          </cell>
          <cell r="N46">
            <v>0</v>
          </cell>
          <cell r="O46">
            <v>6.6000000000000003E-2</v>
          </cell>
          <cell r="P46" t="str">
            <v>截料折弯</v>
          </cell>
          <cell r="Q46">
            <v>0</v>
          </cell>
          <cell r="R46">
            <v>4</v>
          </cell>
          <cell r="S46">
            <v>0.04</v>
          </cell>
          <cell r="T46">
            <v>0.16</v>
          </cell>
          <cell r="U46">
            <v>0.299798290598291</v>
          </cell>
          <cell r="V46">
            <v>0.26530822176839902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str">
            <v>检具检验</v>
          </cell>
          <cell r="Q47">
            <v>0</v>
          </cell>
          <cell r="R47">
            <v>1</v>
          </cell>
          <cell r="S47">
            <v>2.3831908831908801E-2</v>
          </cell>
          <cell r="T47">
            <v>2.3831908831908801E-2</v>
          </cell>
          <cell r="U47">
            <v>0</v>
          </cell>
          <cell r="V47">
            <v>0</v>
          </cell>
        </row>
        <row r="48">
          <cell r="C48" t="str">
            <v>SHT0011513</v>
          </cell>
          <cell r="D48" t="str">
            <v>靠背泡沫预埋钢丝4</v>
          </cell>
          <cell r="E48">
            <v>0</v>
          </cell>
          <cell r="F48">
            <v>1</v>
          </cell>
          <cell r="G48" t="str">
            <v>20#</v>
          </cell>
          <cell r="H48">
            <v>0</v>
          </cell>
          <cell r="I48">
            <v>0</v>
          </cell>
          <cell r="J48">
            <v>5.5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 t="str">
            <v>截料折弯</v>
          </cell>
          <cell r="Q48">
            <v>0</v>
          </cell>
          <cell r="R48">
            <v>4</v>
          </cell>
          <cell r="S48">
            <v>0.04</v>
          </cell>
          <cell r="T48">
            <v>0.16</v>
          </cell>
          <cell r="U48">
            <v>0.220598290598291</v>
          </cell>
          <cell r="V48">
            <v>0.19521972619317801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 t="str">
            <v>检具检验</v>
          </cell>
          <cell r="Q49">
            <v>0</v>
          </cell>
          <cell r="R49">
            <v>1</v>
          </cell>
          <cell r="S49">
            <v>2.3831908831908801E-2</v>
          </cell>
          <cell r="T49">
            <v>2.3831908831908801E-2</v>
          </cell>
          <cell r="U49">
            <v>0</v>
          </cell>
          <cell r="V49">
            <v>0</v>
          </cell>
        </row>
        <row r="50">
          <cell r="C50" t="str">
            <v>SHT0011070</v>
          </cell>
          <cell r="D50" t="str">
            <v>坐垫预埋钢丝A</v>
          </cell>
          <cell r="E50">
            <v>0</v>
          </cell>
          <cell r="F50">
            <v>1</v>
          </cell>
          <cell r="G50" t="str">
            <v>60#</v>
          </cell>
          <cell r="H50">
            <v>0</v>
          </cell>
          <cell r="I50">
            <v>0</v>
          </cell>
          <cell r="J50">
            <v>5.5</v>
          </cell>
          <cell r="K50">
            <v>0</v>
          </cell>
          <cell r="L50">
            <v>7.0000000000000001E-3</v>
          </cell>
          <cell r="M50">
            <v>7.0000000000000001E-3</v>
          </cell>
          <cell r="N50">
            <v>0</v>
          </cell>
          <cell r="O50">
            <v>3.85E-2</v>
          </cell>
          <cell r="P50" t="str">
            <v>截料折弯</v>
          </cell>
          <cell r="Q50">
            <v>0</v>
          </cell>
          <cell r="R50">
            <v>3</v>
          </cell>
          <cell r="S50">
            <v>0.04</v>
          </cell>
          <cell r="T50">
            <v>0.12</v>
          </cell>
          <cell r="U50">
            <v>0.21879829059829101</v>
          </cell>
          <cell r="V50">
            <v>0.193626805839195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 t="str">
            <v>检具检验</v>
          </cell>
          <cell r="Q51">
            <v>0</v>
          </cell>
          <cell r="R51">
            <v>1</v>
          </cell>
          <cell r="S51">
            <v>2.3831908831908801E-2</v>
          </cell>
          <cell r="T51">
            <v>2.3831908831908801E-2</v>
          </cell>
          <cell r="U51">
            <v>0</v>
          </cell>
          <cell r="V51">
            <v>0</v>
          </cell>
        </row>
        <row r="52">
          <cell r="C52" t="str">
            <v>SHT0011071</v>
          </cell>
          <cell r="D52" t="str">
            <v>坐垫预埋钢丝B</v>
          </cell>
          <cell r="E52">
            <v>0</v>
          </cell>
          <cell r="F52">
            <v>1</v>
          </cell>
          <cell r="G52" t="str">
            <v>60#</v>
          </cell>
          <cell r="H52">
            <v>0</v>
          </cell>
          <cell r="I52">
            <v>0</v>
          </cell>
          <cell r="J52">
            <v>5.5</v>
          </cell>
          <cell r="K52">
            <v>0</v>
          </cell>
          <cell r="L52">
            <v>0.01</v>
          </cell>
          <cell r="M52">
            <v>0.01</v>
          </cell>
          <cell r="N52">
            <v>0</v>
          </cell>
          <cell r="O52">
            <v>5.5E-2</v>
          </cell>
          <cell r="P52" t="str">
            <v>截料折弯</v>
          </cell>
          <cell r="Q52">
            <v>0</v>
          </cell>
          <cell r="R52">
            <v>5</v>
          </cell>
          <cell r="S52">
            <v>0.04</v>
          </cell>
          <cell r="T52">
            <v>0.2</v>
          </cell>
          <cell r="U52">
            <v>0.33459829059829099</v>
          </cell>
          <cell r="V52">
            <v>0.29610468194539002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检具检验</v>
          </cell>
          <cell r="Q53">
            <v>0</v>
          </cell>
          <cell r="R53">
            <v>1</v>
          </cell>
          <cell r="S53">
            <v>2.3831908831908801E-2</v>
          </cell>
          <cell r="T53">
            <v>2.3831908831908801E-2</v>
          </cell>
          <cell r="U53">
            <v>0</v>
          </cell>
          <cell r="V53">
            <v>0</v>
          </cell>
        </row>
        <row r="54">
          <cell r="C54" t="str">
            <v>SHT0011603</v>
          </cell>
          <cell r="D54" t="str">
            <v>坐垫预埋钢丝C</v>
          </cell>
          <cell r="E54">
            <v>0</v>
          </cell>
          <cell r="F54">
            <v>1</v>
          </cell>
          <cell r="G54" t="str">
            <v>60#</v>
          </cell>
          <cell r="H54">
            <v>0</v>
          </cell>
          <cell r="I54">
            <v>0</v>
          </cell>
          <cell r="J54">
            <v>5.5</v>
          </cell>
          <cell r="K54">
            <v>0</v>
          </cell>
          <cell r="L54">
            <v>1.6E-2</v>
          </cell>
          <cell r="M54">
            <v>1.6E-2</v>
          </cell>
          <cell r="N54">
            <v>0</v>
          </cell>
          <cell r="O54">
            <v>8.7999999999999995E-2</v>
          </cell>
          <cell r="P54" t="str">
            <v>截料折弯</v>
          </cell>
          <cell r="Q54">
            <v>0</v>
          </cell>
          <cell r="R54">
            <v>4</v>
          </cell>
          <cell r="S54">
            <v>0.04</v>
          </cell>
          <cell r="T54">
            <v>0.16</v>
          </cell>
          <cell r="U54">
            <v>0.32619829059829097</v>
          </cell>
          <cell r="V54">
            <v>0.28867105362680601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 t="str">
            <v>检具检验</v>
          </cell>
          <cell r="Q55">
            <v>0</v>
          </cell>
          <cell r="R55">
            <v>1</v>
          </cell>
          <cell r="S55">
            <v>2.3831908831908801E-2</v>
          </cell>
          <cell r="T55">
            <v>2.3831908831908801E-2</v>
          </cell>
          <cell r="U55">
            <v>0</v>
          </cell>
          <cell r="V55">
            <v>0</v>
          </cell>
        </row>
        <row r="56">
          <cell r="C56" t="str">
            <v>SHT0011604</v>
          </cell>
          <cell r="D56" t="str">
            <v>坐垫预埋钢丝D</v>
          </cell>
          <cell r="E56">
            <v>0</v>
          </cell>
          <cell r="F56">
            <v>1</v>
          </cell>
          <cell r="G56" t="str">
            <v>60#</v>
          </cell>
          <cell r="H56">
            <v>0</v>
          </cell>
          <cell r="I56">
            <v>0</v>
          </cell>
          <cell r="J56">
            <v>5.5</v>
          </cell>
          <cell r="K56">
            <v>0</v>
          </cell>
          <cell r="L56">
            <v>1.6E-2</v>
          </cell>
          <cell r="M56">
            <v>1.6E-2</v>
          </cell>
          <cell r="N56">
            <v>0</v>
          </cell>
          <cell r="O56">
            <v>8.7999999999999995E-2</v>
          </cell>
          <cell r="P56" t="str">
            <v>截料折弯</v>
          </cell>
          <cell r="Q56">
            <v>0</v>
          </cell>
          <cell r="R56">
            <v>6</v>
          </cell>
          <cell r="S56">
            <v>0.04</v>
          </cell>
          <cell r="T56">
            <v>0.24</v>
          </cell>
          <cell r="U56">
            <v>0.422198290598291</v>
          </cell>
          <cell r="V56">
            <v>0.373626805839195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 t="str">
            <v>检具检验</v>
          </cell>
          <cell r="Q57">
            <v>0</v>
          </cell>
          <cell r="R57">
            <v>1</v>
          </cell>
          <cell r="S57">
            <v>2.3831908831908801E-2</v>
          </cell>
          <cell r="T57">
            <v>2.3831908831908801E-2</v>
          </cell>
          <cell r="U57">
            <v>0</v>
          </cell>
          <cell r="V57">
            <v>0</v>
          </cell>
        </row>
        <row r="58">
          <cell r="C58" t="str">
            <v>SHT0011072</v>
          </cell>
          <cell r="D58" t="str">
            <v>坐垫泡沫预埋钢丝3.1</v>
          </cell>
          <cell r="E58">
            <v>0</v>
          </cell>
          <cell r="F58">
            <v>1</v>
          </cell>
          <cell r="G58" t="str">
            <v>60#</v>
          </cell>
          <cell r="H58">
            <v>0</v>
          </cell>
          <cell r="I58">
            <v>0</v>
          </cell>
          <cell r="J58">
            <v>5.5</v>
          </cell>
          <cell r="K58">
            <v>0</v>
          </cell>
          <cell r="L58">
            <v>1.2E-2</v>
          </cell>
          <cell r="M58">
            <v>1.2E-2</v>
          </cell>
          <cell r="N58">
            <v>0</v>
          </cell>
          <cell r="O58">
            <v>6.6000000000000003E-2</v>
          </cell>
          <cell r="P58" t="str">
            <v>截料折弯</v>
          </cell>
          <cell r="Q58">
            <v>0</v>
          </cell>
          <cell r="R58">
            <v>4</v>
          </cell>
          <cell r="S58">
            <v>0.04</v>
          </cell>
          <cell r="T58">
            <v>0.16</v>
          </cell>
          <cell r="U58">
            <v>0.299798290598291</v>
          </cell>
          <cell r="V58">
            <v>0.26530822176839902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 t="str">
            <v>检具检验</v>
          </cell>
          <cell r="Q59">
            <v>0</v>
          </cell>
          <cell r="R59">
            <v>1</v>
          </cell>
          <cell r="S59">
            <v>2.3831908831908801E-2</v>
          </cell>
          <cell r="T59">
            <v>2.3831908831908801E-2</v>
          </cell>
          <cell r="U59">
            <v>0</v>
          </cell>
          <cell r="V59">
            <v>0</v>
          </cell>
        </row>
        <row r="60">
          <cell r="C60" t="str">
            <v>SHT0011597</v>
          </cell>
          <cell r="D60" t="str">
            <v>坐垫泡沫预埋钢丝4.1</v>
          </cell>
          <cell r="E60">
            <v>0</v>
          </cell>
          <cell r="F60">
            <v>1</v>
          </cell>
          <cell r="G60" t="str">
            <v>60#</v>
          </cell>
          <cell r="H60">
            <v>0</v>
          </cell>
          <cell r="I60">
            <v>0</v>
          </cell>
          <cell r="J60">
            <v>5.5</v>
          </cell>
          <cell r="K60">
            <v>0</v>
          </cell>
          <cell r="L60">
            <v>1.2E-2</v>
          </cell>
          <cell r="M60">
            <v>1.2E-2</v>
          </cell>
          <cell r="N60">
            <v>0</v>
          </cell>
          <cell r="O60">
            <v>6.6000000000000003E-2</v>
          </cell>
          <cell r="P60" t="str">
            <v>截料折弯</v>
          </cell>
          <cell r="Q60">
            <v>0</v>
          </cell>
          <cell r="R60">
            <v>6</v>
          </cell>
          <cell r="S60">
            <v>0.04</v>
          </cell>
          <cell r="T60">
            <v>0.24</v>
          </cell>
          <cell r="U60">
            <v>0.39579829059829102</v>
          </cell>
          <cell r="V60">
            <v>0.35026397398078801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 t="str">
            <v>检具检验</v>
          </cell>
          <cell r="Q61">
            <v>0</v>
          </cell>
          <cell r="R61">
            <v>1</v>
          </cell>
          <cell r="S61">
            <v>2.3831908831908801E-2</v>
          </cell>
          <cell r="T61">
            <v>2.3831908831908801E-2</v>
          </cell>
          <cell r="U61">
            <v>0</v>
          </cell>
          <cell r="V61">
            <v>0</v>
          </cell>
        </row>
      </sheetData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13"/>
  <sheetViews>
    <sheetView view="pageBreakPreview" zoomScaleNormal="100" zoomScaleSheetLayoutView="100" workbookViewId="0">
      <selection activeCell="B8" sqref="B8"/>
    </sheetView>
  </sheetViews>
  <sheetFormatPr defaultColWidth="9" defaultRowHeight="15.6" x14ac:dyDescent="0.25"/>
  <cols>
    <col min="1" max="1" width="6.44140625" style="384" customWidth="1"/>
    <col min="2" max="2" width="25.88671875" style="384" customWidth="1"/>
    <col min="3" max="3" width="18.88671875" style="384" customWidth="1"/>
    <col min="4" max="4" width="36.6640625" style="384" customWidth="1"/>
    <col min="5" max="5" width="8.44140625" style="384" customWidth="1"/>
    <col min="6" max="16384" width="9" style="384"/>
  </cols>
  <sheetData>
    <row r="1" spans="1:11" ht="50.1" customHeight="1" x14ac:dyDescent="0.25">
      <c r="A1" s="433" t="s">
        <v>0</v>
      </c>
      <c r="B1" s="433"/>
      <c r="C1" s="433"/>
      <c r="D1" s="433"/>
    </row>
    <row r="2" spans="1:11" ht="35.1" customHeight="1" x14ac:dyDescent="0.25">
      <c r="A2" s="385" t="s">
        <v>1</v>
      </c>
      <c r="B2" s="385" t="s">
        <v>2</v>
      </c>
      <c r="C2" s="385" t="s">
        <v>3</v>
      </c>
      <c r="D2" s="158" t="s">
        <v>4</v>
      </c>
    </row>
    <row r="3" spans="1:11" ht="35.1" customHeight="1" x14ac:dyDescent="0.25">
      <c r="A3" s="386">
        <v>1</v>
      </c>
      <c r="B3" s="387" t="s">
        <v>5</v>
      </c>
      <c r="C3" s="385" t="s">
        <v>6</v>
      </c>
      <c r="D3" s="388" t="s">
        <v>7</v>
      </c>
    </row>
    <row r="4" spans="1:11" ht="35.1" customHeight="1" x14ac:dyDescent="0.25">
      <c r="A4" s="386">
        <v>2</v>
      </c>
      <c r="B4" s="387" t="s">
        <v>8</v>
      </c>
      <c r="C4" s="385" t="s">
        <v>6</v>
      </c>
      <c r="D4" s="389" t="s">
        <v>9</v>
      </c>
    </row>
    <row r="5" spans="1:11" ht="35.1" customHeight="1" x14ac:dyDescent="0.25">
      <c r="A5" s="390"/>
      <c r="B5" s="391"/>
      <c r="C5" s="391"/>
      <c r="D5" s="390"/>
    </row>
    <row r="6" spans="1:11" ht="35.1" customHeight="1" x14ac:dyDescent="0.25">
      <c r="A6" s="390"/>
      <c r="B6" s="391"/>
      <c r="C6" s="391"/>
      <c r="D6" s="390"/>
    </row>
    <row r="7" spans="1:11" ht="35.1" customHeight="1" x14ac:dyDescent="0.25">
      <c r="A7" s="390"/>
      <c r="B7" s="391"/>
      <c r="C7" s="391"/>
      <c r="D7" s="390"/>
    </row>
    <row r="8" spans="1:11" ht="50.1" customHeight="1" x14ac:dyDescent="0.25">
      <c r="A8" s="390"/>
      <c r="B8" s="391"/>
      <c r="C8" s="391"/>
      <c r="D8" s="390"/>
      <c r="G8" s="391"/>
      <c r="H8" s="391"/>
      <c r="I8" s="391"/>
      <c r="J8" s="392"/>
      <c r="K8" s="391"/>
    </row>
    <row r="9" spans="1:11" ht="35.1" customHeight="1" x14ac:dyDescent="0.25">
      <c r="A9" s="390"/>
      <c r="B9" s="391"/>
      <c r="C9" s="391"/>
      <c r="D9" s="390"/>
      <c r="G9" s="391"/>
      <c r="H9" s="434"/>
      <c r="I9" s="434"/>
      <c r="J9" s="392"/>
      <c r="K9" s="391"/>
    </row>
    <row r="10" spans="1:11" ht="35.1" customHeight="1" x14ac:dyDescent="0.25">
      <c r="A10" s="390"/>
      <c r="B10" s="391"/>
      <c r="C10" s="391"/>
      <c r="D10" s="390"/>
      <c r="G10" s="391"/>
      <c r="H10" s="391"/>
      <c r="I10" s="391"/>
      <c r="J10" s="391"/>
      <c r="K10" s="391"/>
    </row>
    <row r="11" spans="1:11" ht="35.1" customHeight="1" x14ac:dyDescent="0.25">
      <c r="A11" s="390"/>
      <c r="B11" s="391"/>
      <c r="C11" s="391"/>
      <c r="D11" s="390"/>
      <c r="G11" s="391"/>
      <c r="H11" s="391"/>
      <c r="I11" s="391"/>
      <c r="J11" s="391"/>
      <c r="K11" s="391"/>
    </row>
    <row r="12" spans="1:11" ht="35.1" customHeight="1" x14ac:dyDescent="0.25">
      <c r="A12" s="390"/>
      <c r="B12" s="391"/>
      <c r="C12" s="391"/>
      <c r="D12" s="390"/>
    </row>
    <row r="13" spans="1:11" ht="35.1" customHeight="1" x14ac:dyDescent="0.25">
      <c r="A13" s="390"/>
      <c r="B13" s="391"/>
      <c r="C13" s="391"/>
      <c r="D13" s="390"/>
    </row>
  </sheetData>
  <mergeCells count="2">
    <mergeCell ref="A1:D1"/>
    <mergeCell ref="H9:I9"/>
  </mergeCells>
  <phoneticPr fontId="51" type="noConversion"/>
  <conditionalFormatting sqref="N27:N28">
    <cfRule type="cellIs" dxfId="267" priority="2" stopIfTrue="1" operator="equal">
      <formula>"Yes"</formula>
    </cfRule>
    <cfRule type="cellIs" dxfId="266" priority="3" stopIfTrue="1" operator="equal">
      <formula>"No"</formula>
    </cfRule>
    <cfRule type="cellIs" dxfId="265" priority="4" stopIfTrue="1" operator="equal">
      <formula>"Y"</formula>
    </cfRule>
    <cfRule type="cellIs" dxfId="264" priority="5" stopIfTrue="1" operator="equal">
      <formula>"DEL"</formula>
    </cfRule>
    <cfRule type="cellIs" dxfId="263" priority="6" stopIfTrue="1" operator="equal">
      <formula>"N/A"</formula>
    </cfRule>
    <cfRule type="cellIs" dxfId="262" priority="7" stopIfTrue="1" operator="equal">
      <formula>"TBD"</formula>
    </cfRule>
  </conditionalFormatting>
  <conditionalFormatting sqref="I19:I22 P19:P22">
    <cfRule type="containsText" dxfId="261" priority="1" operator="containsText" text=" ">
      <formula>NOT(ISERROR(SEARCH(" ",I19)))</formula>
    </cfRule>
  </conditionalFormatting>
  <printOptions horizontalCentered="1"/>
  <pageMargins left="0.59027777777777801" right="0.59027777777777801" top="0.98402777777777795" bottom="0.98402777777777795" header="0.51180555555555596" footer="0.51180555555555596"/>
  <pageSetup paperSize="8" scale="10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Q165"/>
  <sheetViews>
    <sheetView tabSelected="1" view="pageBreakPreview" zoomScale="55" zoomScaleNormal="100" zoomScaleSheetLayoutView="55" workbookViewId="0">
      <pane xSplit="27" ySplit="8" topLeftCell="AL87" activePane="bottomRight" state="frozen"/>
      <selection pane="topRight"/>
      <selection pane="bottomLeft"/>
      <selection pane="bottomRight" activeCell="BM72" sqref="BM72:BN72"/>
    </sheetView>
  </sheetViews>
  <sheetFormatPr defaultColWidth="9" defaultRowHeight="15.6" outlineLevelRow="1" outlineLevelCol="1" x14ac:dyDescent="0.25"/>
  <cols>
    <col min="1" max="9" width="2.109375" style="139" customWidth="1"/>
    <col min="10" max="11" width="2.6640625" style="139" hidden="1" customWidth="1"/>
    <col min="12" max="12" width="15" style="139" customWidth="1"/>
    <col min="13" max="13" width="13.33203125" style="140" customWidth="1"/>
    <col min="14" max="14" width="15.6640625" style="141" customWidth="1"/>
    <col min="15" max="15" width="10.77734375" style="141" customWidth="1"/>
    <col min="16" max="16" width="4.88671875" style="139" hidden="1" customWidth="1" outlineLevel="1"/>
    <col min="17" max="17" width="5.21875" style="139" hidden="1" customWidth="1" outlineLevel="1"/>
    <col min="18" max="18" width="7.33203125" style="142" customWidth="1" collapsed="1"/>
    <col min="19" max="19" width="6.109375" style="143" hidden="1" customWidth="1" outlineLevel="1"/>
    <col min="20" max="20" width="14.77734375" style="140" hidden="1" customWidth="1" outlineLevel="1"/>
    <col min="21" max="21" width="5.77734375" style="140" hidden="1" customWidth="1" outlineLevel="1"/>
    <col min="22" max="22" width="8.33203125" style="143" hidden="1" customWidth="1" outlineLevel="1"/>
    <col min="23" max="23" width="7.6640625" style="143" hidden="1" customWidth="1" outlineLevel="1"/>
    <col min="24" max="24" width="10.21875" style="143" customWidth="1" collapsed="1"/>
    <col min="25" max="25" width="11.109375" style="143" customWidth="1"/>
    <col min="26" max="26" width="11.6640625" style="144" hidden="1" customWidth="1" outlineLevel="1"/>
    <col min="27" max="27" width="10.21875" style="139" hidden="1" customWidth="1" outlineLevel="1"/>
    <col min="28" max="28" width="9.77734375" style="145" customWidth="1" collapsed="1"/>
    <col min="29" max="29" width="5.88671875" style="139" customWidth="1"/>
    <col min="30" max="30" width="7.88671875" style="139" customWidth="1"/>
    <col min="31" max="31" width="12" style="139" customWidth="1"/>
    <col min="32" max="40" width="8.6640625" style="139" customWidth="1"/>
    <col min="41" max="41" width="8.6640625" style="139" hidden="1" customWidth="1"/>
    <col min="42" max="42" width="9.21875" style="139" customWidth="1"/>
    <col min="43" max="43" width="9" style="139" customWidth="1"/>
    <col min="44" max="44" width="13.109375" style="146" customWidth="1"/>
    <col min="45" max="45" width="7.44140625" style="147" customWidth="1"/>
    <col min="46" max="46" width="9.88671875" style="403" customWidth="1"/>
    <col min="47" max="47" width="10.77734375" style="147" customWidth="1"/>
    <col min="48" max="48" width="10.6640625" style="415" customWidth="1"/>
    <col min="49" max="49" width="10.88671875" style="147" customWidth="1"/>
    <col min="50" max="50" width="8.6640625" style="148" customWidth="1"/>
    <col min="51" max="51" width="11.6640625" style="137" customWidth="1"/>
    <col min="52" max="53" width="8.6640625" style="139" hidden="1" customWidth="1"/>
    <col min="54" max="54" width="10" style="149" hidden="1" customWidth="1"/>
    <col min="55" max="55" width="11" style="149" hidden="1" customWidth="1"/>
    <col min="56" max="56" width="8.77734375" style="139" hidden="1" customWidth="1"/>
    <col min="57" max="59" width="10.6640625" style="139" hidden="1" customWidth="1"/>
    <col min="60" max="61" width="10.88671875" style="139" hidden="1" customWidth="1"/>
    <col min="62" max="62" width="12.6640625" style="139" customWidth="1"/>
    <col min="63" max="63" width="9" style="139"/>
    <col min="64" max="65" width="16.44140625" style="139" customWidth="1"/>
    <col min="66" max="66" width="27.44140625" style="139" customWidth="1"/>
    <col min="67" max="67" width="16.44140625" style="139" customWidth="1"/>
    <col min="68" max="68" width="9.33203125" style="139" customWidth="1"/>
    <col min="69" max="69" width="11.88671875" style="139" customWidth="1"/>
    <col min="70" max="16384" width="9" style="139"/>
  </cols>
  <sheetData>
    <row r="1" spans="1:67" ht="38.25" hidden="1" customHeight="1" outlineLevel="1" x14ac:dyDescent="0.25">
      <c r="A1" s="441" t="s">
        <v>10</v>
      </c>
      <c r="B1" s="441"/>
      <c r="C1" s="441"/>
      <c r="D1" s="441"/>
      <c r="E1" s="441"/>
      <c r="F1" s="441" t="s">
        <v>11</v>
      </c>
      <c r="G1" s="441"/>
      <c r="H1" s="441"/>
      <c r="I1" s="441"/>
      <c r="J1" s="441"/>
      <c r="K1" s="441"/>
      <c r="L1" s="166"/>
      <c r="M1" s="442" t="s">
        <v>12</v>
      </c>
      <c r="N1" s="442"/>
      <c r="O1" s="504" t="s">
        <v>13</v>
      </c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5"/>
      <c r="AA1" s="504"/>
      <c r="AB1" s="506"/>
      <c r="AC1" s="507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78"/>
      <c r="AS1" s="279"/>
      <c r="AT1" s="394"/>
      <c r="AU1" s="279"/>
      <c r="AV1" s="404"/>
      <c r="AW1" s="279"/>
      <c r="AX1" s="312"/>
      <c r="AY1" s="313" t="s">
        <v>2</v>
      </c>
      <c r="AZ1" s="314" t="e">
        <f>#REF!</f>
        <v>#REF!</v>
      </c>
      <c r="BA1" s="315" t="e">
        <f>#REF!</f>
        <v>#REF!</v>
      </c>
      <c r="BB1" s="316"/>
      <c r="BC1" s="316"/>
      <c r="BD1" s="315"/>
      <c r="BE1" s="315"/>
      <c r="BF1" s="315"/>
      <c r="BG1" s="315"/>
    </row>
    <row r="2" spans="1:67" ht="34.5" hidden="1" customHeight="1" outlineLevel="1" x14ac:dyDescent="0.25">
      <c r="A2" s="441" t="s">
        <v>14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3"/>
      <c r="M2" s="444"/>
      <c r="N2" s="44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5"/>
      <c r="AA2" s="504"/>
      <c r="AB2" s="506"/>
      <c r="AC2" s="504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80"/>
      <c r="AS2" s="281"/>
      <c r="AT2" s="395"/>
      <c r="AU2" s="281"/>
      <c r="AV2" s="405"/>
      <c r="AW2" s="281"/>
      <c r="AX2" s="317"/>
      <c r="AY2" s="151" t="s">
        <v>15</v>
      </c>
      <c r="AZ2" s="318" t="s">
        <v>6</v>
      </c>
      <c r="BA2" s="318" t="s">
        <v>6</v>
      </c>
      <c r="BB2" s="319"/>
      <c r="BC2" s="319"/>
      <c r="BD2" s="318"/>
      <c r="BE2" s="318"/>
      <c r="BF2" s="318"/>
      <c r="BG2" s="318"/>
    </row>
    <row r="3" spans="1:67" ht="35.25" hidden="1" customHeight="1" outlineLevel="1" x14ac:dyDescent="0.25">
      <c r="A3" s="445" t="s">
        <v>16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168"/>
      <c r="M3" s="442" t="s">
        <v>17</v>
      </c>
      <c r="N3" s="442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5"/>
      <c r="AA3" s="504"/>
      <c r="AB3" s="506"/>
      <c r="AC3" s="504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282"/>
      <c r="AS3" s="283"/>
      <c r="AT3" s="396"/>
      <c r="AU3" s="283"/>
      <c r="AV3" s="406"/>
      <c r="AW3" s="283"/>
      <c r="AX3" s="320"/>
      <c r="AY3" s="151" t="s">
        <v>18</v>
      </c>
      <c r="AZ3" s="318" t="s">
        <v>19</v>
      </c>
      <c r="BA3" s="318" t="s">
        <v>20</v>
      </c>
      <c r="BB3" s="319"/>
      <c r="BC3" s="319"/>
      <c r="BD3" s="318"/>
      <c r="BE3" s="318"/>
      <c r="BF3" s="318"/>
      <c r="BG3" s="318"/>
    </row>
    <row r="4" spans="1:67" ht="49.5" hidden="1" customHeight="1" outlineLevel="1" x14ac:dyDescent="0.25">
      <c r="A4" s="445" t="s">
        <v>21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50"/>
      <c r="M4" s="442"/>
      <c r="N4" s="442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5"/>
      <c r="AA4" s="504"/>
      <c r="AB4" s="506"/>
      <c r="AC4" s="504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282"/>
      <c r="AS4" s="283"/>
      <c r="AT4" s="396"/>
      <c r="AU4" s="283"/>
      <c r="AV4" s="406"/>
      <c r="AW4" s="283"/>
      <c r="AX4" s="320"/>
      <c r="AY4" s="151" t="s">
        <v>22</v>
      </c>
      <c r="AZ4" s="321"/>
      <c r="BA4" s="321"/>
      <c r="BB4" s="322"/>
      <c r="BC4" s="322"/>
      <c r="BD4" s="321"/>
      <c r="BE4" s="321"/>
      <c r="BF4" s="321"/>
      <c r="BG4" s="321"/>
    </row>
    <row r="5" spans="1:67" ht="39.75" hidden="1" customHeight="1" outlineLevel="1" x14ac:dyDescent="0.25">
      <c r="A5" s="501" t="s">
        <v>23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2"/>
      <c r="M5" s="503"/>
      <c r="N5" s="503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5"/>
      <c r="AA5" s="504"/>
      <c r="AB5" s="506"/>
      <c r="AC5" s="504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282"/>
      <c r="AS5" s="283"/>
      <c r="AT5" s="396"/>
      <c r="AU5" s="283"/>
      <c r="AV5" s="406"/>
      <c r="AW5" s="283"/>
      <c r="AX5" s="320"/>
      <c r="AY5" s="159" t="s">
        <v>24</v>
      </c>
      <c r="AZ5" s="159" t="e">
        <f>#REF!</f>
        <v>#REF!</v>
      </c>
      <c r="BA5" s="323" t="e">
        <f>#REF!</f>
        <v>#REF!</v>
      </c>
      <c r="BB5" s="324"/>
      <c r="BC5" s="324"/>
      <c r="BD5" s="323"/>
      <c r="BE5" s="323"/>
      <c r="BF5" s="323"/>
      <c r="BG5" s="323"/>
    </row>
    <row r="6" spans="1:67" ht="72" hidden="1" customHeight="1" outlineLevel="1" x14ac:dyDescent="0.25">
      <c r="A6" s="501"/>
      <c r="B6" s="501"/>
      <c r="C6" s="501"/>
      <c r="D6" s="501"/>
      <c r="E6" s="501"/>
      <c r="F6" s="501"/>
      <c r="G6" s="501"/>
      <c r="H6" s="501"/>
      <c r="I6" s="501"/>
      <c r="J6" s="501"/>
      <c r="K6" s="501"/>
      <c r="L6" s="502"/>
      <c r="M6" s="503"/>
      <c r="N6" s="503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5"/>
      <c r="AA6" s="504"/>
      <c r="AB6" s="506"/>
      <c r="AC6" s="504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282"/>
      <c r="AS6" s="283"/>
      <c r="AT6" s="396"/>
      <c r="AU6" s="283"/>
      <c r="AV6" s="406"/>
      <c r="AW6" s="283"/>
      <c r="AX6" s="320"/>
      <c r="AY6" s="159" t="s">
        <v>25</v>
      </c>
      <c r="AZ6" s="159"/>
      <c r="BA6" s="323"/>
      <c r="BB6" s="324"/>
      <c r="BC6" s="324"/>
      <c r="BD6" s="323"/>
      <c r="BE6" s="323"/>
      <c r="BF6" s="323"/>
      <c r="BG6" s="323"/>
    </row>
    <row r="7" spans="1:67" ht="24.9" customHeight="1" collapsed="1" x14ac:dyDescent="0.25">
      <c r="A7" s="455" t="s">
        <v>1</v>
      </c>
      <c r="B7" s="451" t="s">
        <v>26</v>
      </c>
      <c r="C7" s="451"/>
      <c r="D7" s="451"/>
      <c r="E7" s="451"/>
      <c r="F7" s="451"/>
      <c r="G7" s="451"/>
      <c r="H7" s="451"/>
      <c r="I7" s="451"/>
      <c r="J7" s="451"/>
      <c r="K7" s="451"/>
      <c r="L7" s="456" t="s">
        <v>27</v>
      </c>
      <c r="M7" s="458" t="s">
        <v>2</v>
      </c>
      <c r="N7" s="459" t="s">
        <v>15</v>
      </c>
      <c r="O7" s="459" t="s">
        <v>28</v>
      </c>
      <c r="P7" s="451" t="s">
        <v>29</v>
      </c>
      <c r="Q7" s="451" t="s">
        <v>30</v>
      </c>
      <c r="R7" s="451" t="s">
        <v>31</v>
      </c>
      <c r="S7" s="458" t="s">
        <v>32</v>
      </c>
      <c r="T7" s="458" t="s">
        <v>33</v>
      </c>
      <c r="U7" s="458" t="s">
        <v>34</v>
      </c>
      <c r="V7" s="458" t="s">
        <v>35</v>
      </c>
      <c r="W7" s="467" t="s">
        <v>36</v>
      </c>
      <c r="X7" s="467" t="s">
        <v>37</v>
      </c>
      <c r="Y7" s="467" t="s">
        <v>38</v>
      </c>
      <c r="Z7" s="468" t="s">
        <v>39</v>
      </c>
      <c r="AA7" s="451" t="s">
        <v>40</v>
      </c>
      <c r="AB7" s="460" t="s">
        <v>41</v>
      </c>
      <c r="AC7" s="451" t="s">
        <v>42</v>
      </c>
      <c r="AD7" s="461" t="s">
        <v>43</v>
      </c>
      <c r="AE7" s="463" t="s">
        <v>44</v>
      </c>
      <c r="AF7" s="452" t="s">
        <v>45</v>
      </c>
      <c r="AG7" s="452"/>
      <c r="AH7" s="453"/>
      <c r="AI7" s="465" t="s">
        <v>46</v>
      </c>
      <c r="AJ7" s="479" t="s">
        <v>47</v>
      </c>
      <c r="AK7" s="481" t="s">
        <v>48</v>
      </c>
      <c r="AL7" s="465" t="s">
        <v>49</v>
      </c>
      <c r="AM7" s="483" t="s">
        <v>50</v>
      </c>
      <c r="AN7" s="483" t="s">
        <v>51</v>
      </c>
      <c r="AO7" s="469" t="s">
        <v>52</v>
      </c>
      <c r="AP7" s="471" t="s">
        <v>53</v>
      </c>
      <c r="AQ7" s="473" t="s">
        <v>54</v>
      </c>
      <c r="AR7" s="475" t="s">
        <v>55</v>
      </c>
      <c r="AS7" s="477" t="s">
        <v>56</v>
      </c>
      <c r="AT7" s="487" t="s">
        <v>57</v>
      </c>
      <c r="AU7" s="489" t="s">
        <v>58</v>
      </c>
      <c r="AV7" s="491" t="s">
        <v>59</v>
      </c>
      <c r="AW7" s="489" t="s">
        <v>60</v>
      </c>
      <c r="AX7" s="493" t="s">
        <v>61</v>
      </c>
      <c r="AY7" s="484" t="s">
        <v>4</v>
      </c>
      <c r="AZ7" s="456" t="s">
        <v>62</v>
      </c>
      <c r="BA7" s="456" t="s">
        <v>62</v>
      </c>
      <c r="BB7" s="485" t="s">
        <v>63</v>
      </c>
      <c r="BC7" s="485" t="s">
        <v>64</v>
      </c>
      <c r="BD7" s="473" t="s">
        <v>65</v>
      </c>
      <c r="BE7" s="454" t="s">
        <v>66</v>
      </c>
      <c r="BF7" s="454"/>
      <c r="BG7" s="454"/>
      <c r="BI7" s="135"/>
      <c r="BJ7" s="497" t="s">
        <v>67</v>
      </c>
      <c r="BK7" s="519" t="s">
        <v>68</v>
      </c>
      <c r="BL7" s="519" t="s">
        <v>69</v>
      </c>
      <c r="BM7" s="508" t="s">
        <v>692</v>
      </c>
      <c r="BN7" s="508" t="s">
        <v>693</v>
      </c>
      <c r="BO7" s="508" t="s">
        <v>694</v>
      </c>
    </row>
    <row r="8" spans="1:67" s="132" customFormat="1" ht="24.9" customHeight="1" x14ac:dyDescent="0.25">
      <c r="A8" s="455"/>
      <c r="B8" s="152">
        <v>0</v>
      </c>
      <c r="C8" s="152">
        <v>1</v>
      </c>
      <c r="D8" s="152">
        <v>2</v>
      </c>
      <c r="E8" s="152">
        <v>3</v>
      </c>
      <c r="F8" s="152">
        <v>4</v>
      </c>
      <c r="G8" s="152">
        <v>5</v>
      </c>
      <c r="H8" s="152">
        <v>6</v>
      </c>
      <c r="I8" s="152">
        <v>7</v>
      </c>
      <c r="J8" s="152">
        <v>8</v>
      </c>
      <c r="K8" s="171">
        <v>9</v>
      </c>
      <c r="L8" s="457"/>
      <c r="M8" s="458"/>
      <c r="N8" s="459"/>
      <c r="O8" s="459"/>
      <c r="P8" s="451"/>
      <c r="Q8" s="451"/>
      <c r="R8" s="451"/>
      <c r="S8" s="458"/>
      <c r="T8" s="458"/>
      <c r="U8" s="458"/>
      <c r="V8" s="458"/>
      <c r="W8" s="467"/>
      <c r="X8" s="467"/>
      <c r="Y8" s="467"/>
      <c r="Z8" s="468"/>
      <c r="AA8" s="451"/>
      <c r="AB8" s="460"/>
      <c r="AC8" s="451"/>
      <c r="AD8" s="462"/>
      <c r="AE8" s="464"/>
      <c r="AF8" s="213" t="s">
        <v>70</v>
      </c>
      <c r="AG8" s="251" t="s">
        <v>71</v>
      </c>
      <c r="AH8" s="251" t="s">
        <v>72</v>
      </c>
      <c r="AI8" s="466"/>
      <c r="AJ8" s="480"/>
      <c r="AK8" s="482"/>
      <c r="AL8" s="466"/>
      <c r="AM8" s="483"/>
      <c r="AN8" s="483"/>
      <c r="AO8" s="470"/>
      <c r="AP8" s="472"/>
      <c r="AQ8" s="474"/>
      <c r="AR8" s="476"/>
      <c r="AS8" s="478"/>
      <c r="AT8" s="488"/>
      <c r="AU8" s="490"/>
      <c r="AV8" s="492"/>
      <c r="AW8" s="490"/>
      <c r="AX8" s="494"/>
      <c r="AY8" s="484"/>
      <c r="AZ8" s="457"/>
      <c r="BA8" s="457"/>
      <c r="BB8" s="486"/>
      <c r="BC8" s="486"/>
      <c r="BD8" s="474"/>
      <c r="BE8" s="341" t="s">
        <v>73</v>
      </c>
      <c r="BF8" s="341" t="s">
        <v>74</v>
      </c>
      <c r="BG8" s="341" t="s">
        <v>75</v>
      </c>
      <c r="BJ8" s="497"/>
      <c r="BK8" s="519"/>
      <c r="BL8" s="519"/>
      <c r="BM8" s="508"/>
      <c r="BN8" s="508"/>
      <c r="BO8" s="508"/>
    </row>
    <row r="9" spans="1:67" s="133" customFormat="1" ht="39.9" customHeight="1" x14ac:dyDescent="0.25">
      <c r="A9" s="150">
        <v>28</v>
      </c>
      <c r="B9" s="153"/>
      <c r="C9" s="154"/>
      <c r="D9" s="154"/>
      <c r="E9" s="155">
        <v>3</v>
      </c>
      <c r="F9" s="155"/>
      <c r="G9" s="154"/>
      <c r="H9" s="154"/>
      <c r="I9" s="154"/>
      <c r="J9" s="172"/>
      <c r="K9" s="172"/>
      <c r="L9" s="172" t="s">
        <v>76</v>
      </c>
      <c r="M9" s="173" t="s">
        <v>695</v>
      </c>
      <c r="N9" s="174" t="s">
        <v>77</v>
      </c>
      <c r="O9" s="175" t="s">
        <v>78</v>
      </c>
      <c r="P9" s="158"/>
      <c r="Q9" s="159" t="s">
        <v>79</v>
      </c>
      <c r="R9" s="199"/>
      <c r="S9" s="169" t="s">
        <v>80</v>
      </c>
      <c r="T9" s="173" t="s">
        <v>81</v>
      </c>
      <c r="U9" s="169" t="s">
        <v>82</v>
      </c>
      <c r="V9" s="169" t="s">
        <v>83</v>
      </c>
      <c r="W9" s="169" t="s">
        <v>84</v>
      </c>
      <c r="X9" s="155" t="s">
        <v>85</v>
      </c>
      <c r="Y9" s="154" t="s">
        <v>86</v>
      </c>
      <c r="Z9" s="197" t="s">
        <v>82</v>
      </c>
      <c r="AA9" s="197" t="s">
        <v>82</v>
      </c>
      <c r="AB9" s="214">
        <f>AB10+AB11*AZ11</f>
        <v>0.17</v>
      </c>
      <c r="AC9" s="169" t="s">
        <v>82</v>
      </c>
      <c r="AD9" s="215" t="s">
        <v>87</v>
      </c>
      <c r="AE9" s="215"/>
      <c r="AF9" s="216"/>
      <c r="AG9" s="216"/>
      <c r="AH9" s="216"/>
      <c r="AI9" s="252"/>
      <c r="AJ9" s="253"/>
      <c r="AK9" s="216">
        <v>4</v>
      </c>
      <c r="AL9" s="252"/>
      <c r="AM9" s="254" t="s">
        <v>88</v>
      </c>
      <c r="AN9" s="254" t="s">
        <v>89</v>
      </c>
      <c r="AO9" s="254"/>
      <c r="AP9" s="254">
        <v>0.158</v>
      </c>
      <c r="AQ9" s="284"/>
      <c r="AR9" s="285">
        <f>AR10+AR11*2</f>
        <v>1.2331876325000002</v>
      </c>
      <c r="AS9" s="286">
        <v>1.2</v>
      </c>
      <c r="AT9" s="397">
        <f>AR9*AS9</f>
        <v>1.4798251590000002</v>
      </c>
      <c r="AU9" s="287">
        <f t="shared" ref="AU9:AU22" si="0">AV9/AP9</f>
        <v>14.748101265822784</v>
      </c>
      <c r="AV9" s="407">
        <v>2.3302</v>
      </c>
      <c r="AW9" s="287">
        <f t="shared" ref="AW9:AW22" si="1">AV9-AT9</f>
        <v>0.85037484099999983</v>
      </c>
      <c r="AX9" s="326">
        <f t="shared" ref="AX9:AX22" si="2">AW9/AV9</f>
        <v>0.36493641790404246</v>
      </c>
      <c r="AY9" s="327"/>
      <c r="AZ9" s="328">
        <v>1</v>
      </c>
      <c r="BA9" s="329">
        <v>1</v>
      </c>
      <c r="BB9" s="330">
        <f>AV9*AZ9</f>
        <v>2.3302</v>
      </c>
      <c r="BC9" s="330">
        <f>AV9*BA9</f>
        <v>2.3302</v>
      </c>
      <c r="BD9" s="329"/>
      <c r="BE9" s="329"/>
      <c r="BF9" s="329"/>
      <c r="BG9" s="329"/>
      <c r="BH9" s="343">
        <f t="shared" ref="BH9:BH22" si="3">AV9*BA9</f>
        <v>2.3302</v>
      </c>
      <c r="BI9" s="343">
        <f t="shared" ref="BI9:BI22" si="4">AT9*BA9</f>
        <v>1.4798251590000002</v>
      </c>
      <c r="BJ9" s="496" t="s">
        <v>90</v>
      </c>
      <c r="BK9" s="498" t="s">
        <v>91</v>
      </c>
      <c r="BL9" s="510">
        <v>44666</v>
      </c>
      <c r="BM9" s="521">
        <v>2.3302</v>
      </c>
      <c r="BN9" s="510"/>
      <c r="BO9" s="524" t="s">
        <v>721</v>
      </c>
    </row>
    <row r="10" spans="1:67" s="133" customFormat="1" ht="39.9" customHeight="1" x14ac:dyDescent="0.25">
      <c r="A10" s="150">
        <v>29</v>
      </c>
      <c r="B10" s="153"/>
      <c r="C10" s="154"/>
      <c r="D10" s="154"/>
      <c r="E10" s="155"/>
      <c r="F10" s="154">
        <v>4</v>
      </c>
      <c r="G10" s="154"/>
      <c r="H10" s="154"/>
      <c r="I10" s="154"/>
      <c r="J10" s="172"/>
      <c r="K10" s="172"/>
      <c r="L10" s="172"/>
      <c r="M10" s="173" t="s">
        <v>92</v>
      </c>
      <c r="N10" s="174" t="s">
        <v>696</v>
      </c>
      <c r="O10" s="175" t="s">
        <v>78</v>
      </c>
      <c r="P10" s="158"/>
      <c r="Q10" s="159" t="s">
        <v>79</v>
      </c>
      <c r="R10" s="199"/>
      <c r="S10" s="169" t="s">
        <v>80</v>
      </c>
      <c r="T10" s="173" t="s">
        <v>81</v>
      </c>
      <c r="U10" s="169" t="s">
        <v>82</v>
      </c>
      <c r="V10" s="169" t="s">
        <v>83</v>
      </c>
      <c r="W10" s="169" t="s">
        <v>84</v>
      </c>
      <c r="X10" s="159" t="s">
        <v>93</v>
      </c>
      <c r="Y10" s="154" t="s">
        <v>94</v>
      </c>
      <c r="Z10" s="197" t="s">
        <v>95</v>
      </c>
      <c r="AA10" s="217" t="s">
        <v>96</v>
      </c>
      <c r="AB10" s="214">
        <v>0.156</v>
      </c>
      <c r="AC10" s="169" t="s">
        <v>82</v>
      </c>
      <c r="AD10" s="215" t="s">
        <v>97</v>
      </c>
      <c r="AE10" s="215" t="s">
        <v>98</v>
      </c>
      <c r="AF10" s="216">
        <v>91</v>
      </c>
      <c r="AG10" s="216">
        <v>87.5</v>
      </c>
      <c r="AH10" s="216">
        <v>3</v>
      </c>
      <c r="AI10" s="241">
        <f t="shared" ref="AI10:AI13" si="5">AF10*AG10*AH10*7860/1000000000</f>
        <v>0.18775575</v>
      </c>
      <c r="AJ10" s="255">
        <f>AB10/AI10</f>
        <v>0.83086669782416789</v>
      </c>
      <c r="AK10" s="216"/>
      <c r="AL10" s="252"/>
      <c r="AM10" s="256"/>
      <c r="AN10" s="256"/>
      <c r="AO10" s="288"/>
      <c r="AP10" s="288"/>
      <c r="AQ10" s="289" t="s">
        <v>99</v>
      </c>
      <c r="AR10" s="290">
        <f>AI10*AQ10</f>
        <v>1.1471876325000001</v>
      </c>
      <c r="AS10" s="291"/>
      <c r="AT10" s="398"/>
      <c r="AU10" s="287" t="e">
        <f t="shared" si="0"/>
        <v>#DIV/0!</v>
      </c>
      <c r="AV10" s="408"/>
      <c r="AW10" s="287">
        <f t="shared" si="1"/>
        <v>0</v>
      </c>
      <c r="AX10" s="326" t="e">
        <f t="shared" si="2"/>
        <v>#DIV/0!</v>
      </c>
      <c r="AY10" s="327"/>
      <c r="AZ10" s="328">
        <v>1</v>
      </c>
      <c r="BA10" s="329">
        <v>1</v>
      </c>
      <c r="BB10" s="330">
        <f t="shared" ref="BB10:BB11" si="6">AV10*AZ10</f>
        <v>0</v>
      </c>
      <c r="BC10" s="330">
        <f t="shared" ref="BC10:BC11" si="7">AV10*BA10</f>
        <v>0</v>
      </c>
      <c r="BD10" s="329"/>
      <c r="BE10" s="329"/>
      <c r="BF10" s="329"/>
      <c r="BG10" s="329"/>
      <c r="BH10" s="343">
        <f t="shared" si="3"/>
        <v>0</v>
      </c>
      <c r="BI10" s="343">
        <f t="shared" si="4"/>
        <v>0</v>
      </c>
      <c r="BJ10" s="496"/>
      <c r="BK10" s="499"/>
      <c r="BL10" s="499"/>
      <c r="BM10" s="522"/>
      <c r="BN10" s="511"/>
      <c r="BO10" s="525"/>
    </row>
    <row r="11" spans="1:67" s="133" customFormat="1" ht="39.9" customHeight="1" x14ac:dyDescent="0.25">
      <c r="A11" s="150">
        <v>30</v>
      </c>
      <c r="B11" s="153"/>
      <c r="C11" s="154"/>
      <c r="D11" s="154"/>
      <c r="E11" s="155"/>
      <c r="F11" s="154">
        <v>4</v>
      </c>
      <c r="G11" s="154"/>
      <c r="H11" s="154"/>
      <c r="I11" s="154"/>
      <c r="J11" s="172"/>
      <c r="K11" s="172"/>
      <c r="L11" s="172"/>
      <c r="M11" s="176" t="s">
        <v>698</v>
      </c>
      <c r="N11" s="174" t="s">
        <v>697</v>
      </c>
      <c r="O11" s="175" t="s">
        <v>102</v>
      </c>
      <c r="P11" s="158"/>
      <c r="Q11" s="159" t="s">
        <v>79</v>
      </c>
      <c r="R11" s="199"/>
      <c r="S11" s="169" t="s">
        <v>80</v>
      </c>
      <c r="T11" s="173" t="s">
        <v>81</v>
      </c>
      <c r="U11" s="169" t="s">
        <v>82</v>
      </c>
      <c r="V11" s="200" t="s">
        <v>83</v>
      </c>
      <c r="W11" s="200" t="s">
        <v>84</v>
      </c>
      <c r="X11" s="153" t="s">
        <v>103</v>
      </c>
      <c r="Y11" s="173" t="s">
        <v>104</v>
      </c>
      <c r="Z11" s="218" t="s">
        <v>82</v>
      </c>
      <c r="AA11" s="197" t="s">
        <v>82</v>
      </c>
      <c r="AB11" s="214">
        <v>7.0000000000000001E-3</v>
      </c>
      <c r="AC11" s="169" t="s">
        <v>82</v>
      </c>
      <c r="AD11" s="215"/>
      <c r="AE11" s="215"/>
      <c r="AF11" s="216"/>
      <c r="AG11" s="216"/>
      <c r="AH11" s="216"/>
      <c r="AI11" s="252"/>
      <c r="AJ11" s="253"/>
      <c r="AK11" s="216"/>
      <c r="AL11" s="252"/>
      <c r="AM11" s="256"/>
      <c r="AN11" s="256"/>
      <c r="AO11" s="288"/>
      <c r="AP11" s="288"/>
      <c r="AQ11" s="289"/>
      <c r="AR11" s="290">
        <v>4.2999999999999997E-2</v>
      </c>
      <c r="AS11" s="291"/>
      <c r="AT11" s="398"/>
      <c r="AU11" s="287" t="e">
        <f t="shared" si="0"/>
        <v>#DIV/0!</v>
      </c>
      <c r="AV11" s="408"/>
      <c r="AW11" s="287">
        <f t="shared" si="1"/>
        <v>0</v>
      </c>
      <c r="AX11" s="326" t="e">
        <f t="shared" si="2"/>
        <v>#DIV/0!</v>
      </c>
      <c r="AY11" s="327"/>
      <c r="AZ11" s="328">
        <v>2</v>
      </c>
      <c r="BA11" s="329">
        <v>2</v>
      </c>
      <c r="BB11" s="330">
        <f t="shared" si="6"/>
        <v>0</v>
      </c>
      <c r="BC11" s="330">
        <f t="shared" si="7"/>
        <v>0</v>
      </c>
      <c r="BD11" s="329"/>
      <c r="BE11" s="329"/>
      <c r="BF11" s="329"/>
      <c r="BG11" s="329"/>
      <c r="BH11" s="343">
        <f t="shared" si="3"/>
        <v>0</v>
      </c>
      <c r="BI11" s="343">
        <f t="shared" si="4"/>
        <v>0</v>
      </c>
      <c r="BJ11" s="496"/>
      <c r="BK11" s="500"/>
      <c r="BL11" s="500"/>
      <c r="BM11" s="523"/>
      <c r="BN11" s="512"/>
      <c r="BO11" s="526"/>
    </row>
    <row r="12" spans="1:67" ht="39.9" customHeight="1" x14ac:dyDescent="0.25">
      <c r="A12" s="150">
        <v>31</v>
      </c>
      <c r="B12" s="156"/>
      <c r="C12" s="156"/>
      <c r="D12" s="156"/>
      <c r="E12" s="156">
        <v>3</v>
      </c>
      <c r="F12" s="156"/>
      <c r="G12" s="156"/>
      <c r="H12" s="156"/>
      <c r="I12" s="156"/>
      <c r="J12" s="177"/>
      <c r="K12" s="177"/>
      <c r="L12" s="178" t="s">
        <v>105</v>
      </c>
      <c r="M12" s="179" t="s">
        <v>106</v>
      </c>
      <c r="N12" s="180" t="s">
        <v>107</v>
      </c>
      <c r="O12" s="181" t="s">
        <v>108</v>
      </c>
      <c r="P12" s="158"/>
      <c r="Q12" s="159" t="s">
        <v>79</v>
      </c>
      <c r="R12" s="177"/>
      <c r="S12" s="169" t="s">
        <v>80</v>
      </c>
      <c r="T12" s="173" t="s">
        <v>81</v>
      </c>
      <c r="U12" s="173" t="s">
        <v>82</v>
      </c>
      <c r="V12" s="169" t="s">
        <v>84</v>
      </c>
      <c r="W12" s="169" t="s">
        <v>84</v>
      </c>
      <c r="X12" s="159" t="s">
        <v>109</v>
      </c>
      <c r="Y12" s="219" t="s">
        <v>110</v>
      </c>
      <c r="Z12" s="220" t="s">
        <v>111</v>
      </c>
      <c r="AA12" s="197" t="s">
        <v>82</v>
      </c>
      <c r="AB12" s="221">
        <v>5.1799999999999999E-2</v>
      </c>
      <c r="AC12" s="151" t="s">
        <v>82</v>
      </c>
      <c r="AD12" s="215" t="s">
        <v>97</v>
      </c>
      <c r="AE12" s="222" t="s">
        <v>112</v>
      </c>
      <c r="AF12" s="223">
        <f>77+5</f>
        <v>82</v>
      </c>
      <c r="AG12" s="223">
        <f>50+2</f>
        <v>52</v>
      </c>
      <c r="AH12" s="223">
        <v>2</v>
      </c>
      <c r="AI12" s="241">
        <f t="shared" si="5"/>
        <v>6.7030080000000006E-2</v>
      </c>
      <c r="AJ12" s="255">
        <f>AB12/AI12</f>
        <v>0.77278738142636849</v>
      </c>
      <c r="AK12" s="257"/>
      <c r="AL12" s="258"/>
      <c r="AM12" s="259" t="s">
        <v>88</v>
      </c>
      <c r="AN12" s="259" t="s">
        <v>113</v>
      </c>
      <c r="AO12" s="259"/>
      <c r="AP12" s="259"/>
      <c r="AQ12" s="292">
        <v>6.5</v>
      </c>
      <c r="AR12" s="293">
        <f>AI12*AQ12</f>
        <v>0.43569552000000006</v>
      </c>
      <c r="AS12" s="294">
        <v>1.3</v>
      </c>
      <c r="AT12" s="399">
        <f>AR12*AS12</f>
        <v>0.56640417600000015</v>
      </c>
      <c r="AU12" s="287" t="e">
        <f t="shared" si="0"/>
        <v>#DIV/0!</v>
      </c>
      <c r="AV12" s="409">
        <v>0.75382000000000005</v>
      </c>
      <c r="AW12" s="287">
        <f t="shared" si="1"/>
        <v>0.1874158239999999</v>
      </c>
      <c r="AX12" s="326">
        <f t="shared" si="2"/>
        <v>0.24862145339736261</v>
      </c>
      <c r="AY12" s="331"/>
      <c r="AZ12" s="328">
        <v>1</v>
      </c>
      <c r="BA12" s="329">
        <v>1</v>
      </c>
      <c r="BB12" s="330">
        <f>AV12*AZ12</f>
        <v>0.75382000000000005</v>
      </c>
      <c r="BC12" s="330">
        <f>AV12*BA12</f>
        <v>0.75382000000000005</v>
      </c>
      <c r="BD12" s="329"/>
      <c r="BE12" s="329"/>
      <c r="BF12" s="329"/>
      <c r="BG12" s="329"/>
      <c r="BH12" s="343">
        <f t="shared" si="3"/>
        <v>0.75382000000000005</v>
      </c>
      <c r="BI12" s="343">
        <f t="shared" si="4"/>
        <v>0.56640417600000015</v>
      </c>
      <c r="BJ12" s="344" t="s">
        <v>90</v>
      </c>
      <c r="BK12" s="446" t="s">
        <v>114</v>
      </c>
      <c r="BL12" s="435">
        <v>44666</v>
      </c>
      <c r="BM12" s="448">
        <v>0.75382000000000005</v>
      </c>
      <c r="BN12" s="435" t="s">
        <v>722</v>
      </c>
      <c r="BO12" s="435" t="s">
        <v>723</v>
      </c>
    </row>
    <row r="13" spans="1:67" ht="39.9" customHeight="1" x14ac:dyDescent="0.25">
      <c r="A13" s="150">
        <v>32</v>
      </c>
      <c r="B13" s="156"/>
      <c r="C13" s="156"/>
      <c r="D13" s="156"/>
      <c r="E13" s="156">
        <v>3</v>
      </c>
      <c r="F13" s="156"/>
      <c r="G13" s="156"/>
      <c r="H13" s="156"/>
      <c r="I13" s="156"/>
      <c r="J13" s="177"/>
      <c r="K13" s="177"/>
      <c r="L13" s="178" t="s">
        <v>115</v>
      </c>
      <c r="M13" s="179" t="s">
        <v>116</v>
      </c>
      <c r="N13" s="180" t="s">
        <v>117</v>
      </c>
      <c r="O13" s="181" t="s">
        <v>108</v>
      </c>
      <c r="P13" s="158"/>
      <c r="Q13" s="159" t="s">
        <v>79</v>
      </c>
      <c r="R13" s="177"/>
      <c r="S13" s="169" t="s">
        <v>80</v>
      </c>
      <c r="T13" s="173" t="s">
        <v>81</v>
      </c>
      <c r="U13" s="173" t="s">
        <v>82</v>
      </c>
      <c r="V13" s="169" t="s">
        <v>84</v>
      </c>
      <c r="W13" s="200" t="s">
        <v>84</v>
      </c>
      <c r="X13" s="159" t="s">
        <v>109</v>
      </c>
      <c r="Y13" s="219" t="s">
        <v>110</v>
      </c>
      <c r="Z13" s="220" t="s">
        <v>111</v>
      </c>
      <c r="AA13" s="197" t="s">
        <v>82</v>
      </c>
      <c r="AB13" s="221">
        <v>5.1799999999999999E-2</v>
      </c>
      <c r="AC13" s="151"/>
      <c r="AD13" s="215" t="s">
        <v>97</v>
      </c>
      <c r="AE13" s="222" t="s">
        <v>112</v>
      </c>
      <c r="AF13" s="223">
        <f>77+5</f>
        <v>82</v>
      </c>
      <c r="AG13" s="223">
        <f>50+2</f>
        <v>52</v>
      </c>
      <c r="AH13" s="223">
        <v>2</v>
      </c>
      <c r="AI13" s="241">
        <f t="shared" si="5"/>
        <v>6.7030080000000006E-2</v>
      </c>
      <c r="AJ13" s="255">
        <f>AB13/AI13</f>
        <v>0.77278738142636849</v>
      </c>
      <c r="AK13" s="257"/>
      <c r="AL13" s="258"/>
      <c r="AM13" s="259" t="s">
        <v>88</v>
      </c>
      <c r="AN13" s="259" t="s">
        <v>113</v>
      </c>
      <c r="AO13" s="259"/>
      <c r="AP13" s="259"/>
      <c r="AQ13" s="292">
        <v>6.5</v>
      </c>
      <c r="AR13" s="293">
        <f>AI13*AQ13</f>
        <v>0.43569552000000006</v>
      </c>
      <c r="AS13" s="294">
        <v>1.3</v>
      </c>
      <c r="AT13" s="399">
        <f>AR13*AS13</f>
        <v>0.56640417600000015</v>
      </c>
      <c r="AU13" s="287" t="e">
        <f t="shared" si="0"/>
        <v>#DIV/0!</v>
      </c>
      <c r="AV13" s="409">
        <v>0.75382000000000005</v>
      </c>
      <c r="AW13" s="287">
        <f t="shared" si="1"/>
        <v>0.1874158239999999</v>
      </c>
      <c r="AX13" s="326">
        <f t="shared" si="2"/>
        <v>0.24862145339736261</v>
      </c>
      <c r="AY13" s="331"/>
      <c r="AZ13" s="328">
        <v>1</v>
      </c>
      <c r="BA13" s="329">
        <v>1</v>
      </c>
      <c r="BB13" s="330">
        <f>AV13*AZ13</f>
        <v>0.75382000000000005</v>
      </c>
      <c r="BC13" s="330">
        <f>AV13*BA13</f>
        <v>0.75382000000000005</v>
      </c>
      <c r="BD13" s="329"/>
      <c r="BE13" s="329"/>
      <c r="BF13" s="329"/>
      <c r="BG13" s="329"/>
      <c r="BH13" s="343">
        <f t="shared" si="3"/>
        <v>0.75382000000000005</v>
      </c>
      <c r="BI13" s="343">
        <f t="shared" si="4"/>
        <v>0.56640417600000015</v>
      </c>
      <c r="BJ13" s="344" t="s">
        <v>90</v>
      </c>
      <c r="BK13" s="447"/>
      <c r="BL13" s="436"/>
      <c r="BM13" s="449"/>
      <c r="BN13" s="436"/>
      <c r="BO13" s="436"/>
    </row>
    <row r="14" spans="1:67" s="134" customFormat="1" ht="39.9" customHeight="1" x14ac:dyDescent="0.25">
      <c r="A14" s="150">
        <v>40</v>
      </c>
      <c r="B14" s="157"/>
      <c r="C14" s="157"/>
      <c r="D14" s="157"/>
      <c r="E14" s="157"/>
      <c r="F14" s="157">
        <v>4</v>
      </c>
      <c r="G14" s="156"/>
      <c r="H14" s="156"/>
      <c r="I14" s="157"/>
      <c r="J14" s="157"/>
      <c r="K14" s="157"/>
      <c r="L14" s="156" t="s">
        <v>118</v>
      </c>
      <c r="M14" s="173" t="s">
        <v>119</v>
      </c>
      <c r="N14" s="157" t="s">
        <v>120</v>
      </c>
      <c r="O14" s="182" t="s">
        <v>78</v>
      </c>
      <c r="P14" s="158" t="s">
        <v>121</v>
      </c>
      <c r="Q14" s="159" t="s">
        <v>79</v>
      </c>
      <c r="R14" s="201"/>
      <c r="S14" s="169" t="s">
        <v>80</v>
      </c>
      <c r="T14" s="173" t="s">
        <v>81</v>
      </c>
      <c r="U14" s="169" t="s">
        <v>82</v>
      </c>
      <c r="V14" s="169" t="s">
        <v>83</v>
      </c>
      <c r="W14" s="169" t="s">
        <v>84</v>
      </c>
      <c r="X14" s="159" t="s">
        <v>93</v>
      </c>
      <c r="Y14" s="156" t="s">
        <v>122</v>
      </c>
      <c r="Z14" s="197" t="s">
        <v>123</v>
      </c>
      <c r="AA14" s="217" t="s">
        <v>124</v>
      </c>
      <c r="AB14" s="214">
        <v>7.85E-2</v>
      </c>
      <c r="AC14" s="151" t="s">
        <v>82</v>
      </c>
      <c r="AD14" s="215" t="s">
        <v>97</v>
      </c>
      <c r="AE14" s="215" t="s">
        <v>125</v>
      </c>
      <c r="AF14" s="216">
        <v>160</v>
      </c>
      <c r="AG14" s="216">
        <v>102</v>
      </c>
      <c r="AH14" s="216">
        <v>1</v>
      </c>
      <c r="AI14" s="241">
        <f t="shared" ref="AI14:AI17" si="8">AF14*AG14*AH14*7860/1000000000</f>
        <v>0.12827520000000001</v>
      </c>
      <c r="AJ14" s="255">
        <f>AB14/AI14</f>
        <v>0.61196552412313521</v>
      </c>
      <c r="AK14" s="230"/>
      <c r="AL14" s="260"/>
      <c r="AM14" s="261" t="s">
        <v>88</v>
      </c>
      <c r="AN14" s="261" t="s">
        <v>113</v>
      </c>
      <c r="AO14" s="261"/>
      <c r="AP14" s="261" t="s">
        <v>126</v>
      </c>
      <c r="AQ14" s="295" t="s">
        <v>127</v>
      </c>
      <c r="AR14" s="296">
        <f>AI14*AQ14</f>
        <v>0.62470022400000003</v>
      </c>
      <c r="AS14" s="297">
        <v>1.1499999999999999</v>
      </c>
      <c r="AT14" s="400">
        <f>AR14*AS14</f>
        <v>0.71840525759999996</v>
      </c>
      <c r="AU14" s="287">
        <f t="shared" si="0"/>
        <v>8.0028000000000006</v>
      </c>
      <c r="AV14" s="410">
        <v>0.60021000000000002</v>
      </c>
      <c r="AW14" s="287">
        <f t="shared" si="1"/>
        <v>-0.11819525759999994</v>
      </c>
      <c r="AX14" s="326">
        <f t="shared" si="2"/>
        <v>-0.19692317288948857</v>
      </c>
      <c r="AY14" s="331"/>
      <c r="AZ14" s="325">
        <v>1</v>
      </c>
      <c r="BA14" s="332">
        <v>1</v>
      </c>
      <c r="BB14" s="330">
        <f t="shared" ref="BB14:BB19" si="9">AV14*AZ14</f>
        <v>0.60021000000000002</v>
      </c>
      <c r="BC14" s="330">
        <f t="shared" ref="BC14:BC19" si="10">AV14*BA14</f>
        <v>0.60021000000000002</v>
      </c>
      <c r="BD14" s="332"/>
      <c r="BE14" s="332"/>
      <c r="BF14" s="332"/>
      <c r="BG14" s="332"/>
      <c r="BH14" s="343">
        <f t="shared" si="3"/>
        <v>0.60021000000000002</v>
      </c>
      <c r="BI14" s="343">
        <f t="shared" si="4"/>
        <v>0.71840525759999996</v>
      </c>
      <c r="BJ14" s="346" t="s">
        <v>90</v>
      </c>
      <c r="BK14" s="342" t="s">
        <v>114</v>
      </c>
      <c r="BL14" s="345">
        <v>44666</v>
      </c>
      <c r="BM14" s="345"/>
      <c r="BN14" s="345"/>
      <c r="BO14" s="345" t="s">
        <v>724</v>
      </c>
    </row>
    <row r="15" spans="1:67" s="134" customFormat="1" ht="96.6" customHeight="1" x14ac:dyDescent="0.25">
      <c r="A15" s="150">
        <v>41</v>
      </c>
      <c r="B15" s="157"/>
      <c r="C15" s="157"/>
      <c r="D15" s="157"/>
      <c r="E15" s="157"/>
      <c r="F15" s="157">
        <v>4</v>
      </c>
      <c r="G15" s="156"/>
      <c r="H15" s="156"/>
      <c r="I15" s="157"/>
      <c r="J15" s="157"/>
      <c r="K15" s="157"/>
      <c r="L15" s="179" t="s">
        <v>699</v>
      </c>
      <c r="M15" s="179" t="s">
        <v>128</v>
      </c>
      <c r="N15" s="180" t="s">
        <v>129</v>
      </c>
      <c r="O15" s="181" t="s">
        <v>130</v>
      </c>
      <c r="P15" s="158"/>
      <c r="Q15" s="159" t="s">
        <v>79</v>
      </c>
      <c r="R15" s="201"/>
      <c r="S15" s="169" t="s">
        <v>80</v>
      </c>
      <c r="T15" s="173" t="s">
        <v>81</v>
      </c>
      <c r="U15" s="173" t="s">
        <v>82</v>
      </c>
      <c r="V15" s="169" t="s">
        <v>84</v>
      </c>
      <c r="W15" s="169" t="s">
        <v>83</v>
      </c>
      <c r="X15" s="159" t="s">
        <v>93</v>
      </c>
      <c r="Y15" s="156" t="s">
        <v>131</v>
      </c>
      <c r="Z15" s="173" t="s">
        <v>95</v>
      </c>
      <c r="AA15" s="151" t="s">
        <v>82</v>
      </c>
      <c r="AB15" s="224">
        <v>3.6999999999999998E-2</v>
      </c>
      <c r="AC15" s="151"/>
      <c r="AD15" s="215" t="s">
        <v>97</v>
      </c>
      <c r="AE15" s="215" t="s">
        <v>132</v>
      </c>
      <c r="AF15" s="216">
        <f>240+6</f>
        <v>246</v>
      </c>
      <c r="AG15" s="216">
        <f>12.5</f>
        <v>12.5</v>
      </c>
      <c r="AH15" s="216">
        <v>2</v>
      </c>
      <c r="AI15" s="241">
        <f t="shared" si="8"/>
        <v>4.8339E-2</v>
      </c>
      <c r="AJ15" s="255">
        <f>AB15/AI15</f>
        <v>0.76542750160326023</v>
      </c>
      <c r="AK15" s="230"/>
      <c r="AL15" s="260"/>
      <c r="AM15" s="261" t="s">
        <v>88</v>
      </c>
      <c r="AN15" s="262" t="s">
        <v>753</v>
      </c>
      <c r="AO15" s="298"/>
      <c r="AP15" s="298"/>
      <c r="AQ15" s="299" t="s">
        <v>127</v>
      </c>
      <c r="AR15" s="300">
        <f>AI15*AQ15</f>
        <v>0.23541093000000002</v>
      </c>
      <c r="AS15" s="301">
        <v>1.1000000000000001</v>
      </c>
      <c r="AT15" s="400">
        <f>AR15*AS15</f>
        <v>0.25895202300000003</v>
      </c>
      <c r="AU15" s="287" t="e">
        <f t="shared" si="0"/>
        <v>#DIV/0!</v>
      </c>
      <c r="AV15" s="411">
        <v>0.25895202299999998</v>
      </c>
      <c r="AW15" s="287">
        <f t="shared" si="1"/>
        <v>0</v>
      </c>
      <c r="AX15" s="326">
        <f t="shared" si="2"/>
        <v>0</v>
      </c>
      <c r="AY15" s="327" t="s">
        <v>133</v>
      </c>
      <c r="AZ15" s="333">
        <v>1</v>
      </c>
      <c r="BA15" s="332">
        <v>1</v>
      </c>
      <c r="BB15" s="330">
        <f t="shared" si="9"/>
        <v>0.25895202299999998</v>
      </c>
      <c r="BC15" s="330">
        <f t="shared" si="10"/>
        <v>0.25895202299999998</v>
      </c>
      <c r="BD15" s="332"/>
      <c r="BE15" s="332"/>
      <c r="BF15" s="332"/>
      <c r="BG15" s="332"/>
      <c r="BH15" s="343">
        <f t="shared" si="3"/>
        <v>0.25895202299999998</v>
      </c>
      <c r="BI15" s="343">
        <f t="shared" si="4"/>
        <v>0.25895202300000003</v>
      </c>
      <c r="BJ15" s="347" t="s">
        <v>134</v>
      </c>
      <c r="BK15" s="342" t="s">
        <v>91</v>
      </c>
      <c r="BL15" s="345">
        <v>44666</v>
      </c>
      <c r="BM15" s="416">
        <v>0.5</v>
      </c>
      <c r="BN15" s="345"/>
      <c r="BO15" s="420" t="s">
        <v>716</v>
      </c>
    </row>
    <row r="16" spans="1:67" s="135" customFormat="1" ht="39.9" customHeight="1" x14ac:dyDescent="0.25">
      <c r="A16" s="150">
        <v>42</v>
      </c>
      <c r="B16" s="156"/>
      <c r="C16" s="156"/>
      <c r="D16" s="156"/>
      <c r="E16" s="156">
        <v>3</v>
      </c>
      <c r="F16" s="156"/>
      <c r="G16" s="156"/>
      <c r="H16" s="156"/>
      <c r="I16" s="156"/>
      <c r="J16" s="177"/>
      <c r="K16" s="177"/>
      <c r="L16" s="179" t="s">
        <v>135</v>
      </c>
      <c r="M16" s="179" t="s">
        <v>135</v>
      </c>
      <c r="N16" s="180" t="s">
        <v>136</v>
      </c>
      <c r="O16" s="181" t="s">
        <v>130</v>
      </c>
      <c r="P16" s="158"/>
      <c r="Q16" s="159" t="s">
        <v>79</v>
      </c>
      <c r="R16" s="201"/>
      <c r="S16" s="169"/>
      <c r="T16" s="202" t="s">
        <v>135</v>
      </c>
      <c r="U16" s="173"/>
      <c r="V16" s="169" t="s">
        <v>84</v>
      </c>
      <c r="W16" s="169" t="s">
        <v>83</v>
      </c>
      <c r="X16" s="159" t="s">
        <v>137</v>
      </c>
      <c r="Y16" s="156" t="s">
        <v>138</v>
      </c>
      <c r="Z16" s="197" t="s">
        <v>123</v>
      </c>
      <c r="AA16" s="225" t="s">
        <v>82</v>
      </c>
      <c r="AB16" s="224">
        <v>5.3600000000000002E-2</v>
      </c>
      <c r="AC16" s="151"/>
      <c r="AD16" s="215"/>
      <c r="AE16" s="215"/>
      <c r="AF16" s="216"/>
      <c r="AG16" s="216"/>
      <c r="AH16" s="216"/>
      <c r="AI16" s="241"/>
      <c r="AJ16" s="255"/>
      <c r="AK16" s="230"/>
      <c r="AL16" s="260"/>
      <c r="AM16" s="261" t="s">
        <v>88</v>
      </c>
      <c r="AN16" s="261"/>
      <c r="AO16" s="288"/>
      <c r="AP16" s="288"/>
      <c r="AQ16" s="289"/>
      <c r="AR16" s="290"/>
      <c r="AS16" s="291"/>
      <c r="AT16" s="398">
        <f>8*AB16</f>
        <v>0.42880000000000001</v>
      </c>
      <c r="AU16" s="287" t="e">
        <f t="shared" si="0"/>
        <v>#DIV/0!</v>
      </c>
      <c r="AV16" s="411">
        <v>0.42880000000000001</v>
      </c>
      <c r="AW16" s="287">
        <f t="shared" si="1"/>
        <v>0</v>
      </c>
      <c r="AX16" s="326">
        <f t="shared" si="2"/>
        <v>0</v>
      </c>
      <c r="AY16" s="327" t="s">
        <v>133</v>
      </c>
      <c r="AZ16" s="333">
        <v>2</v>
      </c>
      <c r="BA16" s="334">
        <v>2</v>
      </c>
      <c r="BB16" s="330">
        <f t="shared" si="9"/>
        <v>0.85760000000000003</v>
      </c>
      <c r="BC16" s="330">
        <f t="shared" si="10"/>
        <v>0.85760000000000003</v>
      </c>
      <c r="BD16" s="334"/>
      <c r="BE16" s="334"/>
      <c r="BF16" s="334"/>
      <c r="BG16" s="334"/>
      <c r="BH16" s="343">
        <f t="shared" si="3"/>
        <v>0.85760000000000003</v>
      </c>
      <c r="BI16" s="343">
        <f t="shared" si="4"/>
        <v>0.85760000000000003</v>
      </c>
      <c r="BJ16" s="347" t="s">
        <v>134</v>
      </c>
      <c r="BK16" s="342" t="s">
        <v>91</v>
      </c>
      <c r="BL16" s="345">
        <v>44666</v>
      </c>
      <c r="BM16" s="416">
        <v>0.96</v>
      </c>
      <c r="BN16" s="345" t="s">
        <v>700</v>
      </c>
      <c r="BO16" s="419" t="s">
        <v>717</v>
      </c>
    </row>
    <row r="17" spans="1:67" s="135" customFormat="1" ht="108" customHeight="1" x14ac:dyDescent="0.25">
      <c r="A17" s="150">
        <v>43</v>
      </c>
      <c r="B17" s="156"/>
      <c r="C17" s="156"/>
      <c r="D17" s="156"/>
      <c r="E17" s="156">
        <v>3</v>
      </c>
      <c r="F17" s="156"/>
      <c r="G17" s="156"/>
      <c r="H17" s="156"/>
      <c r="I17" s="156"/>
      <c r="J17" s="177"/>
      <c r="K17" s="177"/>
      <c r="L17" s="179" t="s">
        <v>139</v>
      </c>
      <c r="M17" s="179" t="s">
        <v>139</v>
      </c>
      <c r="N17" s="180" t="s">
        <v>140</v>
      </c>
      <c r="O17" s="181" t="s">
        <v>130</v>
      </c>
      <c r="P17" s="158"/>
      <c r="Q17" s="159" t="s">
        <v>79</v>
      </c>
      <c r="R17" s="201"/>
      <c r="S17" s="169"/>
      <c r="T17" s="202" t="s">
        <v>139</v>
      </c>
      <c r="U17" s="173"/>
      <c r="V17" s="169" t="s">
        <v>84</v>
      </c>
      <c r="W17" s="169" t="s">
        <v>83</v>
      </c>
      <c r="X17" s="159" t="s">
        <v>93</v>
      </c>
      <c r="Y17" s="156" t="s">
        <v>122</v>
      </c>
      <c r="Z17" s="197" t="s">
        <v>123</v>
      </c>
      <c r="AA17" s="225" t="s">
        <v>82</v>
      </c>
      <c r="AB17" s="224">
        <v>5.0000000000000001E-3</v>
      </c>
      <c r="AC17" s="151"/>
      <c r="AD17" s="215" t="s">
        <v>97</v>
      </c>
      <c r="AE17" s="215" t="s">
        <v>141</v>
      </c>
      <c r="AF17" s="216">
        <f>34+5</f>
        <v>39</v>
      </c>
      <c r="AG17" s="216">
        <f>20+2</f>
        <v>22</v>
      </c>
      <c r="AH17" s="216">
        <v>1</v>
      </c>
      <c r="AI17" s="241">
        <f t="shared" si="8"/>
        <v>6.7438799999999998E-3</v>
      </c>
      <c r="AJ17" s="255">
        <f t="shared" ref="AJ17:AJ22" si="11">AB17/AI17</f>
        <v>0.74141295515341321</v>
      </c>
      <c r="AK17" s="230"/>
      <c r="AL17" s="260"/>
      <c r="AM17" s="261" t="s">
        <v>88</v>
      </c>
      <c r="AN17" s="262" t="s">
        <v>753</v>
      </c>
      <c r="AO17" s="288"/>
      <c r="AP17" s="288"/>
      <c r="AQ17" s="289" t="s">
        <v>127</v>
      </c>
      <c r="AR17" s="296">
        <f>AI17*AQ17</f>
        <v>3.2842695599999999E-2</v>
      </c>
      <c r="AS17" s="291">
        <v>1.1000000000000001</v>
      </c>
      <c r="AT17" s="398">
        <f>AR17*AS17</f>
        <v>3.6126965160000003E-2</v>
      </c>
      <c r="AU17" s="287" t="e">
        <f t="shared" si="0"/>
        <v>#DIV/0!</v>
      </c>
      <c r="AV17" s="411">
        <v>3.6126965160000003E-2</v>
      </c>
      <c r="AW17" s="287">
        <f t="shared" si="1"/>
        <v>0</v>
      </c>
      <c r="AX17" s="326">
        <f t="shared" si="2"/>
        <v>0</v>
      </c>
      <c r="AY17" s="327" t="s">
        <v>133</v>
      </c>
      <c r="AZ17" s="333">
        <v>4</v>
      </c>
      <c r="BA17" s="334">
        <v>4</v>
      </c>
      <c r="BB17" s="330">
        <f t="shared" si="9"/>
        <v>0.14450786064000001</v>
      </c>
      <c r="BC17" s="330">
        <f t="shared" si="10"/>
        <v>0.14450786064000001</v>
      </c>
      <c r="BD17" s="334"/>
      <c r="BE17" s="334"/>
      <c r="BF17" s="334"/>
      <c r="BG17" s="334"/>
      <c r="BH17" s="343">
        <f t="shared" si="3"/>
        <v>0.14450786064000001</v>
      </c>
      <c r="BI17" s="343">
        <f t="shared" si="4"/>
        <v>0.14450786064000001</v>
      </c>
      <c r="BJ17" s="347" t="s">
        <v>134</v>
      </c>
      <c r="BK17" s="342" t="s">
        <v>91</v>
      </c>
      <c r="BL17" s="345">
        <v>44666</v>
      </c>
      <c r="BM17" s="342">
        <v>0.3</v>
      </c>
      <c r="BN17" s="345"/>
      <c r="BO17" s="420" t="s">
        <v>716</v>
      </c>
    </row>
    <row r="18" spans="1:67" s="136" customFormat="1" ht="82.2" customHeight="1" x14ac:dyDescent="0.25">
      <c r="A18" s="150">
        <v>44</v>
      </c>
      <c r="B18" s="153"/>
      <c r="C18" s="154"/>
      <c r="D18" s="154"/>
      <c r="E18" s="155">
        <v>3</v>
      </c>
      <c r="F18" s="158"/>
      <c r="G18" s="154"/>
      <c r="H18" s="154"/>
      <c r="I18" s="154"/>
      <c r="J18" s="172"/>
      <c r="K18" s="172"/>
      <c r="L18" s="172" t="s">
        <v>701</v>
      </c>
      <c r="M18" s="176" t="s">
        <v>142</v>
      </c>
      <c r="N18" s="183" t="s">
        <v>143</v>
      </c>
      <c r="O18" s="175" t="s">
        <v>144</v>
      </c>
      <c r="P18" s="155"/>
      <c r="Q18" s="159" t="s">
        <v>79</v>
      </c>
      <c r="R18" s="199"/>
      <c r="S18" s="169" t="s">
        <v>80</v>
      </c>
      <c r="T18" s="173" t="s">
        <v>81</v>
      </c>
      <c r="U18" s="169" t="s">
        <v>82</v>
      </c>
      <c r="V18" s="200" t="s">
        <v>83</v>
      </c>
      <c r="W18" s="200" t="s">
        <v>84</v>
      </c>
      <c r="X18" s="153" t="s">
        <v>145</v>
      </c>
      <c r="Y18" s="154" t="s">
        <v>146</v>
      </c>
      <c r="Z18" s="226" t="s">
        <v>147</v>
      </c>
      <c r="AA18" s="227" t="s">
        <v>148</v>
      </c>
      <c r="AB18" s="214">
        <v>1.8100000000000002E-2</v>
      </c>
      <c r="AC18" s="169" t="s">
        <v>82</v>
      </c>
      <c r="AD18" s="215" t="s">
        <v>149</v>
      </c>
      <c r="AE18" s="215"/>
      <c r="AF18" s="216">
        <v>22</v>
      </c>
      <c r="AG18" s="216">
        <v>12</v>
      </c>
      <c r="AH18" s="216"/>
      <c r="AI18" s="252">
        <f>3.14*AG18/2*AG18/2*AF18*7860/1000000000</f>
        <v>1.9546876799999998E-2</v>
      </c>
      <c r="AJ18" s="253">
        <f t="shared" si="11"/>
        <v>0.92597913135667809</v>
      </c>
      <c r="AK18" s="216"/>
      <c r="AL18" s="252">
        <f>3.14*AG18*AF18/1000000</f>
        <v>8.2896000000000001E-4</v>
      </c>
      <c r="AM18" s="254" t="s">
        <v>88</v>
      </c>
      <c r="AN18" s="254" t="s">
        <v>150</v>
      </c>
      <c r="AO18" s="254"/>
      <c r="AP18" s="302">
        <v>1.83E-2</v>
      </c>
      <c r="AQ18" s="284"/>
      <c r="AR18" s="285"/>
      <c r="AS18" s="286"/>
      <c r="AT18" s="397">
        <f>AB18*20</f>
        <v>0.36200000000000004</v>
      </c>
      <c r="AU18" s="287">
        <f t="shared" si="0"/>
        <v>34.42622950819672</v>
      </c>
      <c r="AV18" s="407">
        <v>0.63</v>
      </c>
      <c r="AW18" s="287">
        <f t="shared" si="1"/>
        <v>0.26799999999999996</v>
      </c>
      <c r="AX18" s="326">
        <f t="shared" si="2"/>
        <v>0.42539682539682533</v>
      </c>
      <c r="AY18" s="328"/>
      <c r="AZ18" s="328">
        <v>1</v>
      </c>
      <c r="BA18" s="332">
        <v>1</v>
      </c>
      <c r="BB18" s="330">
        <f t="shared" si="9"/>
        <v>0.63</v>
      </c>
      <c r="BC18" s="330">
        <f t="shared" si="10"/>
        <v>0.63</v>
      </c>
      <c r="BD18" s="332"/>
      <c r="BE18" s="332"/>
      <c r="BF18" s="332"/>
      <c r="BG18" s="332"/>
      <c r="BH18" s="343">
        <f t="shared" si="3"/>
        <v>0.63</v>
      </c>
      <c r="BI18" s="343">
        <f t="shared" si="4"/>
        <v>0.36200000000000004</v>
      </c>
      <c r="BJ18" s="346" t="s">
        <v>90</v>
      </c>
      <c r="BK18" s="342" t="s">
        <v>91</v>
      </c>
      <c r="BL18" s="345">
        <v>44666</v>
      </c>
      <c r="BM18" s="416" t="s">
        <v>754</v>
      </c>
      <c r="BN18" s="345"/>
      <c r="BO18" s="420" t="s">
        <v>713</v>
      </c>
    </row>
    <row r="19" spans="1:67" s="135" customFormat="1" ht="78.599999999999994" customHeight="1" x14ac:dyDescent="0.25">
      <c r="A19" s="150">
        <v>45</v>
      </c>
      <c r="B19" s="156"/>
      <c r="C19" s="156"/>
      <c r="D19" s="156"/>
      <c r="E19" s="156">
        <v>3</v>
      </c>
      <c r="F19" s="156"/>
      <c r="G19" s="156"/>
      <c r="H19" s="156"/>
      <c r="I19" s="156"/>
      <c r="J19" s="177"/>
      <c r="K19" s="177"/>
      <c r="L19" s="177" t="s">
        <v>702</v>
      </c>
      <c r="M19" s="173" t="s">
        <v>151</v>
      </c>
      <c r="N19" s="157" t="s">
        <v>152</v>
      </c>
      <c r="O19" s="184" t="s">
        <v>153</v>
      </c>
      <c r="P19" s="158"/>
      <c r="Q19" s="159" t="s">
        <v>79</v>
      </c>
      <c r="R19" s="201"/>
      <c r="S19" s="169" t="s">
        <v>80</v>
      </c>
      <c r="T19" s="173" t="s">
        <v>81</v>
      </c>
      <c r="U19" s="173" t="s">
        <v>82</v>
      </c>
      <c r="V19" s="169" t="s">
        <v>83</v>
      </c>
      <c r="W19" s="198" t="s">
        <v>84</v>
      </c>
      <c r="X19" s="159" t="s">
        <v>137</v>
      </c>
      <c r="Y19" s="156" t="s">
        <v>154</v>
      </c>
      <c r="Z19" s="173" t="s">
        <v>123</v>
      </c>
      <c r="AA19" s="173"/>
      <c r="AB19" s="228">
        <v>7.0999999999999994E-2</v>
      </c>
      <c r="AC19" s="151" t="s">
        <v>82</v>
      </c>
      <c r="AD19" s="229" t="s">
        <v>155</v>
      </c>
      <c r="AE19" s="229"/>
      <c r="AF19" s="230">
        <f>AB19/0.2219*1000</f>
        <v>319.96394772420007</v>
      </c>
      <c r="AG19" s="230">
        <v>6</v>
      </c>
      <c r="AH19" s="230"/>
      <c r="AI19" s="263">
        <f>AF19*0.2219/1000</f>
        <v>7.099999999999998E-2</v>
      </c>
      <c r="AJ19" s="264">
        <f t="shared" si="11"/>
        <v>1.0000000000000002</v>
      </c>
      <c r="AK19" s="230"/>
      <c r="AL19" s="260"/>
      <c r="AM19" s="259" t="s">
        <v>88</v>
      </c>
      <c r="AN19" s="259" t="s">
        <v>156</v>
      </c>
      <c r="AO19" s="259"/>
      <c r="AP19" s="259">
        <v>6.9000000000000006E-2</v>
      </c>
      <c r="AQ19" s="292">
        <v>4.87</v>
      </c>
      <c r="AR19" s="296">
        <f>AI19*AQ19</f>
        <v>0.34576999999999991</v>
      </c>
      <c r="AS19" s="294"/>
      <c r="AT19" s="399">
        <f>AB19*8</f>
        <v>0.56799999999999995</v>
      </c>
      <c r="AU19" s="287">
        <f t="shared" si="0"/>
        <v>12.028985507246375</v>
      </c>
      <c r="AV19" s="409">
        <v>0.83</v>
      </c>
      <c r="AW19" s="287">
        <f t="shared" si="1"/>
        <v>0.26200000000000001</v>
      </c>
      <c r="AX19" s="326">
        <f t="shared" si="2"/>
        <v>0.31566265060240967</v>
      </c>
      <c r="AY19" s="325"/>
      <c r="AZ19" s="325">
        <v>1</v>
      </c>
      <c r="BA19" s="332">
        <v>1</v>
      </c>
      <c r="BB19" s="330">
        <f t="shared" si="9"/>
        <v>0.83</v>
      </c>
      <c r="BC19" s="330">
        <f t="shared" si="10"/>
        <v>0.83</v>
      </c>
      <c r="BD19" s="332"/>
      <c r="BE19" s="332"/>
      <c r="BF19" s="332"/>
      <c r="BG19" s="332"/>
      <c r="BH19" s="343">
        <f t="shared" si="3"/>
        <v>0.83</v>
      </c>
      <c r="BI19" s="343">
        <f t="shared" si="4"/>
        <v>0.56799999999999995</v>
      </c>
      <c r="BJ19" s="344" t="s">
        <v>157</v>
      </c>
      <c r="BK19" s="342" t="s">
        <v>91</v>
      </c>
      <c r="BL19" s="345">
        <v>44666</v>
      </c>
      <c r="BM19" s="418">
        <v>0.83</v>
      </c>
      <c r="BN19" s="417"/>
      <c r="BO19" s="419" t="s">
        <v>726</v>
      </c>
    </row>
    <row r="20" spans="1:67" ht="39.9" customHeight="1" x14ac:dyDescent="0.25">
      <c r="A20" s="150">
        <v>49</v>
      </c>
      <c r="B20" s="159"/>
      <c r="C20" s="156"/>
      <c r="D20" s="156"/>
      <c r="E20" s="158"/>
      <c r="F20" s="156">
        <v>4</v>
      </c>
      <c r="G20" s="156"/>
      <c r="H20" s="156"/>
      <c r="I20" s="156"/>
      <c r="J20" s="151"/>
      <c r="K20" s="170"/>
      <c r="L20" s="151" t="s">
        <v>158</v>
      </c>
      <c r="M20" s="173" t="s">
        <v>159</v>
      </c>
      <c r="N20" s="157" t="s">
        <v>160</v>
      </c>
      <c r="O20" s="184" t="s">
        <v>161</v>
      </c>
      <c r="P20" s="158"/>
      <c r="Q20" s="159" t="s">
        <v>79</v>
      </c>
      <c r="R20" s="201"/>
      <c r="S20" s="169" t="s">
        <v>80</v>
      </c>
      <c r="T20" s="173" t="s">
        <v>81</v>
      </c>
      <c r="U20" s="169" t="s">
        <v>82</v>
      </c>
      <c r="V20" s="169" t="s">
        <v>83</v>
      </c>
      <c r="W20" s="169" t="s">
        <v>84</v>
      </c>
      <c r="X20" s="159" t="s">
        <v>93</v>
      </c>
      <c r="Y20" s="156" t="s">
        <v>162</v>
      </c>
      <c r="Z20" s="173" t="s">
        <v>95</v>
      </c>
      <c r="AA20" s="159"/>
      <c r="AB20" s="214">
        <v>0.2944</v>
      </c>
      <c r="AC20" s="151" t="s">
        <v>82</v>
      </c>
      <c r="AD20" s="215" t="s">
        <v>97</v>
      </c>
      <c r="AE20" s="215" t="s">
        <v>163</v>
      </c>
      <c r="AF20" s="230">
        <f>276+7</f>
        <v>283</v>
      </c>
      <c r="AG20" s="230">
        <f>80+3</f>
        <v>83</v>
      </c>
      <c r="AH20" s="230">
        <v>2.5</v>
      </c>
      <c r="AI20" s="241">
        <f>AF20*AG20*AH20*7860/1000000000</f>
        <v>0.46155885000000002</v>
      </c>
      <c r="AJ20" s="255">
        <f t="shared" si="11"/>
        <v>0.63783849015136418</v>
      </c>
      <c r="AK20" s="230"/>
      <c r="AL20" s="260"/>
      <c r="AM20" s="259" t="s">
        <v>88</v>
      </c>
      <c r="AN20" s="259" t="s">
        <v>164</v>
      </c>
      <c r="AO20" s="259"/>
      <c r="AP20" s="259">
        <v>0.28499999999999998</v>
      </c>
      <c r="AQ20" s="292">
        <v>5.15</v>
      </c>
      <c r="AR20" s="293">
        <f>AI20*AQ20</f>
        <v>2.3770280775000003</v>
      </c>
      <c r="AS20" s="294">
        <v>1.2</v>
      </c>
      <c r="AT20" s="399">
        <f>AR20*AS20</f>
        <v>2.8524336930000005</v>
      </c>
      <c r="AU20" s="287">
        <f t="shared" si="0"/>
        <v>11.954666666666668</v>
      </c>
      <c r="AV20" s="409">
        <v>3.4070800000000001</v>
      </c>
      <c r="AW20" s="287">
        <f t="shared" si="1"/>
        <v>0.55464630699999962</v>
      </c>
      <c r="AX20" s="326">
        <f t="shared" si="2"/>
        <v>0.16279227579041278</v>
      </c>
      <c r="AY20" s="331"/>
      <c r="AZ20" s="325">
        <v>1</v>
      </c>
      <c r="BA20" s="332">
        <v>1</v>
      </c>
      <c r="BB20" s="330">
        <f>AV20*AZ20</f>
        <v>3.4070800000000001</v>
      </c>
      <c r="BC20" s="330">
        <f>AV20*BA20</f>
        <v>3.4070800000000001</v>
      </c>
      <c r="BD20" s="332"/>
      <c r="BE20" s="332"/>
      <c r="BF20" s="332"/>
      <c r="BG20" s="332"/>
      <c r="BH20" s="343">
        <f t="shared" si="3"/>
        <v>3.4070800000000001</v>
      </c>
      <c r="BI20" s="343">
        <f t="shared" si="4"/>
        <v>2.8524336930000005</v>
      </c>
      <c r="BJ20" s="344" t="s">
        <v>157</v>
      </c>
      <c r="BK20" s="342" t="s">
        <v>114</v>
      </c>
      <c r="BL20" s="345">
        <v>44666</v>
      </c>
      <c r="BM20" s="345"/>
      <c r="BN20" s="345" t="s">
        <v>725</v>
      </c>
      <c r="BO20" s="419" t="s">
        <v>727</v>
      </c>
    </row>
    <row r="21" spans="1:67" s="137" customFormat="1" ht="39.9" customHeight="1" x14ac:dyDescent="0.25">
      <c r="A21" s="160">
        <v>50</v>
      </c>
      <c r="B21" s="161"/>
      <c r="C21" s="162"/>
      <c r="D21" s="162"/>
      <c r="E21" s="163"/>
      <c r="F21" s="162">
        <v>4</v>
      </c>
      <c r="G21" s="162"/>
      <c r="H21" s="162"/>
      <c r="I21" s="162"/>
      <c r="J21" s="185"/>
      <c r="K21" s="186"/>
      <c r="L21" s="185" t="s">
        <v>165</v>
      </c>
      <c r="M21" s="187" t="s">
        <v>166</v>
      </c>
      <c r="N21" s="188" t="s">
        <v>167</v>
      </c>
      <c r="O21" s="189" t="s">
        <v>161</v>
      </c>
      <c r="P21" s="163"/>
      <c r="Q21" s="161" t="s">
        <v>79</v>
      </c>
      <c r="R21" s="203"/>
      <c r="S21" s="204" t="s">
        <v>80</v>
      </c>
      <c r="T21" s="187" t="s">
        <v>81</v>
      </c>
      <c r="U21" s="204" t="s">
        <v>82</v>
      </c>
      <c r="V21" s="204" t="s">
        <v>83</v>
      </c>
      <c r="W21" s="204" t="s">
        <v>84</v>
      </c>
      <c r="X21" s="161" t="s">
        <v>93</v>
      </c>
      <c r="Y21" s="162" t="s">
        <v>94</v>
      </c>
      <c r="Z21" s="187" t="s">
        <v>95</v>
      </c>
      <c r="AA21" s="161"/>
      <c r="AB21" s="231">
        <v>1.5699999999999999E-2</v>
      </c>
      <c r="AC21" s="185" t="s">
        <v>82</v>
      </c>
      <c r="AD21" s="232" t="s">
        <v>97</v>
      </c>
      <c r="AE21" s="232" t="s">
        <v>168</v>
      </c>
      <c r="AF21" s="233">
        <f>32+7</f>
        <v>39</v>
      </c>
      <c r="AG21" s="233">
        <f>31+3</f>
        <v>34</v>
      </c>
      <c r="AH21" s="233">
        <v>3</v>
      </c>
      <c r="AI21" s="265">
        <f>AF21*AG21*AH21*7860/1000000000</f>
        <v>3.1267080000000003E-2</v>
      </c>
      <c r="AJ21" s="266">
        <f t="shared" si="11"/>
        <v>0.50212555825488014</v>
      </c>
      <c r="AK21" s="233"/>
      <c r="AL21" s="267"/>
      <c r="AM21" s="268" t="s">
        <v>88</v>
      </c>
      <c r="AN21" s="268" t="s">
        <v>164</v>
      </c>
      <c r="AO21" s="268"/>
      <c r="AP21" s="303">
        <v>1.4999999999999999E-2</v>
      </c>
      <c r="AQ21" s="304">
        <v>6.11</v>
      </c>
      <c r="AR21" s="305">
        <f>AI21*AQ21</f>
        <v>0.19104185880000002</v>
      </c>
      <c r="AS21" s="306">
        <v>1.2</v>
      </c>
      <c r="AT21" s="401">
        <f>AR21*AS21</f>
        <v>0.22925023056000002</v>
      </c>
      <c r="AU21" s="307">
        <f t="shared" si="0"/>
        <v>15.283348704</v>
      </c>
      <c r="AV21" s="412">
        <v>0.22925023055999999</v>
      </c>
      <c r="AW21" s="307">
        <f t="shared" si="1"/>
        <v>0</v>
      </c>
      <c r="AX21" s="335">
        <f t="shared" si="2"/>
        <v>0</v>
      </c>
      <c r="AY21" s="331" t="s">
        <v>133</v>
      </c>
      <c r="AZ21" s="331">
        <v>1</v>
      </c>
      <c r="BA21" s="336">
        <v>1</v>
      </c>
      <c r="BB21" s="337">
        <f>AV21*AZ21</f>
        <v>0.22925023055999999</v>
      </c>
      <c r="BC21" s="337">
        <f>AV21*BA21</f>
        <v>0.22925023055999999</v>
      </c>
      <c r="BD21" s="336"/>
      <c r="BE21" s="336"/>
      <c r="BF21" s="336"/>
      <c r="BG21" s="336"/>
      <c r="BH21" s="348">
        <f t="shared" si="3"/>
        <v>0.22925023055999999</v>
      </c>
      <c r="BI21" s="348">
        <f t="shared" si="4"/>
        <v>0.22925023056000002</v>
      </c>
      <c r="BJ21" s="349" t="s">
        <v>169</v>
      </c>
      <c r="BK21" s="350" t="s">
        <v>170</v>
      </c>
      <c r="BL21" s="350"/>
      <c r="BM21" s="350"/>
      <c r="BN21" s="350"/>
      <c r="BO21" s="350"/>
    </row>
    <row r="22" spans="1:67" ht="39.9" customHeight="1" x14ac:dyDescent="0.25">
      <c r="A22" s="150">
        <v>51</v>
      </c>
      <c r="B22" s="159"/>
      <c r="C22" s="156"/>
      <c r="D22" s="156"/>
      <c r="E22" s="158"/>
      <c r="F22" s="156">
        <v>4</v>
      </c>
      <c r="G22" s="156"/>
      <c r="H22" s="156"/>
      <c r="I22" s="156"/>
      <c r="J22" s="151"/>
      <c r="K22" s="170"/>
      <c r="L22" s="151" t="s">
        <v>171</v>
      </c>
      <c r="M22" s="173" t="s">
        <v>171</v>
      </c>
      <c r="N22" s="157" t="s">
        <v>172</v>
      </c>
      <c r="O22" s="184" t="s">
        <v>161</v>
      </c>
      <c r="P22" s="158"/>
      <c r="Q22" s="159" t="s">
        <v>79</v>
      </c>
      <c r="R22" s="201"/>
      <c r="S22" s="169" t="s">
        <v>80</v>
      </c>
      <c r="T22" s="173" t="s">
        <v>81</v>
      </c>
      <c r="U22" s="169" t="s">
        <v>82</v>
      </c>
      <c r="V22" s="169" t="s">
        <v>83</v>
      </c>
      <c r="W22" s="169" t="s">
        <v>84</v>
      </c>
      <c r="X22" s="159" t="s">
        <v>93</v>
      </c>
      <c r="Y22" s="156" t="s">
        <v>94</v>
      </c>
      <c r="Z22" s="173" t="s">
        <v>95</v>
      </c>
      <c r="AA22" s="159"/>
      <c r="AB22" s="214">
        <v>1.2800000000000001E-2</v>
      </c>
      <c r="AC22" s="151" t="s">
        <v>82</v>
      </c>
      <c r="AD22" s="215" t="s">
        <v>97</v>
      </c>
      <c r="AE22" s="215" t="s">
        <v>173</v>
      </c>
      <c r="AF22" s="230">
        <f>31+7</f>
        <v>38</v>
      </c>
      <c r="AG22" s="230">
        <f>21+3</f>
        <v>24</v>
      </c>
      <c r="AH22" s="230">
        <v>3</v>
      </c>
      <c r="AI22" s="241">
        <f>AF22*AG22*AH22*7860/1000000000</f>
        <v>2.150496E-2</v>
      </c>
      <c r="AJ22" s="255">
        <f t="shared" si="11"/>
        <v>0.59521152329509097</v>
      </c>
      <c r="AK22" s="230"/>
      <c r="AL22" s="260"/>
      <c r="AM22" s="259" t="s">
        <v>88</v>
      </c>
      <c r="AN22" s="259" t="s">
        <v>164</v>
      </c>
      <c r="AO22" s="259"/>
      <c r="AP22" s="308">
        <v>1.2E-2</v>
      </c>
      <c r="AQ22" s="292">
        <v>6.11</v>
      </c>
      <c r="AR22" s="296">
        <f>AI22*AQ22</f>
        <v>0.13139530560000001</v>
      </c>
      <c r="AS22" s="294">
        <v>1.1499999999999999</v>
      </c>
      <c r="AT22" s="399">
        <f>AR22*AS22</f>
        <v>0.15110460144000001</v>
      </c>
      <c r="AU22" s="287">
        <f t="shared" si="0"/>
        <v>28.023333333333333</v>
      </c>
      <c r="AV22" s="409">
        <v>0.33628000000000002</v>
      </c>
      <c r="AW22" s="287">
        <f t="shared" si="1"/>
        <v>0.18517539856000001</v>
      </c>
      <c r="AX22" s="326">
        <f t="shared" si="2"/>
        <v>0.55065837563934816</v>
      </c>
      <c r="AY22" s="331"/>
      <c r="AZ22" s="325">
        <v>1</v>
      </c>
      <c r="BA22" s="332">
        <v>1</v>
      </c>
      <c r="BB22" s="330">
        <f>AV22*AZ22</f>
        <v>0.33628000000000002</v>
      </c>
      <c r="BC22" s="330">
        <f>AV22*BA22</f>
        <v>0.33628000000000002</v>
      </c>
      <c r="BD22" s="332"/>
      <c r="BE22" s="332"/>
      <c r="BF22" s="332"/>
      <c r="BG22" s="332"/>
      <c r="BH22" s="343">
        <f t="shared" si="3"/>
        <v>0.33628000000000002</v>
      </c>
      <c r="BI22" s="343">
        <f t="shared" si="4"/>
        <v>0.15110460144000001</v>
      </c>
      <c r="BJ22" s="344" t="s">
        <v>157</v>
      </c>
      <c r="BK22" s="342" t="s">
        <v>114</v>
      </c>
      <c r="BL22" s="345">
        <v>44666</v>
      </c>
      <c r="BM22" s="345"/>
      <c r="BN22" s="345" t="s">
        <v>725</v>
      </c>
      <c r="BO22" s="419" t="s">
        <v>727</v>
      </c>
    </row>
    <row r="23" spans="1:67" ht="39.9" customHeight="1" x14ac:dyDescent="0.25">
      <c r="A23" s="150">
        <v>53</v>
      </c>
      <c r="B23" s="159"/>
      <c r="C23" s="156"/>
      <c r="D23" s="156"/>
      <c r="E23" s="164">
        <v>3</v>
      </c>
      <c r="F23" s="158"/>
      <c r="G23" s="156"/>
      <c r="H23" s="156"/>
      <c r="I23" s="156"/>
      <c r="J23" s="151"/>
      <c r="K23" s="170"/>
      <c r="L23" s="151" t="s">
        <v>174</v>
      </c>
      <c r="M23" s="156" t="s">
        <v>174</v>
      </c>
      <c r="N23" s="157" t="s">
        <v>175</v>
      </c>
      <c r="O23" s="184" t="s">
        <v>130</v>
      </c>
      <c r="P23" s="158"/>
      <c r="Q23" s="159" t="s">
        <v>79</v>
      </c>
      <c r="R23" s="201"/>
      <c r="S23" s="169" t="s">
        <v>80</v>
      </c>
      <c r="T23" s="156" t="s">
        <v>174</v>
      </c>
      <c r="U23" s="159" t="s">
        <v>80</v>
      </c>
      <c r="V23" s="169" t="s">
        <v>84</v>
      </c>
      <c r="W23" s="169" t="s">
        <v>83</v>
      </c>
      <c r="X23" s="158" t="s">
        <v>85</v>
      </c>
      <c r="Y23" s="156" t="s">
        <v>86</v>
      </c>
      <c r="Z23" s="173" t="s">
        <v>82</v>
      </c>
      <c r="AA23" s="173"/>
      <c r="AB23" s="228">
        <f>AB24+AB25+AB26</f>
        <v>0.87540000000000007</v>
      </c>
      <c r="AC23" s="151" t="s">
        <v>82</v>
      </c>
      <c r="AD23" s="234" t="s">
        <v>87</v>
      </c>
      <c r="AE23" s="234"/>
      <c r="AF23" s="230"/>
      <c r="AG23" s="230"/>
      <c r="AH23" s="230"/>
      <c r="AI23" s="260"/>
      <c r="AJ23" s="269"/>
      <c r="AK23" s="230">
        <v>12</v>
      </c>
      <c r="AL23" s="260"/>
      <c r="AM23" s="259" t="s">
        <v>88</v>
      </c>
      <c r="AN23" s="259" t="s">
        <v>176</v>
      </c>
      <c r="AO23" s="259"/>
      <c r="AP23" s="308">
        <v>0.83899999999999997</v>
      </c>
      <c r="AQ23" s="292"/>
      <c r="AR23" s="293">
        <f>AR24+AR25+AR26</f>
        <v>8.2638692795999997</v>
      </c>
      <c r="AS23" s="294">
        <v>1.3</v>
      </c>
      <c r="AT23" s="399">
        <f>AR23*AS23+AL24*14</f>
        <v>11.583030063480001</v>
      </c>
      <c r="AU23" s="287">
        <f t="shared" ref="AU23:AU31" si="12">AV23/AP23</f>
        <v>17.152562574493444</v>
      </c>
      <c r="AV23" s="409">
        <v>14.391</v>
      </c>
      <c r="AW23" s="287">
        <f t="shared" ref="AW23:AW31" si="13">AV23-AT23</f>
        <v>2.8079699365199993</v>
      </c>
      <c r="AX23" s="326">
        <f t="shared" ref="AX23:AX31" si="14">AW23/AV23</f>
        <v>0.19511986217219091</v>
      </c>
      <c r="AY23" s="331"/>
      <c r="AZ23" s="325">
        <v>1</v>
      </c>
      <c r="BA23" s="332">
        <v>1</v>
      </c>
      <c r="BB23" s="330">
        <f>AV23*AZ23</f>
        <v>14.391</v>
      </c>
      <c r="BC23" s="330">
        <f>AV23*BA23</f>
        <v>14.391</v>
      </c>
      <c r="BD23" s="332"/>
      <c r="BE23" s="332"/>
      <c r="BF23" s="332"/>
      <c r="BG23" s="332"/>
      <c r="BH23" s="343">
        <f t="shared" ref="BH23:BH31" si="15">AV23*BA23</f>
        <v>14.391</v>
      </c>
      <c r="BI23" s="343">
        <f t="shared" ref="BI23:BI31" si="16">AT23*BA23</f>
        <v>11.583030063480001</v>
      </c>
      <c r="BJ23" s="496" t="s">
        <v>157</v>
      </c>
      <c r="BK23" s="446" t="s">
        <v>91</v>
      </c>
      <c r="BL23" s="435">
        <v>44666</v>
      </c>
      <c r="BM23" s="435" t="s">
        <v>755</v>
      </c>
      <c r="BN23" s="435"/>
      <c r="BO23" s="437" t="s">
        <v>714</v>
      </c>
    </row>
    <row r="24" spans="1:67" ht="39.9" customHeight="1" x14ac:dyDescent="0.25">
      <c r="A24" s="150">
        <v>54</v>
      </c>
      <c r="B24" s="159"/>
      <c r="C24" s="156"/>
      <c r="D24" s="156"/>
      <c r="E24" s="158"/>
      <c r="F24" s="156">
        <v>4</v>
      </c>
      <c r="G24" s="156"/>
      <c r="H24" s="156"/>
      <c r="I24" s="156"/>
      <c r="J24" s="151"/>
      <c r="K24" s="170"/>
      <c r="L24" s="151"/>
      <c r="M24" s="156" t="s">
        <v>177</v>
      </c>
      <c r="N24" s="157" t="s">
        <v>178</v>
      </c>
      <c r="O24" s="184" t="s">
        <v>130</v>
      </c>
      <c r="P24" s="158"/>
      <c r="Q24" s="159" t="s">
        <v>79</v>
      </c>
      <c r="R24" s="201"/>
      <c r="S24" s="169" t="s">
        <v>80</v>
      </c>
      <c r="T24" s="156" t="s">
        <v>177</v>
      </c>
      <c r="U24" s="159" t="s">
        <v>80</v>
      </c>
      <c r="V24" s="169" t="s">
        <v>84</v>
      </c>
      <c r="W24" s="169" t="s">
        <v>83</v>
      </c>
      <c r="X24" s="159" t="s">
        <v>93</v>
      </c>
      <c r="Y24" s="156" t="s">
        <v>179</v>
      </c>
      <c r="Z24" s="173" t="s">
        <v>95</v>
      </c>
      <c r="AA24" s="159"/>
      <c r="AB24" s="228">
        <v>0.76300000000000001</v>
      </c>
      <c r="AC24" s="151" t="s">
        <v>180</v>
      </c>
      <c r="AD24" s="215" t="s">
        <v>97</v>
      </c>
      <c r="AE24" s="215" t="s">
        <v>181</v>
      </c>
      <c r="AF24" s="230">
        <v>270</v>
      </c>
      <c r="AG24" s="230">
        <v>190</v>
      </c>
      <c r="AH24" s="230">
        <v>3.5</v>
      </c>
      <c r="AI24" s="241">
        <f>AF24*AG24*AH24*7860/1000000000</f>
        <v>1.4112629999999999</v>
      </c>
      <c r="AJ24" s="255">
        <f>AB24/AI24</f>
        <v>0.54065046699304098</v>
      </c>
      <c r="AK24" s="230"/>
      <c r="AL24" s="260">
        <v>0.06</v>
      </c>
      <c r="AM24" s="256"/>
      <c r="AN24" s="256"/>
      <c r="AO24" s="288"/>
      <c r="AP24" s="288"/>
      <c r="AQ24" s="292">
        <v>5.15</v>
      </c>
      <c r="AR24" s="296">
        <f>AI24*AQ24</f>
        <v>7.2680044500000003</v>
      </c>
      <c r="AS24" s="291"/>
      <c r="AT24" s="398"/>
      <c r="AU24" s="287" t="e">
        <f t="shared" si="12"/>
        <v>#DIV/0!</v>
      </c>
      <c r="AV24" s="408"/>
      <c r="AW24" s="287">
        <f t="shared" si="13"/>
        <v>0</v>
      </c>
      <c r="AX24" s="326" t="e">
        <f t="shared" si="14"/>
        <v>#DIV/0!</v>
      </c>
      <c r="AY24" s="327"/>
      <c r="AZ24" s="328">
        <v>1</v>
      </c>
      <c r="BA24" s="332">
        <v>1</v>
      </c>
      <c r="BB24" s="330">
        <f t="shared" ref="BB24:BB26" si="17">AV24*AZ24</f>
        <v>0</v>
      </c>
      <c r="BC24" s="330">
        <f t="shared" ref="BC24:BC26" si="18">AV24*BA24</f>
        <v>0</v>
      </c>
      <c r="BD24" s="332"/>
      <c r="BE24" s="332"/>
      <c r="BF24" s="332"/>
      <c r="BG24" s="332"/>
      <c r="BH24" s="343">
        <f t="shared" si="15"/>
        <v>0</v>
      </c>
      <c r="BI24" s="343">
        <f t="shared" si="16"/>
        <v>0</v>
      </c>
      <c r="BJ24" s="496"/>
      <c r="BK24" s="495"/>
      <c r="BL24" s="495"/>
      <c r="BM24" s="509"/>
      <c r="BN24" s="509"/>
      <c r="BO24" s="520"/>
    </row>
    <row r="25" spans="1:67" ht="39.9" customHeight="1" x14ac:dyDescent="0.25">
      <c r="A25" s="150">
        <v>55</v>
      </c>
      <c r="B25" s="159"/>
      <c r="C25" s="156"/>
      <c r="D25" s="156"/>
      <c r="E25" s="158"/>
      <c r="F25" s="156">
        <v>4</v>
      </c>
      <c r="G25" s="156"/>
      <c r="H25" s="156"/>
      <c r="I25" s="156"/>
      <c r="J25" s="151"/>
      <c r="K25" s="170"/>
      <c r="L25" s="151"/>
      <c r="M25" s="156" t="s">
        <v>182</v>
      </c>
      <c r="N25" s="157" t="s">
        <v>183</v>
      </c>
      <c r="O25" s="184" t="s">
        <v>153</v>
      </c>
      <c r="P25" s="158"/>
      <c r="Q25" s="159" t="s">
        <v>79</v>
      </c>
      <c r="R25" s="201"/>
      <c r="S25" s="205" t="s">
        <v>184</v>
      </c>
      <c r="T25" s="173" t="s">
        <v>81</v>
      </c>
      <c r="U25" s="173" t="s">
        <v>82</v>
      </c>
      <c r="V25" s="169" t="s">
        <v>83</v>
      </c>
      <c r="W25" s="169" t="s">
        <v>84</v>
      </c>
      <c r="X25" s="159" t="s">
        <v>93</v>
      </c>
      <c r="Y25" s="156" t="s">
        <v>185</v>
      </c>
      <c r="Z25" s="173" t="s">
        <v>95</v>
      </c>
      <c r="AA25" s="159"/>
      <c r="AB25" s="228">
        <v>3.5900000000000001E-2</v>
      </c>
      <c r="AC25" s="151" t="s">
        <v>82</v>
      </c>
      <c r="AD25" s="215" t="s">
        <v>97</v>
      </c>
      <c r="AE25" s="215" t="s">
        <v>186</v>
      </c>
      <c r="AF25" s="230">
        <f>54+8</f>
        <v>62</v>
      </c>
      <c r="AG25" s="230">
        <f>25+3.5</f>
        <v>28.5</v>
      </c>
      <c r="AH25" s="230">
        <v>4</v>
      </c>
      <c r="AI25" s="241">
        <f>AF25*AG25*AH25*7860/1000000000</f>
        <v>5.5554480000000003E-2</v>
      </c>
      <c r="AJ25" s="255">
        <f>AB25/AI25</f>
        <v>0.6462125106742066</v>
      </c>
      <c r="AK25" s="230"/>
      <c r="AL25" s="260"/>
      <c r="AM25" s="256"/>
      <c r="AN25" s="256"/>
      <c r="AO25" s="288"/>
      <c r="AP25" s="288"/>
      <c r="AQ25" s="289" t="s">
        <v>187</v>
      </c>
      <c r="AR25" s="296">
        <f>AI25*AQ25</f>
        <v>0.3344379696</v>
      </c>
      <c r="AS25" s="291"/>
      <c r="AT25" s="398"/>
      <c r="AU25" s="287" t="e">
        <f t="shared" si="12"/>
        <v>#DIV/0!</v>
      </c>
      <c r="AV25" s="408"/>
      <c r="AW25" s="287">
        <f t="shared" si="13"/>
        <v>0</v>
      </c>
      <c r="AX25" s="326" t="e">
        <f t="shared" si="14"/>
        <v>#DIV/0!</v>
      </c>
      <c r="AY25" s="327"/>
      <c r="AZ25" s="328">
        <v>1</v>
      </c>
      <c r="BA25" s="332">
        <v>1</v>
      </c>
      <c r="BB25" s="330">
        <f t="shared" si="17"/>
        <v>0</v>
      </c>
      <c r="BC25" s="330">
        <f t="shared" si="18"/>
        <v>0</v>
      </c>
      <c r="BD25" s="332"/>
      <c r="BE25" s="332"/>
      <c r="BF25" s="332"/>
      <c r="BG25" s="332"/>
      <c r="BH25" s="343">
        <f t="shared" si="15"/>
        <v>0</v>
      </c>
      <c r="BI25" s="343">
        <f t="shared" si="16"/>
        <v>0</v>
      </c>
      <c r="BJ25" s="496"/>
      <c r="BK25" s="495"/>
      <c r="BL25" s="495"/>
      <c r="BM25" s="509"/>
      <c r="BN25" s="509"/>
      <c r="BO25" s="520"/>
    </row>
    <row r="26" spans="1:67" ht="39.9" customHeight="1" x14ac:dyDescent="0.25">
      <c r="A26" s="150">
        <v>56</v>
      </c>
      <c r="B26" s="159"/>
      <c r="C26" s="156"/>
      <c r="D26" s="156"/>
      <c r="E26" s="158"/>
      <c r="F26" s="156">
        <v>4</v>
      </c>
      <c r="G26" s="156"/>
      <c r="H26" s="156"/>
      <c r="I26" s="156"/>
      <c r="J26" s="151"/>
      <c r="K26" s="170"/>
      <c r="L26" s="151"/>
      <c r="M26" s="156" t="s">
        <v>188</v>
      </c>
      <c r="N26" s="157" t="s">
        <v>189</v>
      </c>
      <c r="O26" s="184" t="s">
        <v>78</v>
      </c>
      <c r="P26" s="158"/>
      <c r="Q26" s="159" t="s">
        <v>79</v>
      </c>
      <c r="R26" s="201"/>
      <c r="S26" s="169" t="s">
        <v>80</v>
      </c>
      <c r="T26" s="173" t="s">
        <v>81</v>
      </c>
      <c r="U26" s="173" t="s">
        <v>80</v>
      </c>
      <c r="V26" s="169" t="s">
        <v>83</v>
      </c>
      <c r="W26" s="169" t="s">
        <v>84</v>
      </c>
      <c r="X26" s="159" t="s">
        <v>93</v>
      </c>
      <c r="Y26" s="156" t="s">
        <v>162</v>
      </c>
      <c r="Z26" s="173" t="s">
        <v>95</v>
      </c>
      <c r="AA26" s="173"/>
      <c r="AB26" s="228">
        <v>7.6499999999999999E-2</v>
      </c>
      <c r="AC26" s="151" t="s">
        <v>82</v>
      </c>
      <c r="AD26" s="215" t="s">
        <v>97</v>
      </c>
      <c r="AE26" s="215" t="s">
        <v>190</v>
      </c>
      <c r="AF26" s="230">
        <f>79+7</f>
        <v>86</v>
      </c>
      <c r="AG26" s="230">
        <f>73+3</f>
        <v>76</v>
      </c>
      <c r="AH26" s="230">
        <v>2.5</v>
      </c>
      <c r="AI26" s="241">
        <f>AF26*AG26*AH26*7860/1000000000</f>
        <v>0.1284324</v>
      </c>
      <c r="AJ26" s="255">
        <f>AB26/AI26</f>
        <v>0.59564408980911354</v>
      </c>
      <c r="AK26" s="230"/>
      <c r="AL26" s="260"/>
      <c r="AM26" s="256"/>
      <c r="AN26" s="256"/>
      <c r="AO26" s="261"/>
      <c r="AP26" s="261"/>
      <c r="AQ26" s="292">
        <v>5.15</v>
      </c>
      <c r="AR26" s="296">
        <f>AI26*AQ26</f>
        <v>0.66142686000000006</v>
      </c>
      <c r="AS26" s="297"/>
      <c r="AT26" s="400"/>
      <c r="AU26" s="287" t="e">
        <f t="shared" si="12"/>
        <v>#DIV/0!</v>
      </c>
      <c r="AV26" s="411"/>
      <c r="AW26" s="287">
        <f t="shared" si="13"/>
        <v>0</v>
      </c>
      <c r="AX26" s="326" t="e">
        <f t="shared" si="14"/>
        <v>#DIV/0!</v>
      </c>
      <c r="AY26" s="331"/>
      <c r="AZ26" s="325">
        <v>1</v>
      </c>
      <c r="BA26" s="332">
        <v>1</v>
      </c>
      <c r="BB26" s="330">
        <f t="shared" si="17"/>
        <v>0</v>
      </c>
      <c r="BC26" s="330">
        <f t="shared" si="18"/>
        <v>0</v>
      </c>
      <c r="BD26" s="332"/>
      <c r="BE26" s="332"/>
      <c r="BF26" s="332"/>
      <c r="BG26" s="332"/>
      <c r="BH26" s="343">
        <f t="shared" si="15"/>
        <v>0</v>
      </c>
      <c r="BI26" s="343">
        <f t="shared" si="16"/>
        <v>0</v>
      </c>
      <c r="BJ26" s="496"/>
      <c r="BK26" s="447"/>
      <c r="BL26" s="447"/>
      <c r="BM26" s="436"/>
      <c r="BN26" s="436"/>
      <c r="BO26" s="438"/>
    </row>
    <row r="27" spans="1:67" ht="39.9" customHeight="1" x14ac:dyDescent="0.25">
      <c r="A27" s="150">
        <v>57</v>
      </c>
      <c r="B27" s="159"/>
      <c r="C27" s="156"/>
      <c r="D27" s="156">
        <v>2</v>
      </c>
      <c r="E27" s="164"/>
      <c r="F27" s="158"/>
      <c r="G27" s="156"/>
      <c r="H27" s="156"/>
      <c r="I27" s="156"/>
      <c r="J27" s="151"/>
      <c r="K27" s="170"/>
      <c r="L27" s="151" t="s">
        <v>191</v>
      </c>
      <c r="M27" s="156" t="s">
        <v>191</v>
      </c>
      <c r="N27" s="157" t="s">
        <v>192</v>
      </c>
      <c r="O27" s="190" t="s">
        <v>193</v>
      </c>
      <c r="P27" s="158"/>
      <c r="Q27" s="159" t="s">
        <v>79</v>
      </c>
      <c r="R27" s="201"/>
      <c r="S27" s="169" t="s">
        <v>80</v>
      </c>
      <c r="T27" s="173" t="s">
        <v>81</v>
      </c>
      <c r="U27" s="173" t="s">
        <v>80</v>
      </c>
      <c r="V27" s="169" t="s">
        <v>84</v>
      </c>
      <c r="W27" s="169" t="s">
        <v>83</v>
      </c>
      <c r="X27" s="158" t="s">
        <v>85</v>
      </c>
      <c r="Y27" s="156" t="s">
        <v>86</v>
      </c>
      <c r="Z27" s="173" t="s">
        <v>82</v>
      </c>
      <c r="AA27" s="173"/>
      <c r="AB27" s="228">
        <f>AB28+AB29+AB30+AB31</f>
        <v>0.50419999999999998</v>
      </c>
      <c r="AC27" s="151" t="s">
        <v>180</v>
      </c>
      <c r="AD27" s="235"/>
      <c r="AE27" s="235"/>
      <c r="AF27" s="230"/>
      <c r="AG27" s="230"/>
      <c r="AH27" s="230"/>
      <c r="AI27" s="260"/>
      <c r="AJ27" s="269"/>
      <c r="AK27" s="230">
        <v>6.28</v>
      </c>
      <c r="AL27" s="260">
        <v>5.5E-2</v>
      </c>
      <c r="AM27" s="259" t="s">
        <v>88</v>
      </c>
      <c r="AN27" s="259" t="s">
        <v>176</v>
      </c>
      <c r="AO27" s="259"/>
      <c r="AP27" s="308">
        <v>0.48299999999999998</v>
      </c>
      <c r="AQ27" s="292"/>
      <c r="AR27" s="293">
        <f>AR28+AR29+AR30+AR31</f>
        <v>4.7219204100000001</v>
      </c>
      <c r="AS27" s="294">
        <v>1.3</v>
      </c>
      <c r="AT27" s="399">
        <f>AR27*AS27+AL27*14</f>
        <v>6.908496533000001</v>
      </c>
      <c r="AU27" s="287">
        <f t="shared" si="12"/>
        <v>26.093167701863354</v>
      </c>
      <c r="AV27" s="409">
        <v>12.603</v>
      </c>
      <c r="AW27" s="287">
        <f t="shared" si="13"/>
        <v>5.6945034669999988</v>
      </c>
      <c r="AX27" s="326">
        <f t="shared" si="14"/>
        <v>0.451837139331905</v>
      </c>
      <c r="AY27" s="331"/>
      <c r="AZ27" s="325">
        <v>1</v>
      </c>
      <c r="BA27" s="332">
        <v>1</v>
      </c>
      <c r="BB27" s="330">
        <f t="shared" ref="BB27" si="19">AV27*AZ27</f>
        <v>12.603</v>
      </c>
      <c r="BC27" s="330">
        <f t="shared" ref="BC27" si="20">AV27*BA27</f>
        <v>12.603</v>
      </c>
      <c r="BD27" s="332"/>
      <c r="BE27" s="332"/>
      <c r="BF27" s="332"/>
      <c r="BG27" s="332"/>
      <c r="BH27" s="343">
        <f t="shared" si="15"/>
        <v>12.603</v>
      </c>
      <c r="BI27" s="343">
        <f t="shared" si="16"/>
        <v>6.908496533000001</v>
      </c>
      <c r="BJ27" s="496" t="s">
        <v>157</v>
      </c>
      <c r="BK27" s="446" t="s">
        <v>91</v>
      </c>
      <c r="BL27" s="435">
        <v>44666</v>
      </c>
      <c r="BM27" s="435" t="s">
        <v>756</v>
      </c>
      <c r="BN27" s="435"/>
      <c r="BO27" s="437" t="s">
        <v>715</v>
      </c>
    </row>
    <row r="28" spans="1:67" ht="39.9" customHeight="1" x14ac:dyDescent="0.25">
      <c r="A28" s="150">
        <v>58</v>
      </c>
      <c r="B28" s="159"/>
      <c r="C28" s="156"/>
      <c r="D28" s="156"/>
      <c r="E28" s="158">
        <v>3</v>
      </c>
      <c r="F28" s="158"/>
      <c r="G28" s="156"/>
      <c r="H28" s="156"/>
      <c r="I28" s="156"/>
      <c r="J28" s="151"/>
      <c r="K28" s="170"/>
      <c r="L28" s="151"/>
      <c r="M28" s="156" t="s">
        <v>194</v>
      </c>
      <c r="N28" s="157" t="s">
        <v>195</v>
      </c>
      <c r="O28" s="190" t="s">
        <v>130</v>
      </c>
      <c r="P28" s="158"/>
      <c r="Q28" s="159" t="s">
        <v>79</v>
      </c>
      <c r="R28" s="201"/>
      <c r="S28" s="169" t="s">
        <v>80</v>
      </c>
      <c r="T28" s="173" t="s">
        <v>81</v>
      </c>
      <c r="U28" s="173" t="s">
        <v>80</v>
      </c>
      <c r="V28" s="169" t="s">
        <v>84</v>
      </c>
      <c r="W28" s="169" t="s">
        <v>83</v>
      </c>
      <c r="X28" s="159" t="s">
        <v>93</v>
      </c>
      <c r="Y28" s="156" t="s">
        <v>162</v>
      </c>
      <c r="Z28" s="173" t="s">
        <v>95</v>
      </c>
      <c r="AA28" s="159"/>
      <c r="AB28" s="228">
        <v>0.48699999999999999</v>
      </c>
      <c r="AC28" s="151" t="s">
        <v>82</v>
      </c>
      <c r="AD28" s="215" t="s">
        <v>97</v>
      </c>
      <c r="AE28" s="215" t="s">
        <v>196</v>
      </c>
      <c r="AF28" s="230">
        <f>260+7</f>
        <v>267</v>
      </c>
      <c r="AG28" s="230">
        <f>145+3</f>
        <v>148</v>
      </c>
      <c r="AH28" s="230">
        <v>2.5</v>
      </c>
      <c r="AI28" s="241">
        <f>AF28*AG28*AH28*7860/1000000000</f>
        <v>0.7764894</v>
      </c>
      <c r="AJ28" s="255">
        <f>AB28/AI28</f>
        <v>0.62718177479306225</v>
      </c>
      <c r="AK28" s="230"/>
      <c r="AL28" s="260"/>
      <c r="AM28" s="256"/>
      <c r="AN28" s="256"/>
      <c r="AO28" s="288"/>
      <c r="AP28" s="288"/>
      <c r="AQ28" s="292">
        <v>5.15</v>
      </c>
      <c r="AR28" s="296">
        <f>AI28*AQ28</f>
        <v>3.9989204100000002</v>
      </c>
      <c r="AS28" s="291"/>
      <c r="AT28" s="398">
        <f>AR28*AS28</f>
        <v>0</v>
      </c>
      <c r="AU28" s="287" t="e">
        <f t="shared" si="12"/>
        <v>#DIV/0!</v>
      </c>
      <c r="AV28" s="408"/>
      <c r="AW28" s="287">
        <f t="shared" si="13"/>
        <v>0</v>
      </c>
      <c r="AX28" s="326" t="e">
        <f t="shared" si="14"/>
        <v>#DIV/0!</v>
      </c>
      <c r="AY28" s="327"/>
      <c r="AZ28" s="328">
        <v>1</v>
      </c>
      <c r="BA28" s="332">
        <v>1</v>
      </c>
      <c r="BB28" s="330">
        <f t="shared" ref="BB28:BB31" si="21">AV28*AZ28</f>
        <v>0</v>
      </c>
      <c r="BC28" s="330">
        <f t="shared" ref="BC28:BC31" si="22">AV28*BA28</f>
        <v>0</v>
      </c>
      <c r="BD28" s="332"/>
      <c r="BE28" s="332"/>
      <c r="BF28" s="332"/>
      <c r="BG28" s="332"/>
      <c r="BH28" s="343">
        <f t="shared" si="15"/>
        <v>0</v>
      </c>
      <c r="BI28" s="343">
        <f t="shared" si="16"/>
        <v>0</v>
      </c>
      <c r="BJ28" s="496"/>
      <c r="BK28" s="495"/>
      <c r="BL28" s="495"/>
      <c r="BM28" s="509"/>
      <c r="BN28" s="509"/>
      <c r="BO28" s="520"/>
    </row>
    <row r="29" spans="1:67" ht="39.9" customHeight="1" x14ac:dyDescent="0.25">
      <c r="A29" s="150">
        <v>59</v>
      </c>
      <c r="B29" s="159"/>
      <c r="C29" s="156"/>
      <c r="D29" s="156"/>
      <c r="E29" s="158">
        <v>3</v>
      </c>
      <c r="F29" s="158"/>
      <c r="G29" s="156"/>
      <c r="H29" s="156"/>
      <c r="I29" s="156"/>
      <c r="J29" s="151"/>
      <c r="K29" s="170"/>
      <c r="L29" s="191" t="s">
        <v>197</v>
      </c>
      <c r="M29" s="173" t="s">
        <v>198</v>
      </c>
      <c r="N29" s="157" t="s">
        <v>199</v>
      </c>
      <c r="O29" s="182" t="s">
        <v>200</v>
      </c>
      <c r="P29" s="158" t="s">
        <v>121</v>
      </c>
      <c r="Q29" s="159" t="s">
        <v>79</v>
      </c>
      <c r="R29" s="201"/>
      <c r="S29" s="169" t="s">
        <v>80</v>
      </c>
      <c r="T29" s="173" t="s">
        <v>81</v>
      </c>
      <c r="U29" s="173" t="s">
        <v>82</v>
      </c>
      <c r="V29" s="169" t="s">
        <v>83</v>
      </c>
      <c r="W29" s="198" t="s">
        <v>84</v>
      </c>
      <c r="X29" s="159" t="s">
        <v>93</v>
      </c>
      <c r="Y29" s="156" t="s">
        <v>201</v>
      </c>
      <c r="Z29" s="173" t="s">
        <v>202</v>
      </c>
      <c r="AA29" s="159" t="s">
        <v>203</v>
      </c>
      <c r="AB29" s="228">
        <v>2.0000000000000001E-4</v>
      </c>
      <c r="AC29" s="151"/>
      <c r="AD29" s="215"/>
      <c r="AE29" s="215"/>
      <c r="AF29" s="230"/>
      <c r="AG29" s="230"/>
      <c r="AH29" s="230"/>
      <c r="AI29" s="270"/>
      <c r="AJ29" s="255"/>
      <c r="AK29" s="230"/>
      <c r="AL29" s="260"/>
      <c r="AM29" s="256"/>
      <c r="AN29" s="256"/>
      <c r="AO29" s="288"/>
      <c r="AP29" s="288"/>
      <c r="AQ29" s="292"/>
      <c r="AR29" s="296">
        <v>0.34</v>
      </c>
      <c r="AS29" s="291"/>
      <c r="AT29" s="398"/>
      <c r="AU29" s="287" t="e">
        <f t="shared" si="12"/>
        <v>#DIV/0!</v>
      </c>
      <c r="AV29" s="408"/>
      <c r="AW29" s="287">
        <f t="shared" si="13"/>
        <v>0</v>
      </c>
      <c r="AX29" s="326" t="e">
        <f t="shared" si="14"/>
        <v>#DIV/0!</v>
      </c>
      <c r="AY29" s="327"/>
      <c r="AZ29" s="328">
        <v>1</v>
      </c>
      <c r="BA29" s="329">
        <v>1</v>
      </c>
      <c r="BB29" s="330">
        <f t="shared" si="21"/>
        <v>0</v>
      </c>
      <c r="BC29" s="330">
        <f t="shared" si="22"/>
        <v>0</v>
      </c>
      <c r="BD29" s="329"/>
      <c r="BE29" s="329"/>
      <c r="BF29" s="329"/>
      <c r="BG29" s="329"/>
      <c r="BH29" s="343">
        <f t="shared" si="15"/>
        <v>0</v>
      </c>
      <c r="BI29" s="343">
        <f t="shared" si="16"/>
        <v>0</v>
      </c>
      <c r="BJ29" s="496"/>
      <c r="BK29" s="495"/>
      <c r="BL29" s="495"/>
      <c r="BM29" s="509"/>
      <c r="BN29" s="509"/>
      <c r="BO29" s="520"/>
    </row>
    <row r="30" spans="1:67" ht="39.9" customHeight="1" x14ac:dyDescent="0.25">
      <c r="A30" s="150">
        <v>60</v>
      </c>
      <c r="B30" s="159"/>
      <c r="C30" s="156"/>
      <c r="D30" s="156"/>
      <c r="E30" s="158">
        <v>3</v>
      </c>
      <c r="F30" s="158"/>
      <c r="G30" s="156"/>
      <c r="H30" s="156"/>
      <c r="I30" s="156"/>
      <c r="J30" s="151"/>
      <c r="K30" s="170"/>
      <c r="L30" s="151"/>
      <c r="M30" s="173" t="s">
        <v>204</v>
      </c>
      <c r="N30" s="157" t="s">
        <v>205</v>
      </c>
      <c r="O30" s="184" t="s">
        <v>103</v>
      </c>
      <c r="P30" s="158"/>
      <c r="Q30" s="159" t="s">
        <v>79</v>
      </c>
      <c r="R30" s="201"/>
      <c r="S30" s="169" t="s">
        <v>80</v>
      </c>
      <c r="T30" s="173" t="s">
        <v>81</v>
      </c>
      <c r="U30" s="173" t="s">
        <v>82</v>
      </c>
      <c r="V30" s="169" t="s">
        <v>83</v>
      </c>
      <c r="W30" s="169" t="s">
        <v>84</v>
      </c>
      <c r="X30" s="159" t="s">
        <v>103</v>
      </c>
      <c r="Y30" s="173" t="s">
        <v>82</v>
      </c>
      <c r="Z30" s="173" t="s">
        <v>82</v>
      </c>
      <c r="AA30" s="173"/>
      <c r="AB30" s="228">
        <v>0.01</v>
      </c>
      <c r="AC30" s="151" t="s">
        <v>82</v>
      </c>
      <c r="AD30" s="235"/>
      <c r="AE30" s="235"/>
      <c r="AF30" s="230"/>
      <c r="AG30" s="230"/>
      <c r="AH30" s="230"/>
      <c r="AI30" s="260"/>
      <c r="AJ30" s="269"/>
      <c r="AK30" s="230"/>
      <c r="AL30" s="260"/>
      <c r="AM30" s="256"/>
      <c r="AN30" s="256"/>
      <c r="AO30" s="261"/>
      <c r="AP30" s="261"/>
      <c r="AQ30" s="295"/>
      <c r="AR30" s="296">
        <v>0.34</v>
      </c>
      <c r="AS30" s="297"/>
      <c r="AT30" s="400"/>
      <c r="AU30" s="287" t="e">
        <f t="shared" si="12"/>
        <v>#DIV/0!</v>
      </c>
      <c r="AV30" s="411"/>
      <c r="AW30" s="287">
        <f t="shared" si="13"/>
        <v>0</v>
      </c>
      <c r="AX30" s="326" t="e">
        <f t="shared" si="14"/>
        <v>#DIV/0!</v>
      </c>
      <c r="AY30" s="331"/>
      <c r="AZ30" s="328">
        <v>1</v>
      </c>
      <c r="BA30" s="329">
        <v>1</v>
      </c>
      <c r="BB30" s="330">
        <f t="shared" si="21"/>
        <v>0</v>
      </c>
      <c r="BC30" s="330">
        <f t="shared" si="22"/>
        <v>0</v>
      </c>
      <c r="BD30" s="329"/>
      <c r="BE30" s="329"/>
      <c r="BF30" s="329"/>
      <c r="BG30" s="329"/>
      <c r="BH30" s="343">
        <f t="shared" si="15"/>
        <v>0</v>
      </c>
      <c r="BI30" s="343">
        <f t="shared" si="16"/>
        <v>0</v>
      </c>
      <c r="BJ30" s="496"/>
      <c r="BK30" s="495"/>
      <c r="BL30" s="495"/>
      <c r="BM30" s="509"/>
      <c r="BN30" s="509"/>
      <c r="BO30" s="520"/>
    </row>
    <row r="31" spans="1:67" customFormat="1" ht="39.9" customHeight="1" x14ac:dyDescent="0.25">
      <c r="A31" s="150">
        <v>61</v>
      </c>
      <c r="B31" s="159"/>
      <c r="C31" s="156"/>
      <c r="D31" s="156"/>
      <c r="E31" s="158">
        <v>3</v>
      </c>
      <c r="F31" s="158"/>
      <c r="G31" s="156"/>
      <c r="H31" s="156"/>
      <c r="I31" s="156"/>
      <c r="J31" s="151"/>
      <c r="K31" s="170"/>
      <c r="L31" s="172"/>
      <c r="M31" s="176" t="s">
        <v>100</v>
      </c>
      <c r="N31" s="174" t="s">
        <v>101</v>
      </c>
      <c r="O31" s="175" t="s">
        <v>102</v>
      </c>
      <c r="P31" s="158"/>
      <c r="Q31" s="159" t="s">
        <v>79</v>
      </c>
      <c r="R31" s="201"/>
      <c r="S31" s="169"/>
      <c r="T31" s="173" t="s">
        <v>81</v>
      </c>
      <c r="U31" s="173" t="s">
        <v>82</v>
      </c>
      <c r="V31" s="169" t="s">
        <v>83</v>
      </c>
      <c r="W31" s="169" t="s">
        <v>84</v>
      </c>
      <c r="X31" s="159" t="s">
        <v>103</v>
      </c>
      <c r="Y31" s="173" t="s">
        <v>82</v>
      </c>
      <c r="Z31" s="173" t="s">
        <v>104</v>
      </c>
      <c r="AA31" s="173"/>
      <c r="AB31" s="228">
        <v>7.0000000000000001E-3</v>
      </c>
      <c r="AC31" s="151"/>
      <c r="AD31" s="235"/>
      <c r="AE31" s="235"/>
      <c r="AF31" s="230"/>
      <c r="AG31" s="230"/>
      <c r="AH31" s="230"/>
      <c r="AI31" s="260"/>
      <c r="AJ31" s="269"/>
      <c r="AK31" s="230"/>
      <c r="AL31" s="260"/>
      <c r="AM31" s="256"/>
      <c r="AN31" s="256"/>
      <c r="AO31" s="261"/>
      <c r="AP31" s="261"/>
      <c r="AQ31" s="295"/>
      <c r="AR31" s="296">
        <v>4.2999999999999997E-2</v>
      </c>
      <c r="AS31" s="297"/>
      <c r="AT31" s="400"/>
      <c r="AU31" s="287" t="e">
        <f t="shared" si="12"/>
        <v>#DIV/0!</v>
      </c>
      <c r="AV31" s="411"/>
      <c r="AW31" s="287">
        <f t="shared" si="13"/>
        <v>0</v>
      </c>
      <c r="AX31" s="326" t="e">
        <f t="shared" si="14"/>
        <v>#DIV/0!</v>
      </c>
      <c r="AY31" s="331"/>
      <c r="AZ31" s="328">
        <v>1</v>
      </c>
      <c r="BA31" s="329">
        <v>1</v>
      </c>
      <c r="BB31" s="330">
        <f t="shared" si="21"/>
        <v>0</v>
      </c>
      <c r="BC31" s="330">
        <f t="shared" si="22"/>
        <v>0</v>
      </c>
      <c r="BD31" s="329"/>
      <c r="BE31" s="329"/>
      <c r="BF31" s="329"/>
      <c r="BG31" s="329"/>
      <c r="BH31" s="343">
        <f t="shared" si="15"/>
        <v>0</v>
      </c>
      <c r="BI31" s="343">
        <f t="shared" si="16"/>
        <v>0</v>
      </c>
      <c r="BJ31" s="496"/>
      <c r="BK31" s="447"/>
      <c r="BL31" s="447"/>
      <c r="BM31" s="436"/>
      <c r="BN31" s="436"/>
      <c r="BO31" s="438"/>
    </row>
    <row r="32" spans="1:67" s="133" customFormat="1" ht="39.9" customHeight="1" x14ac:dyDescent="0.25">
      <c r="A32" s="150">
        <v>65</v>
      </c>
      <c r="B32" s="159"/>
      <c r="C32" s="156">
        <v>1</v>
      </c>
      <c r="D32" s="156"/>
      <c r="E32" s="158"/>
      <c r="F32" s="158"/>
      <c r="G32" s="156"/>
      <c r="H32" s="156"/>
      <c r="I32" s="156"/>
      <c r="J32" s="151"/>
      <c r="K32" s="151"/>
      <c r="L32" s="151" t="s">
        <v>703</v>
      </c>
      <c r="M32" s="173" t="s">
        <v>206</v>
      </c>
      <c r="N32" s="157" t="s">
        <v>207</v>
      </c>
      <c r="O32" s="184" t="s">
        <v>130</v>
      </c>
      <c r="P32" s="158"/>
      <c r="Q32" s="159" t="s">
        <v>79</v>
      </c>
      <c r="R32" s="201"/>
      <c r="S32" s="169" t="s">
        <v>80</v>
      </c>
      <c r="T32" s="173" t="s">
        <v>206</v>
      </c>
      <c r="U32" s="169" t="s">
        <v>80</v>
      </c>
      <c r="V32" s="169" t="s">
        <v>84</v>
      </c>
      <c r="W32" s="169" t="s">
        <v>83</v>
      </c>
      <c r="X32" s="159" t="s">
        <v>85</v>
      </c>
      <c r="Y32" s="156" t="s">
        <v>86</v>
      </c>
      <c r="Z32" s="218" t="s">
        <v>82</v>
      </c>
      <c r="AA32" s="218" t="s">
        <v>82</v>
      </c>
      <c r="AB32" s="214">
        <f>AB33+AB34+AB35*AZ35</f>
        <v>0.38500000000000001</v>
      </c>
      <c r="AC32" s="169" t="s">
        <v>82</v>
      </c>
      <c r="AD32" s="235" t="s">
        <v>87</v>
      </c>
      <c r="AE32" s="235"/>
      <c r="AF32" s="230"/>
      <c r="AG32" s="230"/>
      <c r="AH32" s="230"/>
      <c r="AI32" s="260"/>
      <c r="AJ32" s="269"/>
      <c r="AK32" s="230">
        <v>9.6999999999999993</v>
      </c>
      <c r="AL32" s="260"/>
      <c r="AM32" s="259" t="s">
        <v>88</v>
      </c>
      <c r="AN32" s="259" t="s">
        <v>208</v>
      </c>
      <c r="AO32" s="259"/>
      <c r="AP32" s="259">
        <v>0.38900000000000001</v>
      </c>
      <c r="AQ32" s="292"/>
      <c r="AR32" s="293">
        <f>AR33+AR34+AR35*2</f>
        <v>5.1562915789999995</v>
      </c>
      <c r="AS32" s="294">
        <v>1.3</v>
      </c>
      <c r="AT32" s="399">
        <f>AR32*AS32</f>
        <v>6.7031790526999995</v>
      </c>
      <c r="AU32" s="287">
        <f t="shared" ref="AU32:AU63" si="23">AV32/AP32</f>
        <v>21.261696658097684</v>
      </c>
      <c r="AV32" s="409">
        <v>8.2707999999999995</v>
      </c>
      <c r="AW32" s="287">
        <f t="shared" ref="AW32:AW63" si="24">AV32-AT32</f>
        <v>1.5676209473</v>
      </c>
      <c r="AX32" s="326">
        <f t="shared" ref="AX32:AX63" si="25">AW32/AV32</f>
        <v>0.18953679780674179</v>
      </c>
      <c r="AY32" s="331"/>
      <c r="AZ32" s="325">
        <v>1</v>
      </c>
      <c r="BA32" s="332">
        <v>1</v>
      </c>
      <c r="BB32" s="330">
        <f t="shared" ref="BB32" si="26">AV32*AZ32</f>
        <v>8.2707999999999995</v>
      </c>
      <c r="BC32" s="330">
        <f t="shared" ref="BC32" si="27">AV32*BA32</f>
        <v>8.2707999999999995</v>
      </c>
      <c r="BD32" s="332"/>
      <c r="BE32" s="332"/>
      <c r="BF32" s="332"/>
      <c r="BG32" s="332"/>
      <c r="BH32" s="343">
        <f>AV32*BA32</f>
        <v>8.2707999999999995</v>
      </c>
      <c r="BI32" s="343"/>
      <c r="BJ32" s="496" t="s">
        <v>157</v>
      </c>
      <c r="BK32" s="498" t="s">
        <v>91</v>
      </c>
      <c r="BL32" s="510">
        <v>44666</v>
      </c>
      <c r="BM32" s="621" t="s">
        <v>757</v>
      </c>
      <c r="BN32" s="510"/>
      <c r="BO32" s="533" t="s">
        <v>715</v>
      </c>
    </row>
    <row r="33" spans="1:68" s="133" customFormat="1" ht="39.9" customHeight="1" x14ac:dyDescent="0.25">
      <c r="A33" s="150">
        <v>66</v>
      </c>
      <c r="B33" s="159"/>
      <c r="C33" s="156"/>
      <c r="D33" s="158">
        <v>2</v>
      </c>
      <c r="E33" s="158"/>
      <c r="F33" s="158"/>
      <c r="G33" s="156"/>
      <c r="H33" s="156"/>
      <c r="I33" s="156"/>
      <c r="J33" s="151"/>
      <c r="K33" s="151"/>
      <c r="L33" s="151"/>
      <c r="M33" s="173" t="s">
        <v>209</v>
      </c>
      <c r="N33" s="157" t="s">
        <v>210</v>
      </c>
      <c r="O33" s="184" t="s">
        <v>130</v>
      </c>
      <c r="P33" s="158"/>
      <c r="Q33" s="159" t="s">
        <v>79</v>
      </c>
      <c r="R33" s="201"/>
      <c r="S33" s="169" t="s">
        <v>80</v>
      </c>
      <c r="T33" s="173" t="s">
        <v>209</v>
      </c>
      <c r="U33" s="169" t="s">
        <v>80</v>
      </c>
      <c r="V33" s="169" t="s">
        <v>84</v>
      </c>
      <c r="W33" s="169" t="s">
        <v>83</v>
      </c>
      <c r="X33" s="159" t="s">
        <v>93</v>
      </c>
      <c r="Y33" s="154" t="s">
        <v>94</v>
      </c>
      <c r="Z33" s="197" t="s">
        <v>95</v>
      </c>
      <c r="AA33" s="218" t="s">
        <v>82</v>
      </c>
      <c r="AB33" s="214">
        <v>0.14899999999999999</v>
      </c>
      <c r="AC33" s="169" t="s">
        <v>82</v>
      </c>
      <c r="AD33" s="215" t="s">
        <v>97</v>
      </c>
      <c r="AE33" s="215" t="s">
        <v>211</v>
      </c>
      <c r="AF33" s="230">
        <f>115+8</f>
        <v>123</v>
      </c>
      <c r="AG33" s="230">
        <f>82+3</f>
        <v>85</v>
      </c>
      <c r="AH33" s="230">
        <v>3</v>
      </c>
      <c r="AI33" s="241">
        <f>AF33*AG33*AH33*7860/1000000000</f>
        <v>0.2465289</v>
      </c>
      <c r="AJ33" s="255">
        <f>AB33/AI33</f>
        <v>0.60439161493845139</v>
      </c>
      <c r="AK33" s="230"/>
      <c r="AL33" s="260"/>
      <c r="AM33" s="256"/>
      <c r="AN33" s="256"/>
      <c r="AO33" s="261"/>
      <c r="AP33" s="261"/>
      <c r="AQ33" s="295" t="s">
        <v>99</v>
      </c>
      <c r="AR33" s="296">
        <f>AI33*AQ33</f>
        <v>1.506291579</v>
      </c>
      <c r="AS33" s="297"/>
      <c r="AT33" s="400"/>
      <c r="AU33" s="287" t="e">
        <f t="shared" si="23"/>
        <v>#DIV/0!</v>
      </c>
      <c r="AV33" s="411"/>
      <c r="AW33" s="287">
        <f t="shared" si="24"/>
        <v>0</v>
      </c>
      <c r="AX33" s="326" t="e">
        <f t="shared" si="25"/>
        <v>#DIV/0!</v>
      </c>
      <c r="AY33" s="331"/>
      <c r="AZ33" s="325">
        <v>1</v>
      </c>
      <c r="BA33" s="332">
        <v>1</v>
      </c>
      <c r="BB33" s="330">
        <f t="shared" ref="BB33:BB35" si="28">AV33*AZ33</f>
        <v>0</v>
      </c>
      <c r="BC33" s="330">
        <f t="shared" ref="BC33:BC35" si="29">AV33*BA33</f>
        <v>0</v>
      </c>
      <c r="BD33" s="332"/>
      <c r="BE33" s="332"/>
      <c r="BF33" s="332"/>
      <c r="BG33" s="332"/>
      <c r="BH33" s="343"/>
      <c r="BI33" s="343"/>
      <c r="BJ33" s="496"/>
      <c r="BK33" s="499"/>
      <c r="BL33" s="499"/>
      <c r="BM33" s="622"/>
      <c r="BN33" s="511"/>
      <c r="BO33" s="534"/>
    </row>
    <row r="34" spans="1:68" s="133" customFormat="1" ht="39.9" customHeight="1" x14ac:dyDescent="0.25">
      <c r="A34" s="150">
        <v>67</v>
      </c>
      <c r="B34" s="159"/>
      <c r="C34" s="156"/>
      <c r="D34" s="158">
        <v>2</v>
      </c>
      <c r="E34" s="158"/>
      <c r="F34" s="158"/>
      <c r="G34" s="156"/>
      <c r="H34" s="156"/>
      <c r="I34" s="156"/>
      <c r="J34" s="151"/>
      <c r="K34" s="151"/>
      <c r="L34" s="151"/>
      <c r="M34" s="173" t="s">
        <v>212</v>
      </c>
      <c r="N34" s="157" t="s">
        <v>213</v>
      </c>
      <c r="O34" s="184" t="s">
        <v>78</v>
      </c>
      <c r="P34" s="158"/>
      <c r="Q34" s="159" t="s">
        <v>79</v>
      </c>
      <c r="R34" s="201"/>
      <c r="S34" s="169" t="s">
        <v>80</v>
      </c>
      <c r="T34" s="173" t="s">
        <v>81</v>
      </c>
      <c r="U34" s="173" t="s">
        <v>82</v>
      </c>
      <c r="V34" s="169" t="s">
        <v>83</v>
      </c>
      <c r="W34" s="169" t="s">
        <v>84</v>
      </c>
      <c r="X34" s="159" t="s">
        <v>109</v>
      </c>
      <c r="Y34" s="169" t="s">
        <v>214</v>
      </c>
      <c r="Z34" s="218" t="s">
        <v>82</v>
      </c>
      <c r="AA34" s="218" t="s">
        <v>82</v>
      </c>
      <c r="AB34" s="236">
        <v>0.214</v>
      </c>
      <c r="AC34" s="169" t="s">
        <v>82</v>
      </c>
      <c r="AD34" s="215" t="s">
        <v>149</v>
      </c>
      <c r="AE34" s="215"/>
      <c r="AF34" s="216">
        <v>79.5</v>
      </c>
      <c r="AG34" s="216">
        <v>22</v>
      </c>
      <c r="AH34" s="216"/>
      <c r="AI34" s="252">
        <f>3.14*AG34/2*AG34/2*AF34*7860/1000000000</f>
        <v>0.2374131078</v>
      </c>
      <c r="AJ34" s="253">
        <f>AB34/AI34</f>
        <v>0.90138241305647071</v>
      </c>
      <c r="AK34" s="216"/>
      <c r="AL34" s="252"/>
      <c r="AM34" s="256"/>
      <c r="AN34" s="256"/>
      <c r="AO34" s="261"/>
      <c r="AP34" s="261"/>
      <c r="AQ34" s="295"/>
      <c r="AR34" s="296">
        <f>AB34*15</f>
        <v>3.21</v>
      </c>
      <c r="AS34" s="297"/>
      <c r="AT34" s="400"/>
      <c r="AU34" s="287" t="e">
        <f t="shared" si="23"/>
        <v>#DIV/0!</v>
      </c>
      <c r="AV34" s="411"/>
      <c r="AW34" s="287">
        <f t="shared" si="24"/>
        <v>0</v>
      </c>
      <c r="AX34" s="326" t="e">
        <f t="shared" si="25"/>
        <v>#DIV/0!</v>
      </c>
      <c r="AY34" s="331"/>
      <c r="AZ34" s="325">
        <v>1</v>
      </c>
      <c r="BA34" s="332">
        <v>1</v>
      </c>
      <c r="BB34" s="330">
        <f t="shared" si="28"/>
        <v>0</v>
      </c>
      <c r="BC34" s="330">
        <f t="shared" si="29"/>
        <v>0</v>
      </c>
      <c r="BD34" s="332"/>
      <c r="BE34" s="332"/>
      <c r="BF34" s="332"/>
      <c r="BG34" s="332"/>
      <c r="BH34" s="343"/>
      <c r="BI34" s="343"/>
      <c r="BJ34" s="496"/>
      <c r="BK34" s="499"/>
      <c r="BL34" s="499"/>
      <c r="BM34" s="622"/>
      <c r="BN34" s="511"/>
      <c r="BO34" s="534"/>
    </row>
    <row r="35" spans="1:68" s="133" customFormat="1" ht="39.9" customHeight="1" x14ac:dyDescent="0.25">
      <c r="A35" s="150">
        <v>68</v>
      </c>
      <c r="B35" s="159"/>
      <c r="C35" s="156"/>
      <c r="D35" s="158">
        <v>2</v>
      </c>
      <c r="E35" s="158"/>
      <c r="F35" s="158"/>
      <c r="G35" s="156"/>
      <c r="H35" s="156"/>
      <c r="I35" s="156"/>
      <c r="J35" s="151"/>
      <c r="K35" s="151"/>
      <c r="L35" s="151"/>
      <c r="M35" s="173" t="s">
        <v>215</v>
      </c>
      <c r="N35" s="157" t="s">
        <v>216</v>
      </c>
      <c r="O35" s="184" t="s">
        <v>217</v>
      </c>
      <c r="P35" s="158"/>
      <c r="Q35" s="159" t="s">
        <v>79</v>
      </c>
      <c r="R35" s="201"/>
      <c r="S35" s="169" t="s">
        <v>80</v>
      </c>
      <c r="T35" s="173" t="s">
        <v>81</v>
      </c>
      <c r="U35" s="169" t="s">
        <v>82</v>
      </c>
      <c r="V35" s="169" t="s">
        <v>83</v>
      </c>
      <c r="W35" s="169" t="s">
        <v>84</v>
      </c>
      <c r="X35" s="159" t="s">
        <v>149</v>
      </c>
      <c r="Y35" s="156" t="s">
        <v>218</v>
      </c>
      <c r="Z35" s="237" t="s">
        <v>219</v>
      </c>
      <c r="AA35" s="197" t="s">
        <v>220</v>
      </c>
      <c r="AB35" s="214">
        <v>1.0999999999999999E-2</v>
      </c>
      <c r="AC35" s="169" t="s">
        <v>82</v>
      </c>
      <c r="AD35" s="215" t="s">
        <v>149</v>
      </c>
      <c r="AE35" s="215"/>
      <c r="AF35" s="216">
        <v>10</v>
      </c>
      <c r="AG35" s="216">
        <v>16</v>
      </c>
      <c r="AH35" s="216"/>
      <c r="AI35" s="252">
        <f>3.14*AG35/2*AG35/2*AF35*7860/1000000000</f>
        <v>1.5795456000000003E-2</v>
      </c>
      <c r="AJ35" s="253">
        <f>AB35/AI35</f>
        <v>0.69640281356866163</v>
      </c>
      <c r="AK35" s="216"/>
      <c r="AL35" s="252"/>
      <c r="AM35" s="256"/>
      <c r="AN35" s="256"/>
      <c r="AO35" s="261"/>
      <c r="AP35" s="261"/>
      <c r="AQ35" s="295"/>
      <c r="AR35" s="296">
        <f>AB35*20</f>
        <v>0.21999999999999997</v>
      </c>
      <c r="AS35" s="297"/>
      <c r="AT35" s="400"/>
      <c r="AU35" s="287" t="e">
        <f t="shared" si="23"/>
        <v>#DIV/0!</v>
      </c>
      <c r="AV35" s="411"/>
      <c r="AW35" s="287">
        <f t="shared" si="24"/>
        <v>0</v>
      </c>
      <c r="AX35" s="326" t="e">
        <f t="shared" si="25"/>
        <v>#DIV/0!</v>
      </c>
      <c r="AY35" s="331"/>
      <c r="AZ35" s="325">
        <v>2</v>
      </c>
      <c r="BA35" s="332">
        <v>2</v>
      </c>
      <c r="BB35" s="330">
        <f t="shared" si="28"/>
        <v>0</v>
      </c>
      <c r="BC35" s="330">
        <f t="shared" si="29"/>
        <v>0</v>
      </c>
      <c r="BD35" s="332"/>
      <c r="BE35" s="332"/>
      <c r="BF35" s="332"/>
      <c r="BG35" s="332"/>
      <c r="BH35" s="343"/>
      <c r="BI35" s="343"/>
      <c r="BJ35" s="496"/>
      <c r="BK35" s="500"/>
      <c r="BL35" s="500"/>
      <c r="BM35" s="623"/>
      <c r="BN35" s="512"/>
      <c r="BO35" s="535"/>
    </row>
    <row r="36" spans="1:68" s="138" customFormat="1" ht="31.2" x14ac:dyDescent="0.25">
      <c r="A36" s="150">
        <v>72</v>
      </c>
      <c r="B36" s="159"/>
      <c r="C36" s="156"/>
      <c r="D36" s="156">
        <v>2</v>
      </c>
      <c r="E36" s="158"/>
      <c r="F36" s="158"/>
      <c r="G36" s="156"/>
      <c r="H36" s="156"/>
      <c r="I36" s="156"/>
      <c r="J36" s="151"/>
      <c r="K36" s="170"/>
      <c r="L36" s="192" t="s">
        <v>221</v>
      </c>
      <c r="M36" s="179" t="s">
        <v>221</v>
      </c>
      <c r="N36" s="180" t="s">
        <v>222</v>
      </c>
      <c r="O36" s="184" t="s">
        <v>223</v>
      </c>
      <c r="P36" s="158"/>
      <c r="Q36" s="159" t="s">
        <v>79</v>
      </c>
      <c r="R36" s="201"/>
      <c r="S36" s="169" t="s">
        <v>80</v>
      </c>
      <c r="T36" s="173" t="s">
        <v>221</v>
      </c>
      <c r="U36" s="173" t="s">
        <v>80</v>
      </c>
      <c r="V36" s="169" t="s">
        <v>84</v>
      </c>
      <c r="W36" s="169" t="s">
        <v>83</v>
      </c>
      <c r="X36" s="159" t="s">
        <v>85</v>
      </c>
      <c r="Y36" s="173" t="s">
        <v>86</v>
      </c>
      <c r="Z36" s="173" t="s">
        <v>82</v>
      </c>
      <c r="AA36" s="165" t="s">
        <v>82</v>
      </c>
      <c r="AB36" s="228">
        <v>1.629</v>
      </c>
      <c r="AC36" s="151" t="s">
        <v>180</v>
      </c>
      <c r="AD36" s="235"/>
      <c r="AE36" s="235"/>
      <c r="AF36" s="230"/>
      <c r="AG36" s="230"/>
      <c r="AH36" s="230"/>
      <c r="AI36" s="260"/>
      <c r="AJ36" s="269"/>
      <c r="AK36" s="230"/>
      <c r="AL36" s="260"/>
      <c r="AM36" s="259" t="s">
        <v>88</v>
      </c>
      <c r="AN36" s="259" t="s">
        <v>224</v>
      </c>
      <c r="AO36" s="259"/>
      <c r="AP36" s="259">
        <v>1.498</v>
      </c>
      <c r="AQ36" s="292"/>
      <c r="AR36" s="293"/>
      <c r="AS36" s="294"/>
      <c r="AT36" s="399">
        <v>20</v>
      </c>
      <c r="AU36" s="287">
        <f t="shared" si="23"/>
        <v>22.363150867823766</v>
      </c>
      <c r="AV36" s="409">
        <v>33.5</v>
      </c>
      <c r="AW36" s="287">
        <f t="shared" si="24"/>
        <v>13.5</v>
      </c>
      <c r="AX36" s="326">
        <f t="shared" si="25"/>
        <v>0.40298507462686567</v>
      </c>
      <c r="AY36" s="331" t="s">
        <v>225</v>
      </c>
      <c r="AZ36" s="325">
        <v>1</v>
      </c>
      <c r="BA36" s="332">
        <v>1</v>
      </c>
      <c r="BB36" s="330">
        <f t="shared" ref="BB36:BB67" si="30">AV36*AZ36</f>
        <v>33.5</v>
      </c>
      <c r="BC36" s="330">
        <f t="shared" ref="BC36:BC67" si="31">AV36*BA36</f>
        <v>33.5</v>
      </c>
      <c r="BD36" s="332"/>
      <c r="BE36" s="332"/>
      <c r="BF36" s="332"/>
      <c r="BG36" s="332"/>
      <c r="BH36" s="343"/>
      <c r="BI36" s="343"/>
      <c r="BJ36" s="439" t="s">
        <v>157</v>
      </c>
      <c r="BK36" s="446" t="s">
        <v>226</v>
      </c>
      <c r="BL36" s="435">
        <v>44666</v>
      </c>
      <c r="BM36" s="345"/>
      <c r="BN36" s="345"/>
      <c r="BO36" s="437" t="s">
        <v>750</v>
      </c>
    </row>
    <row r="37" spans="1:68" s="138" customFormat="1" ht="31.2" x14ac:dyDescent="0.25">
      <c r="A37" s="150">
        <v>73</v>
      </c>
      <c r="B37" s="159"/>
      <c r="C37" s="156"/>
      <c r="D37" s="156">
        <v>2</v>
      </c>
      <c r="E37" s="158"/>
      <c r="F37" s="158"/>
      <c r="G37" s="156"/>
      <c r="H37" s="156"/>
      <c r="I37" s="156"/>
      <c r="J37" s="151"/>
      <c r="K37" s="170"/>
      <c r="L37" s="192" t="s">
        <v>227</v>
      </c>
      <c r="M37" s="179" t="s">
        <v>228</v>
      </c>
      <c r="N37" s="180" t="s">
        <v>229</v>
      </c>
      <c r="O37" s="184" t="s">
        <v>153</v>
      </c>
      <c r="P37" s="158"/>
      <c r="Q37" s="159" t="s">
        <v>79</v>
      </c>
      <c r="R37" s="201"/>
      <c r="S37" s="169" t="s">
        <v>121</v>
      </c>
      <c r="T37" s="173" t="s">
        <v>81</v>
      </c>
      <c r="U37" s="173" t="s">
        <v>82</v>
      </c>
      <c r="V37" s="169" t="s">
        <v>83</v>
      </c>
      <c r="W37" s="169" t="s">
        <v>84</v>
      </c>
      <c r="X37" s="159" t="s">
        <v>85</v>
      </c>
      <c r="Y37" s="173" t="s">
        <v>86</v>
      </c>
      <c r="Z37" s="173" t="s">
        <v>82</v>
      </c>
      <c r="AA37" s="165" t="s">
        <v>82</v>
      </c>
      <c r="AB37" s="228">
        <v>1.526</v>
      </c>
      <c r="AC37" s="151" t="s">
        <v>180</v>
      </c>
      <c r="AD37" s="235"/>
      <c r="AE37" s="235"/>
      <c r="AF37" s="230"/>
      <c r="AG37" s="230"/>
      <c r="AH37" s="230"/>
      <c r="AI37" s="260"/>
      <c r="AJ37" s="269"/>
      <c r="AK37" s="230"/>
      <c r="AL37" s="260"/>
      <c r="AM37" s="259" t="s">
        <v>88</v>
      </c>
      <c r="AN37" s="259" t="s">
        <v>224</v>
      </c>
      <c r="AO37" s="259"/>
      <c r="AP37" s="259"/>
      <c r="AQ37" s="292"/>
      <c r="AR37" s="293"/>
      <c r="AS37" s="294"/>
      <c r="AT37" s="399">
        <v>20</v>
      </c>
      <c r="AU37" s="287" t="e">
        <f t="shared" si="23"/>
        <v>#DIV/0!</v>
      </c>
      <c r="AV37" s="409">
        <v>33.5</v>
      </c>
      <c r="AW37" s="287">
        <f t="shared" si="24"/>
        <v>13.5</v>
      </c>
      <c r="AX37" s="326">
        <f t="shared" si="25"/>
        <v>0.40298507462686567</v>
      </c>
      <c r="AY37" s="331" t="s">
        <v>225</v>
      </c>
      <c r="AZ37" s="325">
        <v>1</v>
      </c>
      <c r="BA37" s="332">
        <v>1</v>
      </c>
      <c r="BB37" s="330">
        <f t="shared" si="30"/>
        <v>33.5</v>
      </c>
      <c r="BC37" s="330">
        <f t="shared" si="31"/>
        <v>33.5</v>
      </c>
      <c r="BD37" s="332"/>
      <c r="BE37" s="332"/>
      <c r="BF37" s="332"/>
      <c r="BG37" s="332"/>
      <c r="BH37" s="343"/>
      <c r="BI37" s="343"/>
      <c r="BJ37" s="440"/>
      <c r="BK37" s="447"/>
      <c r="BL37" s="436"/>
      <c r="BM37" s="345"/>
      <c r="BN37" s="345"/>
      <c r="BO37" s="438"/>
    </row>
    <row r="38" spans="1:68" s="135" customFormat="1" ht="39.9" customHeight="1" x14ac:dyDescent="0.25">
      <c r="A38" s="150">
        <v>77</v>
      </c>
      <c r="B38" s="159"/>
      <c r="C38" s="159"/>
      <c r="D38" s="159"/>
      <c r="E38" s="159"/>
      <c r="F38" s="159">
        <v>4</v>
      </c>
      <c r="G38" s="159"/>
      <c r="H38" s="159"/>
      <c r="I38" s="159"/>
      <c r="J38" s="159"/>
      <c r="K38" s="159"/>
      <c r="L38" s="151" t="s">
        <v>230</v>
      </c>
      <c r="M38" s="151" t="s">
        <v>230</v>
      </c>
      <c r="N38" s="170" t="s">
        <v>231</v>
      </c>
      <c r="O38" s="193"/>
      <c r="P38" s="194" t="s">
        <v>80</v>
      </c>
      <c r="Q38" s="206" t="s">
        <v>232</v>
      </c>
      <c r="R38" s="207"/>
      <c r="S38" s="208" t="s">
        <v>80</v>
      </c>
      <c r="T38" s="209"/>
      <c r="U38" s="210"/>
      <c r="V38" s="198" t="s">
        <v>84</v>
      </c>
      <c r="W38" s="198" t="s">
        <v>83</v>
      </c>
      <c r="X38" s="198" t="s">
        <v>233</v>
      </c>
      <c r="Y38" s="238" t="s">
        <v>86</v>
      </c>
      <c r="Z38" s="238"/>
      <c r="AA38" s="239"/>
      <c r="AB38" s="240">
        <f>AB39+AB44+AB45+AB46+AB47</f>
        <v>5.0601000000000012</v>
      </c>
      <c r="AC38" s="172" t="s">
        <v>202</v>
      </c>
      <c r="AD38" s="241" t="s">
        <v>87</v>
      </c>
      <c r="AE38" s="241"/>
      <c r="AF38" s="242"/>
      <c r="AG38" s="242"/>
      <c r="AH38" s="242"/>
      <c r="AI38" s="241"/>
      <c r="AJ38" s="255"/>
      <c r="AK38" s="242">
        <v>83</v>
      </c>
      <c r="AL38" s="241"/>
      <c r="AM38" s="271" t="s">
        <v>88</v>
      </c>
      <c r="AN38" s="272" t="s">
        <v>234</v>
      </c>
      <c r="AO38" s="272"/>
      <c r="AP38" s="272">
        <v>5.0599999999999996</v>
      </c>
      <c r="AQ38" s="172"/>
      <c r="AR38" s="309">
        <f>AR40+AR41+AR42+AR43*2+AR44+AR45+AR46+AR47</f>
        <v>38.671054118400001</v>
      </c>
      <c r="AS38" s="310">
        <v>1.3</v>
      </c>
      <c r="AT38" s="402">
        <f>AR38*AS38</f>
        <v>50.272370353920003</v>
      </c>
      <c r="AU38" s="287">
        <f t="shared" si="23"/>
        <v>13.203557312252972</v>
      </c>
      <c r="AV38" s="413">
        <f>69.8664159295487-BG38</f>
        <v>66.810000000000031</v>
      </c>
      <c r="AW38" s="287">
        <f t="shared" si="24"/>
        <v>16.537629646080028</v>
      </c>
      <c r="AX38" s="326">
        <f t="shared" si="25"/>
        <v>0.24753225035294146</v>
      </c>
      <c r="AY38" s="151"/>
      <c r="AZ38" s="338">
        <v>1</v>
      </c>
      <c r="BA38" s="338">
        <v>1</v>
      </c>
      <c r="BB38" s="330">
        <f t="shared" si="30"/>
        <v>66.810000000000031</v>
      </c>
      <c r="BC38" s="330">
        <f t="shared" si="31"/>
        <v>66.810000000000031</v>
      </c>
      <c r="BD38" s="338"/>
      <c r="BE38" s="338"/>
      <c r="BF38" s="338"/>
      <c r="BG38" s="338">
        <v>3.0564159295486699</v>
      </c>
      <c r="BH38" s="343">
        <f t="shared" ref="BH38:BH47" si="32">AV38*BA38</f>
        <v>66.810000000000031</v>
      </c>
      <c r="BI38" s="343">
        <f>AT38*BA38</f>
        <v>50.272370353920003</v>
      </c>
      <c r="BJ38" s="496" t="s">
        <v>157</v>
      </c>
      <c r="BK38" s="446" t="s">
        <v>91</v>
      </c>
      <c r="BL38" s="435">
        <v>44666</v>
      </c>
      <c r="BM38" s="446">
        <v>66.81</v>
      </c>
      <c r="BN38" s="527" t="s">
        <v>709</v>
      </c>
      <c r="BO38" s="530" t="s">
        <v>712</v>
      </c>
      <c r="BP38" s="351"/>
    </row>
    <row r="39" spans="1:68" s="135" customFormat="1" ht="39.9" customHeight="1" x14ac:dyDescent="0.25">
      <c r="A39" s="150">
        <v>78</v>
      </c>
      <c r="B39" s="159"/>
      <c r="C39" s="159"/>
      <c r="D39" s="159"/>
      <c r="E39" s="159"/>
      <c r="F39" s="159"/>
      <c r="G39" s="159">
        <v>5</v>
      </c>
      <c r="H39" s="159"/>
      <c r="I39" s="159"/>
      <c r="J39" s="159"/>
      <c r="K39" s="159"/>
      <c r="L39" s="151"/>
      <c r="M39" s="151" t="s">
        <v>235</v>
      </c>
      <c r="N39" s="170" t="s">
        <v>236</v>
      </c>
      <c r="O39" s="193"/>
      <c r="P39" s="194" t="s">
        <v>80</v>
      </c>
      <c r="Q39" s="206" t="s">
        <v>232</v>
      </c>
      <c r="R39" s="207"/>
      <c r="S39" s="208"/>
      <c r="T39" s="209"/>
      <c r="U39" s="210"/>
      <c r="V39" s="198" t="s">
        <v>84</v>
      </c>
      <c r="W39" s="198" t="s">
        <v>83</v>
      </c>
      <c r="X39" s="198" t="s">
        <v>233</v>
      </c>
      <c r="Y39" s="238" t="s">
        <v>86</v>
      </c>
      <c r="Z39" s="238"/>
      <c r="AA39" s="239"/>
      <c r="AB39" s="243">
        <f>AB40+AB41+AB42+AB43*2</f>
        <v>3.3241000000000001</v>
      </c>
      <c r="AC39" s="172"/>
      <c r="AD39" s="241" t="s">
        <v>87</v>
      </c>
      <c r="AE39" s="241"/>
      <c r="AF39" s="242"/>
      <c r="AG39" s="242"/>
      <c r="AH39" s="242"/>
      <c r="AI39" s="241"/>
      <c r="AJ39" s="255"/>
      <c r="AK39" s="242">
        <v>16</v>
      </c>
      <c r="AL39" s="241"/>
      <c r="AM39" s="273"/>
      <c r="AN39" s="274"/>
      <c r="AO39" s="272"/>
      <c r="AP39" s="272"/>
      <c r="AQ39" s="172"/>
      <c r="AR39" s="309"/>
      <c r="AS39" s="310"/>
      <c r="AT39" s="402"/>
      <c r="AU39" s="287" t="e">
        <f t="shared" si="23"/>
        <v>#DIV/0!</v>
      </c>
      <c r="AV39" s="413"/>
      <c r="AW39" s="287">
        <f t="shared" si="24"/>
        <v>0</v>
      </c>
      <c r="AX39" s="326" t="e">
        <f t="shared" si="25"/>
        <v>#DIV/0!</v>
      </c>
      <c r="AY39" s="151"/>
      <c r="AZ39" s="338">
        <v>1</v>
      </c>
      <c r="BA39" s="338">
        <v>1</v>
      </c>
      <c r="BB39" s="330">
        <f t="shared" si="30"/>
        <v>0</v>
      </c>
      <c r="BC39" s="330">
        <f t="shared" si="31"/>
        <v>0</v>
      </c>
      <c r="BD39" s="338"/>
      <c r="BE39" s="338"/>
      <c r="BF39" s="338"/>
      <c r="BG39" s="338"/>
      <c r="BH39" s="343">
        <f t="shared" si="32"/>
        <v>0</v>
      </c>
      <c r="BI39" s="343"/>
      <c r="BJ39" s="496"/>
      <c r="BK39" s="495"/>
      <c r="BL39" s="495"/>
      <c r="BM39" s="495"/>
      <c r="BN39" s="528"/>
      <c r="BO39" s="531"/>
    </row>
    <row r="40" spans="1:68" s="135" customFormat="1" ht="39.9" customHeight="1" x14ac:dyDescent="0.25">
      <c r="A40" s="150">
        <v>79</v>
      </c>
      <c r="B40" s="159"/>
      <c r="C40" s="159"/>
      <c r="D40" s="159"/>
      <c r="E40" s="159"/>
      <c r="F40" s="159"/>
      <c r="G40" s="159"/>
      <c r="H40" s="159">
        <v>6</v>
      </c>
      <c r="I40" s="159"/>
      <c r="J40" s="159"/>
      <c r="K40" s="159"/>
      <c r="L40" s="151"/>
      <c r="M40" s="151" t="s">
        <v>237</v>
      </c>
      <c r="N40" s="170" t="s">
        <v>238</v>
      </c>
      <c r="O40" s="193"/>
      <c r="P40" s="194" t="s">
        <v>80</v>
      </c>
      <c r="Q40" s="206" t="s">
        <v>232</v>
      </c>
      <c r="R40" s="207"/>
      <c r="S40" s="208" t="s">
        <v>80</v>
      </c>
      <c r="T40" s="209"/>
      <c r="U40" s="210"/>
      <c r="V40" s="198" t="s">
        <v>84</v>
      </c>
      <c r="W40" s="198" t="s">
        <v>83</v>
      </c>
      <c r="X40" s="198" t="s">
        <v>93</v>
      </c>
      <c r="Y40" s="244" t="s">
        <v>239</v>
      </c>
      <c r="Z40" s="244" t="s">
        <v>240</v>
      </c>
      <c r="AA40" s="239"/>
      <c r="AB40" s="243">
        <v>3.0819999999999999</v>
      </c>
      <c r="AC40" s="172" t="s">
        <v>202</v>
      </c>
      <c r="AD40" s="241" t="s">
        <v>97</v>
      </c>
      <c r="AE40" s="241" t="s">
        <v>241</v>
      </c>
      <c r="AF40" s="242">
        <v>516</v>
      </c>
      <c r="AG40" s="242">
        <v>295</v>
      </c>
      <c r="AH40" s="242">
        <v>3</v>
      </c>
      <c r="AI40" s="241">
        <f t="shared" ref="AI40:AI47" si="33">AF40*AG40*AH40*7860/1000000000</f>
        <v>3.5893476</v>
      </c>
      <c r="AJ40" s="255">
        <f t="shared" ref="AJ40:AJ47" si="34">AB40/AI40</f>
        <v>0.85865186197068233</v>
      </c>
      <c r="AK40" s="242"/>
      <c r="AL40" s="241"/>
      <c r="AM40" s="273"/>
      <c r="AN40" s="274"/>
      <c r="AO40" s="272"/>
      <c r="AP40" s="272">
        <v>2.9319999999999999</v>
      </c>
      <c r="AQ40" s="172">
        <v>6.11</v>
      </c>
      <c r="AR40" s="296">
        <f>AI40*AQ40</f>
        <v>21.930913836000002</v>
      </c>
      <c r="AS40" s="310"/>
      <c r="AT40" s="402"/>
      <c r="AU40" s="287">
        <f t="shared" si="23"/>
        <v>0</v>
      </c>
      <c r="AV40" s="413"/>
      <c r="AW40" s="287">
        <f t="shared" si="24"/>
        <v>0</v>
      </c>
      <c r="AX40" s="326" t="e">
        <f t="shared" si="25"/>
        <v>#DIV/0!</v>
      </c>
      <c r="AY40" s="151"/>
      <c r="AZ40" s="338">
        <v>1</v>
      </c>
      <c r="BA40" s="338">
        <v>1</v>
      </c>
      <c r="BB40" s="330">
        <f t="shared" si="30"/>
        <v>0</v>
      </c>
      <c r="BC40" s="330">
        <f t="shared" si="31"/>
        <v>0</v>
      </c>
      <c r="BD40" s="338"/>
      <c r="BE40" s="338"/>
      <c r="BF40" s="338"/>
      <c r="BG40" s="338"/>
      <c r="BH40" s="343">
        <f t="shared" si="32"/>
        <v>0</v>
      </c>
      <c r="BI40" s="343"/>
      <c r="BJ40" s="496"/>
      <c r="BK40" s="495"/>
      <c r="BL40" s="495"/>
      <c r="BM40" s="495"/>
      <c r="BN40" s="528"/>
      <c r="BO40" s="531"/>
    </row>
    <row r="41" spans="1:68" s="135" customFormat="1" ht="39.9" customHeight="1" x14ac:dyDescent="0.25">
      <c r="A41" s="150">
        <v>80</v>
      </c>
      <c r="B41" s="159"/>
      <c r="C41" s="159"/>
      <c r="D41" s="159"/>
      <c r="E41" s="159"/>
      <c r="F41" s="159"/>
      <c r="G41" s="159"/>
      <c r="H41" s="159">
        <v>6</v>
      </c>
      <c r="I41" s="159"/>
      <c r="J41" s="159"/>
      <c r="K41" s="159"/>
      <c r="L41" s="151"/>
      <c r="M41" s="151" t="s">
        <v>242</v>
      </c>
      <c r="N41" s="170" t="s">
        <v>243</v>
      </c>
      <c r="O41" s="195"/>
      <c r="P41" s="194" t="s">
        <v>80</v>
      </c>
      <c r="Q41" s="206" t="s">
        <v>232</v>
      </c>
      <c r="R41" s="207"/>
      <c r="S41" s="208" t="s">
        <v>80</v>
      </c>
      <c r="T41" s="209"/>
      <c r="U41" s="210"/>
      <c r="V41" s="198" t="s">
        <v>84</v>
      </c>
      <c r="W41" s="198" t="s">
        <v>83</v>
      </c>
      <c r="X41" s="198" t="s">
        <v>93</v>
      </c>
      <c r="Y41" s="244" t="s">
        <v>244</v>
      </c>
      <c r="Z41" s="244"/>
      <c r="AA41" s="239"/>
      <c r="AB41" s="245">
        <v>3.5999999999999997E-2</v>
      </c>
      <c r="AC41" s="172" t="s">
        <v>202</v>
      </c>
      <c r="AD41" s="241" t="s">
        <v>97</v>
      </c>
      <c r="AE41" s="241" t="s">
        <v>245</v>
      </c>
      <c r="AF41" s="242">
        <v>88</v>
      </c>
      <c r="AG41" s="242">
        <v>33</v>
      </c>
      <c r="AH41" s="242">
        <v>3</v>
      </c>
      <c r="AI41" s="241">
        <f t="shared" si="33"/>
        <v>6.8476319999999993E-2</v>
      </c>
      <c r="AJ41" s="255">
        <f t="shared" si="34"/>
        <v>0.52572918638151112</v>
      </c>
      <c r="AK41" s="242"/>
      <c r="AL41" s="241"/>
      <c r="AM41" s="273"/>
      <c r="AN41" s="274"/>
      <c r="AO41" s="272"/>
      <c r="AP41" s="272"/>
      <c r="AQ41" s="172">
        <v>6.02</v>
      </c>
      <c r="AR41" s="296">
        <f t="shared" ref="AR41:AR47" si="35">AI41*AQ41</f>
        <v>0.41222744639999992</v>
      </c>
      <c r="AS41" s="310"/>
      <c r="AT41" s="402"/>
      <c r="AU41" s="287" t="e">
        <f t="shared" si="23"/>
        <v>#DIV/0!</v>
      </c>
      <c r="AV41" s="413"/>
      <c r="AW41" s="287">
        <f t="shared" si="24"/>
        <v>0</v>
      </c>
      <c r="AX41" s="326" t="e">
        <f t="shared" si="25"/>
        <v>#DIV/0!</v>
      </c>
      <c r="AY41" s="151"/>
      <c r="AZ41" s="338">
        <v>1</v>
      </c>
      <c r="BA41" s="338">
        <v>1</v>
      </c>
      <c r="BB41" s="330">
        <f t="shared" si="30"/>
        <v>0</v>
      </c>
      <c r="BC41" s="330">
        <f t="shared" si="31"/>
        <v>0</v>
      </c>
      <c r="BD41" s="338"/>
      <c r="BE41" s="338"/>
      <c r="BF41" s="338"/>
      <c r="BG41" s="338"/>
      <c r="BH41" s="343">
        <f t="shared" si="32"/>
        <v>0</v>
      </c>
      <c r="BI41" s="343"/>
      <c r="BJ41" s="496"/>
      <c r="BK41" s="495"/>
      <c r="BL41" s="495"/>
      <c r="BM41" s="495"/>
      <c r="BN41" s="528"/>
      <c r="BO41" s="531"/>
    </row>
    <row r="42" spans="1:68" s="135" customFormat="1" ht="39.9" customHeight="1" x14ac:dyDescent="0.25">
      <c r="A42" s="150">
        <v>81</v>
      </c>
      <c r="B42" s="159"/>
      <c r="C42" s="159"/>
      <c r="D42" s="159"/>
      <c r="E42" s="159"/>
      <c r="F42" s="159"/>
      <c r="G42" s="159"/>
      <c r="H42" s="159">
        <v>6</v>
      </c>
      <c r="I42" s="159"/>
      <c r="J42" s="159"/>
      <c r="K42" s="159"/>
      <c r="L42" s="151"/>
      <c r="M42" s="151" t="s">
        <v>246</v>
      </c>
      <c r="N42" s="170" t="s">
        <v>247</v>
      </c>
      <c r="O42" s="193"/>
      <c r="P42" s="194" t="s">
        <v>80</v>
      </c>
      <c r="Q42" s="206" t="s">
        <v>232</v>
      </c>
      <c r="R42" s="207"/>
      <c r="S42" s="208" t="s">
        <v>80</v>
      </c>
      <c r="T42" s="209"/>
      <c r="U42" s="210"/>
      <c r="V42" s="198" t="s">
        <v>84</v>
      </c>
      <c r="W42" s="198" t="s">
        <v>83</v>
      </c>
      <c r="X42" s="198" t="s">
        <v>93</v>
      </c>
      <c r="Y42" s="244" t="s">
        <v>248</v>
      </c>
      <c r="Z42" s="244"/>
      <c r="AA42" s="246"/>
      <c r="AB42" s="243">
        <v>1.01E-2</v>
      </c>
      <c r="AC42" s="172" t="s">
        <v>202</v>
      </c>
      <c r="AD42" s="241" t="s">
        <v>97</v>
      </c>
      <c r="AE42" s="241" t="s">
        <v>249</v>
      </c>
      <c r="AF42" s="242">
        <v>61</v>
      </c>
      <c r="AG42" s="242">
        <v>19</v>
      </c>
      <c r="AH42" s="242">
        <v>2</v>
      </c>
      <c r="AI42" s="241">
        <f t="shared" si="33"/>
        <v>1.821948E-2</v>
      </c>
      <c r="AJ42" s="255">
        <f t="shared" si="34"/>
        <v>0.55435171585577636</v>
      </c>
      <c r="AK42" s="242"/>
      <c r="AL42" s="241"/>
      <c r="AM42" s="273"/>
      <c r="AN42" s="274"/>
      <c r="AO42" s="272"/>
      <c r="AP42" s="272"/>
      <c r="AQ42" s="172">
        <v>6.02</v>
      </c>
      <c r="AR42" s="296">
        <f t="shared" si="35"/>
        <v>0.10968126959999999</v>
      </c>
      <c r="AS42" s="310"/>
      <c r="AT42" s="402"/>
      <c r="AU42" s="287" t="e">
        <f t="shared" si="23"/>
        <v>#DIV/0!</v>
      </c>
      <c r="AV42" s="413"/>
      <c r="AW42" s="287">
        <f t="shared" si="24"/>
        <v>0</v>
      </c>
      <c r="AX42" s="326" t="e">
        <f t="shared" si="25"/>
        <v>#DIV/0!</v>
      </c>
      <c r="AY42" s="151"/>
      <c r="AZ42" s="338">
        <v>1</v>
      </c>
      <c r="BA42" s="338">
        <v>1</v>
      </c>
      <c r="BB42" s="330">
        <f t="shared" si="30"/>
        <v>0</v>
      </c>
      <c r="BC42" s="330">
        <f t="shared" si="31"/>
        <v>0</v>
      </c>
      <c r="BD42" s="338"/>
      <c r="BE42" s="338"/>
      <c r="BF42" s="338"/>
      <c r="BG42" s="338"/>
      <c r="BH42" s="343">
        <f t="shared" si="32"/>
        <v>0</v>
      </c>
      <c r="BI42" s="343"/>
      <c r="BJ42" s="496"/>
      <c r="BK42" s="495"/>
      <c r="BL42" s="495"/>
      <c r="BM42" s="495"/>
      <c r="BN42" s="528"/>
      <c r="BO42" s="531"/>
    </row>
    <row r="43" spans="1:68" s="135" customFormat="1" ht="39.9" customHeight="1" x14ac:dyDescent="0.25">
      <c r="A43" s="150">
        <v>82</v>
      </c>
      <c r="B43" s="159"/>
      <c r="C43" s="159"/>
      <c r="D43" s="159"/>
      <c r="E43" s="159"/>
      <c r="F43" s="159"/>
      <c r="G43" s="159"/>
      <c r="H43" s="159">
        <v>6</v>
      </c>
      <c r="I43" s="159"/>
      <c r="J43" s="159"/>
      <c r="K43" s="159"/>
      <c r="L43" s="151"/>
      <c r="M43" s="151" t="s">
        <v>250</v>
      </c>
      <c r="N43" s="170" t="s">
        <v>251</v>
      </c>
      <c r="O43" s="193"/>
      <c r="P43" s="194" t="s">
        <v>80</v>
      </c>
      <c r="Q43" s="206" t="s">
        <v>232</v>
      </c>
      <c r="R43" s="207"/>
      <c r="S43" s="208" t="s">
        <v>80</v>
      </c>
      <c r="T43" s="209"/>
      <c r="U43" s="210"/>
      <c r="V43" s="198" t="s">
        <v>84</v>
      </c>
      <c r="W43" s="198" t="s">
        <v>83</v>
      </c>
      <c r="X43" s="198" t="s">
        <v>93</v>
      </c>
      <c r="Y43" s="244" t="s">
        <v>244</v>
      </c>
      <c r="Z43" s="244"/>
      <c r="AA43" s="239"/>
      <c r="AB43" s="243">
        <v>9.8000000000000004E-2</v>
      </c>
      <c r="AC43" s="172" t="s">
        <v>202</v>
      </c>
      <c r="AD43" s="241" t="s">
        <v>97</v>
      </c>
      <c r="AE43" s="241" t="s">
        <v>252</v>
      </c>
      <c r="AF43" s="242">
        <v>86</v>
      </c>
      <c r="AG43" s="242">
        <v>77</v>
      </c>
      <c r="AH43" s="242">
        <v>3</v>
      </c>
      <c r="AI43" s="241">
        <f t="shared" si="33"/>
        <v>0.15614676</v>
      </c>
      <c r="AJ43" s="255">
        <f t="shared" si="34"/>
        <v>0.62761468761823813</v>
      </c>
      <c r="AK43" s="242"/>
      <c r="AL43" s="241"/>
      <c r="AM43" s="273"/>
      <c r="AN43" s="274"/>
      <c r="AO43" s="272"/>
      <c r="AP43" s="272">
        <v>9.5000000000000001E-2</v>
      </c>
      <c r="AQ43" s="172">
        <v>6.02</v>
      </c>
      <c r="AR43" s="296">
        <f t="shared" si="35"/>
        <v>0.94000349519999993</v>
      </c>
      <c r="AS43" s="310"/>
      <c r="AT43" s="402"/>
      <c r="AU43" s="287">
        <f t="shared" si="23"/>
        <v>0</v>
      </c>
      <c r="AV43" s="413"/>
      <c r="AW43" s="287">
        <f t="shared" si="24"/>
        <v>0</v>
      </c>
      <c r="AX43" s="326" t="e">
        <f t="shared" si="25"/>
        <v>#DIV/0!</v>
      </c>
      <c r="AY43" s="151"/>
      <c r="AZ43" s="338">
        <v>2</v>
      </c>
      <c r="BA43" s="338">
        <v>2</v>
      </c>
      <c r="BB43" s="330">
        <f t="shared" si="30"/>
        <v>0</v>
      </c>
      <c r="BC43" s="330">
        <f t="shared" si="31"/>
        <v>0</v>
      </c>
      <c r="BD43" s="338"/>
      <c r="BE43" s="338"/>
      <c r="BF43" s="338"/>
      <c r="BG43" s="338"/>
      <c r="BH43" s="343">
        <f t="shared" si="32"/>
        <v>0</v>
      </c>
      <c r="BI43" s="343"/>
      <c r="BJ43" s="496"/>
      <c r="BK43" s="495"/>
      <c r="BL43" s="495"/>
      <c r="BM43" s="495"/>
      <c r="BN43" s="528"/>
      <c r="BO43" s="531"/>
    </row>
    <row r="44" spans="1:68" s="135" customFormat="1" ht="39.9" customHeight="1" x14ac:dyDescent="0.25">
      <c r="A44" s="150">
        <v>83</v>
      </c>
      <c r="B44" s="159"/>
      <c r="C44" s="159"/>
      <c r="D44" s="159"/>
      <c r="E44" s="159"/>
      <c r="F44" s="159"/>
      <c r="G44" s="159">
        <v>5</v>
      </c>
      <c r="H44" s="159"/>
      <c r="I44" s="159"/>
      <c r="J44" s="159"/>
      <c r="K44" s="159"/>
      <c r="L44" s="151"/>
      <c r="M44" s="151" t="s">
        <v>253</v>
      </c>
      <c r="N44" s="170" t="s">
        <v>254</v>
      </c>
      <c r="O44" s="193"/>
      <c r="P44" s="194" t="s">
        <v>80</v>
      </c>
      <c r="Q44" s="206" t="s">
        <v>232</v>
      </c>
      <c r="R44" s="207"/>
      <c r="S44" s="208" t="s">
        <v>80</v>
      </c>
      <c r="T44" s="209"/>
      <c r="U44" s="210"/>
      <c r="V44" s="198" t="s">
        <v>84</v>
      </c>
      <c r="W44" s="198" t="s">
        <v>83</v>
      </c>
      <c r="X44" s="198" t="s">
        <v>93</v>
      </c>
      <c r="Y44" s="244" t="s">
        <v>239</v>
      </c>
      <c r="Z44" s="244" t="s">
        <v>240</v>
      </c>
      <c r="AA44" s="239"/>
      <c r="AB44" s="247">
        <v>0.36099999999999999</v>
      </c>
      <c r="AC44" s="172" t="s">
        <v>202</v>
      </c>
      <c r="AD44" s="241" t="s">
        <v>97</v>
      </c>
      <c r="AE44" s="241" t="s">
        <v>255</v>
      </c>
      <c r="AF44" s="242">
        <v>225</v>
      </c>
      <c r="AG44" s="242">
        <v>94</v>
      </c>
      <c r="AH44" s="242">
        <v>3</v>
      </c>
      <c r="AI44" s="241">
        <f t="shared" si="33"/>
        <v>0.49871700000000002</v>
      </c>
      <c r="AJ44" s="255">
        <f t="shared" si="34"/>
        <v>0.72385741813493421</v>
      </c>
      <c r="AK44" s="242"/>
      <c r="AL44" s="241"/>
      <c r="AM44" s="273"/>
      <c r="AN44" s="274"/>
      <c r="AO44" s="272"/>
      <c r="AP44" s="311">
        <v>0.64400000000000002</v>
      </c>
      <c r="AQ44" s="172">
        <v>6.11</v>
      </c>
      <c r="AR44" s="296">
        <f t="shared" si="35"/>
        <v>3.0471608700000004</v>
      </c>
      <c r="AS44" s="310"/>
      <c r="AT44" s="402"/>
      <c r="AU44" s="287">
        <f t="shared" si="23"/>
        <v>0</v>
      </c>
      <c r="AV44" s="413"/>
      <c r="AW44" s="287">
        <f t="shared" si="24"/>
        <v>0</v>
      </c>
      <c r="AX44" s="326" t="e">
        <f t="shared" si="25"/>
        <v>#DIV/0!</v>
      </c>
      <c r="AY44" s="151"/>
      <c r="AZ44" s="338">
        <v>1</v>
      </c>
      <c r="BA44" s="338">
        <v>1</v>
      </c>
      <c r="BB44" s="330">
        <f t="shared" si="30"/>
        <v>0</v>
      </c>
      <c r="BC44" s="330">
        <f t="shared" si="31"/>
        <v>0</v>
      </c>
      <c r="BD44" s="338"/>
      <c r="BE44" s="338"/>
      <c r="BF44" s="338"/>
      <c r="BG44" s="338"/>
      <c r="BH44" s="343">
        <f t="shared" si="32"/>
        <v>0</v>
      </c>
      <c r="BI44" s="343"/>
      <c r="BJ44" s="496"/>
      <c r="BK44" s="495"/>
      <c r="BL44" s="495"/>
      <c r="BM44" s="495"/>
      <c r="BN44" s="528"/>
      <c r="BO44" s="531"/>
    </row>
    <row r="45" spans="1:68" s="135" customFormat="1" ht="39.9" customHeight="1" x14ac:dyDescent="0.25">
      <c r="A45" s="150">
        <v>84</v>
      </c>
      <c r="B45" s="159"/>
      <c r="C45" s="159"/>
      <c r="D45" s="159"/>
      <c r="E45" s="159"/>
      <c r="F45" s="159"/>
      <c r="G45" s="159">
        <v>5</v>
      </c>
      <c r="H45" s="159"/>
      <c r="I45" s="159"/>
      <c r="J45" s="159"/>
      <c r="K45" s="159"/>
      <c r="L45" s="151"/>
      <c r="M45" s="151" t="s">
        <v>256</v>
      </c>
      <c r="N45" s="170" t="s">
        <v>257</v>
      </c>
      <c r="O45" s="193"/>
      <c r="P45" s="194" t="s">
        <v>80</v>
      </c>
      <c r="Q45" s="206" t="s">
        <v>232</v>
      </c>
      <c r="R45" s="207"/>
      <c r="S45" s="208"/>
      <c r="T45" s="209"/>
      <c r="U45" s="210"/>
      <c r="V45" s="198" t="s">
        <v>84</v>
      </c>
      <c r="W45" s="198" t="s">
        <v>83</v>
      </c>
      <c r="X45" s="198" t="s">
        <v>93</v>
      </c>
      <c r="Y45" s="244" t="s">
        <v>239</v>
      </c>
      <c r="Z45" s="244"/>
      <c r="AA45" s="239"/>
      <c r="AB45" s="247">
        <v>0.23200000000000001</v>
      </c>
      <c r="AC45" s="172"/>
      <c r="AD45" s="241" t="s">
        <v>97</v>
      </c>
      <c r="AE45" s="241" t="s">
        <v>258</v>
      </c>
      <c r="AF45" s="242">
        <v>166</v>
      </c>
      <c r="AG45" s="242">
        <v>94</v>
      </c>
      <c r="AH45" s="242">
        <v>3</v>
      </c>
      <c r="AI45" s="241">
        <f t="shared" si="33"/>
        <v>0.36794231999999999</v>
      </c>
      <c r="AJ45" s="255">
        <f t="shared" si="34"/>
        <v>0.63053361189873458</v>
      </c>
      <c r="AK45" s="242"/>
      <c r="AL45" s="241"/>
      <c r="AM45" s="273"/>
      <c r="AN45" s="274"/>
      <c r="AO45" s="272"/>
      <c r="AP45" s="311">
        <v>0.624</v>
      </c>
      <c r="AQ45" s="172">
        <v>6.11</v>
      </c>
      <c r="AR45" s="296">
        <f t="shared" si="35"/>
        <v>2.2481275751999998</v>
      </c>
      <c r="AS45" s="310"/>
      <c r="AT45" s="402"/>
      <c r="AU45" s="287">
        <f t="shared" si="23"/>
        <v>0</v>
      </c>
      <c r="AV45" s="413"/>
      <c r="AW45" s="287">
        <f t="shared" si="24"/>
        <v>0</v>
      </c>
      <c r="AX45" s="326" t="e">
        <f t="shared" si="25"/>
        <v>#DIV/0!</v>
      </c>
      <c r="AY45" s="151"/>
      <c r="AZ45" s="338">
        <v>1</v>
      </c>
      <c r="BA45" s="338">
        <v>1</v>
      </c>
      <c r="BB45" s="330">
        <f t="shared" si="30"/>
        <v>0</v>
      </c>
      <c r="BC45" s="330">
        <f t="shared" si="31"/>
        <v>0</v>
      </c>
      <c r="BD45" s="338"/>
      <c r="BE45" s="338"/>
      <c r="BF45" s="338"/>
      <c r="BG45" s="338"/>
      <c r="BH45" s="343">
        <f t="shared" si="32"/>
        <v>0</v>
      </c>
      <c r="BI45" s="343"/>
      <c r="BJ45" s="496"/>
      <c r="BK45" s="495"/>
      <c r="BL45" s="495"/>
      <c r="BM45" s="495"/>
      <c r="BN45" s="528"/>
      <c r="BO45" s="531"/>
    </row>
    <row r="46" spans="1:68" s="135" customFormat="1" ht="39.9" customHeight="1" x14ac:dyDescent="0.25">
      <c r="A46" s="150">
        <v>85</v>
      </c>
      <c r="B46" s="159"/>
      <c r="C46" s="159"/>
      <c r="D46" s="159"/>
      <c r="E46" s="159"/>
      <c r="F46" s="159"/>
      <c r="G46" s="159">
        <v>5</v>
      </c>
      <c r="H46" s="159"/>
      <c r="I46" s="159"/>
      <c r="J46" s="159"/>
      <c r="K46" s="159"/>
      <c r="L46" s="151"/>
      <c r="M46" s="151" t="s">
        <v>259</v>
      </c>
      <c r="N46" s="170" t="s">
        <v>260</v>
      </c>
      <c r="O46" s="193"/>
      <c r="P46" s="194" t="s">
        <v>80</v>
      </c>
      <c r="Q46" s="206" t="s">
        <v>232</v>
      </c>
      <c r="R46" s="207"/>
      <c r="S46" s="208" t="s">
        <v>80</v>
      </c>
      <c r="T46" s="209"/>
      <c r="U46" s="210"/>
      <c r="V46" s="198" t="s">
        <v>84</v>
      </c>
      <c r="W46" s="198" t="s">
        <v>83</v>
      </c>
      <c r="X46" s="198" t="s">
        <v>93</v>
      </c>
      <c r="Y46" s="244" t="s">
        <v>239</v>
      </c>
      <c r="Z46" s="244" t="s">
        <v>240</v>
      </c>
      <c r="AA46" s="239"/>
      <c r="AB46" s="247">
        <v>0.67700000000000005</v>
      </c>
      <c r="AC46" s="172" t="s">
        <v>202</v>
      </c>
      <c r="AD46" s="241" t="s">
        <v>97</v>
      </c>
      <c r="AE46" s="241" t="s">
        <v>261</v>
      </c>
      <c r="AF46" s="242">
        <v>225</v>
      </c>
      <c r="AG46" s="242">
        <v>158</v>
      </c>
      <c r="AH46" s="242">
        <v>3</v>
      </c>
      <c r="AI46" s="241">
        <f t="shared" si="33"/>
        <v>0.83826900000000004</v>
      </c>
      <c r="AJ46" s="255">
        <f t="shared" si="34"/>
        <v>0.80761664811653544</v>
      </c>
      <c r="AK46" s="242"/>
      <c r="AL46" s="241"/>
      <c r="AM46" s="273"/>
      <c r="AN46" s="274"/>
      <c r="AO46" s="272"/>
      <c r="AP46" s="311">
        <v>0.32800000000000001</v>
      </c>
      <c r="AQ46" s="172">
        <v>6.11</v>
      </c>
      <c r="AR46" s="296">
        <f t="shared" si="35"/>
        <v>5.1218235900000009</v>
      </c>
      <c r="AS46" s="310"/>
      <c r="AT46" s="402"/>
      <c r="AU46" s="287">
        <f t="shared" si="23"/>
        <v>0</v>
      </c>
      <c r="AV46" s="413"/>
      <c r="AW46" s="287">
        <f t="shared" si="24"/>
        <v>0</v>
      </c>
      <c r="AX46" s="326" t="e">
        <f t="shared" si="25"/>
        <v>#DIV/0!</v>
      </c>
      <c r="AY46" s="151"/>
      <c r="AZ46" s="338">
        <v>1</v>
      </c>
      <c r="BA46" s="338">
        <v>1</v>
      </c>
      <c r="BB46" s="330">
        <f t="shared" si="30"/>
        <v>0</v>
      </c>
      <c r="BC46" s="330">
        <f t="shared" si="31"/>
        <v>0</v>
      </c>
      <c r="BD46" s="338"/>
      <c r="BE46" s="338"/>
      <c r="BF46" s="338"/>
      <c r="BG46" s="338"/>
      <c r="BH46" s="343">
        <f t="shared" si="32"/>
        <v>0</v>
      </c>
      <c r="BI46" s="343"/>
      <c r="BJ46" s="496"/>
      <c r="BK46" s="495"/>
      <c r="BL46" s="495"/>
      <c r="BM46" s="495"/>
      <c r="BN46" s="528"/>
      <c r="BO46" s="531"/>
    </row>
    <row r="47" spans="1:68" s="135" customFormat="1" ht="39.9" customHeight="1" x14ac:dyDescent="0.25">
      <c r="A47" s="150">
        <v>86</v>
      </c>
      <c r="B47" s="159"/>
      <c r="C47" s="159"/>
      <c r="D47" s="159"/>
      <c r="E47" s="159"/>
      <c r="F47" s="159"/>
      <c r="G47" s="159">
        <v>5</v>
      </c>
      <c r="H47" s="159"/>
      <c r="I47" s="159"/>
      <c r="J47" s="159"/>
      <c r="K47" s="159"/>
      <c r="L47" s="151"/>
      <c r="M47" s="151" t="s">
        <v>262</v>
      </c>
      <c r="N47" s="170" t="s">
        <v>263</v>
      </c>
      <c r="O47" s="193"/>
      <c r="P47" s="194" t="s">
        <v>80</v>
      </c>
      <c r="Q47" s="206" t="s">
        <v>232</v>
      </c>
      <c r="R47" s="207"/>
      <c r="S47" s="208"/>
      <c r="T47" s="209"/>
      <c r="U47" s="210"/>
      <c r="V47" s="198" t="s">
        <v>84</v>
      </c>
      <c r="W47" s="198" t="s">
        <v>83</v>
      </c>
      <c r="X47" s="198" t="s">
        <v>93</v>
      </c>
      <c r="Y47" s="244" t="s">
        <v>239</v>
      </c>
      <c r="Z47" s="244"/>
      <c r="AA47" s="239"/>
      <c r="AB47" s="247">
        <v>0.46600000000000003</v>
      </c>
      <c r="AC47" s="172"/>
      <c r="AD47" s="241" t="s">
        <v>97</v>
      </c>
      <c r="AE47" s="241" t="s">
        <v>264</v>
      </c>
      <c r="AF47" s="242">
        <v>168</v>
      </c>
      <c r="AG47" s="242">
        <v>162</v>
      </c>
      <c r="AH47" s="242">
        <v>3</v>
      </c>
      <c r="AI47" s="241">
        <f t="shared" si="33"/>
        <v>0.64175327999999998</v>
      </c>
      <c r="AJ47" s="255">
        <f t="shared" si="34"/>
        <v>0.72613575110983464</v>
      </c>
      <c r="AK47" s="242"/>
      <c r="AL47" s="241"/>
      <c r="AM47" s="273"/>
      <c r="AN47" s="274"/>
      <c r="AO47" s="272"/>
      <c r="AP47" s="311">
        <v>0.16300000000000001</v>
      </c>
      <c r="AQ47" s="172">
        <v>6.11</v>
      </c>
      <c r="AR47" s="296">
        <f t="shared" si="35"/>
        <v>3.9211125408000003</v>
      </c>
      <c r="AS47" s="310"/>
      <c r="AT47" s="402"/>
      <c r="AU47" s="287">
        <f t="shared" si="23"/>
        <v>0</v>
      </c>
      <c r="AV47" s="413"/>
      <c r="AW47" s="287">
        <f t="shared" si="24"/>
        <v>0</v>
      </c>
      <c r="AX47" s="326" t="e">
        <f t="shared" si="25"/>
        <v>#DIV/0!</v>
      </c>
      <c r="AY47" s="151"/>
      <c r="AZ47" s="338">
        <v>1</v>
      </c>
      <c r="BA47" s="338">
        <v>1</v>
      </c>
      <c r="BB47" s="330">
        <f t="shared" si="30"/>
        <v>0</v>
      </c>
      <c r="BC47" s="330">
        <f t="shared" si="31"/>
        <v>0</v>
      </c>
      <c r="BD47" s="338"/>
      <c r="BE47" s="338"/>
      <c r="BF47" s="338"/>
      <c r="BG47" s="338"/>
      <c r="BH47" s="343">
        <f t="shared" si="32"/>
        <v>0</v>
      </c>
      <c r="BI47" s="343"/>
      <c r="BJ47" s="496"/>
      <c r="BK47" s="447"/>
      <c r="BL47" s="447"/>
      <c r="BM47" s="447"/>
      <c r="BN47" s="529"/>
      <c r="BO47" s="532"/>
    </row>
    <row r="48" spans="1:68" s="135" customFormat="1" ht="39.9" customHeight="1" x14ac:dyDescent="0.25">
      <c r="A48" s="150">
        <v>88</v>
      </c>
      <c r="B48" s="159"/>
      <c r="C48" s="159"/>
      <c r="D48" s="159"/>
      <c r="E48" s="159"/>
      <c r="F48" s="159">
        <v>4</v>
      </c>
      <c r="G48" s="159"/>
      <c r="H48" s="159"/>
      <c r="I48" s="159"/>
      <c r="J48" s="159"/>
      <c r="K48" s="159"/>
      <c r="L48" s="151" t="s">
        <v>265</v>
      </c>
      <c r="M48" s="151" t="s">
        <v>265</v>
      </c>
      <c r="N48" s="170" t="s">
        <v>266</v>
      </c>
      <c r="O48" s="193"/>
      <c r="P48" s="194" t="s">
        <v>80</v>
      </c>
      <c r="Q48" s="206" t="s">
        <v>232</v>
      </c>
      <c r="R48" s="207"/>
      <c r="S48" s="208" t="s">
        <v>80</v>
      </c>
      <c r="T48" s="209"/>
      <c r="U48" s="210"/>
      <c r="V48" s="198" t="s">
        <v>84</v>
      </c>
      <c r="W48" s="198" t="s">
        <v>83</v>
      </c>
      <c r="X48" s="198" t="s">
        <v>233</v>
      </c>
      <c r="Y48" s="244" t="s">
        <v>86</v>
      </c>
      <c r="Z48" s="244"/>
      <c r="AA48" s="239"/>
      <c r="AB48" s="248">
        <v>4.3250000000000002</v>
      </c>
      <c r="AC48" s="172" t="s">
        <v>202</v>
      </c>
      <c r="AD48" s="241" t="s">
        <v>87</v>
      </c>
      <c r="AE48" s="241"/>
      <c r="AF48" s="242"/>
      <c r="AG48" s="242"/>
      <c r="AH48" s="242"/>
      <c r="AI48" s="241"/>
      <c r="AJ48" s="255"/>
      <c r="AK48" s="242">
        <v>54</v>
      </c>
      <c r="AL48" s="241"/>
      <c r="AM48" s="271" t="s">
        <v>88</v>
      </c>
      <c r="AN48" s="272" t="s">
        <v>234</v>
      </c>
      <c r="AO48" s="272"/>
      <c r="AP48" s="272"/>
      <c r="AQ48" s="172"/>
      <c r="AR48" s="309">
        <f>AR51+AR52*4+AR53*8+AR54+AR55*2+AR57+AR58*2+AR60+AR61*2+AR63+AR66+AR67+AR68*2+AR70+AR71+AR72+AR73*2+AR74*2</f>
        <v>45.152011963773433</v>
      </c>
      <c r="AS48" s="310">
        <v>1.3</v>
      </c>
      <c r="AT48" s="402">
        <f>AR48*AS48</f>
        <v>58.697615552905461</v>
      </c>
      <c r="AU48" s="287" t="e">
        <f t="shared" si="23"/>
        <v>#DIV/0!</v>
      </c>
      <c r="AV48" s="413">
        <v>63.692876106194703</v>
      </c>
      <c r="AW48" s="287">
        <f t="shared" si="24"/>
        <v>4.995260553289242</v>
      </c>
      <c r="AX48" s="326">
        <f t="shared" si="25"/>
        <v>7.8427303941506391E-2</v>
      </c>
      <c r="AY48" s="151"/>
      <c r="AZ48" s="338">
        <v>1</v>
      </c>
      <c r="BA48" s="338">
        <v>1</v>
      </c>
      <c r="BB48" s="330">
        <f t="shared" si="30"/>
        <v>63.692876106194703</v>
      </c>
      <c r="BC48" s="330">
        <f t="shared" si="31"/>
        <v>63.692876106194703</v>
      </c>
      <c r="BD48" s="338"/>
      <c r="BE48" s="338"/>
      <c r="BF48" s="338"/>
      <c r="BG48" s="338">
        <v>2.5728761061946899</v>
      </c>
      <c r="BH48" s="343">
        <f t="shared" ref="BH48:BH61" si="36">AV48*BA48</f>
        <v>63.692876106194703</v>
      </c>
      <c r="BI48" s="343">
        <f>AT48*BA48</f>
        <v>58.697615552905461</v>
      </c>
      <c r="BJ48" s="496" t="s">
        <v>267</v>
      </c>
      <c r="BK48" s="446" t="s">
        <v>91</v>
      </c>
      <c r="BL48" s="435">
        <v>44666</v>
      </c>
      <c r="BM48" s="513">
        <v>63.692900000000002</v>
      </c>
      <c r="BN48" s="527" t="s">
        <v>710</v>
      </c>
      <c r="BO48" s="530" t="s">
        <v>711</v>
      </c>
    </row>
    <row r="49" spans="1:67" s="135" customFormat="1" ht="39.9" customHeight="1" x14ac:dyDescent="0.25">
      <c r="A49" s="150">
        <v>89</v>
      </c>
      <c r="B49" s="159"/>
      <c r="C49" s="159"/>
      <c r="D49" s="159"/>
      <c r="E49" s="159"/>
      <c r="F49" s="159"/>
      <c r="G49" s="159">
        <v>5</v>
      </c>
      <c r="H49" s="159"/>
      <c r="I49" s="159"/>
      <c r="J49" s="159"/>
      <c r="K49" s="159"/>
      <c r="L49" s="151"/>
      <c r="M49" s="151" t="s">
        <v>268</v>
      </c>
      <c r="N49" s="170" t="s">
        <v>269</v>
      </c>
      <c r="O49" s="193"/>
      <c r="P49" s="194"/>
      <c r="Q49" s="206"/>
      <c r="R49" s="207"/>
      <c r="S49" s="208"/>
      <c r="T49" s="209"/>
      <c r="U49" s="210"/>
      <c r="V49" s="198" t="s">
        <v>84</v>
      </c>
      <c r="W49" s="198" t="s">
        <v>83</v>
      </c>
      <c r="X49" s="198"/>
      <c r="Y49" s="238"/>
      <c r="Z49" s="238"/>
      <c r="AA49" s="239"/>
      <c r="AB49" s="245"/>
      <c r="AC49" s="172"/>
      <c r="AD49" s="241" t="s">
        <v>87</v>
      </c>
      <c r="AE49" s="241"/>
      <c r="AF49" s="242"/>
      <c r="AG49" s="242"/>
      <c r="AH49" s="242"/>
      <c r="AI49" s="241"/>
      <c r="AJ49" s="255"/>
      <c r="AK49" s="242">
        <v>10</v>
      </c>
      <c r="AL49" s="241"/>
      <c r="AM49" s="273"/>
      <c r="AN49" s="274"/>
      <c r="AO49" s="272"/>
      <c r="AP49" s="272"/>
      <c r="AQ49" s="172"/>
      <c r="AR49" s="309"/>
      <c r="AS49" s="310"/>
      <c r="AT49" s="402"/>
      <c r="AU49" s="287" t="e">
        <f t="shared" si="23"/>
        <v>#DIV/0!</v>
      </c>
      <c r="AV49" s="413"/>
      <c r="AW49" s="287">
        <f t="shared" si="24"/>
        <v>0</v>
      </c>
      <c r="AX49" s="326" t="e">
        <f t="shared" si="25"/>
        <v>#DIV/0!</v>
      </c>
      <c r="AY49" s="151"/>
      <c r="AZ49" s="338">
        <v>1</v>
      </c>
      <c r="BA49" s="338">
        <v>1</v>
      </c>
      <c r="BB49" s="330">
        <f t="shared" si="30"/>
        <v>0</v>
      </c>
      <c r="BC49" s="330">
        <f t="shared" si="31"/>
        <v>0</v>
      </c>
      <c r="BD49" s="338"/>
      <c r="BE49" s="338"/>
      <c r="BF49" s="338"/>
      <c r="BG49" s="338"/>
      <c r="BH49" s="343">
        <f t="shared" si="36"/>
        <v>0</v>
      </c>
      <c r="BI49" s="343">
        <f t="shared" ref="BI49:BI61" si="37">AT49*BA49</f>
        <v>0</v>
      </c>
      <c r="BJ49" s="496"/>
      <c r="BK49" s="495"/>
      <c r="BL49" s="495"/>
      <c r="BM49" s="514"/>
      <c r="BN49" s="528"/>
      <c r="BO49" s="531"/>
    </row>
    <row r="50" spans="1:67" s="135" customFormat="1" ht="39.9" customHeight="1" x14ac:dyDescent="0.25">
      <c r="A50" s="150">
        <v>90</v>
      </c>
      <c r="B50" s="159"/>
      <c r="C50" s="159"/>
      <c r="D50" s="159"/>
      <c r="E50" s="159"/>
      <c r="F50" s="159"/>
      <c r="G50" s="159"/>
      <c r="H50" s="159">
        <v>6</v>
      </c>
      <c r="I50" s="159"/>
      <c r="J50" s="159"/>
      <c r="K50" s="159"/>
      <c r="L50" s="151"/>
      <c r="M50" s="151" t="s">
        <v>270</v>
      </c>
      <c r="N50" s="170" t="s">
        <v>271</v>
      </c>
      <c r="O50" s="193"/>
      <c r="P50" s="194" t="s">
        <v>80</v>
      </c>
      <c r="Q50" s="206" t="s">
        <v>232</v>
      </c>
      <c r="R50" s="207"/>
      <c r="S50" s="208" t="s">
        <v>80</v>
      </c>
      <c r="T50" s="209"/>
      <c r="U50" s="210"/>
      <c r="V50" s="198" t="s">
        <v>84</v>
      </c>
      <c r="W50" s="198" t="s">
        <v>83</v>
      </c>
      <c r="X50" s="198" t="s">
        <v>93</v>
      </c>
      <c r="Y50" s="244" t="s">
        <v>86</v>
      </c>
      <c r="Z50" s="244" t="s">
        <v>240</v>
      </c>
      <c r="AA50" s="239"/>
      <c r="AB50" s="245">
        <v>2.9851999999999999</v>
      </c>
      <c r="AC50" s="172" t="s">
        <v>202</v>
      </c>
      <c r="AD50" s="241" t="s">
        <v>87</v>
      </c>
      <c r="AE50" s="241"/>
      <c r="AF50" s="242"/>
      <c r="AG50" s="242"/>
      <c r="AH50" s="242"/>
      <c r="AI50" s="241"/>
      <c r="AJ50" s="255"/>
      <c r="AK50" s="242">
        <v>20</v>
      </c>
      <c r="AL50" s="241"/>
      <c r="AM50" s="273"/>
      <c r="AN50" s="274"/>
      <c r="AO50" s="272"/>
      <c r="AP50" s="272"/>
      <c r="AQ50" s="172"/>
      <c r="AR50" s="309"/>
      <c r="AS50" s="310"/>
      <c r="AT50" s="402"/>
      <c r="AU50" s="287" t="e">
        <f t="shared" si="23"/>
        <v>#DIV/0!</v>
      </c>
      <c r="AV50" s="413"/>
      <c r="AW50" s="287">
        <f t="shared" si="24"/>
        <v>0</v>
      </c>
      <c r="AX50" s="326" t="e">
        <f t="shared" si="25"/>
        <v>#DIV/0!</v>
      </c>
      <c r="AY50" s="151"/>
      <c r="AZ50" s="338">
        <v>1</v>
      </c>
      <c r="BA50" s="338">
        <v>1</v>
      </c>
      <c r="BB50" s="330">
        <f t="shared" si="30"/>
        <v>0</v>
      </c>
      <c r="BC50" s="330">
        <f t="shared" si="31"/>
        <v>0</v>
      </c>
      <c r="BD50" s="338"/>
      <c r="BE50" s="338"/>
      <c r="BF50" s="338"/>
      <c r="BG50" s="338"/>
      <c r="BH50" s="343">
        <f t="shared" si="36"/>
        <v>0</v>
      </c>
      <c r="BI50" s="343">
        <f t="shared" si="37"/>
        <v>0</v>
      </c>
      <c r="BJ50" s="496"/>
      <c r="BK50" s="495"/>
      <c r="BL50" s="495"/>
      <c r="BM50" s="514"/>
      <c r="BN50" s="528"/>
      <c r="BO50" s="531"/>
    </row>
    <row r="51" spans="1:67" s="135" customFormat="1" ht="39.9" customHeight="1" x14ac:dyDescent="0.25">
      <c r="A51" s="150">
        <v>91</v>
      </c>
      <c r="B51" s="159"/>
      <c r="C51" s="159"/>
      <c r="D51" s="159"/>
      <c r="E51" s="159"/>
      <c r="F51" s="159"/>
      <c r="G51" s="159"/>
      <c r="H51" s="159"/>
      <c r="I51" s="159">
        <v>7</v>
      </c>
      <c r="J51" s="159"/>
      <c r="K51" s="159"/>
      <c r="L51" s="151"/>
      <c r="M51" s="151" t="s">
        <v>272</v>
      </c>
      <c r="N51" s="170" t="s">
        <v>273</v>
      </c>
      <c r="O51" s="193"/>
      <c r="P51" s="194" t="s">
        <v>80</v>
      </c>
      <c r="Q51" s="206" t="s">
        <v>232</v>
      </c>
      <c r="R51" s="207"/>
      <c r="S51" s="208" t="s">
        <v>80</v>
      </c>
      <c r="T51" s="209"/>
      <c r="U51" s="210"/>
      <c r="V51" s="198" t="s">
        <v>84</v>
      </c>
      <c r="W51" s="198" t="s">
        <v>83</v>
      </c>
      <c r="X51" s="198" t="s">
        <v>93</v>
      </c>
      <c r="Y51" s="244" t="s">
        <v>239</v>
      </c>
      <c r="Z51" s="244" t="s">
        <v>240</v>
      </c>
      <c r="AA51" s="239"/>
      <c r="AB51" s="245">
        <v>2.9851999999999999</v>
      </c>
      <c r="AC51" s="172" t="s">
        <v>202</v>
      </c>
      <c r="AD51" s="241" t="s">
        <v>97</v>
      </c>
      <c r="AE51" s="241" t="s">
        <v>274</v>
      </c>
      <c r="AF51" s="242">
        <v>507</v>
      </c>
      <c r="AG51" s="242">
        <v>286</v>
      </c>
      <c r="AH51" s="242">
        <v>3</v>
      </c>
      <c r="AI51" s="241">
        <f>AF51*AG51*AH51*7860/1000000000</f>
        <v>3.4191471600000001</v>
      </c>
      <c r="AJ51" s="255">
        <f>AB51/AI51</f>
        <v>0.87308321645915932</v>
      </c>
      <c r="AK51" s="242"/>
      <c r="AL51" s="241"/>
      <c r="AM51" s="273"/>
      <c r="AN51" s="274"/>
      <c r="AO51" s="272"/>
      <c r="AP51" s="272"/>
      <c r="AQ51" s="172">
        <v>6.11</v>
      </c>
      <c r="AR51" s="296">
        <f t="shared" ref="AR51" si="38">AI51*AQ51</f>
        <v>20.890989147600003</v>
      </c>
      <c r="AS51" s="310"/>
      <c r="AT51" s="402"/>
      <c r="AU51" s="287" t="e">
        <f t="shared" si="23"/>
        <v>#DIV/0!</v>
      </c>
      <c r="AV51" s="413"/>
      <c r="AW51" s="287">
        <f t="shared" si="24"/>
        <v>0</v>
      </c>
      <c r="AX51" s="326" t="e">
        <f t="shared" si="25"/>
        <v>#DIV/0!</v>
      </c>
      <c r="AY51" s="151"/>
      <c r="AZ51" s="338">
        <v>1</v>
      </c>
      <c r="BA51" s="338">
        <v>1</v>
      </c>
      <c r="BB51" s="330">
        <f t="shared" si="30"/>
        <v>0</v>
      </c>
      <c r="BC51" s="330">
        <f t="shared" si="31"/>
        <v>0</v>
      </c>
      <c r="BD51" s="338"/>
      <c r="BE51" s="338"/>
      <c r="BF51" s="338"/>
      <c r="BG51" s="338"/>
      <c r="BH51" s="343">
        <f t="shared" si="36"/>
        <v>0</v>
      </c>
      <c r="BI51" s="343">
        <f t="shared" si="37"/>
        <v>0</v>
      </c>
      <c r="BJ51" s="496"/>
      <c r="BK51" s="495"/>
      <c r="BL51" s="495"/>
      <c r="BM51" s="514"/>
      <c r="BN51" s="528"/>
      <c r="BO51" s="531"/>
    </row>
    <row r="52" spans="1:67" s="135" customFormat="1" ht="39.9" customHeight="1" x14ac:dyDescent="0.25">
      <c r="A52" s="150">
        <v>92</v>
      </c>
      <c r="B52" s="159"/>
      <c r="C52" s="159"/>
      <c r="D52" s="159"/>
      <c r="E52" s="159"/>
      <c r="F52" s="159"/>
      <c r="G52" s="159"/>
      <c r="H52" s="159"/>
      <c r="I52" s="159">
        <v>7</v>
      </c>
      <c r="J52" s="159"/>
      <c r="K52" s="159"/>
      <c r="L52" s="151"/>
      <c r="M52" s="151" t="s">
        <v>275</v>
      </c>
      <c r="N52" s="170" t="s">
        <v>101</v>
      </c>
      <c r="O52" s="193"/>
      <c r="P52" s="194" t="s">
        <v>80</v>
      </c>
      <c r="Q52" s="206" t="s">
        <v>232</v>
      </c>
      <c r="R52" s="207"/>
      <c r="S52" s="208"/>
      <c r="T52" s="209"/>
      <c r="U52" s="210"/>
      <c r="V52" s="198" t="s">
        <v>83</v>
      </c>
      <c r="W52" s="198" t="s">
        <v>84</v>
      </c>
      <c r="X52" s="198" t="s">
        <v>103</v>
      </c>
      <c r="Y52" s="244" t="s">
        <v>276</v>
      </c>
      <c r="Z52" s="244"/>
      <c r="AA52" s="239"/>
      <c r="AB52" s="243">
        <v>2.5000000000000001E-3</v>
      </c>
      <c r="AC52" s="172" t="s">
        <v>202</v>
      </c>
      <c r="AD52" s="241"/>
      <c r="AE52" s="241"/>
      <c r="AF52" s="242"/>
      <c r="AG52" s="242"/>
      <c r="AH52" s="242"/>
      <c r="AI52" s="241"/>
      <c r="AJ52" s="255"/>
      <c r="AK52" s="242"/>
      <c r="AL52" s="241"/>
      <c r="AM52" s="273"/>
      <c r="AN52" s="275"/>
      <c r="AO52" s="259"/>
      <c r="AP52" s="308">
        <v>2.3999999999999998E-3</v>
      </c>
      <c r="AQ52" s="292"/>
      <c r="AR52" s="293">
        <v>3.3000000000000002E-2</v>
      </c>
      <c r="AS52" s="294"/>
      <c r="AT52" s="399"/>
      <c r="AU52" s="287">
        <f t="shared" si="23"/>
        <v>0</v>
      </c>
      <c r="AV52" s="409"/>
      <c r="AW52" s="287">
        <f t="shared" si="24"/>
        <v>0</v>
      </c>
      <c r="AX52" s="326" t="e">
        <f t="shared" si="25"/>
        <v>#DIV/0!</v>
      </c>
      <c r="AY52" s="151"/>
      <c r="AZ52" s="339">
        <v>4</v>
      </c>
      <c r="BA52" s="339">
        <v>4</v>
      </c>
      <c r="BB52" s="330">
        <f t="shared" si="30"/>
        <v>0</v>
      </c>
      <c r="BC52" s="330">
        <f t="shared" si="31"/>
        <v>0</v>
      </c>
      <c r="BD52" s="339"/>
      <c r="BE52" s="339"/>
      <c r="BF52" s="339"/>
      <c r="BG52" s="339"/>
      <c r="BH52" s="343">
        <f t="shared" si="36"/>
        <v>0</v>
      </c>
      <c r="BI52" s="343">
        <f t="shared" si="37"/>
        <v>0</v>
      </c>
      <c r="BJ52" s="496"/>
      <c r="BK52" s="495"/>
      <c r="BL52" s="495"/>
      <c r="BM52" s="514"/>
      <c r="BN52" s="528"/>
      <c r="BO52" s="531"/>
    </row>
    <row r="53" spans="1:67" s="135" customFormat="1" ht="39.9" customHeight="1" x14ac:dyDescent="0.25">
      <c r="A53" s="150">
        <v>93</v>
      </c>
      <c r="B53" s="159"/>
      <c r="C53" s="159"/>
      <c r="D53" s="159"/>
      <c r="E53" s="159"/>
      <c r="F53" s="159"/>
      <c r="G53" s="159"/>
      <c r="H53" s="159"/>
      <c r="I53" s="159">
        <v>7</v>
      </c>
      <c r="J53" s="159"/>
      <c r="K53" s="159"/>
      <c r="L53" s="151"/>
      <c r="M53" s="151" t="s">
        <v>277</v>
      </c>
      <c r="N53" s="170" t="s">
        <v>278</v>
      </c>
      <c r="O53" s="193"/>
      <c r="P53" s="194" t="s">
        <v>80</v>
      </c>
      <c r="Q53" s="206" t="s">
        <v>232</v>
      </c>
      <c r="R53" s="207"/>
      <c r="S53" s="208" t="s">
        <v>80</v>
      </c>
      <c r="T53" s="209"/>
      <c r="U53" s="210"/>
      <c r="V53" s="198" t="s">
        <v>84</v>
      </c>
      <c r="W53" s="198" t="s">
        <v>83</v>
      </c>
      <c r="X53" s="198" t="s">
        <v>93</v>
      </c>
      <c r="Y53" s="244" t="s">
        <v>239</v>
      </c>
      <c r="Z53" s="244" t="s">
        <v>240</v>
      </c>
      <c r="AA53" s="239"/>
      <c r="AB53" s="243">
        <v>4.5999999999999999E-3</v>
      </c>
      <c r="AC53" s="172" t="s">
        <v>202</v>
      </c>
      <c r="AD53" s="241" t="s">
        <v>97</v>
      </c>
      <c r="AE53" s="241" t="s">
        <v>279</v>
      </c>
      <c r="AF53" s="242">
        <v>25</v>
      </c>
      <c r="AG53" s="242">
        <v>10</v>
      </c>
      <c r="AH53" s="242">
        <v>3</v>
      </c>
      <c r="AI53" s="241">
        <f>AF53*AG53*AH53*7860/1000000000</f>
        <v>5.8950000000000001E-3</v>
      </c>
      <c r="AJ53" s="255">
        <f>AB53/AI53</f>
        <v>0.78032230703986427</v>
      </c>
      <c r="AK53" s="242"/>
      <c r="AL53" s="241"/>
      <c r="AM53" s="273"/>
      <c r="AN53" s="274"/>
      <c r="AO53" s="272"/>
      <c r="AP53" s="272">
        <v>2.7E-2</v>
      </c>
      <c r="AQ53" s="172">
        <v>6.11</v>
      </c>
      <c r="AR53" s="296"/>
      <c r="AS53" s="310"/>
      <c r="AT53" s="402"/>
      <c r="AU53" s="287">
        <f t="shared" si="23"/>
        <v>0</v>
      </c>
      <c r="AV53" s="413"/>
      <c r="AW53" s="287">
        <f t="shared" si="24"/>
        <v>0</v>
      </c>
      <c r="AX53" s="326" t="e">
        <f t="shared" si="25"/>
        <v>#DIV/0!</v>
      </c>
      <c r="AY53" s="151"/>
      <c r="AZ53" s="338">
        <v>8</v>
      </c>
      <c r="BA53" s="338">
        <v>8</v>
      </c>
      <c r="BB53" s="330">
        <f t="shared" si="30"/>
        <v>0</v>
      </c>
      <c r="BC53" s="330">
        <f t="shared" si="31"/>
        <v>0</v>
      </c>
      <c r="BD53" s="338"/>
      <c r="BE53" s="338"/>
      <c r="BF53" s="338"/>
      <c r="BG53" s="338"/>
      <c r="BH53" s="343">
        <f t="shared" si="36"/>
        <v>0</v>
      </c>
      <c r="BI53" s="343">
        <f t="shared" si="37"/>
        <v>0</v>
      </c>
      <c r="BJ53" s="496"/>
      <c r="BK53" s="495"/>
      <c r="BL53" s="495"/>
      <c r="BM53" s="514"/>
      <c r="BN53" s="528"/>
      <c r="BO53" s="531"/>
    </row>
    <row r="54" spans="1:67" s="135" customFormat="1" ht="39.9" customHeight="1" x14ac:dyDescent="0.25">
      <c r="A54" s="150">
        <v>94</v>
      </c>
      <c r="B54" s="159"/>
      <c r="C54" s="159"/>
      <c r="D54" s="159"/>
      <c r="E54" s="159"/>
      <c r="F54" s="159"/>
      <c r="G54" s="159"/>
      <c r="H54" s="159">
        <v>6</v>
      </c>
      <c r="I54" s="159"/>
      <c r="J54" s="159"/>
      <c r="K54" s="159"/>
      <c r="L54" s="151"/>
      <c r="M54" s="151" t="s">
        <v>242</v>
      </c>
      <c r="N54" s="170" t="s">
        <v>243</v>
      </c>
      <c r="O54" s="193"/>
      <c r="P54" s="194" t="s">
        <v>80</v>
      </c>
      <c r="Q54" s="206" t="s">
        <v>232</v>
      </c>
      <c r="R54" s="207"/>
      <c r="S54" s="208" t="s">
        <v>80</v>
      </c>
      <c r="T54" s="209"/>
      <c r="U54" s="210"/>
      <c r="V54" s="198" t="s">
        <v>84</v>
      </c>
      <c r="W54" s="198" t="s">
        <v>83</v>
      </c>
      <c r="X54" s="198" t="s">
        <v>93</v>
      </c>
      <c r="Y54" s="244" t="s">
        <v>239</v>
      </c>
      <c r="Z54" s="165"/>
      <c r="AA54" s="246"/>
      <c r="AB54" s="245">
        <v>3.5700000000000003E-2</v>
      </c>
      <c r="AC54" s="172" t="s">
        <v>202</v>
      </c>
      <c r="AD54" s="241" t="s">
        <v>97</v>
      </c>
      <c r="AE54" s="241" t="s">
        <v>245</v>
      </c>
      <c r="AF54" s="242">
        <v>88</v>
      </c>
      <c r="AG54" s="242">
        <v>33</v>
      </c>
      <c r="AH54" s="242">
        <v>3</v>
      </c>
      <c r="AI54" s="241">
        <f>AF54*AG54*AH54*7860/1000000000</f>
        <v>6.8476319999999993E-2</v>
      </c>
      <c r="AJ54" s="255">
        <f>AB54/AI54</f>
        <v>0.52134810982833202</v>
      </c>
      <c r="AK54" s="242"/>
      <c r="AL54" s="241"/>
      <c r="AM54" s="273"/>
      <c r="AN54" s="274"/>
      <c r="AO54" s="272"/>
      <c r="AP54" s="272"/>
      <c r="AQ54" s="172">
        <v>6.11</v>
      </c>
      <c r="AR54" s="296">
        <f t="shared" ref="AR54:AR55" si="39">AI54*AQ54</f>
        <v>0.41839031519999997</v>
      </c>
      <c r="AS54" s="310"/>
      <c r="AT54" s="402"/>
      <c r="AU54" s="287" t="e">
        <f t="shared" si="23"/>
        <v>#DIV/0!</v>
      </c>
      <c r="AV54" s="413"/>
      <c r="AW54" s="287">
        <f t="shared" si="24"/>
        <v>0</v>
      </c>
      <c r="AX54" s="326" t="e">
        <f t="shared" si="25"/>
        <v>#DIV/0!</v>
      </c>
      <c r="AY54" s="151"/>
      <c r="AZ54" s="338">
        <v>1</v>
      </c>
      <c r="BA54" s="338">
        <v>1</v>
      </c>
      <c r="BB54" s="330">
        <f t="shared" si="30"/>
        <v>0</v>
      </c>
      <c r="BC54" s="330">
        <f t="shared" si="31"/>
        <v>0</v>
      </c>
      <c r="BD54" s="338"/>
      <c r="BE54" s="338"/>
      <c r="BF54" s="338"/>
      <c r="BG54" s="338"/>
      <c r="BH54" s="343">
        <f t="shared" si="36"/>
        <v>0</v>
      </c>
      <c r="BI54" s="343">
        <f t="shared" si="37"/>
        <v>0</v>
      </c>
      <c r="BJ54" s="496"/>
      <c r="BK54" s="495"/>
      <c r="BL54" s="495"/>
      <c r="BM54" s="514"/>
      <c r="BN54" s="528"/>
      <c r="BO54" s="531"/>
    </row>
    <row r="55" spans="1:67" s="135" customFormat="1" ht="39.9" customHeight="1" x14ac:dyDescent="0.25">
      <c r="A55" s="150">
        <v>95</v>
      </c>
      <c r="B55" s="159"/>
      <c r="C55" s="159"/>
      <c r="D55" s="159"/>
      <c r="E55" s="159"/>
      <c r="F55" s="159"/>
      <c r="G55" s="159"/>
      <c r="H55" s="159">
        <v>6</v>
      </c>
      <c r="I55" s="159"/>
      <c r="J55" s="159"/>
      <c r="K55" s="159"/>
      <c r="L55" s="151"/>
      <c r="M55" s="151" t="s">
        <v>280</v>
      </c>
      <c r="N55" s="170" t="s">
        <v>281</v>
      </c>
      <c r="O55" s="193"/>
      <c r="P55" s="194" t="s">
        <v>80</v>
      </c>
      <c r="Q55" s="206" t="s">
        <v>232</v>
      </c>
      <c r="R55" s="207"/>
      <c r="S55" s="208" t="s">
        <v>80</v>
      </c>
      <c r="T55" s="209"/>
      <c r="U55" s="210"/>
      <c r="V55" s="198" t="s">
        <v>84</v>
      </c>
      <c r="W55" s="198" t="s">
        <v>83</v>
      </c>
      <c r="X55" s="198" t="s">
        <v>93</v>
      </c>
      <c r="Y55" s="244" t="s">
        <v>244</v>
      </c>
      <c r="Z55" s="244"/>
      <c r="AA55" s="239"/>
      <c r="AB55" s="243">
        <v>9.6000000000000002E-2</v>
      </c>
      <c r="AC55" s="172" t="s">
        <v>202</v>
      </c>
      <c r="AD55" s="241" t="s">
        <v>97</v>
      </c>
      <c r="AE55" s="241" t="s">
        <v>282</v>
      </c>
      <c r="AF55" s="242">
        <v>81</v>
      </c>
      <c r="AG55" s="242">
        <v>77</v>
      </c>
      <c r="AH55" s="242">
        <v>3</v>
      </c>
      <c r="AI55" s="241">
        <f>AF55*AG55*AH55*7860/1000000000</f>
        <v>0.14706846000000001</v>
      </c>
      <c r="AJ55" s="255">
        <f>AB55/AI55</f>
        <v>0.6527572261244865</v>
      </c>
      <c r="AK55" s="242"/>
      <c r="AL55" s="241"/>
      <c r="AM55" s="273"/>
      <c r="AN55" s="274"/>
      <c r="AO55" s="272"/>
      <c r="AP55" s="272">
        <v>9.6000000000000002E-2</v>
      </c>
      <c r="AQ55" s="172">
        <v>6.02</v>
      </c>
      <c r="AR55" s="296">
        <f t="shared" si="39"/>
        <v>0.88535212920000006</v>
      </c>
      <c r="AS55" s="310"/>
      <c r="AT55" s="402"/>
      <c r="AU55" s="287">
        <f t="shared" si="23"/>
        <v>0</v>
      </c>
      <c r="AV55" s="413"/>
      <c r="AW55" s="287">
        <f t="shared" si="24"/>
        <v>0</v>
      </c>
      <c r="AX55" s="326" t="e">
        <f t="shared" si="25"/>
        <v>#DIV/0!</v>
      </c>
      <c r="AY55" s="151"/>
      <c r="AZ55" s="338">
        <v>2</v>
      </c>
      <c r="BA55" s="338">
        <v>2</v>
      </c>
      <c r="BB55" s="330">
        <f t="shared" si="30"/>
        <v>0</v>
      </c>
      <c r="BC55" s="330">
        <f t="shared" si="31"/>
        <v>0</v>
      </c>
      <c r="BD55" s="338"/>
      <c r="BE55" s="338"/>
      <c r="BF55" s="338"/>
      <c r="BG55" s="338"/>
      <c r="BH55" s="343">
        <f t="shared" si="36"/>
        <v>0</v>
      </c>
      <c r="BI55" s="343">
        <f t="shared" si="37"/>
        <v>0</v>
      </c>
      <c r="BJ55" s="496"/>
      <c r="BK55" s="495"/>
      <c r="BL55" s="495"/>
      <c r="BM55" s="514"/>
      <c r="BN55" s="528"/>
      <c r="BO55" s="531"/>
    </row>
    <row r="56" spans="1:67" s="135" customFormat="1" ht="39.9" customHeight="1" x14ac:dyDescent="0.25">
      <c r="A56" s="150">
        <v>96</v>
      </c>
      <c r="B56" s="159"/>
      <c r="C56" s="159"/>
      <c r="D56" s="159"/>
      <c r="E56" s="159"/>
      <c r="F56" s="159"/>
      <c r="G56" s="159">
        <v>5</v>
      </c>
      <c r="H56" s="159"/>
      <c r="I56" s="159"/>
      <c r="J56" s="159"/>
      <c r="K56" s="159"/>
      <c r="L56" s="151"/>
      <c r="M56" s="151" t="s">
        <v>283</v>
      </c>
      <c r="N56" s="170" t="s">
        <v>284</v>
      </c>
      <c r="O56" s="193"/>
      <c r="P56" s="194" t="s">
        <v>80</v>
      </c>
      <c r="Q56" s="206" t="s">
        <v>232</v>
      </c>
      <c r="R56" s="207"/>
      <c r="S56" s="208" t="s">
        <v>80</v>
      </c>
      <c r="T56" s="209"/>
      <c r="U56" s="210"/>
      <c r="V56" s="198" t="s">
        <v>84</v>
      </c>
      <c r="W56" s="198" t="s">
        <v>83</v>
      </c>
      <c r="X56" s="198" t="s">
        <v>233</v>
      </c>
      <c r="Y56" s="244" t="s">
        <v>86</v>
      </c>
      <c r="Z56" s="244" t="s">
        <v>202</v>
      </c>
      <c r="AA56" s="239"/>
      <c r="AB56" s="245">
        <f>AB57+AB58*BA58</f>
        <v>0.36409999999999998</v>
      </c>
      <c r="AC56" s="172" t="s">
        <v>202</v>
      </c>
      <c r="AD56" s="241" t="s">
        <v>285</v>
      </c>
      <c r="AE56" s="241"/>
      <c r="AF56" s="242"/>
      <c r="AG56" s="242"/>
      <c r="AH56" s="242"/>
      <c r="AI56" s="241"/>
      <c r="AJ56" s="255"/>
      <c r="AK56" s="242">
        <v>4</v>
      </c>
      <c r="AL56" s="241"/>
      <c r="AM56" s="273"/>
      <c r="AN56" s="274"/>
      <c r="AO56" s="272"/>
      <c r="AP56" s="272"/>
      <c r="AQ56" s="172"/>
      <c r="AR56" s="309"/>
      <c r="AS56" s="310"/>
      <c r="AT56" s="402"/>
      <c r="AU56" s="287" t="e">
        <f t="shared" si="23"/>
        <v>#DIV/0!</v>
      </c>
      <c r="AV56" s="413"/>
      <c r="AW56" s="287">
        <f t="shared" si="24"/>
        <v>0</v>
      </c>
      <c r="AX56" s="326" t="e">
        <f t="shared" si="25"/>
        <v>#DIV/0!</v>
      </c>
      <c r="AY56" s="151"/>
      <c r="AZ56" s="338">
        <v>1</v>
      </c>
      <c r="BA56" s="338">
        <v>1</v>
      </c>
      <c r="BB56" s="330">
        <f t="shared" si="30"/>
        <v>0</v>
      </c>
      <c r="BC56" s="330">
        <f t="shared" si="31"/>
        <v>0</v>
      </c>
      <c r="BD56" s="338"/>
      <c r="BE56" s="338"/>
      <c r="BF56" s="338"/>
      <c r="BG56" s="338"/>
      <c r="BH56" s="343">
        <f t="shared" si="36"/>
        <v>0</v>
      </c>
      <c r="BI56" s="343">
        <f t="shared" si="37"/>
        <v>0</v>
      </c>
      <c r="BJ56" s="496"/>
      <c r="BK56" s="495"/>
      <c r="BL56" s="495"/>
      <c r="BM56" s="514"/>
      <c r="BN56" s="528"/>
      <c r="BO56" s="531"/>
    </row>
    <row r="57" spans="1:67" s="135" customFormat="1" ht="39.9" customHeight="1" x14ac:dyDescent="0.25">
      <c r="A57" s="150">
        <v>97</v>
      </c>
      <c r="B57" s="159"/>
      <c r="C57" s="159"/>
      <c r="D57" s="159"/>
      <c r="E57" s="159"/>
      <c r="F57" s="159"/>
      <c r="G57" s="159"/>
      <c r="H57" s="159">
        <v>6</v>
      </c>
      <c r="I57" s="159"/>
      <c r="J57" s="159"/>
      <c r="K57" s="159"/>
      <c r="L57" s="159"/>
      <c r="M57" s="151" t="s">
        <v>286</v>
      </c>
      <c r="N57" s="170" t="s">
        <v>287</v>
      </c>
      <c r="O57" s="193"/>
      <c r="P57" s="194" t="s">
        <v>80</v>
      </c>
      <c r="Q57" s="206" t="s">
        <v>232</v>
      </c>
      <c r="R57" s="207"/>
      <c r="S57" s="208" t="s">
        <v>80</v>
      </c>
      <c r="T57" s="209"/>
      <c r="U57" s="210"/>
      <c r="V57" s="198" t="s">
        <v>84</v>
      </c>
      <c r="W57" s="198" t="s">
        <v>83</v>
      </c>
      <c r="X57" s="198" t="s">
        <v>93</v>
      </c>
      <c r="Y57" s="244" t="s">
        <v>239</v>
      </c>
      <c r="Z57" s="244" t="s">
        <v>240</v>
      </c>
      <c r="AA57" s="239"/>
      <c r="AB57" s="245">
        <v>0.3503</v>
      </c>
      <c r="AC57" s="172" t="s">
        <v>202</v>
      </c>
      <c r="AD57" s="241" t="s">
        <v>97</v>
      </c>
      <c r="AE57" s="241" t="s">
        <v>288</v>
      </c>
      <c r="AF57" s="242">
        <v>185</v>
      </c>
      <c r="AG57" s="242">
        <v>104</v>
      </c>
      <c r="AH57" s="242">
        <v>3</v>
      </c>
      <c r="AI57" s="241">
        <f>AF57*AG57*AH57*7860/1000000000</f>
        <v>0.4536792</v>
      </c>
      <c r="AJ57" s="255">
        <f>AB57/AI57</f>
        <v>0.77213149732233699</v>
      </c>
      <c r="AK57" s="242"/>
      <c r="AL57" s="241"/>
      <c r="AM57" s="273"/>
      <c r="AN57" s="274"/>
      <c r="AO57" s="272"/>
      <c r="AP57" s="272"/>
      <c r="AQ57" s="172">
        <v>6.11</v>
      </c>
      <c r="AR57" s="296">
        <f t="shared" ref="AR57" si="40">AI57*AQ57</f>
        <v>2.7719799120000004</v>
      </c>
      <c r="AS57" s="310"/>
      <c r="AT57" s="402"/>
      <c r="AU57" s="287" t="e">
        <f t="shared" si="23"/>
        <v>#DIV/0!</v>
      </c>
      <c r="AV57" s="413"/>
      <c r="AW57" s="287">
        <f t="shared" si="24"/>
        <v>0</v>
      </c>
      <c r="AX57" s="326" t="e">
        <f t="shared" si="25"/>
        <v>#DIV/0!</v>
      </c>
      <c r="AY57" s="151"/>
      <c r="AZ57" s="338">
        <v>1</v>
      </c>
      <c r="BA57" s="338">
        <v>1</v>
      </c>
      <c r="BB57" s="330">
        <f t="shared" si="30"/>
        <v>0</v>
      </c>
      <c r="BC57" s="330">
        <f t="shared" si="31"/>
        <v>0</v>
      </c>
      <c r="BD57" s="338"/>
      <c r="BE57" s="338"/>
      <c r="BF57" s="338"/>
      <c r="BG57" s="338"/>
      <c r="BH57" s="343">
        <f t="shared" si="36"/>
        <v>0</v>
      </c>
      <c r="BI57" s="343">
        <f t="shared" si="37"/>
        <v>0</v>
      </c>
      <c r="BJ57" s="496"/>
      <c r="BK57" s="495"/>
      <c r="BL57" s="495"/>
      <c r="BM57" s="514"/>
      <c r="BN57" s="528"/>
      <c r="BO57" s="531"/>
    </row>
    <row r="58" spans="1:67" s="135" customFormat="1" ht="39.9" customHeight="1" x14ac:dyDescent="0.25">
      <c r="A58" s="150">
        <v>98</v>
      </c>
      <c r="B58" s="159"/>
      <c r="C58" s="159"/>
      <c r="D58" s="159"/>
      <c r="E58" s="159"/>
      <c r="F58" s="159"/>
      <c r="G58" s="159"/>
      <c r="H58" s="159">
        <v>6</v>
      </c>
      <c r="I58" s="159"/>
      <c r="J58" s="159"/>
      <c r="K58" s="159"/>
      <c r="L58" s="159"/>
      <c r="M58" s="151" t="s">
        <v>289</v>
      </c>
      <c r="N58" s="170" t="s">
        <v>101</v>
      </c>
      <c r="O58" s="193"/>
      <c r="P58" s="194" t="s">
        <v>80</v>
      </c>
      <c r="Q58" s="206" t="s">
        <v>232</v>
      </c>
      <c r="R58" s="207"/>
      <c r="S58" s="208"/>
      <c r="T58" s="209"/>
      <c r="U58" s="210"/>
      <c r="V58" s="198" t="s">
        <v>83</v>
      </c>
      <c r="W58" s="198" t="s">
        <v>84</v>
      </c>
      <c r="X58" s="198" t="s">
        <v>103</v>
      </c>
      <c r="Y58" s="244" t="s">
        <v>104</v>
      </c>
      <c r="Z58" s="244"/>
      <c r="AA58" s="239"/>
      <c r="AB58" s="245">
        <v>6.8999999999999999E-3</v>
      </c>
      <c r="AC58" s="172" t="s">
        <v>202</v>
      </c>
      <c r="AD58" s="241"/>
      <c r="AE58" s="241"/>
      <c r="AF58" s="242"/>
      <c r="AG58" s="242"/>
      <c r="AH58" s="242"/>
      <c r="AI58" s="241"/>
      <c r="AJ58" s="255"/>
      <c r="AK58" s="242"/>
      <c r="AL58" s="241"/>
      <c r="AM58" s="273"/>
      <c r="AN58" s="274"/>
      <c r="AO58" s="272"/>
      <c r="AP58" s="272"/>
      <c r="AQ58" s="172"/>
      <c r="AR58" s="309">
        <v>4.2999999999999997E-2</v>
      </c>
      <c r="AS58" s="310"/>
      <c r="AT58" s="402"/>
      <c r="AU58" s="287" t="e">
        <f t="shared" si="23"/>
        <v>#DIV/0!</v>
      </c>
      <c r="AV58" s="413"/>
      <c r="AW58" s="287">
        <f t="shared" si="24"/>
        <v>0</v>
      </c>
      <c r="AX58" s="326" t="e">
        <f t="shared" si="25"/>
        <v>#DIV/0!</v>
      </c>
      <c r="AY58" s="151"/>
      <c r="AZ58" s="338">
        <v>2</v>
      </c>
      <c r="BA58" s="338">
        <v>2</v>
      </c>
      <c r="BB58" s="330">
        <f t="shared" si="30"/>
        <v>0</v>
      </c>
      <c r="BC58" s="330">
        <f t="shared" si="31"/>
        <v>0</v>
      </c>
      <c r="BD58" s="338"/>
      <c r="BE58" s="338"/>
      <c r="BF58" s="338"/>
      <c r="BG58" s="338"/>
      <c r="BH58" s="343">
        <f t="shared" si="36"/>
        <v>0</v>
      </c>
      <c r="BI58" s="343">
        <f t="shared" si="37"/>
        <v>0</v>
      </c>
      <c r="BJ58" s="496"/>
      <c r="BK58" s="495"/>
      <c r="BL58" s="495"/>
      <c r="BM58" s="514"/>
      <c r="BN58" s="528"/>
      <c r="BO58" s="531"/>
    </row>
    <row r="59" spans="1:67" s="135" customFormat="1" ht="39.9" customHeight="1" x14ac:dyDescent="0.25">
      <c r="A59" s="150">
        <v>99</v>
      </c>
      <c r="B59" s="159"/>
      <c r="C59" s="159"/>
      <c r="D59" s="159"/>
      <c r="E59" s="159"/>
      <c r="F59" s="159"/>
      <c r="G59" s="159">
        <v>5</v>
      </c>
      <c r="H59" s="159"/>
      <c r="I59" s="159"/>
      <c r="J59" s="159"/>
      <c r="K59" s="159"/>
      <c r="L59" s="151"/>
      <c r="M59" s="151" t="s">
        <v>290</v>
      </c>
      <c r="N59" s="170" t="s">
        <v>291</v>
      </c>
      <c r="O59" s="193"/>
      <c r="P59" s="194" t="s">
        <v>80</v>
      </c>
      <c r="Q59" s="206" t="s">
        <v>232</v>
      </c>
      <c r="R59" s="207"/>
      <c r="S59" s="208" t="s">
        <v>80</v>
      </c>
      <c r="T59" s="209"/>
      <c r="U59" s="210"/>
      <c r="V59" s="198" t="s">
        <v>84</v>
      </c>
      <c r="W59" s="198" t="s">
        <v>83</v>
      </c>
      <c r="X59" s="198" t="s">
        <v>233</v>
      </c>
      <c r="Y59" s="244" t="s">
        <v>86</v>
      </c>
      <c r="Z59" s="244"/>
      <c r="AA59" s="239"/>
      <c r="AB59" s="245">
        <f>AB60+AB61*BA61</f>
        <v>0.82530000000000003</v>
      </c>
      <c r="AC59" s="172" t="s">
        <v>202</v>
      </c>
      <c r="AD59" s="241" t="s">
        <v>285</v>
      </c>
      <c r="AE59" s="241"/>
      <c r="AF59" s="242"/>
      <c r="AG59" s="242"/>
      <c r="AH59" s="242"/>
      <c r="AI59" s="241"/>
      <c r="AJ59" s="255"/>
      <c r="AK59" s="242">
        <v>4</v>
      </c>
      <c r="AL59" s="241"/>
      <c r="AM59" s="273"/>
      <c r="AN59" s="274"/>
      <c r="AO59" s="272"/>
      <c r="AP59" s="272"/>
      <c r="AQ59" s="172"/>
      <c r="AR59" s="309"/>
      <c r="AS59" s="310"/>
      <c r="AT59" s="402"/>
      <c r="AU59" s="287" t="e">
        <f t="shared" si="23"/>
        <v>#DIV/0!</v>
      </c>
      <c r="AV59" s="413"/>
      <c r="AW59" s="287">
        <f t="shared" si="24"/>
        <v>0</v>
      </c>
      <c r="AX59" s="326" t="e">
        <f t="shared" si="25"/>
        <v>#DIV/0!</v>
      </c>
      <c r="AY59" s="151"/>
      <c r="AZ59" s="338">
        <v>1</v>
      </c>
      <c r="BA59" s="338">
        <v>1</v>
      </c>
      <c r="BB59" s="330">
        <f t="shared" si="30"/>
        <v>0</v>
      </c>
      <c r="BC59" s="330">
        <f t="shared" si="31"/>
        <v>0</v>
      </c>
      <c r="BD59" s="338"/>
      <c r="BE59" s="338"/>
      <c r="BF59" s="338"/>
      <c r="BG59" s="338"/>
      <c r="BH59" s="343">
        <f t="shared" si="36"/>
        <v>0</v>
      </c>
      <c r="BI59" s="343">
        <f t="shared" si="37"/>
        <v>0</v>
      </c>
      <c r="BJ59" s="496"/>
      <c r="BK59" s="495"/>
      <c r="BL59" s="495"/>
      <c r="BM59" s="514"/>
      <c r="BN59" s="528"/>
      <c r="BO59" s="531"/>
    </row>
    <row r="60" spans="1:67" s="135" customFormat="1" ht="39.9" customHeight="1" x14ac:dyDescent="0.25">
      <c r="A60" s="150">
        <v>100</v>
      </c>
      <c r="B60" s="159"/>
      <c r="C60" s="159"/>
      <c r="D60" s="159"/>
      <c r="E60" s="159"/>
      <c r="F60" s="159"/>
      <c r="G60" s="159"/>
      <c r="H60" s="159">
        <v>6</v>
      </c>
      <c r="I60" s="159"/>
      <c r="J60" s="159"/>
      <c r="K60" s="159"/>
      <c r="L60" s="159"/>
      <c r="M60" s="151" t="s">
        <v>292</v>
      </c>
      <c r="N60" s="170" t="s">
        <v>293</v>
      </c>
      <c r="O60" s="193"/>
      <c r="P60" s="194" t="s">
        <v>80</v>
      </c>
      <c r="Q60" s="206" t="s">
        <v>232</v>
      </c>
      <c r="R60" s="207"/>
      <c r="S60" s="208" t="s">
        <v>80</v>
      </c>
      <c r="T60" s="209"/>
      <c r="U60" s="210"/>
      <c r="V60" s="198" t="s">
        <v>84</v>
      </c>
      <c r="W60" s="198" t="s">
        <v>83</v>
      </c>
      <c r="X60" s="198" t="s">
        <v>93</v>
      </c>
      <c r="Y60" s="244" t="s">
        <v>239</v>
      </c>
      <c r="Z60" s="244" t="s">
        <v>240</v>
      </c>
      <c r="AA60" s="239"/>
      <c r="AB60" s="243">
        <v>0.8115</v>
      </c>
      <c r="AC60" s="172" t="s">
        <v>202</v>
      </c>
      <c r="AD60" s="241" t="s">
        <v>97</v>
      </c>
      <c r="AE60" s="241" t="s">
        <v>294</v>
      </c>
      <c r="AF60" s="242">
        <v>207</v>
      </c>
      <c r="AG60" s="242">
        <v>194</v>
      </c>
      <c r="AH60" s="242">
        <v>3</v>
      </c>
      <c r="AI60" s="241">
        <f>AF60*AG60*AH60*7860/1000000000</f>
        <v>0.94692564000000001</v>
      </c>
      <c r="AJ60" s="255">
        <f>AB60/AI60</f>
        <v>0.85698387045470648</v>
      </c>
      <c r="AK60" s="242"/>
      <c r="AL60" s="241"/>
      <c r="AM60" s="273"/>
      <c r="AN60" s="274"/>
      <c r="AO60" s="272"/>
      <c r="AP60" s="272"/>
      <c r="AQ60" s="172">
        <v>6.11</v>
      </c>
      <c r="AR60" s="296">
        <f t="shared" ref="AR60" si="41">AI60*AQ60</f>
        <v>5.7857156604000002</v>
      </c>
      <c r="AS60" s="310"/>
      <c r="AT60" s="402"/>
      <c r="AU60" s="287" t="e">
        <f t="shared" si="23"/>
        <v>#DIV/0!</v>
      </c>
      <c r="AV60" s="413"/>
      <c r="AW60" s="287">
        <f t="shared" si="24"/>
        <v>0</v>
      </c>
      <c r="AX60" s="326" t="e">
        <f t="shared" si="25"/>
        <v>#DIV/0!</v>
      </c>
      <c r="AY60" s="151"/>
      <c r="AZ60" s="338">
        <v>1</v>
      </c>
      <c r="BA60" s="338">
        <v>1</v>
      </c>
      <c r="BB60" s="330">
        <f t="shared" si="30"/>
        <v>0</v>
      </c>
      <c r="BC60" s="330">
        <f t="shared" si="31"/>
        <v>0</v>
      </c>
      <c r="BD60" s="338"/>
      <c r="BE60" s="338"/>
      <c r="BF60" s="338"/>
      <c r="BG60" s="338"/>
      <c r="BH60" s="343">
        <f t="shared" si="36"/>
        <v>0</v>
      </c>
      <c r="BI60" s="343">
        <f t="shared" si="37"/>
        <v>0</v>
      </c>
      <c r="BJ60" s="496"/>
      <c r="BK60" s="495"/>
      <c r="BL60" s="495"/>
      <c r="BM60" s="514"/>
      <c r="BN60" s="528"/>
      <c r="BO60" s="531"/>
    </row>
    <row r="61" spans="1:67" s="135" customFormat="1" ht="39.9" customHeight="1" x14ac:dyDescent="0.25">
      <c r="A61" s="150">
        <v>101</v>
      </c>
      <c r="B61" s="159"/>
      <c r="C61" s="159"/>
      <c r="D61" s="159"/>
      <c r="E61" s="159"/>
      <c r="F61" s="159"/>
      <c r="G61" s="159"/>
      <c r="H61" s="159">
        <v>6</v>
      </c>
      <c r="I61" s="159"/>
      <c r="J61" s="159"/>
      <c r="K61" s="159"/>
      <c r="L61" s="159"/>
      <c r="M61" s="151" t="s">
        <v>289</v>
      </c>
      <c r="N61" s="170" t="s">
        <v>101</v>
      </c>
      <c r="O61" s="193"/>
      <c r="P61" s="194" t="s">
        <v>80</v>
      </c>
      <c r="Q61" s="206" t="s">
        <v>232</v>
      </c>
      <c r="R61" s="207"/>
      <c r="S61" s="208"/>
      <c r="T61" s="209"/>
      <c r="U61" s="210"/>
      <c r="V61" s="198" t="s">
        <v>83</v>
      </c>
      <c r="W61" s="198" t="s">
        <v>84</v>
      </c>
      <c r="X61" s="198" t="s">
        <v>103</v>
      </c>
      <c r="Y61" s="244" t="s">
        <v>104</v>
      </c>
      <c r="Z61" s="244"/>
      <c r="AA61" s="239"/>
      <c r="AB61" s="245">
        <v>6.8999999999999999E-3</v>
      </c>
      <c r="AC61" s="172" t="s">
        <v>202</v>
      </c>
      <c r="AD61" s="241"/>
      <c r="AE61" s="241"/>
      <c r="AF61" s="242"/>
      <c r="AG61" s="242"/>
      <c r="AH61" s="242"/>
      <c r="AI61" s="241"/>
      <c r="AJ61" s="255"/>
      <c r="AK61" s="242"/>
      <c r="AL61" s="241"/>
      <c r="AM61" s="273"/>
      <c r="AN61" s="274"/>
      <c r="AO61" s="272"/>
      <c r="AP61" s="272"/>
      <c r="AQ61" s="172"/>
      <c r="AR61" s="309">
        <v>4.2999999999999997E-2</v>
      </c>
      <c r="AS61" s="310"/>
      <c r="AT61" s="402"/>
      <c r="AU61" s="287" t="e">
        <f t="shared" si="23"/>
        <v>#DIV/0!</v>
      </c>
      <c r="AV61" s="413"/>
      <c r="AW61" s="287">
        <f t="shared" si="24"/>
        <v>0</v>
      </c>
      <c r="AX61" s="326" t="e">
        <f t="shared" si="25"/>
        <v>#DIV/0!</v>
      </c>
      <c r="AY61" s="151"/>
      <c r="AZ61" s="338">
        <v>2</v>
      </c>
      <c r="BA61" s="338">
        <v>2</v>
      </c>
      <c r="BB61" s="330">
        <f t="shared" si="30"/>
        <v>0</v>
      </c>
      <c r="BC61" s="330">
        <f t="shared" si="31"/>
        <v>0</v>
      </c>
      <c r="BD61" s="338"/>
      <c r="BE61" s="338"/>
      <c r="BF61" s="338"/>
      <c r="BG61" s="338"/>
      <c r="BH61" s="343">
        <f t="shared" si="36"/>
        <v>0</v>
      </c>
      <c r="BI61" s="343">
        <f t="shared" si="37"/>
        <v>0</v>
      </c>
      <c r="BJ61" s="496"/>
      <c r="BK61" s="447"/>
      <c r="BL61" s="447"/>
      <c r="BM61" s="515"/>
      <c r="BN61" s="529"/>
      <c r="BO61" s="532"/>
    </row>
    <row r="62" spans="1:67" s="135" customFormat="1" ht="39.9" customHeight="1" x14ac:dyDescent="0.25">
      <c r="A62" s="150">
        <v>110</v>
      </c>
      <c r="B62" s="159"/>
      <c r="C62" s="159"/>
      <c r="D62" s="159"/>
      <c r="E62" s="159"/>
      <c r="F62" s="159"/>
      <c r="G62" s="159">
        <v>5</v>
      </c>
      <c r="H62" s="159"/>
      <c r="I62" s="159"/>
      <c r="J62" s="159"/>
      <c r="K62" s="159"/>
      <c r="L62" s="151" t="s">
        <v>295</v>
      </c>
      <c r="M62" s="151" t="s">
        <v>704</v>
      </c>
      <c r="N62" s="196" t="s">
        <v>296</v>
      </c>
      <c r="O62" s="193"/>
      <c r="P62" s="194" t="s">
        <v>80</v>
      </c>
      <c r="Q62" s="206" t="s">
        <v>232</v>
      </c>
      <c r="R62" s="207"/>
      <c r="S62" s="208" t="s">
        <v>80</v>
      </c>
      <c r="T62" s="209"/>
      <c r="U62" s="210"/>
      <c r="V62" s="198" t="s">
        <v>84</v>
      </c>
      <c r="W62" s="198" t="s">
        <v>83</v>
      </c>
      <c r="X62" s="198" t="s">
        <v>233</v>
      </c>
      <c r="Y62" s="244" t="s">
        <v>86</v>
      </c>
      <c r="Z62" s="244"/>
      <c r="AA62" s="239"/>
      <c r="AB62" s="243">
        <f>AB63+AB64+AB65+AB66</f>
        <v>0.58540000000000003</v>
      </c>
      <c r="AC62" s="172" t="s">
        <v>202</v>
      </c>
      <c r="AD62" s="241" t="s">
        <v>87</v>
      </c>
      <c r="AE62" s="241"/>
      <c r="AF62" s="242"/>
      <c r="AG62" s="242"/>
      <c r="AH62" s="242"/>
      <c r="AI62" s="241"/>
      <c r="AJ62" s="255"/>
      <c r="AK62" s="242">
        <v>20</v>
      </c>
      <c r="AL62" s="241"/>
      <c r="AM62" s="276" t="s">
        <v>88</v>
      </c>
      <c r="AN62" s="272" t="s">
        <v>297</v>
      </c>
      <c r="AO62" s="272"/>
      <c r="AP62" s="272">
        <v>0.53600000000000003</v>
      </c>
      <c r="AQ62" s="172"/>
      <c r="AR62" s="309">
        <f>AR63+AR65*2+AR66</f>
        <v>5.915113894400001</v>
      </c>
      <c r="AS62" s="310">
        <v>1.2</v>
      </c>
      <c r="AT62" s="402">
        <f>AR62*AS62</f>
        <v>7.0981366732800009</v>
      </c>
      <c r="AU62" s="287">
        <f t="shared" si="23"/>
        <v>23.582089552238806</v>
      </c>
      <c r="AV62" s="413">
        <v>12.64</v>
      </c>
      <c r="AW62" s="287">
        <f t="shared" si="24"/>
        <v>5.5418633267199997</v>
      </c>
      <c r="AX62" s="326">
        <f t="shared" si="25"/>
        <v>0.43843855432911388</v>
      </c>
      <c r="AY62" s="340" t="s">
        <v>298</v>
      </c>
      <c r="AZ62" s="338">
        <v>2</v>
      </c>
      <c r="BA62" s="338">
        <v>2</v>
      </c>
      <c r="BB62" s="330">
        <f t="shared" si="30"/>
        <v>25.28</v>
      </c>
      <c r="BC62" s="330">
        <f t="shared" si="31"/>
        <v>25.28</v>
      </c>
      <c r="BD62" s="338"/>
      <c r="BE62" s="338"/>
      <c r="BF62" s="338"/>
      <c r="BG62" s="338"/>
      <c r="BH62" s="343">
        <f t="shared" ref="BH62:BH79" si="42">AV62*BA62</f>
        <v>25.28</v>
      </c>
      <c r="BI62" s="343">
        <f t="shared" ref="BI62:BI79" si="43">AT62*BA62</f>
        <v>14.196273346560002</v>
      </c>
      <c r="BJ62" s="496" t="s">
        <v>90</v>
      </c>
      <c r="BK62" s="446" t="s">
        <v>91</v>
      </c>
      <c r="BL62" s="435">
        <v>44666</v>
      </c>
      <c r="BM62" s="435" t="s">
        <v>758</v>
      </c>
      <c r="BN62" s="435"/>
      <c r="BO62" s="437" t="s">
        <v>718</v>
      </c>
    </row>
    <row r="63" spans="1:67" s="135" customFormat="1" ht="39.9" customHeight="1" x14ac:dyDescent="0.25">
      <c r="A63" s="150">
        <v>111</v>
      </c>
      <c r="B63" s="159"/>
      <c r="C63" s="159"/>
      <c r="D63" s="159"/>
      <c r="E63" s="159"/>
      <c r="F63" s="159"/>
      <c r="G63" s="159"/>
      <c r="H63" s="159">
        <v>6</v>
      </c>
      <c r="I63" s="159"/>
      <c r="J63" s="159"/>
      <c r="K63" s="159"/>
      <c r="L63" s="151"/>
      <c r="M63" s="151" t="s">
        <v>299</v>
      </c>
      <c r="N63" s="196" t="s">
        <v>300</v>
      </c>
      <c r="O63" s="193"/>
      <c r="P63" s="194" t="s">
        <v>80</v>
      </c>
      <c r="Q63" s="206" t="s">
        <v>232</v>
      </c>
      <c r="R63" s="207"/>
      <c r="S63" s="208" t="s">
        <v>80</v>
      </c>
      <c r="T63" s="209"/>
      <c r="U63" s="210"/>
      <c r="V63" s="198" t="s">
        <v>84</v>
      </c>
      <c r="W63" s="198" t="s">
        <v>83</v>
      </c>
      <c r="X63" s="198" t="s">
        <v>93</v>
      </c>
      <c r="Y63" s="249" t="s">
        <v>301</v>
      </c>
      <c r="Z63" s="244" t="s">
        <v>302</v>
      </c>
      <c r="AA63" s="246"/>
      <c r="AB63" s="243">
        <v>0.498</v>
      </c>
      <c r="AC63" s="172" t="s">
        <v>202</v>
      </c>
      <c r="AD63" s="241" t="s">
        <v>97</v>
      </c>
      <c r="AE63" s="241" t="s">
        <v>303</v>
      </c>
      <c r="AF63" s="242">
        <v>352</v>
      </c>
      <c r="AG63" s="242">
        <v>47</v>
      </c>
      <c r="AH63" s="277">
        <v>6</v>
      </c>
      <c r="AI63" s="241">
        <f>AF63*AG63*AH63*7860/1000000000</f>
        <v>0.78021503999999997</v>
      </c>
      <c r="AJ63" s="255">
        <f>AB63/AI63</f>
        <v>0.63828556804031877</v>
      </c>
      <c r="AK63" s="242"/>
      <c r="AL63" s="241"/>
      <c r="AM63" s="273"/>
      <c r="AN63" s="274"/>
      <c r="AO63" s="272"/>
      <c r="AP63" s="272"/>
      <c r="AQ63" s="172">
        <v>6.11</v>
      </c>
      <c r="AR63" s="296">
        <f t="shared" ref="AR63" si="44">AI63*AQ63</f>
        <v>4.7671138944000004</v>
      </c>
      <c r="AS63" s="310"/>
      <c r="AT63" s="402"/>
      <c r="AU63" s="287" t="e">
        <f t="shared" si="23"/>
        <v>#DIV/0!</v>
      </c>
      <c r="AV63" s="413"/>
      <c r="AW63" s="287">
        <f t="shared" si="24"/>
        <v>0</v>
      </c>
      <c r="AX63" s="326" t="e">
        <f t="shared" si="25"/>
        <v>#DIV/0!</v>
      </c>
      <c r="AY63" s="151"/>
      <c r="AZ63" s="338">
        <v>1</v>
      </c>
      <c r="BA63" s="338">
        <v>1</v>
      </c>
      <c r="BB63" s="330">
        <f t="shared" si="30"/>
        <v>0</v>
      </c>
      <c r="BC63" s="330">
        <f t="shared" si="31"/>
        <v>0</v>
      </c>
      <c r="BD63" s="338"/>
      <c r="BE63" s="338"/>
      <c r="BF63" s="338"/>
      <c r="BG63" s="338"/>
      <c r="BH63" s="343">
        <f t="shared" si="42"/>
        <v>0</v>
      </c>
      <c r="BI63" s="343">
        <f t="shared" si="43"/>
        <v>0</v>
      </c>
      <c r="BJ63" s="496"/>
      <c r="BK63" s="495"/>
      <c r="BL63" s="495"/>
      <c r="BM63" s="509"/>
      <c r="BN63" s="509"/>
      <c r="BO63" s="520"/>
    </row>
    <row r="64" spans="1:67" s="135" customFormat="1" ht="39.9" customHeight="1" x14ac:dyDescent="0.25">
      <c r="A64" s="150">
        <v>112</v>
      </c>
      <c r="B64" s="159"/>
      <c r="C64" s="159"/>
      <c r="D64" s="159"/>
      <c r="E64" s="159"/>
      <c r="F64" s="165"/>
      <c r="G64" s="159"/>
      <c r="H64" s="159">
        <v>6</v>
      </c>
      <c r="I64" s="159"/>
      <c r="J64" s="159"/>
      <c r="K64" s="159"/>
      <c r="L64" s="177"/>
      <c r="M64" s="177" t="s">
        <v>304</v>
      </c>
      <c r="N64" s="197" t="s">
        <v>305</v>
      </c>
      <c r="O64" s="193"/>
      <c r="P64" s="194" t="s">
        <v>184</v>
      </c>
      <c r="Q64" s="206" t="s">
        <v>232</v>
      </c>
      <c r="R64" s="207"/>
      <c r="S64" s="208" t="s">
        <v>80</v>
      </c>
      <c r="T64" s="209"/>
      <c r="U64" s="210"/>
      <c r="V64" s="198" t="s">
        <v>84</v>
      </c>
      <c r="W64" s="198" t="s">
        <v>83</v>
      </c>
      <c r="X64" s="198" t="s">
        <v>306</v>
      </c>
      <c r="Y64" s="250" t="s">
        <v>86</v>
      </c>
      <c r="Z64" s="244" t="s">
        <v>202</v>
      </c>
      <c r="AA64" s="246"/>
      <c r="AB64" s="245">
        <v>4.5999999999999999E-2</v>
      </c>
      <c r="AC64" s="172" t="s">
        <v>202</v>
      </c>
      <c r="AD64" s="241"/>
      <c r="AE64" s="241"/>
      <c r="AF64" s="242"/>
      <c r="AG64" s="242"/>
      <c r="AH64" s="242"/>
      <c r="AI64" s="241"/>
      <c r="AJ64" s="255"/>
      <c r="AK64" s="242"/>
      <c r="AL64" s="241"/>
      <c r="AM64" s="273"/>
      <c r="AN64" s="274"/>
      <c r="AO64" s="272"/>
      <c r="AP64" s="272"/>
      <c r="AQ64" s="172"/>
      <c r="AR64" s="309"/>
      <c r="AS64" s="310"/>
      <c r="AT64" s="402"/>
      <c r="AU64" s="287" t="e">
        <f t="shared" ref="AU64:AU95" si="45">AV64/AP64</f>
        <v>#DIV/0!</v>
      </c>
      <c r="AV64" s="413"/>
      <c r="AW64" s="287">
        <f t="shared" ref="AW64:AW95" si="46">AV64-AT64</f>
        <v>0</v>
      </c>
      <c r="AX64" s="326" t="e">
        <f t="shared" ref="AX64:AX95" si="47">AW64/AV64</f>
        <v>#DIV/0!</v>
      </c>
      <c r="AY64" s="151"/>
      <c r="AZ64" s="338">
        <v>1</v>
      </c>
      <c r="BA64" s="338">
        <v>1</v>
      </c>
      <c r="BB64" s="330">
        <f t="shared" si="30"/>
        <v>0</v>
      </c>
      <c r="BC64" s="330">
        <f t="shared" si="31"/>
        <v>0</v>
      </c>
      <c r="BD64" s="338"/>
      <c r="BE64" s="338"/>
      <c r="BF64" s="338"/>
      <c r="BG64" s="338"/>
      <c r="BH64" s="343">
        <f t="shared" si="42"/>
        <v>0</v>
      </c>
      <c r="BI64" s="343">
        <f t="shared" si="43"/>
        <v>0</v>
      </c>
      <c r="BJ64" s="496"/>
      <c r="BK64" s="495"/>
      <c r="BL64" s="495"/>
      <c r="BM64" s="509"/>
      <c r="BN64" s="509"/>
      <c r="BO64" s="520"/>
    </row>
    <row r="65" spans="1:69" s="135" customFormat="1" ht="39.9" customHeight="1" x14ac:dyDescent="0.25">
      <c r="A65" s="150">
        <v>113</v>
      </c>
      <c r="B65" s="159"/>
      <c r="C65" s="159"/>
      <c r="D65" s="159"/>
      <c r="E65" s="159"/>
      <c r="F65" s="165"/>
      <c r="G65" s="165"/>
      <c r="H65" s="159"/>
      <c r="I65" s="159">
        <v>7</v>
      </c>
      <c r="J65" s="159"/>
      <c r="K65" s="159"/>
      <c r="L65" s="151"/>
      <c r="M65" s="151" t="s">
        <v>307</v>
      </c>
      <c r="N65" s="196" t="s">
        <v>308</v>
      </c>
      <c r="O65" s="193"/>
      <c r="P65" s="194" t="s">
        <v>184</v>
      </c>
      <c r="Q65" s="206" t="s">
        <v>232</v>
      </c>
      <c r="R65" s="207"/>
      <c r="S65" s="208" t="s">
        <v>80</v>
      </c>
      <c r="T65" s="209"/>
      <c r="U65" s="210"/>
      <c r="V65" s="198" t="s">
        <v>84</v>
      </c>
      <c r="W65" s="198" t="s">
        <v>83</v>
      </c>
      <c r="X65" s="198" t="s">
        <v>103</v>
      </c>
      <c r="Y65" s="250"/>
      <c r="Z65" s="244" t="s">
        <v>202</v>
      </c>
      <c r="AA65" s="246"/>
      <c r="AB65" s="359">
        <v>4.0000000000000001E-3</v>
      </c>
      <c r="AC65" s="172" t="s">
        <v>202</v>
      </c>
      <c r="AD65" s="241"/>
      <c r="AE65" s="241"/>
      <c r="AF65" s="242"/>
      <c r="AG65" s="242"/>
      <c r="AH65" s="242"/>
      <c r="AI65" s="241"/>
      <c r="AJ65" s="255"/>
      <c r="AK65" s="242"/>
      <c r="AL65" s="241"/>
      <c r="AM65" s="273"/>
      <c r="AN65" s="274"/>
      <c r="AO65" s="272"/>
      <c r="AP65" s="272"/>
      <c r="AQ65" s="172"/>
      <c r="AR65" s="309">
        <v>0.2</v>
      </c>
      <c r="AS65" s="310"/>
      <c r="AT65" s="402"/>
      <c r="AU65" s="287" t="e">
        <f t="shared" si="45"/>
        <v>#DIV/0!</v>
      </c>
      <c r="AV65" s="413"/>
      <c r="AW65" s="287">
        <f t="shared" si="46"/>
        <v>0</v>
      </c>
      <c r="AX65" s="326" t="e">
        <f t="shared" si="47"/>
        <v>#DIV/0!</v>
      </c>
      <c r="AY65" s="151"/>
      <c r="AZ65" s="338">
        <v>2</v>
      </c>
      <c r="BA65" s="338">
        <v>2</v>
      </c>
      <c r="BB65" s="330">
        <f t="shared" si="30"/>
        <v>0</v>
      </c>
      <c r="BC65" s="330">
        <f t="shared" si="31"/>
        <v>0</v>
      </c>
      <c r="BD65" s="338"/>
      <c r="BE65" s="338"/>
      <c r="BF65" s="338"/>
      <c r="BG65" s="338"/>
      <c r="BH65" s="343">
        <f t="shared" si="42"/>
        <v>0</v>
      </c>
      <c r="BI65" s="343">
        <f t="shared" si="43"/>
        <v>0</v>
      </c>
      <c r="BJ65" s="496"/>
      <c r="BK65" s="495"/>
      <c r="BL65" s="495"/>
      <c r="BM65" s="509"/>
      <c r="BN65" s="509"/>
      <c r="BO65" s="520"/>
    </row>
    <row r="66" spans="1:69" s="135" customFormat="1" ht="39.9" customHeight="1" x14ac:dyDescent="0.25">
      <c r="A66" s="150">
        <v>114</v>
      </c>
      <c r="B66" s="159"/>
      <c r="C66" s="159"/>
      <c r="D66" s="159"/>
      <c r="E66" s="159"/>
      <c r="F66" s="159"/>
      <c r="G66" s="159"/>
      <c r="H66" s="159"/>
      <c r="I66" s="159">
        <v>7</v>
      </c>
      <c r="J66" s="159"/>
      <c r="K66" s="159"/>
      <c r="L66" s="151"/>
      <c r="M66" s="151" t="s">
        <v>309</v>
      </c>
      <c r="N66" s="196" t="s">
        <v>310</v>
      </c>
      <c r="O66" s="193"/>
      <c r="P66" s="194" t="s">
        <v>80</v>
      </c>
      <c r="Q66" s="206" t="s">
        <v>232</v>
      </c>
      <c r="R66" s="207"/>
      <c r="S66" s="208" t="s">
        <v>80</v>
      </c>
      <c r="T66" s="209"/>
      <c r="U66" s="210"/>
      <c r="V66" s="198" t="s">
        <v>84</v>
      </c>
      <c r="W66" s="198" t="s">
        <v>83</v>
      </c>
      <c r="X66" s="198" t="s">
        <v>311</v>
      </c>
      <c r="Y66" s="244" t="s">
        <v>312</v>
      </c>
      <c r="Z66" s="244" t="s">
        <v>313</v>
      </c>
      <c r="AA66" s="239"/>
      <c r="AB66" s="245">
        <v>3.7400000000000003E-2</v>
      </c>
      <c r="AC66" s="172" t="s">
        <v>202</v>
      </c>
      <c r="AD66" s="241" t="s">
        <v>149</v>
      </c>
      <c r="AE66" s="241"/>
      <c r="AF66" s="242">
        <v>12</v>
      </c>
      <c r="AG66" s="242">
        <v>24</v>
      </c>
      <c r="AH66" s="242"/>
      <c r="AI66" s="241">
        <f>AG66/2*AG66/2*3.14*AF66*7860/1000000000</f>
        <v>4.2647731200000004E-2</v>
      </c>
      <c r="AJ66" s="255">
        <f>AB66/AI66</f>
        <v>0.87695169116053706</v>
      </c>
      <c r="AK66" s="242"/>
      <c r="AL66" s="241"/>
      <c r="AM66" s="273"/>
      <c r="AN66" s="274"/>
      <c r="AO66" s="272"/>
      <c r="AP66" s="272"/>
      <c r="AQ66" s="172">
        <f>7/1.13</f>
        <v>6.1946902654867264</v>
      </c>
      <c r="AR66" s="296">
        <f>AB66*20</f>
        <v>0.748</v>
      </c>
      <c r="AS66" s="310"/>
      <c r="AT66" s="402"/>
      <c r="AU66" s="287" t="e">
        <f t="shared" si="45"/>
        <v>#DIV/0!</v>
      </c>
      <c r="AV66" s="413"/>
      <c r="AW66" s="287">
        <f t="shared" si="46"/>
        <v>0</v>
      </c>
      <c r="AX66" s="326" t="e">
        <f t="shared" si="47"/>
        <v>#DIV/0!</v>
      </c>
      <c r="AY66" s="151"/>
      <c r="AZ66" s="338">
        <v>1</v>
      </c>
      <c r="BA66" s="338">
        <v>1</v>
      </c>
      <c r="BB66" s="330">
        <f t="shared" si="30"/>
        <v>0</v>
      </c>
      <c r="BC66" s="330">
        <f t="shared" si="31"/>
        <v>0</v>
      </c>
      <c r="BD66" s="338"/>
      <c r="BE66" s="338"/>
      <c r="BF66" s="338"/>
      <c r="BG66" s="338"/>
      <c r="BH66" s="343">
        <f t="shared" si="42"/>
        <v>0</v>
      </c>
      <c r="BI66" s="343">
        <f t="shared" si="43"/>
        <v>0</v>
      </c>
      <c r="BJ66" s="496"/>
      <c r="BK66" s="447"/>
      <c r="BL66" s="447"/>
      <c r="BM66" s="436"/>
      <c r="BN66" s="436"/>
      <c r="BO66" s="438"/>
    </row>
    <row r="67" spans="1:69" s="135" customFormat="1" ht="39.9" customHeight="1" x14ac:dyDescent="0.25">
      <c r="A67" s="150">
        <v>117</v>
      </c>
      <c r="B67" s="159"/>
      <c r="C67" s="159"/>
      <c r="D67" s="159"/>
      <c r="E67" s="159"/>
      <c r="F67" s="159"/>
      <c r="G67" s="159">
        <v>5</v>
      </c>
      <c r="H67" s="159"/>
      <c r="I67" s="159"/>
      <c r="J67" s="159"/>
      <c r="K67" s="159"/>
      <c r="L67" s="151" t="s">
        <v>314</v>
      </c>
      <c r="M67" s="151" t="s">
        <v>314</v>
      </c>
      <c r="N67" s="196" t="s">
        <v>315</v>
      </c>
      <c r="O67" s="193"/>
      <c r="P67" s="194" t="s">
        <v>80</v>
      </c>
      <c r="Q67" s="206" t="s">
        <v>232</v>
      </c>
      <c r="R67" s="207"/>
      <c r="S67" s="208" t="s">
        <v>80</v>
      </c>
      <c r="T67" s="209"/>
      <c r="U67" s="210"/>
      <c r="V67" s="198" t="s">
        <v>84</v>
      </c>
      <c r="W67" s="198" t="s">
        <v>83</v>
      </c>
      <c r="X67" s="198" t="s">
        <v>93</v>
      </c>
      <c r="Y67" s="238" t="s">
        <v>316</v>
      </c>
      <c r="Z67" s="238" t="s">
        <v>302</v>
      </c>
      <c r="AA67" s="239"/>
      <c r="AB67" s="245">
        <v>0.19339999999999999</v>
      </c>
      <c r="AC67" s="172" t="s">
        <v>202</v>
      </c>
      <c r="AD67" s="241" t="s">
        <v>97</v>
      </c>
      <c r="AE67" s="241" t="s">
        <v>317</v>
      </c>
      <c r="AF67" s="242">
        <v>170</v>
      </c>
      <c r="AG67" s="242">
        <v>25</v>
      </c>
      <c r="AH67" s="242">
        <v>6</v>
      </c>
      <c r="AI67" s="241">
        <f>AF67*AG67*AH67*7860/1000000000</f>
        <v>0.20043</v>
      </c>
      <c r="AJ67" s="266">
        <f>AB67/AI67</f>
        <v>0.9649254103677094</v>
      </c>
      <c r="AK67" s="242"/>
      <c r="AL67" s="241"/>
      <c r="AM67" s="276" t="s">
        <v>88</v>
      </c>
      <c r="AN67" s="272" t="s">
        <v>318</v>
      </c>
      <c r="AO67" s="272"/>
      <c r="AP67" s="272">
        <v>0.184</v>
      </c>
      <c r="AQ67" s="172">
        <v>4.87</v>
      </c>
      <c r="AR67" s="296">
        <f>AI67*AQ67</f>
        <v>0.97609409999999996</v>
      </c>
      <c r="AS67" s="310">
        <v>1.1499999999999999</v>
      </c>
      <c r="AT67" s="402">
        <f>AR67*AS67</f>
        <v>1.1225082149999999</v>
      </c>
      <c r="AU67" s="287">
        <f t="shared" si="45"/>
        <v>10.112062331666033</v>
      </c>
      <c r="AV67" s="413">
        <v>1.8606194690265501</v>
      </c>
      <c r="AW67" s="287">
        <f t="shared" si="46"/>
        <v>0.7381112540265502</v>
      </c>
      <c r="AX67" s="326">
        <f t="shared" si="47"/>
        <v>0.39670188682520863</v>
      </c>
      <c r="AY67" s="151"/>
      <c r="AZ67" s="338">
        <v>1</v>
      </c>
      <c r="BA67" s="338">
        <v>1</v>
      </c>
      <c r="BB67" s="330">
        <f t="shared" si="30"/>
        <v>1.8606194690265501</v>
      </c>
      <c r="BC67" s="330">
        <f t="shared" si="31"/>
        <v>1.8606194690265501</v>
      </c>
      <c r="BD67" s="338"/>
      <c r="BE67" s="338"/>
      <c r="BF67" s="338"/>
      <c r="BG67" s="338"/>
      <c r="BH67" s="343">
        <f t="shared" si="42"/>
        <v>1.8606194690265501</v>
      </c>
      <c r="BI67" s="343">
        <f t="shared" si="43"/>
        <v>1.1225082149999999</v>
      </c>
      <c r="BJ67" s="344" t="s">
        <v>90</v>
      </c>
      <c r="BK67" s="342" t="s">
        <v>114</v>
      </c>
      <c r="BL67" s="345">
        <v>44666</v>
      </c>
      <c r="BM67" s="345"/>
      <c r="BN67" s="345" t="s">
        <v>734</v>
      </c>
      <c r="BO67" s="420" t="s">
        <v>735</v>
      </c>
    </row>
    <row r="68" spans="1:69" s="135" customFormat="1" ht="39.9" customHeight="1" x14ac:dyDescent="0.25">
      <c r="A68" s="150">
        <v>118</v>
      </c>
      <c r="B68" s="159"/>
      <c r="C68" s="159"/>
      <c r="D68" s="159"/>
      <c r="E68" s="159"/>
      <c r="F68" s="159"/>
      <c r="G68" s="159">
        <v>5</v>
      </c>
      <c r="H68" s="159"/>
      <c r="I68" s="159"/>
      <c r="J68" s="159"/>
      <c r="K68" s="159"/>
      <c r="L68" s="151" t="s">
        <v>319</v>
      </c>
      <c r="M68" s="151" t="s">
        <v>319</v>
      </c>
      <c r="N68" s="196" t="s">
        <v>320</v>
      </c>
      <c r="O68" s="193"/>
      <c r="P68" s="194" t="s">
        <v>80</v>
      </c>
      <c r="Q68" s="206" t="s">
        <v>232</v>
      </c>
      <c r="R68" s="207"/>
      <c r="S68" s="208" t="s">
        <v>80</v>
      </c>
      <c r="T68" s="209"/>
      <c r="U68" s="210"/>
      <c r="V68" s="198" t="s">
        <v>84</v>
      </c>
      <c r="W68" s="198" t="s">
        <v>83</v>
      </c>
      <c r="X68" s="198" t="s">
        <v>93</v>
      </c>
      <c r="Y68" s="244" t="s">
        <v>239</v>
      </c>
      <c r="Z68" s="244" t="s">
        <v>240</v>
      </c>
      <c r="AA68" s="239"/>
      <c r="AB68" s="243">
        <v>7.3000000000000001E-3</v>
      </c>
      <c r="AC68" s="172" t="s">
        <v>202</v>
      </c>
      <c r="AD68" s="241" t="s">
        <v>97</v>
      </c>
      <c r="AE68" s="241" t="s">
        <v>321</v>
      </c>
      <c r="AF68" s="242">
        <v>31</v>
      </c>
      <c r="AG68" s="242">
        <v>14</v>
      </c>
      <c r="AH68" s="242">
        <v>3</v>
      </c>
      <c r="AI68" s="241">
        <f>AF68*AG68*AH68*7860/1000000000</f>
        <v>1.023372E-2</v>
      </c>
      <c r="AJ68" s="255">
        <f>AB68/AI68</f>
        <v>0.71332809574621936</v>
      </c>
      <c r="AK68" s="242"/>
      <c r="AL68" s="241"/>
      <c r="AM68" s="276" t="s">
        <v>88</v>
      </c>
      <c r="AN68" s="272" t="s">
        <v>318</v>
      </c>
      <c r="AO68" s="272"/>
      <c r="AP68" s="272"/>
      <c r="AQ68" s="172">
        <v>6.11</v>
      </c>
      <c r="AR68" s="296">
        <f>AI68*AQ68</f>
        <v>6.2528029200000002E-2</v>
      </c>
      <c r="AS68" s="310">
        <v>1.1000000000000001</v>
      </c>
      <c r="AT68" s="402">
        <f>AR68*AS68</f>
        <v>6.878083212000001E-2</v>
      </c>
      <c r="AU68" s="287" t="e">
        <f t="shared" si="45"/>
        <v>#DIV/0!</v>
      </c>
      <c r="AV68" s="413">
        <v>0.15530973451327401</v>
      </c>
      <c r="AW68" s="287">
        <f t="shared" si="46"/>
        <v>8.6528902393274001E-2</v>
      </c>
      <c r="AX68" s="326">
        <f t="shared" si="47"/>
        <v>0.55713766213333238</v>
      </c>
      <c r="AY68" s="151"/>
      <c r="AZ68" s="338">
        <v>2</v>
      </c>
      <c r="BA68" s="338">
        <v>2</v>
      </c>
      <c r="BB68" s="330">
        <f t="shared" ref="BB68:BB99" si="48">AV68*AZ68</f>
        <v>0.31061946902654802</v>
      </c>
      <c r="BC68" s="330">
        <f t="shared" ref="BC68:BC99" si="49">AV68*BA68</f>
        <v>0.31061946902654802</v>
      </c>
      <c r="BD68" s="338"/>
      <c r="BE68" s="338"/>
      <c r="BF68" s="338"/>
      <c r="BG68" s="338"/>
      <c r="BH68" s="343">
        <f t="shared" si="42"/>
        <v>0.31061946902654802</v>
      </c>
      <c r="BI68" s="343">
        <f t="shared" si="43"/>
        <v>0.13756166424000002</v>
      </c>
      <c r="BJ68" s="344" t="s">
        <v>90</v>
      </c>
      <c r="BK68" s="342" t="s">
        <v>114</v>
      </c>
      <c r="BL68" s="345">
        <v>44666</v>
      </c>
      <c r="BM68" s="345"/>
      <c r="BN68" s="345" t="s">
        <v>734</v>
      </c>
      <c r="BO68" s="420" t="s">
        <v>735</v>
      </c>
    </row>
    <row r="69" spans="1:69" s="135" customFormat="1" ht="39.9" customHeight="1" x14ac:dyDescent="0.25">
      <c r="A69" s="150">
        <v>120</v>
      </c>
      <c r="B69" s="159"/>
      <c r="C69" s="159"/>
      <c r="D69" s="159"/>
      <c r="E69" s="159"/>
      <c r="F69" s="159"/>
      <c r="G69" s="159"/>
      <c r="H69" s="159">
        <v>6</v>
      </c>
      <c r="I69" s="159"/>
      <c r="J69" s="159"/>
      <c r="K69" s="159"/>
      <c r="L69" s="151" t="s">
        <v>322</v>
      </c>
      <c r="M69" s="151" t="s">
        <v>322</v>
      </c>
      <c r="N69" s="196" t="s">
        <v>323</v>
      </c>
      <c r="O69" s="193"/>
      <c r="P69" s="194" t="s">
        <v>80</v>
      </c>
      <c r="Q69" s="206" t="s">
        <v>232</v>
      </c>
      <c r="R69" s="207"/>
      <c r="S69" s="208" t="s">
        <v>80</v>
      </c>
      <c r="T69" s="209"/>
      <c r="U69" s="210"/>
      <c r="V69" s="198" t="s">
        <v>84</v>
      </c>
      <c r="W69" s="198" t="s">
        <v>83</v>
      </c>
      <c r="X69" s="198" t="s">
        <v>233</v>
      </c>
      <c r="Y69" s="244" t="s">
        <v>86</v>
      </c>
      <c r="Z69" s="244" t="s">
        <v>202</v>
      </c>
      <c r="AA69" s="239"/>
      <c r="AB69" s="243">
        <f>AB70+AB71</f>
        <v>0.52639999999999998</v>
      </c>
      <c r="AC69" s="172" t="s">
        <v>202</v>
      </c>
      <c r="AD69" s="241" t="s">
        <v>87</v>
      </c>
      <c r="AE69" s="241"/>
      <c r="AF69" s="242"/>
      <c r="AG69" s="242"/>
      <c r="AH69" s="242"/>
      <c r="AI69" s="241"/>
      <c r="AJ69" s="255"/>
      <c r="AK69" s="242">
        <v>12</v>
      </c>
      <c r="AL69" s="241"/>
      <c r="AM69" s="276" t="s">
        <v>88</v>
      </c>
      <c r="AN69" s="272" t="s">
        <v>297</v>
      </c>
      <c r="AO69" s="272"/>
      <c r="AP69" s="272">
        <v>0.53200000000000003</v>
      </c>
      <c r="AQ69" s="172"/>
      <c r="AR69" s="309">
        <f>AR70+AR71</f>
        <v>5.6188584280000002</v>
      </c>
      <c r="AS69" s="310">
        <v>1.2</v>
      </c>
      <c r="AT69" s="402">
        <f>AR69*AS69</f>
        <v>6.7426301135999998</v>
      </c>
      <c r="AU69" s="287">
        <f t="shared" si="45"/>
        <v>15.6203007518797</v>
      </c>
      <c r="AV69" s="413">
        <v>8.31</v>
      </c>
      <c r="AW69" s="287">
        <f t="shared" si="46"/>
        <v>1.5673698864000007</v>
      </c>
      <c r="AX69" s="326">
        <f t="shared" si="47"/>
        <v>0.18861250137184124</v>
      </c>
      <c r="AY69" s="151"/>
      <c r="AZ69" s="338">
        <v>2</v>
      </c>
      <c r="BA69" s="338">
        <v>2</v>
      </c>
      <c r="BB69" s="330">
        <f t="shared" si="48"/>
        <v>16.62</v>
      </c>
      <c r="BC69" s="330">
        <f t="shared" si="49"/>
        <v>16.62</v>
      </c>
      <c r="BD69" s="338"/>
      <c r="BE69" s="338"/>
      <c r="BF69" s="338"/>
      <c r="BG69" s="338"/>
      <c r="BH69" s="343">
        <f t="shared" si="42"/>
        <v>16.62</v>
      </c>
      <c r="BI69" s="343">
        <f t="shared" si="43"/>
        <v>13.4852602272</v>
      </c>
      <c r="BJ69" s="496" t="s">
        <v>90</v>
      </c>
      <c r="BK69" s="446" t="s">
        <v>91</v>
      </c>
      <c r="BL69" s="435">
        <v>44666</v>
      </c>
      <c r="BM69" s="435" t="s">
        <v>759</v>
      </c>
      <c r="BN69" s="435"/>
      <c r="BO69" s="437" t="s">
        <v>718</v>
      </c>
    </row>
    <row r="70" spans="1:69" s="135" customFormat="1" ht="39.9" customHeight="1" x14ac:dyDescent="0.25">
      <c r="A70" s="150">
        <v>121</v>
      </c>
      <c r="B70" s="159"/>
      <c r="C70" s="159"/>
      <c r="D70" s="159"/>
      <c r="E70" s="159"/>
      <c r="F70" s="159"/>
      <c r="G70" s="159"/>
      <c r="H70" s="159"/>
      <c r="I70" s="159">
        <v>7</v>
      </c>
      <c r="J70" s="159"/>
      <c r="K70" s="159"/>
      <c r="L70" s="151"/>
      <c r="M70" s="151" t="s">
        <v>324</v>
      </c>
      <c r="N70" s="196" t="s">
        <v>325</v>
      </c>
      <c r="O70" s="352"/>
      <c r="P70" s="194" t="s">
        <v>80</v>
      </c>
      <c r="Q70" s="206" t="s">
        <v>232</v>
      </c>
      <c r="R70" s="354"/>
      <c r="S70" s="208" t="s">
        <v>80</v>
      </c>
      <c r="T70" s="352"/>
      <c r="U70" s="355"/>
      <c r="V70" s="198" t="s">
        <v>84</v>
      </c>
      <c r="W70" s="198" t="s">
        <v>83</v>
      </c>
      <c r="X70" s="198" t="s">
        <v>93</v>
      </c>
      <c r="Y70" s="249" t="s">
        <v>301</v>
      </c>
      <c r="Z70" s="244" t="s">
        <v>302</v>
      </c>
      <c r="AA70" s="352"/>
      <c r="AB70" s="360">
        <v>0.46200000000000002</v>
      </c>
      <c r="AC70" s="172" t="s">
        <v>202</v>
      </c>
      <c r="AD70" s="241" t="s">
        <v>97</v>
      </c>
      <c r="AE70" s="241" t="s">
        <v>326</v>
      </c>
      <c r="AF70" s="277">
        <v>334</v>
      </c>
      <c r="AG70" s="277">
        <v>45</v>
      </c>
      <c r="AH70" s="277">
        <v>6</v>
      </c>
      <c r="AI70" s="241">
        <f>AF70*AG70*AH70*7860/1000000000</f>
        <v>0.70881479999999997</v>
      </c>
      <c r="AJ70" s="255">
        <f>AB70/AI70</f>
        <v>0.65179225941670527</v>
      </c>
      <c r="AK70" s="242"/>
      <c r="AL70" s="241"/>
      <c r="AM70" s="273"/>
      <c r="AN70" s="274"/>
      <c r="AO70" s="272"/>
      <c r="AP70" s="272"/>
      <c r="AQ70" s="172">
        <v>6.11</v>
      </c>
      <c r="AR70" s="296">
        <f t="shared" ref="AR70" si="50">AI70*AQ70</f>
        <v>4.330858428</v>
      </c>
      <c r="AS70" s="310"/>
      <c r="AT70" s="402"/>
      <c r="AU70" s="287" t="e">
        <f t="shared" si="45"/>
        <v>#DIV/0!</v>
      </c>
      <c r="AV70" s="413"/>
      <c r="AW70" s="287">
        <f t="shared" si="46"/>
        <v>0</v>
      </c>
      <c r="AX70" s="326" t="e">
        <f t="shared" si="47"/>
        <v>#DIV/0!</v>
      </c>
      <c r="AY70" s="381"/>
      <c r="AZ70" s="338">
        <v>1</v>
      </c>
      <c r="BA70" s="338">
        <v>1</v>
      </c>
      <c r="BB70" s="330">
        <f t="shared" si="48"/>
        <v>0</v>
      </c>
      <c r="BC70" s="330">
        <f t="shared" si="49"/>
        <v>0</v>
      </c>
      <c r="BD70" s="338"/>
      <c r="BE70" s="338"/>
      <c r="BF70" s="338"/>
      <c r="BG70" s="338"/>
      <c r="BH70" s="343">
        <f t="shared" si="42"/>
        <v>0</v>
      </c>
      <c r="BI70" s="343">
        <f t="shared" si="43"/>
        <v>0</v>
      </c>
      <c r="BJ70" s="496"/>
      <c r="BK70" s="495"/>
      <c r="BL70" s="495"/>
      <c r="BM70" s="509"/>
      <c r="BN70" s="509"/>
      <c r="BO70" s="520"/>
    </row>
    <row r="71" spans="1:69" s="135" customFormat="1" ht="39.9" customHeight="1" x14ac:dyDescent="0.25">
      <c r="A71" s="150">
        <v>122</v>
      </c>
      <c r="B71" s="159"/>
      <c r="C71" s="159"/>
      <c r="D71" s="159"/>
      <c r="E71" s="159"/>
      <c r="F71" s="159"/>
      <c r="G71" s="159"/>
      <c r="H71" s="159"/>
      <c r="I71" s="159">
        <v>7</v>
      </c>
      <c r="J71" s="159"/>
      <c r="K71" s="159"/>
      <c r="L71" s="151"/>
      <c r="M71" s="151" t="s">
        <v>327</v>
      </c>
      <c r="N71" s="196" t="s">
        <v>328</v>
      </c>
      <c r="O71" s="193"/>
      <c r="P71" s="194" t="s">
        <v>80</v>
      </c>
      <c r="Q71" s="206" t="s">
        <v>232</v>
      </c>
      <c r="R71" s="207"/>
      <c r="S71" s="208" t="s">
        <v>80</v>
      </c>
      <c r="T71" s="209"/>
      <c r="U71" s="210"/>
      <c r="V71" s="198" t="s">
        <v>84</v>
      </c>
      <c r="W71" s="198" t="s">
        <v>83</v>
      </c>
      <c r="X71" s="198" t="s">
        <v>311</v>
      </c>
      <c r="Y71" s="244" t="s">
        <v>312</v>
      </c>
      <c r="Z71" s="244" t="s">
        <v>313</v>
      </c>
      <c r="AA71" s="239"/>
      <c r="AB71" s="243">
        <v>6.4399999999999999E-2</v>
      </c>
      <c r="AC71" s="172" t="s">
        <v>202</v>
      </c>
      <c r="AD71" s="241" t="s">
        <v>149</v>
      </c>
      <c r="AE71" s="241"/>
      <c r="AF71" s="242">
        <v>13</v>
      </c>
      <c r="AG71" s="242">
        <v>30</v>
      </c>
      <c r="AH71" s="242"/>
      <c r="AI71" s="241">
        <f>AG71/2*AG71/2*3.14*AF71*7860/1000000000</f>
        <v>7.2190169999999998E-2</v>
      </c>
      <c r="AJ71" s="255">
        <f>AB71/AI71</f>
        <v>0.89208821644276504</v>
      </c>
      <c r="AK71" s="242"/>
      <c r="AL71" s="241"/>
      <c r="AM71" s="273"/>
      <c r="AN71" s="274"/>
      <c r="AO71" s="272"/>
      <c r="AP71" s="272"/>
      <c r="AQ71" s="172">
        <f>7/1.13</f>
        <v>6.1946902654867264</v>
      </c>
      <c r="AR71" s="296">
        <f>AB71*20</f>
        <v>1.288</v>
      </c>
      <c r="AS71" s="310"/>
      <c r="AT71" s="402"/>
      <c r="AU71" s="287" t="e">
        <f t="shared" si="45"/>
        <v>#DIV/0!</v>
      </c>
      <c r="AV71" s="413"/>
      <c r="AW71" s="287">
        <f t="shared" si="46"/>
        <v>0</v>
      </c>
      <c r="AX71" s="326" t="e">
        <f t="shared" si="47"/>
        <v>#DIV/0!</v>
      </c>
      <c r="AY71" s="151"/>
      <c r="AZ71" s="338">
        <v>1</v>
      </c>
      <c r="BA71" s="338">
        <v>1</v>
      </c>
      <c r="BB71" s="330">
        <f t="shared" si="48"/>
        <v>0</v>
      </c>
      <c r="BC71" s="330">
        <f t="shared" si="49"/>
        <v>0</v>
      </c>
      <c r="BD71" s="338"/>
      <c r="BE71" s="338"/>
      <c r="BF71" s="338"/>
      <c r="BG71" s="338"/>
      <c r="BH71" s="343">
        <f t="shared" si="42"/>
        <v>0</v>
      </c>
      <c r="BI71" s="343">
        <f t="shared" si="43"/>
        <v>0</v>
      </c>
      <c r="BJ71" s="496"/>
      <c r="BK71" s="447"/>
      <c r="BL71" s="447"/>
      <c r="BM71" s="436"/>
      <c r="BN71" s="436"/>
      <c r="BO71" s="438"/>
    </row>
    <row r="72" spans="1:69" s="135" customFormat="1" ht="39.9" customHeight="1" x14ac:dyDescent="0.25">
      <c r="A72" s="150">
        <v>126</v>
      </c>
      <c r="B72" s="159"/>
      <c r="C72" s="159"/>
      <c r="D72" s="159"/>
      <c r="E72" s="159"/>
      <c r="F72" s="159"/>
      <c r="G72" s="159"/>
      <c r="H72" s="159">
        <v>6</v>
      </c>
      <c r="I72" s="159"/>
      <c r="J72" s="159"/>
      <c r="K72" s="159"/>
      <c r="L72" s="151" t="s">
        <v>329</v>
      </c>
      <c r="M72" s="151" t="s">
        <v>329</v>
      </c>
      <c r="N72" s="170" t="s">
        <v>330</v>
      </c>
      <c r="O72" s="193"/>
      <c r="P72" s="194" t="s">
        <v>80</v>
      </c>
      <c r="Q72" s="206" t="s">
        <v>232</v>
      </c>
      <c r="R72" s="207"/>
      <c r="S72" s="208" t="s">
        <v>80</v>
      </c>
      <c r="T72" s="209"/>
      <c r="U72" s="210"/>
      <c r="V72" s="198" t="s">
        <v>84</v>
      </c>
      <c r="W72" s="198" t="s">
        <v>83</v>
      </c>
      <c r="X72" s="198" t="s">
        <v>93</v>
      </c>
      <c r="Y72" s="244" t="s">
        <v>312</v>
      </c>
      <c r="Z72" s="244"/>
      <c r="AA72" s="239"/>
      <c r="AB72" s="243">
        <v>0.01</v>
      </c>
      <c r="AC72" s="172" t="s">
        <v>202</v>
      </c>
      <c r="AD72" s="241" t="s">
        <v>331</v>
      </c>
      <c r="AE72" s="241"/>
      <c r="AF72" s="242">
        <v>26.4</v>
      </c>
      <c r="AG72" s="242">
        <v>10</v>
      </c>
      <c r="AH72" s="242"/>
      <c r="AI72" s="241">
        <f>AG72/2*AG72/2*3.14*AF72*7860/1000000000</f>
        <v>1.6289063999999999E-2</v>
      </c>
      <c r="AJ72" s="255">
        <f>AB72/AI72</f>
        <v>0.61390881636906824</v>
      </c>
      <c r="AK72" s="242"/>
      <c r="AL72" s="241"/>
      <c r="AM72" s="276" t="s">
        <v>88</v>
      </c>
      <c r="AN72" s="272" t="s">
        <v>150</v>
      </c>
      <c r="AO72" s="272"/>
      <c r="AP72" s="272">
        <v>5.4999999999999997E-3</v>
      </c>
      <c r="AQ72" s="172">
        <f>7/1.13</f>
        <v>6.1946902654867264</v>
      </c>
      <c r="AR72" s="296">
        <f>AI72*AQ72</f>
        <v>0.10090570619469028</v>
      </c>
      <c r="AS72" s="310"/>
      <c r="AT72" s="402">
        <f>AB72*20</f>
        <v>0.2</v>
      </c>
      <c r="AU72" s="287">
        <f t="shared" si="45"/>
        <v>72.727272727272734</v>
      </c>
      <c r="AV72" s="413">
        <v>0.4</v>
      </c>
      <c r="AW72" s="287">
        <f t="shared" si="46"/>
        <v>0.2</v>
      </c>
      <c r="AX72" s="326">
        <f t="shared" si="47"/>
        <v>0.5</v>
      </c>
      <c r="AY72" s="151"/>
      <c r="AZ72" s="338">
        <v>1</v>
      </c>
      <c r="BA72" s="338">
        <v>1</v>
      </c>
      <c r="BB72" s="330">
        <f t="shared" si="48"/>
        <v>0.4</v>
      </c>
      <c r="BC72" s="330">
        <f t="shared" si="49"/>
        <v>0.4</v>
      </c>
      <c r="BD72" s="338"/>
      <c r="BE72" s="338"/>
      <c r="BF72" s="338"/>
      <c r="BG72" s="338"/>
      <c r="BH72" s="343">
        <f t="shared" si="42"/>
        <v>0.4</v>
      </c>
      <c r="BI72" s="343">
        <f t="shared" si="43"/>
        <v>0.2</v>
      </c>
      <c r="BJ72" s="344" t="s">
        <v>157</v>
      </c>
      <c r="BK72" s="342" t="s">
        <v>91</v>
      </c>
      <c r="BL72" s="345">
        <v>44666</v>
      </c>
      <c r="BM72" s="416">
        <v>0.4</v>
      </c>
      <c r="BN72" s="345"/>
      <c r="BO72" s="420" t="s">
        <v>718</v>
      </c>
    </row>
    <row r="73" spans="1:69" s="135" customFormat="1" ht="39.9" customHeight="1" x14ac:dyDescent="0.25">
      <c r="A73" s="150">
        <v>127</v>
      </c>
      <c r="B73" s="159"/>
      <c r="C73" s="159"/>
      <c r="D73" s="159"/>
      <c r="E73" s="159"/>
      <c r="F73" s="159"/>
      <c r="G73" s="159"/>
      <c r="H73" s="159">
        <v>6</v>
      </c>
      <c r="I73" s="159"/>
      <c r="J73" s="159"/>
      <c r="K73" s="159"/>
      <c r="L73" s="151" t="s">
        <v>332</v>
      </c>
      <c r="M73" s="151" t="s">
        <v>332</v>
      </c>
      <c r="N73" s="196" t="s">
        <v>333</v>
      </c>
      <c r="O73" s="193"/>
      <c r="P73" s="194" t="s">
        <v>184</v>
      </c>
      <c r="Q73" s="206" t="s">
        <v>232</v>
      </c>
      <c r="R73" s="207"/>
      <c r="S73" s="208" t="s">
        <v>80</v>
      </c>
      <c r="T73" s="209"/>
      <c r="U73" s="210"/>
      <c r="V73" s="198" t="s">
        <v>84</v>
      </c>
      <c r="W73" s="198" t="s">
        <v>83</v>
      </c>
      <c r="X73" s="198" t="s">
        <v>93</v>
      </c>
      <c r="Y73" s="244" t="s">
        <v>239</v>
      </c>
      <c r="Z73" s="244" t="s">
        <v>240</v>
      </c>
      <c r="AA73" s="239"/>
      <c r="AB73" s="243">
        <v>7.3000000000000001E-3</v>
      </c>
      <c r="AC73" s="172" t="s">
        <v>202</v>
      </c>
      <c r="AD73" s="241" t="s">
        <v>97</v>
      </c>
      <c r="AE73" s="241" t="s">
        <v>321</v>
      </c>
      <c r="AF73" s="242">
        <v>31</v>
      </c>
      <c r="AG73" s="242">
        <v>14</v>
      </c>
      <c r="AH73" s="242">
        <v>3</v>
      </c>
      <c r="AI73" s="241">
        <f>AF73*AG73*AH73*7860/1000000000</f>
        <v>1.023372E-2</v>
      </c>
      <c r="AJ73" s="255">
        <f>AB73/AI73</f>
        <v>0.71332809574621936</v>
      </c>
      <c r="AK73" s="242"/>
      <c r="AL73" s="241"/>
      <c r="AM73" s="276" t="s">
        <v>88</v>
      </c>
      <c r="AN73" s="272" t="s">
        <v>318</v>
      </c>
      <c r="AO73" s="272"/>
      <c r="AP73" s="272">
        <v>6.4000000000000003E-3</v>
      </c>
      <c r="AQ73" s="172">
        <v>6.11</v>
      </c>
      <c r="AR73" s="296">
        <f t="shared" ref="AR73:AR74" si="51">AI73*AQ73</f>
        <v>6.2528029200000002E-2</v>
      </c>
      <c r="AS73" s="310">
        <v>1.1000000000000001</v>
      </c>
      <c r="AT73" s="402">
        <f>AR73*AS73</f>
        <v>6.878083212000001E-2</v>
      </c>
      <c r="AU73" s="287">
        <f t="shared" si="45"/>
        <v>18.017146017699062</v>
      </c>
      <c r="AV73" s="413">
        <v>0.115309734513274</v>
      </c>
      <c r="AW73" s="287">
        <f t="shared" si="46"/>
        <v>4.6528902393273994E-2</v>
      </c>
      <c r="AX73" s="326">
        <f t="shared" si="47"/>
        <v>0.40351235383269196</v>
      </c>
      <c r="AY73" s="151"/>
      <c r="AZ73" s="338">
        <v>2</v>
      </c>
      <c r="BA73" s="338">
        <v>2</v>
      </c>
      <c r="BB73" s="330">
        <f t="shared" si="48"/>
        <v>0.23061946902654801</v>
      </c>
      <c r="BC73" s="330">
        <f t="shared" si="49"/>
        <v>0.23061946902654801</v>
      </c>
      <c r="BD73" s="338"/>
      <c r="BE73" s="338"/>
      <c r="BF73" s="338"/>
      <c r="BG73" s="338"/>
      <c r="BH73" s="343">
        <f t="shared" si="42"/>
        <v>0.23061946902654801</v>
      </c>
      <c r="BI73" s="343">
        <f t="shared" si="43"/>
        <v>0.13756166424000002</v>
      </c>
      <c r="BJ73" s="344" t="s">
        <v>157</v>
      </c>
      <c r="BK73" s="342" t="s">
        <v>114</v>
      </c>
      <c r="BL73" s="345">
        <v>44666</v>
      </c>
      <c r="BM73" s="345"/>
      <c r="BN73" s="345"/>
      <c r="BO73" s="420" t="s">
        <v>718</v>
      </c>
    </row>
    <row r="74" spans="1:69" s="135" customFormat="1" ht="39.9" customHeight="1" x14ac:dyDescent="0.25">
      <c r="A74" s="150">
        <v>128</v>
      </c>
      <c r="B74" s="159"/>
      <c r="C74" s="159"/>
      <c r="D74" s="159"/>
      <c r="E74" s="159"/>
      <c r="F74" s="159"/>
      <c r="G74" s="159">
        <v>5</v>
      </c>
      <c r="H74" s="159"/>
      <c r="I74" s="159"/>
      <c r="J74" s="159"/>
      <c r="K74" s="159"/>
      <c r="L74" s="151" t="s">
        <v>334</v>
      </c>
      <c r="M74" s="151" t="s">
        <v>334</v>
      </c>
      <c r="N74" s="196" t="s">
        <v>335</v>
      </c>
      <c r="O74" s="193"/>
      <c r="P74" s="194" t="s">
        <v>80</v>
      </c>
      <c r="Q74" s="206" t="s">
        <v>232</v>
      </c>
      <c r="R74" s="207"/>
      <c r="S74" s="208" t="s">
        <v>80</v>
      </c>
      <c r="T74" s="209"/>
      <c r="U74" s="210"/>
      <c r="V74" s="198" t="s">
        <v>84</v>
      </c>
      <c r="W74" s="198" t="s">
        <v>83</v>
      </c>
      <c r="X74" s="198" t="s">
        <v>311</v>
      </c>
      <c r="Y74" s="244" t="s">
        <v>312</v>
      </c>
      <c r="Z74" s="244" t="s">
        <v>313</v>
      </c>
      <c r="AA74" s="239"/>
      <c r="AB74" s="245">
        <v>5.7000000000000002E-2</v>
      </c>
      <c r="AC74" s="172" t="s">
        <v>202</v>
      </c>
      <c r="AD74" s="241" t="s">
        <v>149</v>
      </c>
      <c r="AE74" s="241"/>
      <c r="AF74" s="242">
        <v>50</v>
      </c>
      <c r="AG74" s="242">
        <v>14</v>
      </c>
      <c r="AH74" s="242"/>
      <c r="AI74" s="241">
        <f>AG74/2*AG74/2*3.14*AF74*7860/1000000000</f>
        <v>6.046698000000001E-2</v>
      </c>
      <c r="AJ74" s="255">
        <f>AB74/AI74</f>
        <v>0.94266325191038136</v>
      </c>
      <c r="AK74" s="242"/>
      <c r="AL74" s="241"/>
      <c r="AM74" s="276" t="s">
        <v>88</v>
      </c>
      <c r="AN74" s="272" t="s">
        <v>336</v>
      </c>
      <c r="AO74" s="272"/>
      <c r="AP74" s="272">
        <v>5.1999999999999998E-2</v>
      </c>
      <c r="AQ74" s="172">
        <f>7/1.13</f>
        <v>6.1946902654867264</v>
      </c>
      <c r="AR74" s="296">
        <f t="shared" si="51"/>
        <v>0.37457421238938066</v>
      </c>
      <c r="AS74" s="310"/>
      <c r="AT74" s="402">
        <f>AB74*20</f>
        <v>1.1400000000000001</v>
      </c>
      <c r="AU74" s="287">
        <f t="shared" si="45"/>
        <v>32.692307692307693</v>
      </c>
      <c r="AV74" s="413">
        <v>1.7</v>
      </c>
      <c r="AW74" s="287">
        <f t="shared" si="46"/>
        <v>0.55999999999999983</v>
      </c>
      <c r="AX74" s="326">
        <f t="shared" si="47"/>
        <v>0.32941176470588224</v>
      </c>
      <c r="AY74" s="151"/>
      <c r="AZ74" s="338">
        <v>2</v>
      </c>
      <c r="BA74" s="338">
        <v>2</v>
      </c>
      <c r="BB74" s="330">
        <f t="shared" si="48"/>
        <v>3.4</v>
      </c>
      <c r="BC74" s="330">
        <f t="shared" si="49"/>
        <v>3.4</v>
      </c>
      <c r="BD74" s="338"/>
      <c r="BE74" s="338"/>
      <c r="BF74" s="338"/>
      <c r="BG74" s="338"/>
      <c r="BH74" s="343">
        <f t="shared" si="42"/>
        <v>3.4</v>
      </c>
      <c r="BI74" s="343">
        <f t="shared" si="43"/>
        <v>2.2800000000000002</v>
      </c>
      <c r="BJ74" s="344" t="s">
        <v>90</v>
      </c>
      <c r="BK74" s="342" t="s">
        <v>91</v>
      </c>
      <c r="BL74" s="345">
        <v>44666</v>
      </c>
      <c r="BM74" s="416">
        <v>1.7</v>
      </c>
      <c r="BN74" s="345"/>
      <c r="BO74" s="420" t="s">
        <v>718</v>
      </c>
    </row>
    <row r="75" spans="1:69" s="135" customFormat="1" ht="39.9" customHeight="1" x14ac:dyDescent="0.25">
      <c r="A75" s="150">
        <v>132</v>
      </c>
      <c r="B75" s="159"/>
      <c r="C75" s="159"/>
      <c r="D75" s="159"/>
      <c r="E75" s="159">
        <v>3</v>
      </c>
      <c r="F75" s="159"/>
      <c r="G75" s="159"/>
      <c r="H75" s="159"/>
      <c r="I75" s="159"/>
      <c r="J75" s="159"/>
      <c r="K75" s="159"/>
      <c r="L75" s="151" t="s">
        <v>337</v>
      </c>
      <c r="M75" s="151" t="s">
        <v>338</v>
      </c>
      <c r="N75" s="196" t="s">
        <v>339</v>
      </c>
      <c r="O75" s="193"/>
      <c r="P75" s="194" t="s">
        <v>80</v>
      </c>
      <c r="Q75" s="206" t="s">
        <v>232</v>
      </c>
      <c r="R75" s="207"/>
      <c r="S75" s="208" t="s">
        <v>80</v>
      </c>
      <c r="T75" s="209"/>
      <c r="U75" s="210"/>
      <c r="V75" s="198" t="s">
        <v>84</v>
      </c>
      <c r="W75" s="198" t="s">
        <v>83</v>
      </c>
      <c r="X75" s="356" t="s">
        <v>103</v>
      </c>
      <c r="Y75" s="244" t="s">
        <v>340</v>
      </c>
      <c r="Z75" s="244"/>
      <c r="AA75" s="239"/>
      <c r="AB75" s="243">
        <v>6.8999999999999999E-3</v>
      </c>
      <c r="AC75" s="172" t="s">
        <v>202</v>
      </c>
      <c r="AD75" s="241"/>
      <c r="AE75" s="241"/>
      <c r="AF75" s="223"/>
      <c r="AG75" s="257"/>
      <c r="AH75" s="257"/>
      <c r="AI75" s="263"/>
      <c r="AJ75" s="264"/>
      <c r="AK75" s="242"/>
      <c r="AL75" s="241"/>
      <c r="AM75" s="276" t="s">
        <v>88</v>
      </c>
      <c r="AN75" s="272" t="s">
        <v>341</v>
      </c>
      <c r="AO75" s="272"/>
      <c r="AP75" s="272"/>
      <c r="AQ75" s="172"/>
      <c r="AR75" s="309"/>
      <c r="AS75" s="310"/>
      <c r="AT75" s="402">
        <v>0.3</v>
      </c>
      <c r="AU75" s="287" t="e">
        <f t="shared" si="45"/>
        <v>#DIV/0!</v>
      </c>
      <c r="AV75" s="414">
        <v>0.77</v>
      </c>
      <c r="AW75" s="287">
        <f t="shared" si="46"/>
        <v>0.47000000000000003</v>
      </c>
      <c r="AX75" s="326">
        <f t="shared" si="47"/>
        <v>0.61038961038961037</v>
      </c>
      <c r="AY75" s="151" t="s">
        <v>342</v>
      </c>
      <c r="AZ75" s="338">
        <v>1</v>
      </c>
      <c r="BA75" s="338">
        <v>1</v>
      </c>
      <c r="BB75" s="330">
        <f t="shared" si="48"/>
        <v>0.77</v>
      </c>
      <c r="BC75" s="330">
        <f t="shared" si="49"/>
        <v>0.77</v>
      </c>
      <c r="BD75" s="338"/>
      <c r="BE75" s="338"/>
      <c r="BF75" s="338"/>
      <c r="BG75" s="338"/>
      <c r="BH75" s="343">
        <f t="shared" si="42"/>
        <v>0.77</v>
      </c>
      <c r="BI75" s="343">
        <f t="shared" si="43"/>
        <v>0.3</v>
      </c>
      <c r="BJ75" s="344" t="s">
        <v>343</v>
      </c>
      <c r="BK75" s="342" t="s">
        <v>344</v>
      </c>
      <c r="BL75" s="345">
        <v>44666</v>
      </c>
      <c r="BM75" s="345"/>
      <c r="BN75" s="345" t="s">
        <v>736</v>
      </c>
      <c r="BO75" s="345" t="s">
        <v>742</v>
      </c>
    </row>
    <row r="76" spans="1:69" s="135" customFormat="1" ht="39.9" customHeight="1" x14ac:dyDescent="0.25">
      <c r="A76" s="150">
        <v>133</v>
      </c>
      <c r="B76" s="159"/>
      <c r="C76" s="159"/>
      <c r="D76" s="159"/>
      <c r="E76" s="159">
        <v>3</v>
      </c>
      <c r="F76" s="159"/>
      <c r="G76" s="159"/>
      <c r="H76" s="159"/>
      <c r="I76" s="159"/>
      <c r="J76" s="159"/>
      <c r="K76" s="159"/>
      <c r="L76" s="151" t="s">
        <v>345</v>
      </c>
      <c r="M76" s="151" t="s">
        <v>345</v>
      </c>
      <c r="N76" s="196" t="s">
        <v>346</v>
      </c>
      <c r="O76" s="193"/>
      <c r="P76" s="194" t="s">
        <v>184</v>
      </c>
      <c r="Q76" s="206" t="s">
        <v>232</v>
      </c>
      <c r="R76" s="207"/>
      <c r="S76" s="208" t="s">
        <v>80</v>
      </c>
      <c r="T76" s="209"/>
      <c r="U76" s="210"/>
      <c r="V76" s="198" t="s">
        <v>84</v>
      </c>
      <c r="W76" s="198" t="s">
        <v>83</v>
      </c>
      <c r="X76" s="198" t="s">
        <v>347</v>
      </c>
      <c r="Y76" s="244" t="s">
        <v>348</v>
      </c>
      <c r="Z76" s="244" t="s">
        <v>202</v>
      </c>
      <c r="AA76" s="239"/>
      <c r="AB76" s="247">
        <v>9.2999999999999992E-3</v>
      </c>
      <c r="AC76" s="172" t="s">
        <v>202</v>
      </c>
      <c r="AD76" s="241" t="s">
        <v>349</v>
      </c>
      <c r="AE76" s="241"/>
      <c r="AF76" s="223" t="s">
        <v>350</v>
      </c>
      <c r="AG76" s="242"/>
      <c r="AH76" s="242"/>
      <c r="AI76" s="374">
        <f>AB76*1.05</f>
        <v>9.7649999999999994E-3</v>
      </c>
      <c r="AJ76" s="264">
        <f>AB76/AI76</f>
        <v>0.95238095238095233</v>
      </c>
      <c r="AK76" s="242"/>
      <c r="AL76" s="241"/>
      <c r="AM76" s="276" t="s">
        <v>88</v>
      </c>
      <c r="AN76" s="272" t="s">
        <v>351</v>
      </c>
      <c r="AO76" s="272"/>
      <c r="AP76" s="311">
        <v>1.4E-2</v>
      </c>
      <c r="AQ76" s="172">
        <v>15</v>
      </c>
      <c r="AR76" s="309">
        <f>AI76*AQ76</f>
        <v>0.14647499999999999</v>
      </c>
      <c r="AS76" s="310">
        <v>5</v>
      </c>
      <c r="AT76" s="402">
        <f>AR76*AS76</f>
        <v>0.732375</v>
      </c>
      <c r="AU76" s="287">
        <f t="shared" si="45"/>
        <v>92.857142857142861</v>
      </c>
      <c r="AV76" s="413">
        <v>1.3</v>
      </c>
      <c r="AW76" s="287">
        <f t="shared" si="46"/>
        <v>0.56762500000000005</v>
      </c>
      <c r="AX76" s="326">
        <f t="shared" si="47"/>
        <v>0.4366346153846154</v>
      </c>
      <c r="AY76" s="151"/>
      <c r="AZ76" s="338">
        <v>2</v>
      </c>
      <c r="BA76" s="338">
        <v>2</v>
      </c>
      <c r="BB76" s="330">
        <f t="shared" si="48"/>
        <v>2.6</v>
      </c>
      <c r="BC76" s="330">
        <f t="shared" si="49"/>
        <v>2.6</v>
      </c>
      <c r="BD76" s="338"/>
      <c r="BE76" s="338"/>
      <c r="BF76" s="338"/>
      <c r="BG76" s="338"/>
      <c r="BH76" s="343">
        <f t="shared" si="42"/>
        <v>2.6</v>
      </c>
      <c r="BI76" s="343">
        <f t="shared" si="43"/>
        <v>1.46475</v>
      </c>
      <c r="BJ76" s="344" t="s">
        <v>157</v>
      </c>
      <c r="BK76" s="342" t="s">
        <v>226</v>
      </c>
      <c r="BL76" s="345">
        <v>44666</v>
      </c>
      <c r="BM76" s="345"/>
      <c r="BN76" s="345" t="s">
        <v>737</v>
      </c>
      <c r="BO76" s="345" t="s">
        <v>741</v>
      </c>
    </row>
    <row r="77" spans="1:69" s="135" customFormat="1" ht="39.9" customHeight="1" x14ac:dyDescent="0.25">
      <c r="A77" s="150">
        <v>134</v>
      </c>
      <c r="B77" s="159"/>
      <c r="C77" s="159"/>
      <c r="D77" s="159"/>
      <c r="E77" s="159">
        <v>3</v>
      </c>
      <c r="F77" s="159"/>
      <c r="G77" s="159"/>
      <c r="H77" s="159"/>
      <c r="I77" s="159"/>
      <c r="J77" s="159"/>
      <c r="K77" s="159"/>
      <c r="L77" s="151" t="s">
        <v>352</v>
      </c>
      <c r="M77" s="151" t="s">
        <v>352</v>
      </c>
      <c r="N77" s="196" t="s">
        <v>353</v>
      </c>
      <c r="O77" s="193"/>
      <c r="P77" s="194" t="s">
        <v>184</v>
      </c>
      <c r="Q77" s="206" t="s">
        <v>232</v>
      </c>
      <c r="R77" s="207"/>
      <c r="S77" s="208" t="s">
        <v>80</v>
      </c>
      <c r="T77" s="209"/>
      <c r="U77" s="210"/>
      <c r="V77" s="198" t="s">
        <v>84</v>
      </c>
      <c r="W77" s="198" t="s">
        <v>83</v>
      </c>
      <c r="X77" s="198" t="s">
        <v>347</v>
      </c>
      <c r="Y77" s="244" t="s">
        <v>348</v>
      </c>
      <c r="Z77" s="244" t="s">
        <v>202</v>
      </c>
      <c r="AA77" s="239"/>
      <c r="AB77" s="247">
        <v>1.5299999999999999E-2</v>
      </c>
      <c r="AC77" s="172" t="s">
        <v>202</v>
      </c>
      <c r="AD77" s="241" t="s">
        <v>349</v>
      </c>
      <c r="AE77" s="241"/>
      <c r="AF77" s="223" t="s">
        <v>350</v>
      </c>
      <c r="AG77" s="242"/>
      <c r="AH77" s="242"/>
      <c r="AI77" s="374">
        <f>AB77*1.05</f>
        <v>1.6064999999999999E-2</v>
      </c>
      <c r="AJ77" s="264">
        <f>AB77/AI77</f>
        <v>0.95238095238095233</v>
      </c>
      <c r="AK77" s="242"/>
      <c r="AL77" s="241"/>
      <c r="AM77" s="276" t="s">
        <v>88</v>
      </c>
      <c r="AN77" s="272" t="s">
        <v>351</v>
      </c>
      <c r="AO77" s="272"/>
      <c r="AP77" s="311">
        <v>2.1000000000000001E-2</v>
      </c>
      <c r="AQ77" s="172">
        <v>15</v>
      </c>
      <c r="AR77" s="309">
        <f>AI77*AQ77</f>
        <v>0.24097499999999999</v>
      </c>
      <c r="AS77" s="310">
        <v>5</v>
      </c>
      <c r="AT77" s="402">
        <f>AR77*AS77</f>
        <v>1.2048749999999999</v>
      </c>
      <c r="AU77" s="287">
        <f t="shared" si="45"/>
        <v>95.238095238095227</v>
      </c>
      <c r="AV77" s="413">
        <v>2</v>
      </c>
      <c r="AW77" s="287">
        <f t="shared" si="46"/>
        <v>0.79512500000000008</v>
      </c>
      <c r="AX77" s="326">
        <f t="shared" si="47"/>
        <v>0.39756250000000004</v>
      </c>
      <c r="AY77" s="151"/>
      <c r="AZ77" s="338">
        <v>2</v>
      </c>
      <c r="BA77" s="338">
        <v>2</v>
      </c>
      <c r="BB77" s="330">
        <f t="shared" si="48"/>
        <v>4</v>
      </c>
      <c r="BC77" s="330">
        <f t="shared" si="49"/>
        <v>4</v>
      </c>
      <c r="BD77" s="338"/>
      <c r="BE77" s="338"/>
      <c r="BF77" s="338"/>
      <c r="BG77" s="338"/>
      <c r="BH77" s="343">
        <f t="shared" si="42"/>
        <v>4</v>
      </c>
      <c r="BI77" s="343">
        <f t="shared" si="43"/>
        <v>2.4097499999999998</v>
      </c>
      <c r="BJ77" s="344" t="s">
        <v>157</v>
      </c>
      <c r="BK77" s="342" t="s">
        <v>226</v>
      </c>
      <c r="BL77" s="345">
        <v>44666</v>
      </c>
      <c r="BM77" s="345"/>
      <c r="BN77" s="345" t="s">
        <v>738</v>
      </c>
      <c r="BO77" s="345" t="s">
        <v>741</v>
      </c>
    </row>
    <row r="78" spans="1:69" s="135" customFormat="1" ht="39.9" customHeight="1" x14ac:dyDescent="0.25">
      <c r="A78" s="150">
        <v>135</v>
      </c>
      <c r="B78" s="159"/>
      <c r="C78" s="159"/>
      <c r="D78" s="159"/>
      <c r="E78" s="159">
        <v>3</v>
      </c>
      <c r="F78" s="159"/>
      <c r="G78" s="159"/>
      <c r="H78" s="159"/>
      <c r="I78" s="159"/>
      <c r="J78" s="159"/>
      <c r="K78" s="159"/>
      <c r="L78" s="159" t="s">
        <v>354</v>
      </c>
      <c r="M78" s="151" t="s">
        <v>355</v>
      </c>
      <c r="N78" s="196" t="s">
        <v>356</v>
      </c>
      <c r="O78" s="352"/>
      <c r="P78" s="194" t="s">
        <v>80</v>
      </c>
      <c r="Q78" s="206" t="s">
        <v>232</v>
      </c>
      <c r="R78" s="354"/>
      <c r="S78" s="208" t="s">
        <v>80</v>
      </c>
      <c r="T78" s="352"/>
      <c r="U78" s="355"/>
      <c r="V78" s="198" t="s">
        <v>83</v>
      </c>
      <c r="W78" s="198" t="s">
        <v>84</v>
      </c>
      <c r="X78" s="198" t="s">
        <v>347</v>
      </c>
      <c r="Y78" s="361" t="s">
        <v>357</v>
      </c>
      <c r="Z78" s="362"/>
      <c r="AA78" s="352"/>
      <c r="AB78" s="363">
        <v>6.0000000000000001E-3</v>
      </c>
      <c r="AC78" s="172" t="s">
        <v>202</v>
      </c>
      <c r="AD78" s="364" t="s">
        <v>349</v>
      </c>
      <c r="AE78" s="364"/>
      <c r="AF78" s="223" t="s">
        <v>358</v>
      </c>
      <c r="AG78" s="277"/>
      <c r="AH78" s="277"/>
      <c r="AI78" s="374">
        <f>AB78*1.04</f>
        <v>6.2400000000000008E-3</v>
      </c>
      <c r="AJ78" s="264">
        <f>AB78/AI78</f>
        <v>0.96153846153846145</v>
      </c>
      <c r="AK78" s="277"/>
      <c r="AL78" s="374"/>
      <c r="AM78" s="276" t="s">
        <v>88</v>
      </c>
      <c r="AN78" s="272" t="s">
        <v>359</v>
      </c>
      <c r="AO78" s="378"/>
      <c r="AP78" s="311">
        <v>6.0999999999999999E-2</v>
      </c>
      <c r="AQ78" s="379">
        <f>48.7/1.13</f>
        <v>43.097345132743371</v>
      </c>
      <c r="AR78" s="309">
        <f>AI78*AQ78</f>
        <v>0.26892743362831867</v>
      </c>
      <c r="AS78" s="310"/>
      <c r="AT78" s="402">
        <f>塑料件测算!AE5</f>
        <v>0.43812423437499992</v>
      </c>
      <c r="AU78" s="287">
        <f t="shared" si="45"/>
        <v>10.059016393442624</v>
      </c>
      <c r="AV78" s="413">
        <v>0.61360000000000003</v>
      </c>
      <c r="AW78" s="287">
        <f t="shared" si="46"/>
        <v>0.17547576562500011</v>
      </c>
      <c r="AX78" s="326">
        <f t="shared" si="47"/>
        <v>0.28597745375651906</v>
      </c>
      <c r="AY78" s="382" t="s">
        <v>360</v>
      </c>
      <c r="AZ78" s="338">
        <v>4</v>
      </c>
      <c r="BA78" s="338">
        <v>4</v>
      </c>
      <c r="BB78" s="330">
        <f t="shared" si="48"/>
        <v>2.4544000000000001</v>
      </c>
      <c r="BC78" s="330">
        <f t="shared" si="49"/>
        <v>2.4544000000000001</v>
      </c>
      <c r="BD78" s="338"/>
      <c r="BE78" s="338"/>
      <c r="BF78" s="338"/>
      <c r="BG78" s="338"/>
      <c r="BH78" s="343">
        <f t="shared" si="42"/>
        <v>2.4544000000000001</v>
      </c>
      <c r="BI78" s="343">
        <f t="shared" si="43"/>
        <v>1.7524969374999997</v>
      </c>
      <c r="BJ78" s="344" t="s">
        <v>361</v>
      </c>
      <c r="BK78" s="342" t="s">
        <v>226</v>
      </c>
      <c r="BL78" s="345">
        <v>44666</v>
      </c>
      <c r="BM78" s="345"/>
      <c r="BN78" s="345" t="s">
        <v>740</v>
      </c>
      <c r="BO78" s="345" t="s">
        <v>739</v>
      </c>
      <c r="BP78" s="393" t="s">
        <v>362</v>
      </c>
      <c r="BQ78" s="342" t="s">
        <v>363</v>
      </c>
    </row>
    <row r="79" spans="1:69" s="135" customFormat="1" ht="39.9" customHeight="1" x14ac:dyDescent="0.25">
      <c r="A79" s="150">
        <v>136</v>
      </c>
      <c r="B79" s="159"/>
      <c r="C79" s="159"/>
      <c r="D79" s="159"/>
      <c r="E79" s="159">
        <v>3</v>
      </c>
      <c r="F79" s="159"/>
      <c r="G79" s="159"/>
      <c r="H79" s="159"/>
      <c r="I79" s="159"/>
      <c r="J79" s="159"/>
      <c r="K79" s="159"/>
      <c r="L79" s="151" t="s">
        <v>364</v>
      </c>
      <c r="M79" s="151" t="s">
        <v>364</v>
      </c>
      <c r="N79" s="196" t="s">
        <v>365</v>
      </c>
      <c r="O79" s="193"/>
      <c r="P79" s="194" t="s">
        <v>80</v>
      </c>
      <c r="Q79" s="206" t="s">
        <v>232</v>
      </c>
      <c r="R79" s="207"/>
      <c r="S79" s="208" t="s">
        <v>80</v>
      </c>
      <c r="T79" s="209"/>
      <c r="U79" s="210"/>
      <c r="V79" s="198" t="s">
        <v>84</v>
      </c>
      <c r="W79" s="198" t="s">
        <v>83</v>
      </c>
      <c r="X79" s="198" t="s">
        <v>306</v>
      </c>
      <c r="Y79" s="365" t="s">
        <v>202</v>
      </c>
      <c r="Z79" s="365" t="s">
        <v>202</v>
      </c>
      <c r="AA79" s="239"/>
      <c r="AB79" s="243"/>
      <c r="AC79" s="172" t="s">
        <v>202</v>
      </c>
      <c r="AD79" s="241"/>
      <c r="AE79" s="241"/>
      <c r="AF79" s="242"/>
      <c r="AG79" s="242"/>
      <c r="AH79" s="242"/>
      <c r="AI79" s="241"/>
      <c r="AJ79" s="255"/>
      <c r="AK79" s="242"/>
      <c r="AL79" s="241"/>
      <c r="AM79" s="276" t="s">
        <v>88</v>
      </c>
      <c r="AN79" s="272" t="s">
        <v>366</v>
      </c>
      <c r="AO79" s="272"/>
      <c r="AP79" s="272"/>
      <c r="AQ79" s="172"/>
      <c r="AR79" s="309"/>
      <c r="AS79" s="310"/>
      <c r="AT79" s="402">
        <f>AV79</f>
        <v>27.2</v>
      </c>
      <c r="AU79" s="287" t="e">
        <f t="shared" si="45"/>
        <v>#DIV/0!</v>
      </c>
      <c r="AV79" s="413">
        <v>27.2</v>
      </c>
      <c r="AW79" s="287">
        <f t="shared" si="46"/>
        <v>0</v>
      </c>
      <c r="AX79" s="326">
        <f t="shared" si="47"/>
        <v>0</v>
      </c>
      <c r="AY79" s="151"/>
      <c r="AZ79" s="338">
        <v>1</v>
      </c>
      <c r="BA79" s="338">
        <v>1</v>
      </c>
      <c r="BB79" s="330">
        <f t="shared" si="48"/>
        <v>27.2</v>
      </c>
      <c r="BC79" s="330">
        <f t="shared" si="49"/>
        <v>27.2</v>
      </c>
      <c r="BD79" s="338"/>
      <c r="BE79" s="338"/>
      <c r="BF79" s="338"/>
      <c r="BG79" s="338"/>
      <c r="BH79" s="343">
        <f t="shared" si="42"/>
        <v>27.2</v>
      </c>
      <c r="BI79" s="343">
        <f t="shared" si="43"/>
        <v>27.2</v>
      </c>
      <c r="BJ79" s="344" t="s">
        <v>361</v>
      </c>
      <c r="BK79" s="342" t="s">
        <v>226</v>
      </c>
      <c r="BL79" s="345">
        <v>44666</v>
      </c>
      <c r="BM79" s="345"/>
      <c r="BN79" s="345" t="s">
        <v>743</v>
      </c>
      <c r="BO79" s="345" t="s">
        <v>744</v>
      </c>
      <c r="BP79" s="393" t="s">
        <v>367</v>
      </c>
      <c r="BQ79" s="342" t="s">
        <v>368</v>
      </c>
    </row>
    <row r="80" spans="1:69" s="135" customFormat="1" ht="39.9" customHeight="1" x14ac:dyDescent="0.25">
      <c r="A80" s="150">
        <v>141</v>
      </c>
      <c r="B80" s="159"/>
      <c r="C80" s="159"/>
      <c r="D80" s="159"/>
      <c r="E80" s="159">
        <v>3</v>
      </c>
      <c r="F80" s="159"/>
      <c r="G80" s="159"/>
      <c r="H80" s="159"/>
      <c r="I80" s="159"/>
      <c r="J80" s="159"/>
      <c r="K80" s="159"/>
      <c r="L80" s="151" t="s">
        <v>369</v>
      </c>
      <c r="M80" s="151" t="s">
        <v>369</v>
      </c>
      <c r="N80" s="196" t="s">
        <v>370</v>
      </c>
      <c r="O80" s="193"/>
      <c r="P80" s="194" t="s">
        <v>80</v>
      </c>
      <c r="Q80" s="206" t="s">
        <v>232</v>
      </c>
      <c r="R80" s="357"/>
      <c r="S80" s="208" t="s">
        <v>80</v>
      </c>
      <c r="T80" s="209"/>
      <c r="U80" s="210"/>
      <c r="V80" s="198" t="s">
        <v>84</v>
      </c>
      <c r="W80" s="198" t="s">
        <v>83</v>
      </c>
      <c r="X80" s="198" t="s">
        <v>371</v>
      </c>
      <c r="Y80" s="244" t="s">
        <v>218</v>
      </c>
      <c r="Z80" s="244"/>
      <c r="AA80" s="239"/>
      <c r="AB80" s="247">
        <v>0.129</v>
      </c>
      <c r="AC80" s="172" t="s">
        <v>202</v>
      </c>
      <c r="AD80" s="366"/>
      <c r="AE80" s="366"/>
      <c r="AF80" s="367"/>
      <c r="AG80" s="367"/>
      <c r="AH80" s="367"/>
      <c r="AI80" s="241"/>
      <c r="AJ80" s="255"/>
      <c r="AK80" s="242"/>
      <c r="AL80" s="241"/>
      <c r="AM80" s="276" t="s">
        <v>88</v>
      </c>
      <c r="AN80" s="272" t="s">
        <v>372</v>
      </c>
      <c r="AO80" s="272"/>
      <c r="AP80" s="311">
        <v>0.125</v>
      </c>
      <c r="AQ80" s="172"/>
      <c r="AR80" s="309">
        <f>AR81+AR82</f>
        <v>2.7</v>
      </c>
      <c r="AS80" s="310">
        <v>2</v>
      </c>
      <c r="AT80" s="402">
        <f>AR80*AS80</f>
        <v>5.4</v>
      </c>
      <c r="AU80" s="287">
        <f t="shared" si="45"/>
        <v>64</v>
      </c>
      <c r="AV80" s="413">
        <v>8</v>
      </c>
      <c r="AW80" s="287">
        <f t="shared" si="46"/>
        <v>2.5999999999999996</v>
      </c>
      <c r="AX80" s="326">
        <f t="shared" si="47"/>
        <v>0.32499999999999996</v>
      </c>
      <c r="AY80" s="151"/>
      <c r="AZ80" s="338">
        <v>2</v>
      </c>
      <c r="BA80" s="338">
        <v>2</v>
      </c>
      <c r="BB80" s="330">
        <f t="shared" si="48"/>
        <v>16</v>
      </c>
      <c r="BC80" s="330">
        <f t="shared" si="49"/>
        <v>16</v>
      </c>
      <c r="BD80" s="338"/>
      <c r="BE80" s="338"/>
      <c r="BF80" s="338"/>
      <c r="BG80" s="338"/>
      <c r="BH80" s="343">
        <f t="shared" ref="BH80:BH85" si="52">AV80*BA80</f>
        <v>16</v>
      </c>
      <c r="BI80" s="343">
        <f t="shared" ref="BI80:BI85" si="53">AT80*BA80</f>
        <v>10.8</v>
      </c>
      <c r="BJ80" s="496" t="s">
        <v>373</v>
      </c>
      <c r="BK80" s="446" t="s">
        <v>91</v>
      </c>
      <c r="BL80" s="435">
        <v>44666</v>
      </c>
      <c r="BM80" s="516">
        <v>8</v>
      </c>
      <c r="BN80" s="527" t="s">
        <v>706</v>
      </c>
      <c r="BO80" s="435" t="s">
        <v>720</v>
      </c>
    </row>
    <row r="81" spans="1:67" s="135" customFormat="1" ht="39.9" customHeight="1" x14ac:dyDescent="0.25">
      <c r="A81" s="150">
        <v>142</v>
      </c>
      <c r="B81" s="159"/>
      <c r="C81" s="159"/>
      <c r="D81" s="159"/>
      <c r="E81" s="159"/>
      <c r="F81" s="159">
        <v>4</v>
      </c>
      <c r="G81" s="159"/>
      <c r="H81" s="159"/>
      <c r="I81" s="159"/>
      <c r="J81" s="159"/>
      <c r="K81" s="159"/>
      <c r="L81" s="151"/>
      <c r="M81" s="151" t="s">
        <v>374</v>
      </c>
      <c r="N81" s="196" t="s">
        <v>375</v>
      </c>
      <c r="O81" s="193"/>
      <c r="P81" s="194" t="s">
        <v>80</v>
      </c>
      <c r="Q81" s="206" t="s">
        <v>232</v>
      </c>
      <c r="R81" s="357"/>
      <c r="S81" s="208" t="s">
        <v>80</v>
      </c>
      <c r="T81" s="209"/>
      <c r="U81" s="210"/>
      <c r="V81" s="198" t="s">
        <v>84</v>
      </c>
      <c r="W81" s="198" t="s">
        <v>83</v>
      </c>
      <c r="X81" s="198" t="s">
        <v>371</v>
      </c>
      <c r="Y81" s="244" t="s">
        <v>218</v>
      </c>
      <c r="Z81" s="244"/>
      <c r="AA81" s="239"/>
      <c r="AB81" s="247">
        <v>0.125</v>
      </c>
      <c r="AC81" s="172" t="s">
        <v>202</v>
      </c>
      <c r="AD81" s="366" t="s">
        <v>331</v>
      </c>
      <c r="AE81" s="366"/>
      <c r="AF81" s="367">
        <v>40</v>
      </c>
      <c r="AG81" s="367">
        <v>24</v>
      </c>
      <c r="AH81" s="367">
        <v>29</v>
      </c>
      <c r="AI81" s="241">
        <f>AF81*AG81*AH81*7860/1000000000</f>
        <v>0.2188224</v>
      </c>
      <c r="AJ81" s="255">
        <f>AB81/AI81</f>
        <v>0.57123950747272678</v>
      </c>
      <c r="AK81" s="242"/>
      <c r="AL81" s="241">
        <f>AF81*AG81*2*BA81/1000000</f>
        <v>1.92E-3</v>
      </c>
      <c r="AM81" s="273"/>
      <c r="AN81" s="274"/>
      <c r="AO81" s="272"/>
      <c r="AP81" s="272"/>
      <c r="AQ81" s="172"/>
      <c r="AR81" s="309">
        <f>AB81*20</f>
        <v>2.5</v>
      </c>
      <c r="AS81" s="310"/>
      <c r="AT81" s="402"/>
      <c r="AU81" s="287" t="e">
        <f t="shared" si="45"/>
        <v>#DIV/0!</v>
      </c>
      <c r="AV81" s="413"/>
      <c r="AW81" s="287">
        <f t="shared" si="46"/>
        <v>0</v>
      </c>
      <c r="AX81" s="326" t="e">
        <f t="shared" si="47"/>
        <v>#DIV/0!</v>
      </c>
      <c r="AY81" s="151"/>
      <c r="AZ81" s="338">
        <v>1</v>
      </c>
      <c r="BA81" s="338">
        <v>1</v>
      </c>
      <c r="BB81" s="330">
        <f t="shared" si="48"/>
        <v>0</v>
      </c>
      <c r="BC81" s="330">
        <f t="shared" si="49"/>
        <v>0</v>
      </c>
      <c r="BD81" s="338"/>
      <c r="BE81" s="338"/>
      <c r="BF81" s="338"/>
      <c r="BG81" s="338"/>
      <c r="BH81" s="343">
        <f t="shared" si="52"/>
        <v>0</v>
      </c>
      <c r="BI81" s="343">
        <f t="shared" si="53"/>
        <v>0</v>
      </c>
      <c r="BJ81" s="496"/>
      <c r="BK81" s="495"/>
      <c r="BL81" s="495"/>
      <c r="BM81" s="517"/>
      <c r="BN81" s="528"/>
      <c r="BO81" s="509"/>
    </row>
    <row r="82" spans="1:67" s="135" customFormat="1" ht="39.9" customHeight="1" x14ac:dyDescent="0.25">
      <c r="A82" s="150">
        <v>143</v>
      </c>
      <c r="B82" s="159"/>
      <c r="C82" s="159"/>
      <c r="D82" s="159"/>
      <c r="E82" s="159"/>
      <c r="F82" s="159">
        <v>4</v>
      </c>
      <c r="G82" s="159"/>
      <c r="H82" s="159"/>
      <c r="I82" s="159"/>
      <c r="J82" s="159"/>
      <c r="K82" s="159"/>
      <c r="L82" s="151"/>
      <c r="M82" s="151" t="s">
        <v>376</v>
      </c>
      <c r="N82" s="196" t="s">
        <v>377</v>
      </c>
      <c r="O82" s="193"/>
      <c r="P82" s="194" t="s">
        <v>80</v>
      </c>
      <c r="Q82" s="206" t="s">
        <v>232</v>
      </c>
      <c r="R82" s="207"/>
      <c r="S82" s="208" t="s">
        <v>80</v>
      </c>
      <c r="T82" s="209"/>
      <c r="U82" s="210"/>
      <c r="V82" s="198" t="s">
        <v>84</v>
      </c>
      <c r="W82" s="198" t="s">
        <v>83</v>
      </c>
      <c r="X82" s="198" t="s">
        <v>103</v>
      </c>
      <c r="Y82" s="244"/>
      <c r="Z82" s="244" t="s">
        <v>202</v>
      </c>
      <c r="AA82" s="239"/>
      <c r="AB82" s="247">
        <v>4.0000000000000001E-3</v>
      </c>
      <c r="AC82" s="172" t="s">
        <v>202</v>
      </c>
      <c r="AD82" s="366"/>
      <c r="AE82" s="366"/>
      <c r="AF82" s="367"/>
      <c r="AG82" s="367"/>
      <c r="AH82" s="367"/>
      <c r="AI82" s="375"/>
      <c r="AJ82" s="376"/>
      <c r="AK82" s="367"/>
      <c r="AL82" s="375"/>
      <c r="AM82" s="273"/>
      <c r="AN82" s="274"/>
      <c r="AO82" s="272"/>
      <c r="AP82" s="272"/>
      <c r="AQ82" s="172"/>
      <c r="AR82" s="309">
        <v>0.2</v>
      </c>
      <c r="AS82" s="310"/>
      <c r="AT82" s="402"/>
      <c r="AU82" s="287" t="e">
        <f t="shared" si="45"/>
        <v>#DIV/0!</v>
      </c>
      <c r="AV82" s="413"/>
      <c r="AW82" s="287">
        <f t="shared" si="46"/>
        <v>0</v>
      </c>
      <c r="AX82" s="326" t="e">
        <f t="shared" si="47"/>
        <v>#DIV/0!</v>
      </c>
      <c r="AY82" s="151"/>
      <c r="AZ82" s="338">
        <v>1</v>
      </c>
      <c r="BA82" s="338">
        <v>1</v>
      </c>
      <c r="BB82" s="330">
        <f t="shared" si="48"/>
        <v>0</v>
      </c>
      <c r="BC82" s="330">
        <f t="shared" si="49"/>
        <v>0</v>
      </c>
      <c r="BD82" s="338"/>
      <c r="BE82" s="338"/>
      <c r="BF82" s="338"/>
      <c r="BG82" s="338"/>
      <c r="BH82" s="343">
        <f t="shared" si="52"/>
        <v>0</v>
      </c>
      <c r="BI82" s="343">
        <f t="shared" si="53"/>
        <v>0</v>
      </c>
      <c r="BJ82" s="496"/>
      <c r="BK82" s="447"/>
      <c r="BL82" s="447"/>
      <c r="BM82" s="518"/>
      <c r="BN82" s="529"/>
      <c r="BO82" s="436"/>
    </row>
    <row r="83" spans="1:67" s="135" customFormat="1" ht="39.9" customHeight="1" x14ac:dyDescent="0.25">
      <c r="A83" s="150">
        <v>144</v>
      </c>
      <c r="B83" s="159"/>
      <c r="C83" s="159"/>
      <c r="D83" s="159"/>
      <c r="E83" s="159">
        <v>3</v>
      </c>
      <c r="F83" s="159"/>
      <c r="G83" s="159"/>
      <c r="H83" s="159"/>
      <c r="I83" s="159"/>
      <c r="J83" s="159"/>
      <c r="K83" s="159"/>
      <c r="L83" s="151" t="s">
        <v>378</v>
      </c>
      <c r="M83" s="151" t="s">
        <v>378</v>
      </c>
      <c r="N83" s="196" t="s">
        <v>379</v>
      </c>
      <c r="O83" s="193"/>
      <c r="P83" s="194" t="s">
        <v>80</v>
      </c>
      <c r="Q83" s="206" t="s">
        <v>232</v>
      </c>
      <c r="R83" s="207"/>
      <c r="S83" s="208" t="s">
        <v>80</v>
      </c>
      <c r="T83" s="209"/>
      <c r="U83" s="210"/>
      <c r="V83" s="198" t="s">
        <v>84</v>
      </c>
      <c r="W83" s="198" t="s">
        <v>83</v>
      </c>
      <c r="X83" s="198" t="s">
        <v>371</v>
      </c>
      <c r="Y83" s="244" t="s">
        <v>218</v>
      </c>
      <c r="Z83" s="244"/>
      <c r="AA83" s="239"/>
      <c r="AB83" s="247">
        <v>0.20699999999999999</v>
      </c>
      <c r="AC83" s="172" t="s">
        <v>202</v>
      </c>
      <c r="AD83" s="366"/>
      <c r="AE83" s="366"/>
      <c r="AF83" s="367"/>
      <c r="AG83" s="367"/>
      <c r="AH83" s="367"/>
      <c r="AI83" s="241"/>
      <c r="AJ83" s="255"/>
      <c r="AK83" s="242"/>
      <c r="AL83" s="241"/>
      <c r="AM83" s="276" t="s">
        <v>88</v>
      </c>
      <c r="AN83" s="272" t="s">
        <v>372</v>
      </c>
      <c r="AO83" s="272"/>
      <c r="AP83" s="272">
        <v>0.20200000000000001</v>
      </c>
      <c r="AQ83" s="172"/>
      <c r="AR83" s="309">
        <f>AR84+AR85</f>
        <v>3.2450000000000006</v>
      </c>
      <c r="AS83" s="310">
        <v>2</v>
      </c>
      <c r="AT83" s="402">
        <f>AR83*AS83</f>
        <v>6.4900000000000011</v>
      </c>
      <c r="AU83" s="287">
        <f t="shared" si="45"/>
        <v>34.653465346534652</v>
      </c>
      <c r="AV83" s="413">
        <v>7</v>
      </c>
      <c r="AW83" s="287">
        <f t="shared" si="46"/>
        <v>0.5099999999999989</v>
      </c>
      <c r="AX83" s="326">
        <f t="shared" si="47"/>
        <v>7.2857142857142704E-2</v>
      </c>
      <c r="AY83" s="151"/>
      <c r="AZ83" s="338">
        <v>2</v>
      </c>
      <c r="BA83" s="338">
        <v>2</v>
      </c>
      <c r="BB83" s="330">
        <f t="shared" si="48"/>
        <v>14</v>
      </c>
      <c r="BC83" s="330">
        <f t="shared" si="49"/>
        <v>14</v>
      </c>
      <c r="BD83" s="338"/>
      <c r="BE83" s="338"/>
      <c r="BF83" s="338"/>
      <c r="BG83" s="338"/>
      <c r="BH83" s="343">
        <f t="shared" si="52"/>
        <v>14</v>
      </c>
      <c r="BI83" s="343">
        <f t="shared" si="53"/>
        <v>12.980000000000002</v>
      </c>
      <c r="BJ83" s="496" t="s">
        <v>373</v>
      </c>
      <c r="BK83" s="446" t="s">
        <v>91</v>
      </c>
      <c r="BL83" s="435">
        <v>44666</v>
      </c>
      <c r="BM83" s="516">
        <v>7</v>
      </c>
      <c r="BN83" s="527" t="s">
        <v>707</v>
      </c>
      <c r="BO83" s="435" t="s">
        <v>720</v>
      </c>
    </row>
    <row r="84" spans="1:67" s="135" customFormat="1" ht="39.9" customHeight="1" x14ac:dyDescent="0.25">
      <c r="A84" s="150">
        <v>145</v>
      </c>
      <c r="B84" s="159"/>
      <c r="C84" s="159"/>
      <c r="D84" s="159"/>
      <c r="E84" s="159"/>
      <c r="F84" s="159">
        <v>4</v>
      </c>
      <c r="G84" s="159"/>
      <c r="H84" s="159"/>
      <c r="I84" s="159"/>
      <c r="J84" s="159"/>
      <c r="K84" s="159"/>
      <c r="L84" s="151"/>
      <c r="M84" s="151" t="s">
        <v>380</v>
      </c>
      <c r="N84" s="196" t="s">
        <v>381</v>
      </c>
      <c r="O84" s="193"/>
      <c r="P84" s="194" t="s">
        <v>80</v>
      </c>
      <c r="Q84" s="206" t="s">
        <v>232</v>
      </c>
      <c r="R84" s="207"/>
      <c r="S84" s="208" t="s">
        <v>80</v>
      </c>
      <c r="T84" s="209"/>
      <c r="U84" s="210"/>
      <c r="V84" s="198" t="s">
        <v>84</v>
      </c>
      <c r="W84" s="198" t="s">
        <v>83</v>
      </c>
      <c r="X84" s="198" t="s">
        <v>371</v>
      </c>
      <c r="Y84" s="244" t="s">
        <v>218</v>
      </c>
      <c r="Z84" s="244"/>
      <c r="AA84" s="239"/>
      <c r="AB84" s="243">
        <v>0.20300000000000001</v>
      </c>
      <c r="AC84" s="172" t="s">
        <v>202</v>
      </c>
      <c r="AD84" s="366" t="s">
        <v>331</v>
      </c>
      <c r="AE84" s="366"/>
      <c r="AF84" s="367">
        <v>40</v>
      </c>
      <c r="AG84" s="367">
        <v>24</v>
      </c>
      <c r="AH84" s="367">
        <v>37</v>
      </c>
      <c r="AI84" s="241">
        <f>AF84*AG84*AH84*7860/1000000000</f>
        <v>0.27918720000000002</v>
      </c>
      <c r="AJ84" s="255">
        <f>AB84/AI84</f>
        <v>0.7271106984847443</v>
      </c>
      <c r="AK84" s="242"/>
      <c r="AL84" s="241">
        <f>AF84*AG84*2*BA84/1000000</f>
        <v>3.8400000000000001E-3</v>
      </c>
      <c r="AM84" s="273"/>
      <c r="AN84" s="274"/>
      <c r="AO84" s="272"/>
      <c r="AP84" s="272"/>
      <c r="AQ84" s="172"/>
      <c r="AR84" s="309">
        <f>AB84*15</f>
        <v>3.0450000000000004</v>
      </c>
      <c r="AS84" s="310"/>
      <c r="AT84" s="402"/>
      <c r="AU84" s="287" t="e">
        <f t="shared" si="45"/>
        <v>#DIV/0!</v>
      </c>
      <c r="AV84" s="413"/>
      <c r="AW84" s="287">
        <f t="shared" si="46"/>
        <v>0</v>
      </c>
      <c r="AX84" s="326" t="e">
        <f t="shared" si="47"/>
        <v>#DIV/0!</v>
      </c>
      <c r="AY84" s="151"/>
      <c r="AZ84" s="338">
        <v>2</v>
      </c>
      <c r="BA84" s="338">
        <v>2</v>
      </c>
      <c r="BB84" s="330">
        <f t="shared" si="48"/>
        <v>0</v>
      </c>
      <c r="BC84" s="330">
        <f t="shared" si="49"/>
        <v>0</v>
      </c>
      <c r="BD84" s="338"/>
      <c r="BE84" s="338"/>
      <c r="BF84" s="338"/>
      <c r="BG84" s="338"/>
      <c r="BH84" s="343">
        <f t="shared" si="52"/>
        <v>0</v>
      </c>
      <c r="BI84" s="343">
        <f t="shared" si="53"/>
        <v>0</v>
      </c>
      <c r="BJ84" s="496"/>
      <c r="BK84" s="495"/>
      <c r="BL84" s="495"/>
      <c r="BM84" s="517"/>
      <c r="BN84" s="528"/>
      <c r="BO84" s="509"/>
    </row>
    <row r="85" spans="1:67" s="135" customFormat="1" ht="39.9" customHeight="1" x14ac:dyDescent="0.25">
      <c r="A85" s="150">
        <v>146</v>
      </c>
      <c r="B85" s="159"/>
      <c r="C85" s="159"/>
      <c r="D85" s="159"/>
      <c r="E85" s="159"/>
      <c r="F85" s="159">
        <v>4</v>
      </c>
      <c r="G85" s="159"/>
      <c r="H85" s="159"/>
      <c r="I85" s="159"/>
      <c r="J85" s="159"/>
      <c r="K85" s="159"/>
      <c r="L85" s="151"/>
      <c r="M85" s="151" t="s">
        <v>376</v>
      </c>
      <c r="N85" s="196" t="s">
        <v>377</v>
      </c>
      <c r="O85" s="193"/>
      <c r="P85" s="194" t="s">
        <v>80</v>
      </c>
      <c r="Q85" s="206" t="s">
        <v>232</v>
      </c>
      <c r="R85" s="207"/>
      <c r="S85" s="208" t="s">
        <v>80</v>
      </c>
      <c r="T85" s="209"/>
      <c r="U85" s="210"/>
      <c r="V85" s="198" t="s">
        <v>84</v>
      </c>
      <c r="W85" s="198" t="s">
        <v>83</v>
      </c>
      <c r="X85" s="198" t="s">
        <v>103</v>
      </c>
      <c r="Y85" s="244"/>
      <c r="Z85" s="244" t="s">
        <v>202</v>
      </c>
      <c r="AA85" s="239"/>
      <c r="AB85" s="247">
        <v>4.0000000000000001E-3</v>
      </c>
      <c r="AC85" s="172" t="s">
        <v>202</v>
      </c>
      <c r="AD85" s="366"/>
      <c r="AE85" s="366"/>
      <c r="AF85" s="367"/>
      <c r="AG85" s="367"/>
      <c r="AH85" s="367"/>
      <c r="AI85" s="375"/>
      <c r="AJ85" s="376"/>
      <c r="AK85" s="367"/>
      <c r="AL85" s="375"/>
      <c r="AM85" s="273"/>
      <c r="AN85" s="274"/>
      <c r="AO85" s="272"/>
      <c r="AP85" s="272"/>
      <c r="AQ85" s="172"/>
      <c r="AR85" s="309">
        <v>0.2</v>
      </c>
      <c r="AS85" s="310"/>
      <c r="AT85" s="402"/>
      <c r="AU85" s="287" t="e">
        <f t="shared" si="45"/>
        <v>#DIV/0!</v>
      </c>
      <c r="AV85" s="413"/>
      <c r="AW85" s="287">
        <f t="shared" si="46"/>
        <v>0</v>
      </c>
      <c r="AX85" s="326" t="e">
        <f t="shared" si="47"/>
        <v>#DIV/0!</v>
      </c>
      <c r="AY85" s="151"/>
      <c r="AZ85" s="338">
        <v>2</v>
      </c>
      <c r="BA85" s="338">
        <v>2</v>
      </c>
      <c r="BB85" s="330">
        <f t="shared" si="48"/>
        <v>0</v>
      </c>
      <c r="BC85" s="330">
        <f t="shared" si="49"/>
        <v>0</v>
      </c>
      <c r="BD85" s="338"/>
      <c r="BE85" s="338"/>
      <c r="BF85" s="338"/>
      <c r="BG85" s="338"/>
      <c r="BH85" s="343">
        <f t="shared" si="52"/>
        <v>0</v>
      </c>
      <c r="BI85" s="343">
        <f t="shared" si="53"/>
        <v>0</v>
      </c>
      <c r="BJ85" s="496"/>
      <c r="BK85" s="447"/>
      <c r="BL85" s="447"/>
      <c r="BM85" s="518"/>
      <c r="BN85" s="529"/>
      <c r="BO85" s="436"/>
    </row>
    <row r="86" spans="1:67" s="138" customFormat="1" ht="39.9" customHeight="1" x14ac:dyDescent="0.25">
      <c r="A86" s="150">
        <v>158</v>
      </c>
      <c r="B86" s="159"/>
      <c r="C86" s="156"/>
      <c r="D86" s="158">
        <v>2</v>
      </c>
      <c r="E86" s="158"/>
      <c r="F86" s="158"/>
      <c r="G86" s="156"/>
      <c r="H86" s="156"/>
      <c r="I86" s="156"/>
      <c r="J86" s="151"/>
      <c r="K86" s="170"/>
      <c r="L86" s="151" t="s">
        <v>382</v>
      </c>
      <c r="M86" s="173" t="s">
        <v>705</v>
      </c>
      <c r="N86" s="157" t="s">
        <v>383</v>
      </c>
      <c r="O86" s="190" t="s">
        <v>130</v>
      </c>
      <c r="P86" s="353"/>
      <c r="Q86" s="159" t="s">
        <v>79</v>
      </c>
      <c r="R86" s="156"/>
      <c r="S86" s="169" t="s">
        <v>80</v>
      </c>
      <c r="T86" s="173" t="s">
        <v>382</v>
      </c>
      <c r="U86" s="173" t="s">
        <v>80</v>
      </c>
      <c r="V86" s="169" t="s">
        <v>84</v>
      </c>
      <c r="W86" s="169" t="s">
        <v>83</v>
      </c>
      <c r="X86" s="159" t="s">
        <v>85</v>
      </c>
      <c r="Y86" s="156" t="s">
        <v>86</v>
      </c>
      <c r="Z86" s="156" t="s">
        <v>82</v>
      </c>
      <c r="AA86" s="159"/>
      <c r="AB86" s="368">
        <v>1.0470999999999999</v>
      </c>
      <c r="AC86" s="151" t="s">
        <v>180</v>
      </c>
      <c r="AD86" s="369" t="s">
        <v>87</v>
      </c>
      <c r="AE86" s="369"/>
      <c r="AF86" s="257"/>
      <c r="AG86" s="257"/>
      <c r="AH86" s="257"/>
      <c r="AI86" s="258"/>
      <c r="AJ86" s="377"/>
      <c r="AK86" s="257">
        <v>21</v>
      </c>
      <c r="AL86" s="258">
        <f>SUMPRODUCT(AL87:AL96,BA87:BA96)</f>
        <v>0.1314435089925847</v>
      </c>
      <c r="AM86" s="259" t="s">
        <v>88</v>
      </c>
      <c r="AN86" s="259" t="s">
        <v>156</v>
      </c>
      <c r="AO86" s="259"/>
      <c r="AP86" s="259">
        <v>1.03</v>
      </c>
      <c r="AQ86" s="292"/>
      <c r="AR86" s="293"/>
      <c r="AS86" s="294"/>
      <c r="AT86" s="399">
        <f>AB86*13+AL86*14</f>
        <v>15.452509125896185</v>
      </c>
      <c r="AU86" s="287">
        <f t="shared" si="45"/>
        <v>22.33009708737864</v>
      </c>
      <c r="AV86" s="409">
        <v>23</v>
      </c>
      <c r="AW86" s="287">
        <f t="shared" si="46"/>
        <v>7.5474908741038149</v>
      </c>
      <c r="AX86" s="326">
        <f t="shared" si="47"/>
        <v>0.32815177713494847</v>
      </c>
      <c r="AY86" s="331"/>
      <c r="AZ86" s="325">
        <v>1</v>
      </c>
      <c r="BA86" s="383">
        <v>1</v>
      </c>
      <c r="BB86" s="330">
        <f t="shared" si="48"/>
        <v>23</v>
      </c>
      <c r="BC86" s="330">
        <f t="shared" si="49"/>
        <v>23</v>
      </c>
      <c r="BD86" s="383"/>
      <c r="BE86" s="383"/>
      <c r="BF86" s="383"/>
      <c r="BG86" s="383"/>
      <c r="BH86" s="343"/>
      <c r="BI86" s="343"/>
      <c r="BJ86" s="496" t="s">
        <v>157</v>
      </c>
      <c r="BK86" s="446" t="s">
        <v>91</v>
      </c>
      <c r="BL86" s="435">
        <v>44666</v>
      </c>
      <c r="BM86" s="516">
        <v>28.43</v>
      </c>
      <c r="BN86" s="527" t="s">
        <v>708</v>
      </c>
      <c r="BO86" s="536" t="s">
        <v>719</v>
      </c>
    </row>
    <row r="87" spans="1:67" s="138" customFormat="1" ht="39.9" customHeight="1" x14ac:dyDescent="0.25">
      <c r="A87" s="150">
        <v>159</v>
      </c>
      <c r="B87" s="159"/>
      <c r="C87" s="156"/>
      <c r="D87" s="156"/>
      <c r="E87" s="158">
        <v>3</v>
      </c>
      <c r="F87" s="158"/>
      <c r="G87" s="156"/>
      <c r="H87" s="156"/>
      <c r="I87" s="156"/>
      <c r="J87" s="151"/>
      <c r="K87" s="170"/>
      <c r="L87" s="151"/>
      <c r="M87" s="173" t="s">
        <v>384</v>
      </c>
      <c r="N87" s="157" t="s">
        <v>385</v>
      </c>
      <c r="O87" s="190" t="s">
        <v>130</v>
      </c>
      <c r="P87" s="353"/>
      <c r="Q87" s="159" t="s">
        <v>79</v>
      </c>
      <c r="R87" s="156"/>
      <c r="S87" s="169" t="s">
        <v>80</v>
      </c>
      <c r="T87" s="173" t="s">
        <v>384</v>
      </c>
      <c r="U87" s="173" t="s">
        <v>80</v>
      </c>
      <c r="V87" s="169" t="s">
        <v>84</v>
      </c>
      <c r="W87" s="169" t="s">
        <v>83</v>
      </c>
      <c r="X87" s="158" t="s">
        <v>93</v>
      </c>
      <c r="Y87" s="156" t="s">
        <v>94</v>
      </c>
      <c r="Z87" s="197" t="s">
        <v>95</v>
      </c>
      <c r="AA87" s="159"/>
      <c r="AB87" s="370">
        <v>3.9E-2</v>
      </c>
      <c r="AC87" s="151" t="s">
        <v>82</v>
      </c>
      <c r="AD87" s="369" t="s">
        <v>97</v>
      </c>
      <c r="AE87" s="371" t="s">
        <v>386</v>
      </c>
      <c r="AF87" s="242">
        <f>67+7</f>
        <v>74</v>
      </c>
      <c r="AG87" s="242">
        <v>47</v>
      </c>
      <c r="AH87" s="242">
        <v>3</v>
      </c>
      <c r="AI87" s="241">
        <f>AF87*AG87*AH87*7860/1000000000</f>
        <v>8.2011239999999999E-2</v>
      </c>
      <c r="AJ87" s="255">
        <f t="shared" ref="AJ87:AJ96" si="54">AB87/AI87</f>
        <v>0.47554457169529446</v>
      </c>
      <c r="AK87" s="257"/>
      <c r="AL87" s="241">
        <f>AF87*AG87*2*BA87/1000000</f>
        <v>1.3912000000000001E-2</v>
      </c>
      <c r="AM87" s="256"/>
      <c r="AN87" s="256"/>
      <c r="AO87" s="261"/>
      <c r="AP87" s="261"/>
      <c r="AQ87" s="295" t="s">
        <v>99</v>
      </c>
      <c r="AR87" s="293">
        <f t="shared" ref="AR87:AR96" si="55">AI87*AQ87</f>
        <v>0.50108867639999999</v>
      </c>
      <c r="AS87" s="297"/>
      <c r="AT87" s="400"/>
      <c r="AU87" s="287" t="e">
        <f t="shared" si="45"/>
        <v>#DIV/0!</v>
      </c>
      <c r="AV87" s="413"/>
      <c r="AW87" s="287">
        <f t="shared" si="46"/>
        <v>0</v>
      </c>
      <c r="AX87" s="326" t="e">
        <f t="shared" si="47"/>
        <v>#DIV/0!</v>
      </c>
      <c r="AY87" s="331"/>
      <c r="AZ87" s="325">
        <v>2</v>
      </c>
      <c r="BA87" s="383">
        <v>2</v>
      </c>
      <c r="BB87" s="330">
        <f t="shared" si="48"/>
        <v>0</v>
      </c>
      <c r="BC87" s="330">
        <f t="shared" si="49"/>
        <v>0</v>
      </c>
      <c r="BD87" s="383"/>
      <c r="BE87" s="383"/>
      <c r="BF87" s="383"/>
      <c r="BG87" s="383"/>
      <c r="BH87" s="343"/>
      <c r="BI87" s="343"/>
      <c r="BJ87" s="496"/>
      <c r="BK87" s="495"/>
      <c r="BL87" s="495"/>
      <c r="BM87" s="517"/>
      <c r="BN87" s="528"/>
      <c r="BO87" s="520"/>
    </row>
    <row r="88" spans="1:67" s="138" customFormat="1" ht="39.9" customHeight="1" x14ac:dyDescent="0.25">
      <c r="A88" s="150">
        <v>160</v>
      </c>
      <c r="B88" s="159"/>
      <c r="C88" s="156"/>
      <c r="D88" s="156"/>
      <c r="E88" s="158">
        <v>3</v>
      </c>
      <c r="F88" s="158"/>
      <c r="G88" s="156"/>
      <c r="H88" s="156"/>
      <c r="I88" s="156"/>
      <c r="J88" s="151"/>
      <c r="K88" s="170"/>
      <c r="L88" s="151"/>
      <c r="M88" s="173" t="s">
        <v>387</v>
      </c>
      <c r="N88" s="157" t="s">
        <v>388</v>
      </c>
      <c r="O88" s="190" t="s">
        <v>130</v>
      </c>
      <c r="P88" s="353"/>
      <c r="Q88" s="159" t="s">
        <v>79</v>
      </c>
      <c r="R88" s="156"/>
      <c r="S88" s="169" t="s">
        <v>80</v>
      </c>
      <c r="T88" s="173" t="s">
        <v>389</v>
      </c>
      <c r="U88" s="173" t="s">
        <v>80</v>
      </c>
      <c r="V88" s="169" t="s">
        <v>84</v>
      </c>
      <c r="W88" s="169" t="s">
        <v>83</v>
      </c>
      <c r="X88" s="158" t="s">
        <v>93</v>
      </c>
      <c r="Y88" s="156" t="s">
        <v>94</v>
      </c>
      <c r="Z88" s="197" t="s">
        <v>95</v>
      </c>
      <c r="AA88" s="159"/>
      <c r="AB88" s="370">
        <v>3.6999999999999998E-2</v>
      </c>
      <c r="AC88" s="151" t="s">
        <v>82</v>
      </c>
      <c r="AD88" s="369" t="s">
        <v>97</v>
      </c>
      <c r="AE88" s="371" t="s">
        <v>390</v>
      </c>
      <c r="AF88" s="242">
        <f>60+7</f>
        <v>67</v>
      </c>
      <c r="AG88" s="242">
        <v>45</v>
      </c>
      <c r="AH88" s="242">
        <v>3</v>
      </c>
      <c r="AI88" s="241">
        <f>AF88*AG88*AH88*7860/1000000000</f>
        <v>7.1093699999999996E-2</v>
      </c>
      <c r="AJ88" s="255">
        <f t="shared" si="54"/>
        <v>0.520439926463245</v>
      </c>
      <c r="AK88" s="257"/>
      <c r="AL88" s="241">
        <f>AF88*AG88*2*BA88/1000000</f>
        <v>1.206E-2</v>
      </c>
      <c r="AM88" s="256"/>
      <c r="AN88" s="256"/>
      <c r="AO88" s="261"/>
      <c r="AP88" s="261"/>
      <c r="AQ88" s="295" t="s">
        <v>99</v>
      </c>
      <c r="AR88" s="293">
        <f t="shared" si="55"/>
        <v>0.43438250699999997</v>
      </c>
      <c r="AS88" s="297"/>
      <c r="AT88" s="400"/>
      <c r="AU88" s="287" t="e">
        <f t="shared" si="45"/>
        <v>#DIV/0!</v>
      </c>
      <c r="AV88" s="413"/>
      <c r="AW88" s="287">
        <f t="shared" si="46"/>
        <v>0</v>
      </c>
      <c r="AX88" s="326" t="e">
        <f t="shared" si="47"/>
        <v>#DIV/0!</v>
      </c>
      <c r="AY88" s="331"/>
      <c r="AZ88" s="325">
        <v>2</v>
      </c>
      <c r="BA88" s="383">
        <v>2</v>
      </c>
      <c r="BB88" s="330">
        <f t="shared" si="48"/>
        <v>0</v>
      </c>
      <c r="BC88" s="330">
        <f t="shared" si="49"/>
        <v>0</v>
      </c>
      <c r="BD88" s="383"/>
      <c r="BE88" s="383"/>
      <c r="BF88" s="383"/>
      <c r="BG88" s="383"/>
      <c r="BH88" s="343"/>
      <c r="BI88" s="343"/>
      <c r="BJ88" s="496"/>
      <c r="BK88" s="495"/>
      <c r="BL88" s="495"/>
      <c r="BM88" s="517"/>
      <c r="BN88" s="528"/>
      <c r="BO88" s="520"/>
    </row>
    <row r="89" spans="1:67" s="138" customFormat="1" ht="39.9" customHeight="1" x14ac:dyDescent="0.25">
      <c r="A89" s="150">
        <v>161</v>
      </c>
      <c r="B89" s="159"/>
      <c r="C89" s="156"/>
      <c r="D89" s="156"/>
      <c r="E89" s="158">
        <v>3</v>
      </c>
      <c r="F89" s="158"/>
      <c r="G89" s="156"/>
      <c r="H89" s="156"/>
      <c r="I89" s="156"/>
      <c r="J89" s="151"/>
      <c r="K89" s="170"/>
      <c r="L89" s="151"/>
      <c r="M89" s="173" t="s">
        <v>391</v>
      </c>
      <c r="N89" s="157" t="s">
        <v>392</v>
      </c>
      <c r="O89" s="190" t="s">
        <v>130</v>
      </c>
      <c r="P89" s="353"/>
      <c r="Q89" s="159" t="s">
        <v>79</v>
      </c>
      <c r="R89" s="156"/>
      <c r="S89" s="169" t="s">
        <v>80</v>
      </c>
      <c r="T89" s="173" t="s">
        <v>391</v>
      </c>
      <c r="U89" s="173" t="s">
        <v>80</v>
      </c>
      <c r="V89" s="169" t="s">
        <v>84</v>
      </c>
      <c r="W89" s="169" t="s">
        <v>83</v>
      </c>
      <c r="X89" s="159" t="s">
        <v>137</v>
      </c>
      <c r="Y89" s="219" t="s">
        <v>154</v>
      </c>
      <c r="Z89" s="173" t="s">
        <v>123</v>
      </c>
      <c r="AA89" s="159">
        <v>0.17799999999999999</v>
      </c>
      <c r="AB89" s="370">
        <v>0.18959999999999999</v>
      </c>
      <c r="AC89" s="151" t="s">
        <v>82</v>
      </c>
      <c r="AD89" s="369" t="s">
        <v>155</v>
      </c>
      <c r="AE89" s="371"/>
      <c r="AF89" s="242">
        <f>AB89/0.2219*1000</f>
        <v>854.43893645786397</v>
      </c>
      <c r="AG89" s="242">
        <v>6</v>
      </c>
      <c r="AH89" s="242"/>
      <c r="AI89" s="241">
        <f>AF89*0.395/1000</f>
        <v>0.33750337990085627</v>
      </c>
      <c r="AJ89" s="255">
        <f t="shared" si="54"/>
        <v>0.56177215189873408</v>
      </c>
      <c r="AK89" s="242"/>
      <c r="AL89" s="241">
        <f t="shared" ref="AL89:AL96" si="56">3.14*AG89*AF89/1000000</f>
        <v>1.6097629562866159E-2</v>
      </c>
      <c r="AM89" s="256"/>
      <c r="AN89" s="256"/>
      <c r="AO89" s="261"/>
      <c r="AP89" s="261"/>
      <c r="AQ89" s="292">
        <v>4.87</v>
      </c>
      <c r="AR89" s="293">
        <f t="shared" si="55"/>
        <v>1.6436414601171701</v>
      </c>
      <c r="AS89" s="297"/>
      <c r="AT89" s="400"/>
      <c r="AU89" s="287" t="e">
        <f t="shared" si="45"/>
        <v>#DIV/0!</v>
      </c>
      <c r="AV89" s="413"/>
      <c r="AW89" s="287">
        <f t="shared" si="46"/>
        <v>0</v>
      </c>
      <c r="AX89" s="326" t="e">
        <f t="shared" si="47"/>
        <v>#DIV/0!</v>
      </c>
      <c r="AY89" s="331"/>
      <c r="AZ89" s="325">
        <v>1</v>
      </c>
      <c r="BA89" s="383">
        <v>1</v>
      </c>
      <c r="BB89" s="330">
        <f t="shared" si="48"/>
        <v>0</v>
      </c>
      <c r="BC89" s="330">
        <f t="shared" si="49"/>
        <v>0</v>
      </c>
      <c r="BD89" s="383"/>
      <c r="BE89" s="383"/>
      <c r="BF89" s="383"/>
      <c r="BG89" s="383"/>
      <c r="BH89" s="343"/>
      <c r="BI89" s="343"/>
      <c r="BJ89" s="496"/>
      <c r="BK89" s="495"/>
      <c r="BL89" s="495"/>
      <c r="BM89" s="517"/>
      <c r="BN89" s="528"/>
      <c r="BO89" s="520"/>
    </row>
    <row r="90" spans="1:67" s="138" customFormat="1" ht="39.9" customHeight="1" x14ac:dyDescent="0.25">
      <c r="A90" s="150">
        <v>162</v>
      </c>
      <c r="B90" s="159"/>
      <c r="C90" s="156"/>
      <c r="D90" s="156"/>
      <c r="E90" s="158">
        <v>3</v>
      </c>
      <c r="F90" s="158"/>
      <c r="G90" s="156"/>
      <c r="H90" s="156"/>
      <c r="I90" s="156"/>
      <c r="J90" s="151"/>
      <c r="K90" s="170"/>
      <c r="L90" s="151"/>
      <c r="M90" s="173" t="s">
        <v>393</v>
      </c>
      <c r="N90" s="157" t="s">
        <v>394</v>
      </c>
      <c r="O90" s="190" t="s">
        <v>130</v>
      </c>
      <c r="P90" s="353"/>
      <c r="Q90" s="159" t="s">
        <v>79</v>
      </c>
      <c r="R90" s="156"/>
      <c r="S90" s="169" t="s">
        <v>80</v>
      </c>
      <c r="T90" s="173" t="s">
        <v>393</v>
      </c>
      <c r="U90" s="173" t="s">
        <v>80</v>
      </c>
      <c r="V90" s="169" t="s">
        <v>84</v>
      </c>
      <c r="W90" s="169" t="s">
        <v>83</v>
      </c>
      <c r="X90" s="159" t="s">
        <v>137</v>
      </c>
      <c r="Y90" s="219" t="s">
        <v>154</v>
      </c>
      <c r="Z90" s="173" t="s">
        <v>123</v>
      </c>
      <c r="AA90" s="159">
        <v>0.19</v>
      </c>
      <c r="AB90" s="370">
        <v>0.1777</v>
      </c>
      <c r="AC90" s="151" t="s">
        <v>82</v>
      </c>
      <c r="AD90" s="369" t="s">
        <v>155</v>
      </c>
      <c r="AE90" s="371"/>
      <c r="AF90" s="242">
        <f>AB90/0.2219*1000</f>
        <v>800.81117620549799</v>
      </c>
      <c r="AG90" s="242">
        <v>6</v>
      </c>
      <c r="AH90" s="242"/>
      <c r="AI90" s="241">
        <f>AF90*0.395/1000</f>
        <v>0.31632041460117172</v>
      </c>
      <c r="AJ90" s="255">
        <f t="shared" si="54"/>
        <v>0.56177215189873408</v>
      </c>
      <c r="AK90" s="242"/>
      <c r="AL90" s="241">
        <f t="shared" si="56"/>
        <v>1.5087282559711583E-2</v>
      </c>
      <c r="AM90" s="256"/>
      <c r="AN90" s="256"/>
      <c r="AO90" s="261"/>
      <c r="AP90" s="261"/>
      <c r="AQ90" s="292">
        <v>4.87</v>
      </c>
      <c r="AR90" s="293">
        <f t="shared" si="55"/>
        <v>1.5404804191077064</v>
      </c>
      <c r="AS90" s="297"/>
      <c r="AT90" s="400"/>
      <c r="AU90" s="287" t="e">
        <f t="shared" si="45"/>
        <v>#DIV/0!</v>
      </c>
      <c r="AV90" s="413"/>
      <c r="AW90" s="287">
        <f t="shared" si="46"/>
        <v>0</v>
      </c>
      <c r="AX90" s="326" t="e">
        <f t="shared" si="47"/>
        <v>#DIV/0!</v>
      </c>
      <c r="AY90" s="331"/>
      <c r="AZ90" s="325">
        <v>1</v>
      </c>
      <c r="BA90" s="383">
        <v>1</v>
      </c>
      <c r="BB90" s="330">
        <f t="shared" si="48"/>
        <v>0</v>
      </c>
      <c r="BC90" s="330">
        <f t="shared" si="49"/>
        <v>0</v>
      </c>
      <c r="BD90" s="383"/>
      <c r="BE90" s="383"/>
      <c r="BF90" s="383"/>
      <c r="BG90" s="383"/>
      <c r="BH90" s="343"/>
      <c r="BI90" s="343"/>
      <c r="BJ90" s="496"/>
      <c r="BK90" s="495"/>
      <c r="BL90" s="495"/>
      <c r="BM90" s="517"/>
      <c r="BN90" s="528"/>
      <c r="BO90" s="520"/>
    </row>
    <row r="91" spans="1:67" s="138" customFormat="1" ht="39.9" customHeight="1" x14ac:dyDescent="0.25">
      <c r="A91" s="150">
        <v>163</v>
      </c>
      <c r="B91" s="159"/>
      <c r="C91" s="156"/>
      <c r="D91" s="156"/>
      <c r="E91" s="158">
        <v>3</v>
      </c>
      <c r="F91" s="158"/>
      <c r="G91" s="156"/>
      <c r="H91" s="156"/>
      <c r="I91" s="156"/>
      <c r="J91" s="151"/>
      <c r="K91" s="170"/>
      <c r="L91" s="151"/>
      <c r="M91" s="173" t="s">
        <v>395</v>
      </c>
      <c r="N91" s="157" t="s">
        <v>396</v>
      </c>
      <c r="O91" s="190" t="s">
        <v>130</v>
      </c>
      <c r="P91" s="353"/>
      <c r="Q91" s="159" t="s">
        <v>79</v>
      </c>
      <c r="R91" s="156"/>
      <c r="S91" s="169" t="s">
        <v>80</v>
      </c>
      <c r="T91" s="173" t="s">
        <v>395</v>
      </c>
      <c r="U91" s="173" t="s">
        <v>80</v>
      </c>
      <c r="V91" s="169" t="s">
        <v>84</v>
      </c>
      <c r="W91" s="169" t="s">
        <v>83</v>
      </c>
      <c r="X91" s="159" t="s">
        <v>137</v>
      </c>
      <c r="Y91" s="219" t="s">
        <v>154</v>
      </c>
      <c r="Z91" s="173" t="s">
        <v>123</v>
      </c>
      <c r="AA91" s="159">
        <v>0.106</v>
      </c>
      <c r="AB91" s="370">
        <v>0.10639999999999999</v>
      </c>
      <c r="AC91" s="151" t="s">
        <v>82</v>
      </c>
      <c r="AD91" s="369" t="s">
        <v>155</v>
      </c>
      <c r="AE91" s="371"/>
      <c r="AF91" s="242">
        <f>AB91/0.2219*1000</f>
        <v>479.49526813880129</v>
      </c>
      <c r="AG91" s="242">
        <v>6</v>
      </c>
      <c r="AH91" s="242"/>
      <c r="AI91" s="241">
        <f>AF91*0.395/1000</f>
        <v>0.18940063091482651</v>
      </c>
      <c r="AJ91" s="255">
        <f t="shared" si="54"/>
        <v>0.56177215189873408</v>
      </c>
      <c r="AK91" s="242"/>
      <c r="AL91" s="241">
        <f t="shared" si="56"/>
        <v>9.0336908517350163E-3</v>
      </c>
      <c r="AM91" s="256"/>
      <c r="AN91" s="256"/>
      <c r="AO91" s="261"/>
      <c r="AP91" s="261"/>
      <c r="AQ91" s="292">
        <v>4.87</v>
      </c>
      <c r="AR91" s="293">
        <f t="shared" si="55"/>
        <v>0.92238107255520507</v>
      </c>
      <c r="AS91" s="297"/>
      <c r="AT91" s="400"/>
      <c r="AU91" s="287" t="e">
        <f t="shared" si="45"/>
        <v>#DIV/0!</v>
      </c>
      <c r="AV91" s="413"/>
      <c r="AW91" s="287">
        <f t="shared" si="46"/>
        <v>0</v>
      </c>
      <c r="AX91" s="326" t="e">
        <f t="shared" si="47"/>
        <v>#DIV/0!</v>
      </c>
      <c r="AY91" s="331"/>
      <c r="AZ91" s="325">
        <v>2</v>
      </c>
      <c r="BA91" s="383">
        <v>2</v>
      </c>
      <c r="BB91" s="330">
        <f t="shared" si="48"/>
        <v>0</v>
      </c>
      <c r="BC91" s="330">
        <f t="shared" si="49"/>
        <v>0</v>
      </c>
      <c r="BD91" s="383"/>
      <c r="BE91" s="383"/>
      <c r="BF91" s="383"/>
      <c r="BG91" s="383"/>
      <c r="BH91" s="343"/>
      <c r="BI91" s="343"/>
      <c r="BJ91" s="496"/>
      <c r="BK91" s="495"/>
      <c r="BL91" s="495"/>
      <c r="BM91" s="517"/>
      <c r="BN91" s="528"/>
      <c r="BO91" s="520"/>
    </row>
    <row r="92" spans="1:67" s="138" customFormat="1" ht="39.9" customHeight="1" x14ac:dyDescent="0.25">
      <c r="A92" s="150">
        <v>164</v>
      </c>
      <c r="B92" s="159"/>
      <c r="C92" s="156"/>
      <c r="D92" s="156"/>
      <c r="E92" s="158">
        <v>3</v>
      </c>
      <c r="F92" s="158"/>
      <c r="G92" s="156"/>
      <c r="H92" s="156"/>
      <c r="I92" s="156"/>
      <c r="J92" s="151"/>
      <c r="K92" s="170"/>
      <c r="L92" s="151"/>
      <c r="M92" s="173" t="s">
        <v>397</v>
      </c>
      <c r="N92" s="157" t="s">
        <v>398</v>
      </c>
      <c r="O92" s="190" t="s">
        <v>130</v>
      </c>
      <c r="P92" s="353"/>
      <c r="Q92" s="159" t="s">
        <v>79</v>
      </c>
      <c r="R92" s="156"/>
      <c r="S92" s="169" t="s">
        <v>80</v>
      </c>
      <c r="T92" s="173" t="s">
        <v>397</v>
      </c>
      <c r="U92" s="173" t="s">
        <v>80</v>
      </c>
      <c r="V92" s="169" t="s">
        <v>84</v>
      </c>
      <c r="W92" s="169" t="s">
        <v>83</v>
      </c>
      <c r="X92" s="159" t="s">
        <v>137</v>
      </c>
      <c r="Y92" s="219" t="s">
        <v>154</v>
      </c>
      <c r="Z92" s="173" t="s">
        <v>123</v>
      </c>
      <c r="AA92" s="159">
        <v>0.11</v>
      </c>
      <c r="AB92" s="370">
        <v>0.1095</v>
      </c>
      <c r="AC92" s="151" t="s">
        <v>82</v>
      </c>
      <c r="AD92" s="369" t="s">
        <v>155</v>
      </c>
      <c r="AE92" s="371"/>
      <c r="AF92" s="242">
        <f>AB92/0.2219*1000</f>
        <v>493.46552501126638</v>
      </c>
      <c r="AG92" s="242">
        <v>6</v>
      </c>
      <c r="AH92" s="242"/>
      <c r="AI92" s="241">
        <f>AF92*0.395/1000</f>
        <v>0.19491888237945024</v>
      </c>
      <c r="AJ92" s="255">
        <f t="shared" si="54"/>
        <v>0.56177215189873408</v>
      </c>
      <c r="AK92" s="242"/>
      <c r="AL92" s="241">
        <f t="shared" si="56"/>
        <v>9.2968904912122587E-3</v>
      </c>
      <c r="AM92" s="256"/>
      <c r="AN92" s="256"/>
      <c r="AO92" s="261"/>
      <c r="AP92" s="261"/>
      <c r="AQ92" s="292">
        <v>4.87</v>
      </c>
      <c r="AR92" s="293">
        <f t="shared" si="55"/>
        <v>0.94925495718792263</v>
      </c>
      <c r="AS92" s="297"/>
      <c r="AT92" s="400"/>
      <c r="AU92" s="287" t="e">
        <f t="shared" si="45"/>
        <v>#DIV/0!</v>
      </c>
      <c r="AV92" s="413"/>
      <c r="AW92" s="287">
        <f t="shared" si="46"/>
        <v>0</v>
      </c>
      <c r="AX92" s="326" t="e">
        <f t="shared" si="47"/>
        <v>#DIV/0!</v>
      </c>
      <c r="AY92" s="331"/>
      <c r="AZ92" s="325">
        <v>1</v>
      </c>
      <c r="BA92" s="383">
        <v>1</v>
      </c>
      <c r="BB92" s="330">
        <f t="shared" si="48"/>
        <v>0</v>
      </c>
      <c r="BC92" s="330">
        <f t="shared" si="49"/>
        <v>0</v>
      </c>
      <c r="BD92" s="383"/>
      <c r="BE92" s="383"/>
      <c r="BF92" s="383"/>
      <c r="BG92" s="383"/>
      <c r="BH92" s="343"/>
      <c r="BI92" s="343"/>
      <c r="BJ92" s="496"/>
      <c r="BK92" s="495"/>
      <c r="BL92" s="495"/>
      <c r="BM92" s="517"/>
      <c r="BN92" s="528"/>
      <c r="BO92" s="520"/>
    </row>
    <row r="93" spans="1:67" s="138" customFormat="1" ht="39.9" customHeight="1" x14ac:dyDescent="0.25">
      <c r="A93" s="150">
        <v>165</v>
      </c>
      <c r="B93" s="159"/>
      <c r="C93" s="156"/>
      <c r="D93" s="156"/>
      <c r="E93" s="158">
        <v>3</v>
      </c>
      <c r="F93" s="158"/>
      <c r="G93" s="156"/>
      <c r="H93" s="156"/>
      <c r="I93" s="156"/>
      <c r="J93" s="151"/>
      <c r="K93" s="170"/>
      <c r="L93" s="151"/>
      <c r="M93" s="173" t="s">
        <v>399</v>
      </c>
      <c r="N93" s="157" t="s">
        <v>400</v>
      </c>
      <c r="O93" s="190" t="s">
        <v>130</v>
      </c>
      <c r="P93" s="353"/>
      <c r="Q93" s="159" t="s">
        <v>79</v>
      </c>
      <c r="R93" s="151"/>
      <c r="S93" s="169" t="s">
        <v>80</v>
      </c>
      <c r="T93" s="173" t="s">
        <v>399</v>
      </c>
      <c r="U93" s="173" t="s">
        <v>80</v>
      </c>
      <c r="V93" s="169" t="s">
        <v>84</v>
      </c>
      <c r="W93" s="169" t="s">
        <v>83</v>
      </c>
      <c r="X93" s="159" t="s">
        <v>137</v>
      </c>
      <c r="Y93" s="219" t="s">
        <v>401</v>
      </c>
      <c r="Z93" s="173" t="s">
        <v>123</v>
      </c>
      <c r="AA93" s="159">
        <v>6.8000000000000005E-2</v>
      </c>
      <c r="AB93" s="370">
        <v>6.8500000000000005E-2</v>
      </c>
      <c r="AC93" s="151" t="s">
        <v>82</v>
      </c>
      <c r="AD93" s="241" t="s">
        <v>155</v>
      </c>
      <c r="AE93" s="241"/>
      <c r="AF93" s="242">
        <f>AB93/0.154*1000</f>
        <v>444.80519480519484</v>
      </c>
      <c r="AG93" s="242">
        <v>5</v>
      </c>
      <c r="AH93" s="242"/>
      <c r="AI93" s="241">
        <f>AF93*0.2219/1000</f>
        <v>9.8702272727272722E-2</v>
      </c>
      <c r="AJ93" s="255">
        <f t="shared" si="54"/>
        <v>0.69400630914826511</v>
      </c>
      <c r="AK93" s="242"/>
      <c r="AL93" s="241">
        <f t="shared" si="56"/>
        <v>6.9834415584415594E-3</v>
      </c>
      <c r="AM93" s="256"/>
      <c r="AN93" s="256"/>
      <c r="AO93" s="261"/>
      <c r="AP93" s="261"/>
      <c r="AQ93" s="292">
        <v>4.87</v>
      </c>
      <c r="AR93" s="293">
        <f t="shared" si="55"/>
        <v>0.48068006818181819</v>
      </c>
      <c r="AS93" s="297"/>
      <c r="AT93" s="400"/>
      <c r="AU93" s="287" t="e">
        <f t="shared" si="45"/>
        <v>#DIV/0!</v>
      </c>
      <c r="AV93" s="413"/>
      <c r="AW93" s="287">
        <f t="shared" si="46"/>
        <v>0</v>
      </c>
      <c r="AX93" s="326" t="e">
        <f t="shared" si="47"/>
        <v>#DIV/0!</v>
      </c>
      <c r="AY93" s="331"/>
      <c r="AZ93" s="325">
        <v>1</v>
      </c>
      <c r="BA93" s="383">
        <v>1</v>
      </c>
      <c r="BB93" s="330">
        <f t="shared" si="48"/>
        <v>0</v>
      </c>
      <c r="BC93" s="330">
        <f t="shared" si="49"/>
        <v>0</v>
      </c>
      <c r="BD93" s="383"/>
      <c r="BE93" s="383"/>
      <c r="BF93" s="383"/>
      <c r="BG93" s="383"/>
      <c r="BH93" s="343"/>
      <c r="BI93" s="343"/>
      <c r="BJ93" s="496"/>
      <c r="BK93" s="495"/>
      <c r="BL93" s="495"/>
      <c r="BM93" s="517"/>
      <c r="BN93" s="528"/>
      <c r="BO93" s="520"/>
    </row>
    <row r="94" spans="1:67" s="138" customFormat="1" ht="39.9" customHeight="1" x14ac:dyDescent="0.25">
      <c r="A94" s="150">
        <v>166</v>
      </c>
      <c r="B94" s="159"/>
      <c r="C94" s="156"/>
      <c r="D94" s="156"/>
      <c r="E94" s="158">
        <v>3</v>
      </c>
      <c r="F94" s="158"/>
      <c r="G94" s="156"/>
      <c r="H94" s="156"/>
      <c r="I94" s="156"/>
      <c r="J94" s="151"/>
      <c r="K94" s="170"/>
      <c r="L94" s="151"/>
      <c r="M94" s="173" t="s">
        <v>402</v>
      </c>
      <c r="N94" s="157" t="s">
        <v>403</v>
      </c>
      <c r="O94" s="190" t="s">
        <v>130</v>
      </c>
      <c r="P94" s="353"/>
      <c r="Q94" s="159" t="s">
        <v>79</v>
      </c>
      <c r="R94" s="156"/>
      <c r="S94" s="169" t="s">
        <v>80</v>
      </c>
      <c r="T94" s="173" t="s">
        <v>402</v>
      </c>
      <c r="U94" s="173" t="s">
        <v>80</v>
      </c>
      <c r="V94" s="169" t="s">
        <v>84</v>
      </c>
      <c r="W94" s="169" t="s">
        <v>83</v>
      </c>
      <c r="X94" s="159" t="s">
        <v>137</v>
      </c>
      <c r="Y94" s="219" t="s">
        <v>401</v>
      </c>
      <c r="Z94" s="173" t="s">
        <v>123</v>
      </c>
      <c r="AA94" s="159"/>
      <c r="AB94" s="370">
        <v>3.73E-2</v>
      </c>
      <c r="AC94" s="151" t="s">
        <v>82</v>
      </c>
      <c r="AD94" s="241" t="s">
        <v>155</v>
      </c>
      <c r="AE94" s="241"/>
      <c r="AF94" s="242">
        <f>AB94/0.154*1000</f>
        <v>242.20779220779221</v>
      </c>
      <c r="AG94" s="242">
        <v>5</v>
      </c>
      <c r="AH94" s="242"/>
      <c r="AI94" s="241">
        <f>AF94*0.154/1000</f>
        <v>3.73E-2</v>
      </c>
      <c r="AJ94" s="255">
        <f t="shared" si="54"/>
        <v>1</v>
      </c>
      <c r="AK94" s="242"/>
      <c r="AL94" s="241">
        <f t="shared" si="56"/>
        <v>3.8026623376623378E-3</v>
      </c>
      <c r="AM94" s="256"/>
      <c r="AN94" s="256"/>
      <c r="AO94" s="261"/>
      <c r="AP94" s="261"/>
      <c r="AQ94" s="292">
        <v>4.87</v>
      </c>
      <c r="AR94" s="293">
        <f t="shared" si="55"/>
        <v>0.18165100000000001</v>
      </c>
      <c r="AS94" s="297"/>
      <c r="AT94" s="400"/>
      <c r="AU94" s="287" t="e">
        <f t="shared" si="45"/>
        <v>#DIV/0!</v>
      </c>
      <c r="AV94" s="413"/>
      <c r="AW94" s="287">
        <f t="shared" si="46"/>
        <v>0</v>
      </c>
      <c r="AX94" s="326" t="e">
        <f t="shared" si="47"/>
        <v>#DIV/0!</v>
      </c>
      <c r="AY94" s="331"/>
      <c r="AZ94" s="325">
        <v>1</v>
      </c>
      <c r="BA94" s="383">
        <v>1</v>
      </c>
      <c r="BB94" s="330">
        <f t="shared" si="48"/>
        <v>0</v>
      </c>
      <c r="BC94" s="330">
        <f t="shared" si="49"/>
        <v>0</v>
      </c>
      <c r="BD94" s="383"/>
      <c r="BE94" s="383"/>
      <c r="BF94" s="383"/>
      <c r="BG94" s="383"/>
      <c r="BH94" s="343"/>
      <c r="BI94" s="343"/>
      <c r="BJ94" s="496"/>
      <c r="BK94" s="495"/>
      <c r="BL94" s="495"/>
      <c r="BM94" s="517"/>
      <c r="BN94" s="528"/>
      <c r="BO94" s="520"/>
    </row>
    <row r="95" spans="1:67" s="138" customFormat="1" ht="39.9" customHeight="1" x14ac:dyDescent="0.25">
      <c r="A95" s="150">
        <v>167</v>
      </c>
      <c r="B95" s="159"/>
      <c r="C95" s="156"/>
      <c r="D95" s="156"/>
      <c r="E95" s="158">
        <v>3</v>
      </c>
      <c r="F95" s="158"/>
      <c r="G95" s="156"/>
      <c r="H95" s="156"/>
      <c r="I95" s="156"/>
      <c r="J95" s="151"/>
      <c r="K95" s="170"/>
      <c r="L95" s="151"/>
      <c r="M95" s="173" t="s">
        <v>404</v>
      </c>
      <c r="N95" s="157" t="s">
        <v>405</v>
      </c>
      <c r="O95" s="190" t="s">
        <v>130</v>
      </c>
      <c r="P95" s="353"/>
      <c r="Q95" s="159" t="s">
        <v>79</v>
      </c>
      <c r="R95" s="156"/>
      <c r="S95" s="169" t="s">
        <v>80</v>
      </c>
      <c r="T95" s="173" t="s">
        <v>404</v>
      </c>
      <c r="U95" s="173" t="s">
        <v>80</v>
      </c>
      <c r="V95" s="169" t="s">
        <v>84</v>
      </c>
      <c r="W95" s="169" t="s">
        <v>83</v>
      </c>
      <c r="X95" s="159" t="s">
        <v>137</v>
      </c>
      <c r="Y95" s="219" t="s">
        <v>401</v>
      </c>
      <c r="Z95" s="173" t="s">
        <v>123</v>
      </c>
      <c r="AA95" s="159"/>
      <c r="AB95" s="370">
        <v>5.6599999999999998E-2</v>
      </c>
      <c r="AC95" s="151" t="s">
        <v>82</v>
      </c>
      <c r="AD95" s="369" t="s">
        <v>155</v>
      </c>
      <c r="AE95" s="371"/>
      <c r="AF95" s="242">
        <f>AB95/0.154*1000</f>
        <v>367.53246753246754</v>
      </c>
      <c r="AG95" s="242">
        <v>5</v>
      </c>
      <c r="AH95" s="242"/>
      <c r="AI95" s="241">
        <f>AF95*0.154/1000</f>
        <v>5.6600000000000004E-2</v>
      </c>
      <c r="AJ95" s="255">
        <f t="shared" si="54"/>
        <v>0.99999999999999989</v>
      </c>
      <c r="AK95" s="242"/>
      <c r="AL95" s="241">
        <f t="shared" si="56"/>
        <v>5.7702597402597405E-3</v>
      </c>
      <c r="AM95" s="256"/>
      <c r="AN95" s="256"/>
      <c r="AO95" s="261"/>
      <c r="AP95" s="261"/>
      <c r="AQ95" s="292">
        <v>4.87</v>
      </c>
      <c r="AR95" s="293">
        <f t="shared" si="55"/>
        <v>0.27564200000000005</v>
      </c>
      <c r="AS95" s="297"/>
      <c r="AT95" s="400"/>
      <c r="AU95" s="287" t="e">
        <f t="shared" si="45"/>
        <v>#DIV/0!</v>
      </c>
      <c r="AV95" s="413"/>
      <c r="AW95" s="287">
        <f t="shared" si="46"/>
        <v>0</v>
      </c>
      <c r="AX95" s="326" t="e">
        <f t="shared" si="47"/>
        <v>#DIV/0!</v>
      </c>
      <c r="AY95" s="331"/>
      <c r="AZ95" s="325">
        <v>1</v>
      </c>
      <c r="BA95" s="383">
        <v>1</v>
      </c>
      <c r="BB95" s="330">
        <f t="shared" si="48"/>
        <v>0</v>
      </c>
      <c r="BC95" s="330">
        <f t="shared" si="49"/>
        <v>0</v>
      </c>
      <c r="BD95" s="383"/>
      <c r="BE95" s="383"/>
      <c r="BF95" s="383"/>
      <c r="BG95" s="383"/>
      <c r="BH95" s="343"/>
      <c r="BI95" s="343"/>
      <c r="BJ95" s="496"/>
      <c r="BK95" s="495"/>
      <c r="BL95" s="495"/>
      <c r="BM95" s="517"/>
      <c r="BN95" s="528"/>
      <c r="BO95" s="520"/>
    </row>
    <row r="96" spans="1:67" s="138" customFormat="1" ht="39.9" customHeight="1" x14ac:dyDescent="0.25">
      <c r="A96" s="150">
        <v>168</v>
      </c>
      <c r="B96" s="159"/>
      <c r="C96" s="156"/>
      <c r="D96" s="156"/>
      <c r="E96" s="158">
        <v>3</v>
      </c>
      <c r="F96" s="158"/>
      <c r="G96" s="156"/>
      <c r="H96" s="156"/>
      <c r="I96" s="156"/>
      <c r="J96" s="151"/>
      <c r="K96" s="170"/>
      <c r="L96" s="151"/>
      <c r="M96" s="173" t="s">
        <v>406</v>
      </c>
      <c r="N96" s="157" t="s">
        <v>407</v>
      </c>
      <c r="O96" s="190" t="s">
        <v>130</v>
      </c>
      <c r="P96" s="353"/>
      <c r="Q96" s="159" t="s">
        <v>79</v>
      </c>
      <c r="R96" s="156"/>
      <c r="S96" s="169" t="s">
        <v>80</v>
      </c>
      <c r="T96" s="173" t="s">
        <v>406</v>
      </c>
      <c r="U96" s="173" t="s">
        <v>80</v>
      </c>
      <c r="V96" s="169" t="s">
        <v>84</v>
      </c>
      <c r="W96" s="169" t="s">
        <v>83</v>
      </c>
      <c r="X96" s="159" t="s">
        <v>137</v>
      </c>
      <c r="Y96" s="219" t="s">
        <v>401</v>
      </c>
      <c r="Z96" s="173" t="s">
        <v>123</v>
      </c>
      <c r="AA96" s="159"/>
      <c r="AB96" s="370">
        <v>4.3099999999999999E-2</v>
      </c>
      <c r="AC96" s="151" t="s">
        <v>82</v>
      </c>
      <c r="AD96" s="369" t="s">
        <v>155</v>
      </c>
      <c r="AE96" s="371"/>
      <c r="AF96" s="242">
        <f>AB96/0.154*1000</f>
        <v>279.87012987012986</v>
      </c>
      <c r="AG96" s="242">
        <v>5</v>
      </c>
      <c r="AH96" s="242"/>
      <c r="AI96" s="241">
        <f>AF96*0.154/1000</f>
        <v>4.3099999999999992E-2</v>
      </c>
      <c r="AJ96" s="255">
        <f t="shared" si="54"/>
        <v>1.0000000000000002</v>
      </c>
      <c r="AK96" s="242"/>
      <c r="AL96" s="241">
        <f t="shared" si="56"/>
        <v>4.3939610389610384E-3</v>
      </c>
      <c r="AM96" s="256"/>
      <c r="AN96" s="256"/>
      <c r="AO96" s="261"/>
      <c r="AP96" s="261"/>
      <c r="AQ96" s="292">
        <v>4.87</v>
      </c>
      <c r="AR96" s="293">
        <f t="shared" si="55"/>
        <v>0.20989699999999997</v>
      </c>
      <c r="AS96" s="297"/>
      <c r="AT96" s="400"/>
      <c r="AU96" s="287" t="e">
        <f t="shared" ref="AU96:AU99" si="57">AV96/AP96</f>
        <v>#DIV/0!</v>
      </c>
      <c r="AV96" s="413"/>
      <c r="AW96" s="287">
        <f t="shared" ref="AW96:AW99" si="58">AV96-AT96</f>
        <v>0</v>
      </c>
      <c r="AX96" s="326" t="e">
        <f t="shared" ref="AX96:AX99" si="59">AW96/AV96</f>
        <v>#DIV/0!</v>
      </c>
      <c r="AY96" s="325"/>
      <c r="AZ96" s="325">
        <v>1</v>
      </c>
      <c r="BA96" s="383">
        <v>1</v>
      </c>
      <c r="BB96" s="330">
        <f t="shared" si="48"/>
        <v>0</v>
      </c>
      <c r="BC96" s="330">
        <f t="shared" si="49"/>
        <v>0</v>
      </c>
      <c r="BD96" s="383"/>
      <c r="BE96" s="383"/>
      <c r="BF96" s="383"/>
      <c r="BG96" s="383"/>
      <c r="BH96" s="343"/>
      <c r="BI96" s="343"/>
      <c r="BJ96" s="496"/>
      <c r="BK96" s="447"/>
      <c r="BL96" s="447"/>
      <c r="BM96" s="518"/>
      <c r="BN96" s="529"/>
      <c r="BO96" s="438"/>
    </row>
    <row r="97" spans="1:67" s="138" customFormat="1" ht="65.400000000000006" customHeight="1" x14ac:dyDescent="0.25">
      <c r="A97" s="150">
        <v>176</v>
      </c>
      <c r="B97" s="159"/>
      <c r="C97" s="156">
        <v>1</v>
      </c>
      <c r="D97" s="156"/>
      <c r="E97" s="158"/>
      <c r="F97" s="158"/>
      <c r="G97" s="156"/>
      <c r="H97" s="156"/>
      <c r="I97" s="156"/>
      <c r="J97" s="151"/>
      <c r="K97" s="170"/>
      <c r="L97" s="173" t="s">
        <v>408</v>
      </c>
      <c r="M97" s="173" t="s">
        <v>408</v>
      </c>
      <c r="N97" s="157" t="s">
        <v>409</v>
      </c>
      <c r="O97" s="190" t="s">
        <v>410</v>
      </c>
      <c r="P97" s="353"/>
      <c r="Q97" s="159" t="s">
        <v>79</v>
      </c>
      <c r="R97" s="169"/>
      <c r="S97" s="169" t="s">
        <v>80</v>
      </c>
      <c r="T97" s="173" t="s">
        <v>408</v>
      </c>
      <c r="U97" s="169" t="s">
        <v>82</v>
      </c>
      <c r="V97" s="169" t="s">
        <v>84</v>
      </c>
      <c r="W97" s="169" t="s">
        <v>83</v>
      </c>
      <c r="X97" s="158" t="s">
        <v>347</v>
      </c>
      <c r="Y97" s="156" t="s">
        <v>411</v>
      </c>
      <c r="Z97" s="173" t="s">
        <v>82</v>
      </c>
      <c r="AA97" s="173"/>
      <c r="AB97" s="228">
        <v>0.21299999999999999</v>
      </c>
      <c r="AC97" s="151" t="s">
        <v>82</v>
      </c>
      <c r="AD97" s="369" t="s">
        <v>349</v>
      </c>
      <c r="AE97" s="369"/>
      <c r="AF97" s="223" t="s">
        <v>358</v>
      </c>
      <c r="AG97" s="257"/>
      <c r="AH97" s="257"/>
      <c r="AI97" s="258">
        <f>AB97*1.04</f>
        <v>0.22151999999999999</v>
      </c>
      <c r="AJ97" s="255">
        <f>AB97/AI97</f>
        <v>0.96153846153846156</v>
      </c>
      <c r="AK97" s="257"/>
      <c r="AL97" s="258"/>
      <c r="AM97" s="259" t="s">
        <v>88</v>
      </c>
      <c r="AN97" s="259" t="s">
        <v>412</v>
      </c>
      <c r="AO97" s="259"/>
      <c r="AP97" s="259">
        <v>0.22900000000000001</v>
      </c>
      <c r="AQ97" s="292">
        <v>10</v>
      </c>
      <c r="AR97" s="293">
        <f t="shared" ref="AR97:AR98" si="60">AI97*AQ97</f>
        <v>2.2151999999999998</v>
      </c>
      <c r="AS97" s="294"/>
      <c r="AT97" s="399">
        <f>塑料件测算!AE7+0.5</f>
        <v>4.3596203166666667</v>
      </c>
      <c r="AU97" s="287">
        <f t="shared" si="57"/>
        <v>36.594759825327507</v>
      </c>
      <c r="AV97" s="413">
        <v>8.3802000000000003</v>
      </c>
      <c r="AW97" s="287">
        <f t="shared" si="58"/>
        <v>4.0205796833333336</v>
      </c>
      <c r="AX97" s="326">
        <f t="shared" si="59"/>
        <v>0.47977132805104095</v>
      </c>
      <c r="AY97" s="331" t="s">
        <v>225</v>
      </c>
      <c r="AZ97" s="325">
        <v>0</v>
      </c>
      <c r="BA97" s="383">
        <v>1</v>
      </c>
      <c r="BB97" s="330">
        <f t="shared" si="48"/>
        <v>0</v>
      </c>
      <c r="BC97" s="330">
        <f t="shared" si="49"/>
        <v>8.3802000000000003</v>
      </c>
      <c r="BD97" s="383"/>
      <c r="BE97" s="383"/>
      <c r="BF97" s="383"/>
      <c r="BG97" s="383"/>
      <c r="BH97" s="343"/>
      <c r="BI97" s="343"/>
      <c r="BJ97" s="344" t="s">
        <v>157</v>
      </c>
      <c r="BK97" s="342" t="s">
        <v>226</v>
      </c>
      <c r="BL97" s="345">
        <v>44666</v>
      </c>
      <c r="BM97" s="345"/>
      <c r="BN97" s="345" t="s">
        <v>728</v>
      </c>
      <c r="BO97" s="345" t="s">
        <v>729</v>
      </c>
    </row>
    <row r="98" spans="1:67" ht="39.9" customHeight="1" x14ac:dyDescent="0.25">
      <c r="A98" s="150">
        <v>177</v>
      </c>
      <c r="B98" s="159"/>
      <c r="C98" s="156">
        <v>1</v>
      </c>
      <c r="D98" s="156"/>
      <c r="E98" s="156"/>
      <c r="F98" s="156"/>
      <c r="G98" s="156"/>
      <c r="H98" s="156"/>
      <c r="I98" s="156"/>
      <c r="J98" s="151"/>
      <c r="K98" s="151"/>
      <c r="L98" s="151" t="s">
        <v>413</v>
      </c>
      <c r="M98" s="173" t="s">
        <v>413</v>
      </c>
      <c r="N98" s="157" t="s">
        <v>414</v>
      </c>
      <c r="O98" s="190" t="s">
        <v>130</v>
      </c>
      <c r="P98" s="158"/>
      <c r="Q98" s="159" t="s">
        <v>79</v>
      </c>
      <c r="R98" s="169"/>
      <c r="S98" s="169" t="s">
        <v>80</v>
      </c>
      <c r="T98" s="173" t="s">
        <v>81</v>
      </c>
      <c r="U98" s="169" t="s">
        <v>82</v>
      </c>
      <c r="V98" s="169" t="s">
        <v>84</v>
      </c>
      <c r="W98" s="169" t="s">
        <v>83</v>
      </c>
      <c r="X98" s="358" t="s">
        <v>347</v>
      </c>
      <c r="Y98" s="156" t="s">
        <v>415</v>
      </c>
      <c r="Z98" s="197" t="s">
        <v>82</v>
      </c>
      <c r="AA98" s="197" t="s">
        <v>82</v>
      </c>
      <c r="AB98" s="214">
        <v>7.4999999999999997E-2</v>
      </c>
      <c r="AC98" s="169" t="s">
        <v>82</v>
      </c>
      <c r="AD98" s="369" t="s">
        <v>349</v>
      </c>
      <c r="AE98" s="369"/>
      <c r="AF98" s="223" t="s">
        <v>358</v>
      </c>
      <c r="AG98" s="257"/>
      <c r="AH98" s="257"/>
      <c r="AI98" s="258">
        <f>AB98*1.04</f>
        <v>7.8E-2</v>
      </c>
      <c r="AJ98" s="255">
        <f>AB98/AI98</f>
        <v>0.96153846153846145</v>
      </c>
      <c r="AK98" s="257"/>
      <c r="AL98" s="258"/>
      <c r="AM98" s="259" t="s">
        <v>88</v>
      </c>
      <c r="AN98" s="259" t="s">
        <v>412</v>
      </c>
      <c r="AO98" s="259"/>
      <c r="AP98" s="259">
        <v>7.5999999999999998E-2</v>
      </c>
      <c r="AQ98" s="292">
        <v>10</v>
      </c>
      <c r="AR98" s="293">
        <f t="shared" si="60"/>
        <v>0.78</v>
      </c>
      <c r="AS98" s="294"/>
      <c r="AT98" s="399">
        <f>塑料件测算!AE8</f>
        <v>1.3178952083333333</v>
      </c>
      <c r="AU98" s="287">
        <f t="shared" si="57"/>
        <v>43.092105263157897</v>
      </c>
      <c r="AV98" s="413">
        <v>3.2749999999999999</v>
      </c>
      <c r="AW98" s="287">
        <f t="shared" si="58"/>
        <v>1.9571047916666666</v>
      </c>
      <c r="AX98" s="326">
        <f t="shared" si="59"/>
        <v>0.5975892493638677</v>
      </c>
      <c r="AY98" s="331" t="s">
        <v>225</v>
      </c>
      <c r="AZ98" s="325">
        <v>1</v>
      </c>
      <c r="BA98" s="383">
        <v>1</v>
      </c>
      <c r="BB98" s="330">
        <f t="shared" si="48"/>
        <v>3.2749999999999999</v>
      </c>
      <c r="BC98" s="330">
        <f t="shared" si="49"/>
        <v>3.2749999999999999</v>
      </c>
      <c r="BD98" s="383"/>
      <c r="BE98" s="383"/>
      <c r="BF98" s="383"/>
      <c r="BG98" s="383"/>
      <c r="BH98" s="343"/>
      <c r="BI98" s="343"/>
      <c r="BJ98" s="344" t="s">
        <v>157</v>
      </c>
      <c r="BK98" s="342" t="s">
        <v>226</v>
      </c>
      <c r="BL98" s="345">
        <v>44666</v>
      </c>
      <c r="BM98" s="345"/>
      <c r="BN98" s="345" t="s">
        <v>731</v>
      </c>
      <c r="BO98" s="345" t="s">
        <v>730</v>
      </c>
    </row>
    <row r="99" spans="1:67" s="138" customFormat="1" ht="39.9" customHeight="1" x14ac:dyDescent="0.25">
      <c r="A99" s="150">
        <v>180</v>
      </c>
      <c r="B99" s="159"/>
      <c r="C99" s="156">
        <v>1</v>
      </c>
      <c r="D99" s="156"/>
      <c r="E99" s="158"/>
      <c r="F99" s="158"/>
      <c r="G99" s="156"/>
      <c r="H99" s="156"/>
      <c r="I99" s="156"/>
      <c r="J99" s="151"/>
      <c r="K99" s="170"/>
      <c r="L99" s="151" t="s">
        <v>416</v>
      </c>
      <c r="M99" s="173" t="s">
        <v>416</v>
      </c>
      <c r="N99" s="157" t="s">
        <v>417</v>
      </c>
      <c r="O99" s="190" t="s">
        <v>78</v>
      </c>
      <c r="P99" s="353"/>
      <c r="Q99" s="159" t="s">
        <v>79</v>
      </c>
      <c r="R99" s="169"/>
      <c r="S99" s="169" t="s">
        <v>80</v>
      </c>
      <c r="T99" s="173" t="s">
        <v>81</v>
      </c>
      <c r="U99" s="173" t="s">
        <v>82</v>
      </c>
      <c r="V99" s="169" t="s">
        <v>83</v>
      </c>
      <c r="W99" s="169" t="s">
        <v>84</v>
      </c>
      <c r="X99" s="158" t="s">
        <v>347</v>
      </c>
      <c r="Y99" s="156" t="s">
        <v>418</v>
      </c>
      <c r="Z99" s="173" t="s">
        <v>82</v>
      </c>
      <c r="AA99" s="173"/>
      <c r="AB99" s="372">
        <v>3.3000000000000002E-2</v>
      </c>
      <c r="AC99" s="151" t="s">
        <v>82</v>
      </c>
      <c r="AD99" s="369" t="s">
        <v>349</v>
      </c>
      <c r="AE99" s="369"/>
      <c r="AF99" s="223" t="s">
        <v>358</v>
      </c>
      <c r="AG99" s="257"/>
      <c r="AH99" s="257"/>
      <c r="AI99" s="258">
        <f>AB99*1.04</f>
        <v>3.4320000000000003E-2</v>
      </c>
      <c r="AJ99" s="255">
        <f>AB99/AI99</f>
        <v>0.96153846153846145</v>
      </c>
      <c r="AK99" s="223"/>
      <c r="AL99" s="263"/>
      <c r="AM99" s="259" t="s">
        <v>88</v>
      </c>
      <c r="AN99" s="261" t="s">
        <v>419</v>
      </c>
      <c r="AO99" s="261"/>
      <c r="AP99" s="380" t="s">
        <v>420</v>
      </c>
      <c r="AQ99" s="295" t="s">
        <v>421</v>
      </c>
      <c r="AR99" s="296">
        <f>AI99*AQ99</f>
        <v>0.58344000000000007</v>
      </c>
      <c r="AS99" s="297"/>
      <c r="AT99" s="400">
        <f>塑料件测算!AE9</f>
        <v>0.96353310555555549</v>
      </c>
      <c r="AU99" s="287">
        <f t="shared" si="57"/>
        <v>35.232558139534888</v>
      </c>
      <c r="AV99" s="411">
        <v>1.5149999999999999</v>
      </c>
      <c r="AW99" s="287">
        <f t="shared" si="58"/>
        <v>0.55146689444444441</v>
      </c>
      <c r="AX99" s="326">
        <f t="shared" si="59"/>
        <v>0.36400455078841215</v>
      </c>
      <c r="AY99" s="331"/>
      <c r="AZ99" s="325">
        <v>1</v>
      </c>
      <c r="BA99" s="332">
        <v>1</v>
      </c>
      <c r="BB99" s="330">
        <f t="shared" si="48"/>
        <v>1.5149999999999999</v>
      </c>
      <c r="BC99" s="330">
        <f t="shared" si="49"/>
        <v>1.5149999999999999</v>
      </c>
      <c r="BD99" s="332"/>
      <c r="BE99" s="332"/>
      <c r="BF99" s="332"/>
      <c r="BG99" s="332"/>
      <c r="BH99" s="343"/>
      <c r="BI99" s="343"/>
      <c r="BJ99" s="344" t="s">
        <v>157</v>
      </c>
      <c r="BK99" s="342" t="s">
        <v>226</v>
      </c>
      <c r="BL99" s="345">
        <v>44666</v>
      </c>
      <c r="BM99" s="345"/>
      <c r="BN99" s="345" t="s">
        <v>732</v>
      </c>
      <c r="BO99" s="345" t="s">
        <v>733</v>
      </c>
    </row>
    <row r="100" spans="1:67" ht="39" customHeight="1" x14ac:dyDescent="0.25">
      <c r="S100" s="139"/>
      <c r="U100" s="139"/>
      <c r="V100" s="139"/>
      <c r="W100" s="139"/>
      <c r="X100" s="139"/>
      <c r="Y100" s="139"/>
      <c r="Z100" s="373"/>
      <c r="AY100" s="137" t="s">
        <v>422</v>
      </c>
      <c r="AZ100" s="139">
        <f>SUMPRODUCT(AW9:AW99,AZ9:AZ99)</f>
        <v>97.695976399703852</v>
      </c>
      <c r="BA100" s="139">
        <f>SUMPRODUCT(AW9:AW99,BA9:BA99)</f>
        <v>101.71655608303719</v>
      </c>
    </row>
    <row r="101" spans="1:67" x14ac:dyDescent="0.25">
      <c r="S101" s="139"/>
      <c r="U101" s="139"/>
      <c r="V101" s="139"/>
      <c r="W101" s="139"/>
      <c r="X101" s="139"/>
      <c r="Y101" s="139"/>
      <c r="Z101" s="373"/>
    </row>
    <row r="102" spans="1:67" x14ac:dyDescent="0.25">
      <c r="S102" s="139"/>
      <c r="U102" s="139"/>
      <c r="V102" s="139"/>
      <c r="W102" s="139"/>
      <c r="X102" s="139"/>
      <c r="Y102" s="139"/>
      <c r="Z102" s="373"/>
    </row>
    <row r="103" spans="1:67" x14ac:dyDescent="0.25">
      <c r="S103" s="139"/>
      <c r="U103" s="139"/>
      <c r="V103" s="139"/>
      <c r="W103" s="139"/>
      <c r="X103" s="139"/>
      <c r="Y103" s="139"/>
      <c r="Z103" s="373"/>
    </row>
    <row r="104" spans="1:67" x14ac:dyDescent="0.25">
      <c r="S104" s="139"/>
      <c r="U104" s="139"/>
      <c r="V104" s="139"/>
      <c r="W104" s="139"/>
      <c r="X104" s="139"/>
      <c r="Y104" s="139"/>
      <c r="Z104" s="373"/>
    </row>
    <row r="105" spans="1:67" x14ac:dyDescent="0.25">
      <c r="S105" s="139"/>
      <c r="U105" s="139"/>
      <c r="V105" s="139"/>
      <c r="W105" s="139"/>
      <c r="X105" s="139"/>
      <c r="Y105" s="139"/>
      <c r="Z105" s="373"/>
    </row>
    <row r="106" spans="1:67" x14ac:dyDescent="0.25">
      <c r="S106" s="139"/>
      <c r="U106" s="139"/>
      <c r="V106" s="139"/>
      <c r="W106" s="139"/>
      <c r="X106" s="139"/>
      <c r="Y106" s="139"/>
      <c r="Z106" s="373"/>
    </row>
    <row r="107" spans="1:67" x14ac:dyDescent="0.25">
      <c r="S107" s="139"/>
      <c r="U107" s="139"/>
      <c r="V107" s="139"/>
      <c r="W107" s="139"/>
      <c r="X107" s="139"/>
      <c r="Y107" s="139"/>
      <c r="Z107" s="373"/>
    </row>
    <row r="108" spans="1:67" x14ac:dyDescent="0.25">
      <c r="S108" s="139"/>
      <c r="U108" s="139"/>
      <c r="V108" s="139"/>
      <c r="W108" s="139"/>
      <c r="X108" s="139"/>
      <c r="Y108" s="139"/>
      <c r="Z108" s="373"/>
    </row>
    <row r="109" spans="1:67" x14ac:dyDescent="0.25">
      <c r="S109" s="139"/>
      <c r="U109" s="139"/>
      <c r="V109" s="139"/>
      <c r="W109" s="139"/>
      <c r="X109" s="139"/>
      <c r="Y109" s="139"/>
      <c r="Z109" s="373"/>
    </row>
    <row r="110" spans="1:67" x14ac:dyDescent="0.25">
      <c r="S110" s="139"/>
      <c r="U110" s="139"/>
      <c r="V110" s="139"/>
      <c r="W110" s="139"/>
      <c r="X110" s="139"/>
      <c r="Y110" s="139"/>
      <c r="Z110" s="373"/>
    </row>
    <row r="111" spans="1:67" x14ac:dyDescent="0.25">
      <c r="S111" s="139"/>
      <c r="U111" s="139"/>
      <c r="V111" s="139"/>
      <c r="W111" s="139"/>
      <c r="X111" s="139"/>
      <c r="Y111" s="139"/>
      <c r="Z111" s="373"/>
    </row>
    <row r="112" spans="1:67" x14ac:dyDescent="0.25">
      <c r="S112" s="139"/>
      <c r="U112" s="139"/>
      <c r="V112" s="139"/>
      <c r="W112" s="139"/>
      <c r="X112" s="139"/>
      <c r="Y112" s="139"/>
      <c r="Z112" s="373"/>
    </row>
    <row r="113" spans="19:26" x14ac:dyDescent="0.25">
      <c r="S113" s="139"/>
      <c r="U113" s="139"/>
      <c r="V113" s="139"/>
      <c r="W113" s="139"/>
      <c r="X113" s="139"/>
      <c r="Y113" s="139"/>
      <c r="Z113" s="373"/>
    </row>
    <row r="114" spans="19:26" x14ac:dyDescent="0.25">
      <c r="S114" s="139"/>
      <c r="U114" s="139"/>
      <c r="V114" s="139"/>
      <c r="W114" s="139"/>
      <c r="X114" s="139"/>
      <c r="Y114" s="139"/>
      <c r="Z114" s="373"/>
    </row>
    <row r="115" spans="19:26" x14ac:dyDescent="0.25">
      <c r="S115" s="139"/>
      <c r="U115" s="139"/>
      <c r="V115" s="139"/>
      <c r="W115" s="139"/>
      <c r="X115" s="139"/>
      <c r="Y115" s="139"/>
      <c r="Z115" s="373"/>
    </row>
    <row r="116" spans="19:26" x14ac:dyDescent="0.25">
      <c r="S116" s="139"/>
      <c r="U116" s="139"/>
      <c r="V116" s="139"/>
      <c r="W116" s="139"/>
      <c r="X116" s="139"/>
      <c r="Y116" s="139"/>
      <c r="Z116" s="373"/>
    </row>
    <row r="117" spans="19:26" x14ac:dyDescent="0.25">
      <c r="S117" s="139"/>
      <c r="U117" s="139"/>
      <c r="V117" s="139"/>
      <c r="W117" s="139"/>
      <c r="X117" s="139"/>
      <c r="Y117" s="139"/>
      <c r="Z117" s="373"/>
    </row>
    <row r="118" spans="19:26" x14ac:dyDescent="0.25">
      <c r="S118" s="139"/>
      <c r="U118" s="139"/>
      <c r="V118" s="139"/>
      <c r="W118" s="139"/>
      <c r="X118" s="139"/>
      <c r="Y118" s="139"/>
      <c r="Z118" s="373"/>
    </row>
    <row r="119" spans="19:26" x14ac:dyDescent="0.25">
      <c r="S119" s="139"/>
      <c r="U119" s="139"/>
      <c r="V119" s="139"/>
      <c r="W119" s="139"/>
      <c r="X119" s="139"/>
      <c r="Y119" s="139"/>
      <c r="Z119" s="373"/>
    </row>
    <row r="120" spans="19:26" x14ac:dyDescent="0.25">
      <c r="S120" s="139"/>
      <c r="U120" s="139"/>
      <c r="V120" s="139"/>
      <c r="W120" s="139"/>
      <c r="X120" s="139"/>
      <c r="Y120" s="139"/>
      <c r="Z120" s="373"/>
    </row>
    <row r="121" spans="19:26" x14ac:dyDescent="0.25">
      <c r="S121" s="139"/>
      <c r="U121" s="139"/>
      <c r="V121" s="139"/>
      <c r="W121" s="139"/>
      <c r="X121" s="139"/>
      <c r="Y121" s="139"/>
      <c r="Z121" s="373"/>
    </row>
    <row r="122" spans="19:26" x14ac:dyDescent="0.25">
      <c r="S122" s="139"/>
      <c r="U122" s="139"/>
      <c r="V122" s="139"/>
      <c r="W122" s="139"/>
      <c r="X122" s="139"/>
      <c r="Y122" s="139"/>
      <c r="Z122" s="373"/>
    </row>
    <row r="123" spans="19:26" x14ac:dyDescent="0.25">
      <c r="S123" s="139"/>
      <c r="U123" s="139"/>
      <c r="V123" s="139"/>
      <c r="W123" s="139"/>
      <c r="X123" s="139"/>
      <c r="Y123" s="139"/>
      <c r="Z123" s="373"/>
    </row>
    <row r="124" spans="19:26" x14ac:dyDescent="0.25">
      <c r="S124" s="139"/>
      <c r="U124" s="139"/>
      <c r="V124" s="139"/>
      <c r="W124" s="139"/>
      <c r="X124" s="139"/>
      <c r="Y124" s="139"/>
      <c r="Z124" s="373"/>
    </row>
    <row r="125" spans="19:26" x14ac:dyDescent="0.25">
      <c r="S125" s="139"/>
      <c r="U125" s="139"/>
      <c r="V125" s="139"/>
      <c r="W125" s="139"/>
      <c r="X125" s="139"/>
      <c r="Y125" s="139"/>
      <c r="Z125" s="373"/>
    </row>
    <row r="126" spans="19:26" x14ac:dyDescent="0.25">
      <c r="S126" s="139"/>
      <c r="U126" s="139"/>
      <c r="V126" s="139"/>
      <c r="W126" s="139"/>
      <c r="X126" s="139"/>
      <c r="Y126" s="139"/>
      <c r="Z126" s="373"/>
    </row>
    <row r="127" spans="19:26" x14ac:dyDescent="0.25">
      <c r="S127" s="139"/>
      <c r="U127" s="139"/>
      <c r="V127" s="139"/>
      <c r="W127" s="139"/>
      <c r="X127" s="139"/>
      <c r="Y127" s="139"/>
      <c r="Z127" s="373"/>
    </row>
    <row r="128" spans="19:26" x14ac:dyDescent="0.25">
      <c r="S128" s="139"/>
      <c r="U128" s="139"/>
      <c r="V128" s="139"/>
      <c r="W128" s="139"/>
      <c r="X128" s="139"/>
      <c r="Y128" s="139"/>
      <c r="Z128" s="373"/>
    </row>
    <row r="129" spans="19:26" x14ac:dyDescent="0.25">
      <c r="S129" s="139"/>
      <c r="U129" s="139"/>
      <c r="V129" s="139"/>
      <c r="W129" s="139"/>
      <c r="X129" s="139"/>
      <c r="Y129" s="139"/>
      <c r="Z129" s="373"/>
    </row>
    <row r="130" spans="19:26" x14ac:dyDescent="0.25">
      <c r="S130" s="139"/>
      <c r="U130" s="139"/>
      <c r="V130" s="139"/>
      <c r="W130" s="139"/>
      <c r="X130" s="139"/>
      <c r="Y130" s="139"/>
      <c r="Z130" s="373"/>
    </row>
    <row r="131" spans="19:26" x14ac:dyDescent="0.25">
      <c r="S131" s="139"/>
      <c r="U131" s="139"/>
      <c r="V131" s="139"/>
      <c r="W131" s="139"/>
      <c r="X131" s="139"/>
      <c r="Y131" s="139"/>
      <c r="Z131" s="373"/>
    </row>
    <row r="132" spans="19:26" x14ac:dyDescent="0.25">
      <c r="S132" s="139"/>
      <c r="U132" s="139"/>
      <c r="V132" s="139"/>
      <c r="W132" s="139"/>
      <c r="X132" s="139"/>
      <c r="Y132" s="139"/>
      <c r="Z132" s="373"/>
    </row>
    <row r="133" spans="19:26" x14ac:dyDescent="0.25">
      <c r="S133" s="139"/>
      <c r="U133" s="139"/>
      <c r="V133" s="139"/>
      <c r="W133" s="139"/>
      <c r="X133" s="139"/>
      <c r="Y133" s="139"/>
      <c r="Z133" s="373"/>
    </row>
    <row r="134" spans="19:26" x14ac:dyDescent="0.25">
      <c r="S134" s="139"/>
      <c r="U134" s="139"/>
      <c r="V134" s="139"/>
      <c r="W134" s="139"/>
      <c r="X134" s="139"/>
      <c r="Y134" s="139"/>
      <c r="Z134" s="373"/>
    </row>
    <row r="135" spans="19:26" x14ac:dyDescent="0.25">
      <c r="S135" s="139"/>
      <c r="U135" s="139"/>
      <c r="V135" s="139"/>
      <c r="W135" s="139"/>
      <c r="X135" s="139"/>
      <c r="Y135" s="139"/>
      <c r="Z135" s="373"/>
    </row>
    <row r="136" spans="19:26" x14ac:dyDescent="0.25">
      <c r="S136" s="139"/>
      <c r="U136" s="139"/>
      <c r="V136" s="139"/>
      <c r="W136" s="139"/>
      <c r="X136" s="139"/>
      <c r="Y136" s="139"/>
      <c r="Z136" s="373"/>
    </row>
    <row r="137" spans="19:26" x14ac:dyDescent="0.25">
      <c r="S137" s="139"/>
      <c r="U137" s="139"/>
      <c r="V137" s="139"/>
      <c r="W137" s="139"/>
      <c r="X137" s="139"/>
      <c r="Y137" s="139"/>
      <c r="Z137" s="373"/>
    </row>
    <row r="138" spans="19:26" x14ac:dyDescent="0.25">
      <c r="S138" s="139"/>
      <c r="U138" s="139"/>
      <c r="V138" s="139"/>
      <c r="W138" s="139"/>
      <c r="X138" s="139"/>
      <c r="Y138" s="139"/>
      <c r="Z138" s="373"/>
    </row>
    <row r="139" spans="19:26" x14ac:dyDescent="0.25">
      <c r="S139" s="139"/>
      <c r="U139" s="139"/>
      <c r="V139" s="139"/>
      <c r="W139" s="139"/>
      <c r="X139" s="139"/>
      <c r="Y139" s="139"/>
      <c r="Z139" s="373"/>
    </row>
    <row r="140" spans="19:26" x14ac:dyDescent="0.25">
      <c r="S140" s="139"/>
      <c r="U140" s="139"/>
      <c r="V140" s="139"/>
      <c r="W140" s="139"/>
      <c r="X140" s="139"/>
      <c r="Y140" s="139"/>
      <c r="Z140" s="373"/>
    </row>
    <row r="141" spans="19:26" x14ac:dyDescent="0.25">
      <c r="S141" s="139"/>
      <c r="U141" s="139"/>
      <c r="V141" s="139"/>
      <c r="W141" s="139"/>
      <c r="X141" s="139"/>
      <c r="Y141" s="139"/>
      <c r="Z141" s="373"/>
    </row>
    <row r="142" spans="19:26" x14ac:dyDescent="0.25">
      <c r="S142" s="139"/>
      <c r="U142" s="139"/>
      <c r="V142" s="139"/>
      <c r="W142" s="139"/>
      <c r="X142" s="139"/>
      <c r="Y142" s="139"/>
      <c r="Z142" s="373"/>
    </row>
    <row r="143" spans="19:26" x14ac:dyDescent="0.25">
      <c r="S143" s="139"/>
      <c r="U143" s="139"/>
      <c r="V143" s="139"/>
      <c r="W143" s="139"/>
      <c r="X143" s="139"/>
      <c r="Y143" s="139"/>
      <c r="Z143" s="373"/>
    </row>
    <row r="144" spans="19:26" x14ac:dyDescent="0.25">
      <c r="S144" s="139"/>
      <c r="U144" s="139"/>
      <c r="V144" s="139"/>
      <c r="W144" s="139"/>
      <c r="X144" s="139"/>
      <c r="Y144" s="139"/>
      <c r="Z144" s="373"/>
    </row>
    <row r="145" spans="19:26" x14ac:dyDescent="0.25">
      <c r="S145" s="139"/>
      <c r="U145" s="139"/>
      <c r="V145" s="139"/>
      <c r="W145" s="139"/>
      <c r="X145" s="139"/>
      <c r="Y145" s="139"/>
      <c r="Z145" s="373"/>
    </row>
    <row r="146" spans="19:26" x14ac:dyDescent="0.25">
      <c r="S146" s="139"/>
      <c r="U146" s="139"/>
      <c r="V146" s="139"/>
      <c r="W146" s="139"/>
      <c r="X146" s="139"/>
      <c r="Y146" s="139"/>
      <c r="Z146" s="373"/>
    </row>
    <row r="147" spans="19:26" x14ac:dyDescent="0.25">
      <c r="S147" s="139"/>
      <c r="U147" s="139"/>
      <c r="V147" s="139"/>
      <c r="W147" s="139"/>
      <c r="X147" s="139"/>
      <c r="Y147" s="139"/>
      <c r="Z147" s="373"/>
    </row>
    <row r="148" spans="19:26" x14ac:dyDescent="0.25">
      <c r="S148" s="139"/>
      <c r="U148" s="139"/>
      <c r="V148" s="139"/>
      <c r="W148" s="139"/>
      <c r="X148" s="139"/>
      <c r="Y148" s="139"/>
      <c r="Z148" s="373"/>
    </row>
    <row r="149" spans="19:26" x14ac:dyDescent="0.25">
      <c r="S149" s="139"/>
      <c r="U149" s="139"/>
      <c r="V149" s="139"/>
      <c r="W149" s="139"/>
      <c r="X149" s="139"/>
      <c r="Y149" s="139"/>
      <c r="Z149" s="373"/>
    </row>
    <row r="150" spans="19:26" x14ac:dyDescent="0.25">
      <c r="S150" s="139"/>
      <c r="U150" s="139"/>
      <c r="V150" s="139"/>
      <c r="W150" s="139"/>
      <c r="X150" s="139"/>
      <c r="Y150" s="139"/>
      <c r="Z150" s="373"/>
    </row>
    <row r="151" spans="19:26" x14ac:dyDescent="0.25">
      <c r="S151" s="139"/>
      <c r="U151" s="139"/>
      <c r="V151" s="139"/>
      <c r="W151" s="139"/>
      <c r="X151" s="139"/>
      <c r="Y151" s="139"/>
      <c r="Z151" s="373"/>
    </row>
    <row r="152" spans="19:26" x14ac:dyDescent="0.25">
      <c r="S152" s="139"/>
      <c r="U152" s="139"/>
      <c r="V152" s="139"/>
      <c r="W152" s="139"/>
      <c r="X152" s="139"/>
      <c r="Y152" s="139"/>
      <c r="Z152" s="373"/>
    </row>
    <row r="153" spans="19:26" x14ac:dyDescent="0.25">
      <c r="S153" s="139"/>
      <c r="U153" s="139"/>
      <c r="V153" s="139"/>
      <c r="W153" s="139"/>
      <c r="X153" s="139"/>
      <c r="Y153" s="139"/>
      <c r="Z153" s="373"/>
    </row>
    <row r="154" spans="19:26" x14ac:dyDescent="0.25">
      <c r="S154" s="139"/>
      <c r="U154" s="139"/>
      <c r="V154" s="139"/>
      <c r="W154" s="139"/>
      <c r="X154" s="139"/>
      <c r="Y154" s="139"/>
      <c r="Z154" s="373"/>
    </row>
    <row r="155" spans="19:26" x14ac:dyDescent="0.25">
      <c r="S155" s="139"/>
      <c r="U155" s="139"/>
      <c r="V155" s="139"/>
      <c r="W155" s="139"/>
      <c r="X155" s="139"/>
      <c r="Y155" s="139"/>
      <c r="Z155" s="373"/>
    </row>
    <row r="156" spans="19:26" x14ac:dyDescent="0.25">
      <c r="S156" s="139"/>
      <c r="U156" s="139"/>
      <c r="V156" s="139"/>
      <c r="W156" s="139"/>
      <c r="X156" s="139"/>
      <c r="Y156" s="139"/>
      <c r="Z156" s="373"/>
    </row>
    <row r="157" spans="19:26" x14ac:dyDescent="0.25">
      <c r="S157" s="139"/>
      <c r="U157" s="139"/>
      <c r="V157" s="139"/>
      <c r="W157" s="139"/>
      <c r="X157" s="139"/>
      <c r="Y157" s="139"/>
      <c r="Z157" s="373"/>
    </row>
    <row r="158" spans="19:26" x14ac:dyDescent="0.25">
      <c r="S158" s="139"/>
      <c r="U158" s="139"/>
      <c r="V158" s="139"/>
      <c r="W158" s="139"/>
      <c r="X158" s="139"/>
      <c r="Y158" s="139"/>
      <c r="Z158" s="373"/>
    </row>
    <row r="159" spans="19:26" x14ac:dyDescent="0.25">
      <c r="S159" s="139"/>
      <c r="U159" s="139"/>
      <c r="V159" s="139"/>
      <c r="W159" s="139"/>
      <c r="X159" s="139"/>
      <c r="Y159" s="139"/>
      <c r="Z159" s="373"/>
    </row>
    <row r="160" spans="19:26" x14ac:dyDescent="0.25">
      <c r="S160" s="139"/>
      <c r="U160" s="139"/>
      <c r="V160" s="139"/>
      <c r="W160" s="139"/>
      <c r="X160" s="139"/>
      <c r="Y160" s="139"/>
      <c r="Z160" s="373"/>
    </row>
    <row r="161" spans="19:26" x14ac:dyDescent="0.25">
      <c r="S161" s="139"/>
      <c r="U161" s="139"/>
      <c r="V161" s="139"/>
      <c r="W161" s="139"/>
      <c r="X161" s="139"/>
      <c r="Y161" s="139"/>
      <c r="Z161" s="373"/>
    </row>
    <row r="162" spans="19:26" x14ac:dyDescent="0.25">
      <c r="S162" s="139"/>
      <c r="U162" s="139"/>
      <c r="V162" s="139"/>
      <c r="W162" s="139"/>
      <c r="X162" s="139"/>
      <c r="Y162" s="139"/>
      <c r="Z162" s="373"/>
    </row>
    <row r="163" spans="19:26" x14ac:dyDescent="0.25">
      <c r="S163" s="139"/>
      <c r="U163" s="139"/>
      <c r="V163" s="139"/>
      <c r="W163" s="139"/>
      <c r="X163" s="139"/>
      <c r="Y163" s="139"/>
      <c r="Z163" s="373"/>
    </row>
    <row r="164" spans="19:26" x14ac:dyDescent="0.25">
      <c r="S164" s="139"/>
      <c r="U164" s="139"/>
      <c r="V164" s="139"/>
      <c r="W164" s="139"/>
      <c r="X164" s="139"/>
      <c r="Y164" s="139"/>
      <c r="Z164" s="373"/>
    </row>
    <row r="165" spans="19:26" x14ac:dyDescent="0.25">
      <c r="S165" s="139"/>
      <c r="U165" s="139"/>
      <c r="V165" s="139"/>
      <c r="W165" s="139"/>
      <c r="X165" s="139"/>
      <c r="Y165" s="139"/>
      <c r="Z165" s="373"/>
    </row>
  </sheetData>
  <autoFilter ref="A8:BJ100" xr:uid="{00000000-0009-0000-0000-000001000000}"/>
  <mergeCells count="136">
    <mergeCell ref="BN83:BN85"/>
    <mergeCell ref="BO83:BO85"/>
    <mergeCell ref="BM86:BM96"/>
    <mergeCell ref="BN86:BN96"/>
    <mergeCell ref="BO86:BO96"/>
    <mergeCell ref="BN69:BN71"/>
    <mergeCell ref="BO69:BO71"/>
    <mergeCell ref="BM80:BM82"/>
    <mergeCell ref="BN80:BN82"/>
    <mergeCell ref="BO80:BO82"/>
    <mergeCell ref="BN48:BN61"/>
    <mergeCell ref="BO48:BO61"/>
    <mergeCell ref="BM62:BM66"/>
    <mergeCell ref="BN62:BN66"/>
    <mergeCell ref="BO62:BO66"/>
    <mergeCell ref="BN32:BN35"/>
    <mergeCell ref="BO32:BO35"/>
    <mergeCell ref="BM38:BM47"/>
    <mergeCell ref="BN38:BN47"/>
    <mergeCell ref="BO38:BO47"/>
    <mergeCell ref="BN23:BN26"/>
    <mergeCell ref="BO23:BO26"/>
    <mergeCell ref="BM27:BM31"/>
    <mergeCell ref="BN27:BN31"/>
    <mergeCell ref="BO27:BO31"/>
    <mergeCell ref="BN7:BN8"/>
    <mergeCell ref="BO7:BO8"/>
    <mergeCell ref="BM9:BM11"/>
    <mergeCell ref="BN9:BN11"/>
    <mergeCell ref="BO9:BO11"/>
    <mergeCell ref="BN12:BN13"/>
    <mergeCell ref="BO12:BO13"/>
    <mergeCell ref="BL83:BL85"/>
    <mergeCell ref="BL86:BL96"/>
    <mergeCell ref="A5:N6"/>
    <mergeCell ref="O1:AC6"/>
    <mergeCell ref="BM7:BM8"/>
    <mergeCell ref="BM23:BM26"/>
    <mergeCell ref="BM32:BM35"/>
    <mergeCell ref="BM48:BM61"/>
    <mergeCell ref="BM69:BM71"/>
    <mergeCell ref="BM83:BM85"/>
    <mergeCell ref="BL38:BL47"/>
    <mergeCell ref="BL48:BL61"/>
    <mergeCell ref="BL62:BL66"/>
    <mergeCell ref="BL69:BL71"/>
    <mergeCell ref="BL80:BL82"/>
    <mergeCell ref="BL7:BL8"/>
    <mergeCell ref="BL9:BL11"/>
    <mergeCell ref="BL23:BL26"/>
    <mergeCell ref="BL27:BL31"/>
    <mergeCell ref="BL32:BL35"/>
    <mergeCell ref="BJ80:BJ82"/>
    <mergeCell ref="BJ83:BJ85"/>
    <mergeCell ref="BJ86:BJ96"/>
    <mergeCell ref="BK7:BK8"/>
    <mergeCell ref="BK83:BK85"/>
    <mergeCell ref="BK86:BK96"/>
    <mergeCell ref="BJ32:BJ35"/>
    <mergeCell ref="BJ38:BJ47"/>
    <mergeCell ref="BJ48:BJ61"/>
    <mergeCell ref="BJ62:BJ66"/>
    <mergeCell ref="BJ69:BJ71"/>
    <mergeCell ref="BD7:BD8"/>
    <mergeCell ref="BJ7:BJ8"/>
    <mergeCell ref="BJ9:BJ11"/>
    <mergeCell ref="BJ23:BJ26"/>
    <mergeCell ref="BJ27:BJ31"/>
    <mergeCell ref="BK36:BK37"/>
    <mergeCell ref="BK9:BK11"/>
    <mergeCell ref="BK23:BK26"/>
    <mergeCell ref="BK27:BK31"/>
    <mergeCell ref="BK32:BK35"/>
    <mergeCell ref="BK38:BK47"/>
    <mergeCell ref="BK48:BK61"/>
    <mergeCell ref="BK62:BK66"/>
    <mergeCell ref="BK69:BK71"/>
    <mergeCell ref="BK80:BK82"/>
    <mergeCell ref="AY7:AY8"/>
    <mergeCell ref="AZ7:AZ8"/>
    <mergeCell ref="BA7:BA8"/>
    <mergeCell ref="BB7:BB8"/>
    <mergeCell ref="BC7:BC8"/>
    <mergeCell ref="AT7:AT8"/>
    <mergeCell ref="AU7:AU8"/>
    <mergeCell ref="AV7:AV8"/>
    <mergeCell ref="AW7:AW8"/>
    <mergeCell ref="AX7:AX8"/>
    <mergeCell ref="AO7:AO8"/>
    <mergeCell ref="AP7:AP8"/>
    <mergeCell ref="AQ7:AQ8"/>
    <mergeCell ref="AR7:AR8"/>
    <mergeCell ref="AS7:AS8"/>
    <mergeCell ref="AJ7:AJ8"/>
    <mergeCell ref="AK7:AK8"/>
    <mergeCell ref="AL7:AL8"/>
    <mergeCell ref="AM7:AM8"/>
    <mergeCell ref="AN7:AN8"/>
    <mergeCell ref="S7:S8"/>
    <mergeCell ref="T7:T8"/>
    <mergeCell ref="U7:U8"/>
    <mergeCell ref="V7:V8"/>
    <mergeCell ref="AB7:AB8"/>
    <mergeCell ref="AC7:AC8"/>
    <mergeCell ref="AD7:AD8"/>
    <mergeCell ref="AE7:AE8"/>
    <mergeCell ref="AI7:AI8"/>
    <mergeCell ref="W7:W8"/>
    <mergeCell ref="X7:X8"/>
    <mergeCell ref="Y7:Y8"/>
    <mergeCell ref="Z7:Z8"/>
    <mergeCell ref="AA7:AA8"/>
    <mergeCell ref="BL36:BL37"/>
    <mergeCell ref="BO36:BO37"/>
    <mergeCell ref="BJ36:BJ37"/>
    <mergeCell ref="A1:E1"/>
    <mergeCell ref="F1:K1"/>
    <mergeCell ref="M1:N1"/>
    <mergeCell ref="A2:N2"/>
    <mergeCell ref="A3:K3"/>
    <mergeCell ref="M3:N3"/>
    <mergeCell ref="BK12:BK13"/>
    <mergeCell ref="BL12:BL13"/>
    <mergeCell ref="BM12:BM13"/>
    <mergeCell ref="A4:N4"/>
    <mergeCell ref="B7:K7"/>
    <mergeCell ref="AF7:AH7"/>
    <mergeCell ref="BE7:BG7"/>
    <mergeCell ref="A7:A8"/>
    <mergeCell ref="L7:L8"/>
    <mergeCell ref="M7:M8"/>
    <mergeCell ref="N7:N8"/>
    <mergeCell ref="O7:O8"/>
    <mergeCell ref="P7:P8"/>
    <mergeCell ref="Q7:Q8"/>
    <mergeCell ref="R7:R8"/>
  </mergeCells>
  <phoneticPr fontId="51" type="noConversion"/>
  <conditionalFormatting sqref="K10:L10">
    <cfRule type="duplicateValues" dxfId="260" priority="513"/>
    <cfRule type="duplicateValues" dxfId="259" priority="514"/>
  </conditionalFormatting>
  <conditionalFormatting sqref="V14:W14">
    <cfRule type="cellIs" dxfId="258" priority="469" operator="equal">
      <formula>"N"</formula>
    </cfRule>
    <cfRule type="cellIs" dxfId="257" priority="470" operator="equal">
      <formula>"Y"</formula>
    </cfRule>
  </conditionalFormatting>
  <conditionalFormatting sqref="V15:W15">
    <cfRule type="cellIs" dxfId="256" priority="38" operator="equal">
      <formula>"N"</formula>
    </cfRule>
    <cfRule type="cellIs" dxfId="255" priority="39" operator="equal">
      <formula>"Y"</formula>
    </cfRule>
  </conditionalFormatting>
  <conditionalFormatting sqref="K18:L18">
    <cfRule type="duplicateValues" dxfId="254" priority="400"/>
    <cfRule type="duplicateValues" dxfId="253" priority="401"/>
    <cfRule type="duplicateValues" dxfId="252" priority="402"/>
  </conditionalFormatting>
  <conditionalFormatting sqref="V18:W18">
    <cfRule type="cellIs" dxfId="251" priority="398" operator="equal">
      <formula>"N"</formula>
    </cfRule>
    <cfRule type="cellIs" dxfId="250" priority="399" operator="equal">
      <formula>"Y"</formula>
    </cfRule>
  </conditionalFormatting>
  <conditionalFormatting sqref="V19:W19">
    <cfRule type="cellIs" dxfId="249" priority="859" operator="equal">
      <formula>"N"</formula>
    </cfRule>
    <cfRule type="cellIs" dxfId="248" priority="860" operator="equal">
      <formula>"Y"</formula>
    </cfRule>
  </conditionalFormatting>
  <conditionalFormatting sqref="V21:W21">
    <cfRule type="cellIs" dxfId="247" priority="467" operator="equal">
      <formula>"N"</formula>
    </cfRule>
    <cfRule type="cellIs" dxfId="246" priority="468" operator="equal">
      <formula>"Y"</formula>
    </cfRule>
  </conditionalFormatting>
  <conditionalFormatting sqref="V23:W23">
    <cfRule type="cellIs" dxfId="245" priority="781" operator="equal">
      <formula>"N"</formula>
    </cfRule>
    <cfRule type="cellIs" dxfId="244" priority="782" operator="equal">
      <formula>"Y"</formula>
    </cfRule>
  </conditionalFormatting>
  <conditionalFormatting sqref="V24:W24">
    <cfRule type="cellIs" dxfId="243" priority="779" operator="equal">
      <formula>"N"</formula>
    </cfRule>
    <cfRule type="cellIs" dxfId="242" priority="780" operator="equal">
      <formula>"Y"</formula>
    </cfRule>
  </conditionalFormatting>
  <conditionalFormatting sqref="V25:W25">
    <cfRule type="cellIs" dxfId="241" priority="435" operator="equal">
      <formula>"N"</formula>
    </cfRule>
    <cfRule type="cellIs" dxfId="240" priority="436" operator="equal">
      <formula>"Y"</formula>
    </cfRule>
  </conditionalFormatting>
  <conditionalFormatting sqref="V26:W26">
    <cfRule type="cellIs" dxfId="239" priority="433" operator="equal">
      <formula>"N"</formula>
    </cfRule>
    <cfRule type="cellIs" dxfId="238" priority="434" operator="equal">
      <formula>"Y"</formula>
    </cfRule>
  </conditionalFormatting>
  <conditionalFormatting sqref="K27:L27">
    <cfRule type="duplicateValues" dxfId="237" priority="874"/>
    <cfRule type="duplicateValues" dxfId="236" priority="875"/>
  </conditionalFormatting>
  <conditionalFormatting sqref="V27:W27">
    <cfRule type="cellIs" dxfId="235" priority="765" operator="equal">
      <formula>"N"</formula>
    </cfRule>
    <cfRule type="cellIs" dxfId="234" priority="766" operator="equal">
      <formula>"Y"</formula>
    </cfRule>
  </conditionalFormatting>
  <conditionalFormatting sqref="V28:W28">
    <cfRule type="cellIs" dxfId="233" priority="763" operator="equal">
      <formula>"N"</formula>
    </cfRule>
    <cfRule type="cellIs" dxfId="232" priority="764" operator="equal">
      <formula>"Y"</formula>
    </cfRule>
  </conditionalFormatting>
  <conditionalFormatting sqref="V29:W29">
    <cfRule type="cellIs" dxfId="231" priority="437" operator="equal">
      <formula>"N"</formula>
    </cfRule>
    <cfRule type="cellIs" dxfId="230" priority="438" operator="equal">
      <formula>"Y"</formula>
    </cfRule>
  </conditionalFormatting>
  <conditionalFormatting sqref="V30:W30">
    <cfRule type="cellIs" dxfId="229" priority="869" operator="equal">
      <formula>"N"</formula>
    </cfRule>
    <cfRule type="cellIs" dxfId="228" priority="870" operator="equal">
      <formula>"Y"</formula>
    </cfRule>
  </conditionalFormatting>
  <conditionalFormatting sqref="V31:W31">
    <cfRule type="cellIs" dxfId="227" priority="519" operator="equal">
      <formula>"N"</formula>
    </cfRule>
    <cfRule type="cellIs" dxfId="226" priority="520" operator="equal">
      <formula>"Y"</formula>
    </cfRule>
  </conditionalFormatting>
  <conditionalFormatting sqref="K34:L34">
    <cfRule type="duplicateValues" dxfId="225" priority="409"/>
    <cfRule type="duplicateValues" dxfId="224" priority="410"/>
  </conditionalFormatting>
  <conditionalFormatting sqref="V34:W34">
    <cfRule type="cellIs" dxfId="223" priority="407" operator="equal">
      <formula>"N"</formula>
    </cfRule>
    <cfRule type="cellIs" dxfId="222" priority="408" operator="equal">
      <formula>"Y"</formula>
    </cfRule>
  </conditionalFormatting>
  <conditionalFormatting sqref="K35:L35">
    <cfRule type="duplicateValues" dxfId="221" priority="405"/>
    <cfRule type="duplicateValues" dxfId="220" priority="406"/>
  </conditionalFormatting>
  <conditionalFormatting sqref="V35:W35">
    <cfRule type="cellIs" dxfId="219" priority="403" operator="equal">
      <formula>"N"</formula>
    </cfRule>
    <cfRule type="cellIs" dxfId="218" priority="404" operator="equal">
      <formula>"Y"</formula>
    </cfRule>
  </conditionalFormatting>
  <conditionalFormatting sqref="V36:W36">
    <cfRule type="cellIs" dxfId="217" priority="605" operator="equal">
      <formula>"N"</formula>
    </cfRule>
    <cfRule type="cellIs" dxfId="216" priority="606" operator="equal">
      <formula>"Y"</formula>
    </cfRule>
  </conditionalFormatting>
  <conditionalFormatting sqref="V37:W37">
    <cfRule type="cellIs" dxfId="215" priority="825" operator="equal">
      <formula>"N"</formula>
    </cfRule>
    <cfRule type="cellIs" dxfId="214" priority="826" operator="equal">
      <formula>"Y"</formula>
    </cfRule>
  </conditionalFormatting>
  <conditionalFormatting sqref="N49">
    <cfRule type="duplicateValues" dxfId="213" priority="392"/>
  </conditionalFormatting>
  <conditionalFormatting sqref="P49">
    <cfRule type="duplicateValues" dxfId="212" priority="393"/>
    <cfRule type="duplicateValues" dxfId="211" priority="394"/>
    <cfRule type="duplicateValues" dxfId="210" priority="395"/>
    <cfRule type="duplicateValues" dxfId="209" priority="396"/>
  </conditionalFormatting>
  <conditionalFormatting sqref="V49">
    <cfRule type="cellIs" dxfId="208" priority="113" operator="equal">
      <formula>"N"</formula>
    </cfRule>
    <cfRule type="cellIs" dxfId="207" priority="114" operator="equal">
      <formula>"Y"</formula>
    </cfRule>
    <cfRule type="colorScale" priority="115">
      <colorScale>
        <cfvo type="num" val="&quot;Y&quot;"/>
        <cfvo type="num" val="&quot;N&quot;"/>
        <color rgb="FF00B050"/>
        <color rgb="FFFF0000"/>
      </colorScale>
    </cfRule>
  </conditionalFormatting>
  <conditionalFormatting sqref="N50">
    <cfRule type="duplicateValues" dxfId="206" priority="166"/>
  </conditionalFormatting>
  <conditionalFormatting sqref="P50">
    <cfRule type="duplicateValues" dxfId="205" priority="168"/>
    <cfRule type="duplicateValues" dxfId="204" priority="169"/>
    <cfRule type="duplicateValues" dxfId="203" priority="170"/>
    <cfRule type="duplicateValues" dxfId="202" priority="171"/>
  </conditionalFormatting>
  <conditionalFormatting sqref="V50:W50">
    <cfRule type="cellIs" dxfId="201" priority="172" operator="equal">
      <formula>"N"</formula>
    </cfRule>
    <cfRule type="cellIs" dxfId="200" priority="173" operator="equal">
      <formula>"Y"</formula>
    </cfRule>
    <cfRule type="colorScale" priority="174">
      <colorScale>
        <cfvo type="num" val="&quot;Y&quot;"/>
        <cfvo type="num" val="&quot;N&quot;"/>
        <color rgb="FF00B050"/>
        <color rgb="FFFF0000"/>
      </colorScale>
    </cfRule>
  </conditionalFormatting>
  <conditionalFormatting sqref="X50">
    <cfRule type="cellIs" dxfId="199" priority="167" stopIfTrue="1" operator="equal">
      <formula>“总成件”</formula>
    </cfRule>
  </conditionalFormatting>
  <conditionalFormatting sqref="P51">
    <cfRule type="duplicateValues" dxfId="198" priority="357"/>
    <cfRule type="duplicateValues" dxfId="197" priority="358"/>
    <cfRule type="duplicateValues" dxfId="196" priority="359"/>
    <cfRule type="duplicateValues" dxfId="195" priority="360"/>
  </conditionalFormatting>
  <conditionalFormatting sqref="X51">
    <cfRule type="cellIs" dxfId="194" priority="356" stopIfTrue="1" operator="equal">
      <formula>“总成件”</formula>
    </cfRule>
  </conditionalFormatting>
  <conditionalFormatting sqref="N52">
    <cfRule type="duplicateValues" dxfId="193" priority="296"/>
  </conditionalFormatting>
  <conditionalFormatting sqref="P52">
    <cfRule type="duplicateValues" dxfId="192" priority="301"/>
    <cfRule type="duplicateValues" dxfId="191" priority="302"/>
    <cfRule type="duplicateValues" dxfId="190" priority="303"/>
    <cfRule type="duplicateValues" dxfId="189" priority="304"/>
  </conditionalFormatting>
  <conditionalFormatting sqref="V52:W52">
    <cfRule type="cellIs" dxfId="188" priority="297" operator="equal">
      <formula>"N"</formula>
    </cfRule>
    <cfRule type="cellIs" dxfId="187" priority="298" operator="equal">
      <formula>"Y"</formula>
    </cfRule>
    <cfRule type="colorScale" priority="299">
      <colorScale>
        <cfvo type="num" val="&quot;Y&quot;"/>
        <cfvo type="num" val="&quot;N&quot;"/>
        <color rgb="FF00B050"/>
        <color rgb="FFFF0000"/>
      </colorScale>
    </cfRule>
  </conditionalFormatting>
  <conditionalFormatting sqref="X52">
    <cfRule type="cellIs" dxfId="186" priority="300" stopIfTrue="1" operator="equal">
      <formula>“总成件”</formula>
    </cfRule>
  </conditionalFormatting>
  <conditionalFormatting sqref="N53">
    <cfRule type="duplicateValues" dxfId="185" priority="305"/>
  </conditionalFormatting>
  <conditionalFormatting sqref="N54">
    <cfRule type="duplicateValues" dxfId="184" priority="165"/>
  </conditionalFormatting>
  <conditionalFormatting sqref="P54">
    <cfRule type="duplicateValues" dxfId="183" priority="161"/>
    <cfRule type="duplicateValues" dxfId="182" priority="162"/>
    <cfRule type="duplicateValues" dxfId="181" priority="163"/>
    <cfRule type="duplicateValues" dxfId="180" priority="164"/>
  </conditionalFormatting>
  <conditionalFormatting sqref="V54:W54">
    <cfRule type="cellIs" dxfId="179" priority="157" operator="equal">
      <formula>"N"</formula>
    </cfRule>
    <cfRule type="cellIs" dxfId="178" priority="158" operator="equal">
      <formula>"Y"</formula>
    </cfRule>
    <cfRule type="colorScale" priority="159">
      <colorScale>
        <cfvo type="num" val="&quot;Y&quot;"/>
        <cfvo type="num" val="&quot;N&quot;"/>
        <color rgb="FF00B050"/>
        <color rgb="FFFF0000"/>
      </colorScale>
    </cfRule>
  </conditionalFormatting>
  <conditionalFormatting sqref="X54">
    <cfRule type="cellIs" dxfId="177" priority="160" stopIfTrue="1" operator="equal">
      <formula>“总成件”</formula>
    </cfRule>
  </conditionalFormatting>
  <conditionalFormatting sqref="N55">
    <cfRule type="duplicateValues" dxfId="176" priority="148"/>
  </conditionalFormatting>
  <conditionalFormatting sqref="P55">
    <cfRule type="duplicateValues" dxfId="175" priority="153"/>
    <cfRule type="duplicateValues" dxfId="174" priority="154"/>
    <cfRule type="duplicateValues" dxfId="173" priority="155"/>
    <cfRule type="duplicateValues" dxfId="172" priority="156"/>
  </conditionalFormatting>
  <conditionalFormatting sqref="V55:W55">
    <cfRule type="cellIs" dxfId="171" priority="149" operator="equal">
      <formula>"N"</formula>
    </cfRule>
    <cfRule type="cellIs" dxfId="170" priority="150" operator="equal">
      <formula>"Y"</formula>
    </cfRule>
    <cfRule type="colorScale" priority="151">
      <colorScale>
        <cfvo type="num" val="&quot;Y&quot;"/>
        <cfvo type="num" val="&quot;N&quot;"/>
        <color rgb="FF00B050"/>
        <color rgb="FFFF0000"/>
      </colorScale>
    </cfRule>
  </conditionalFormatting>
  <conditionalFormatting sqref="X55">
    <cfRule type="cellIs" dxfId="169" priority="152" stopIfTrue="1" operator="equal">
      <formula>“总成件”</formula>
    </cfRule>
  </conditionalFormatting>
  <conditionalFormatting sqref="X57">
    <cfRule type="cellIs" dxfId="168" priority="377" stopIfTrue="1" operator="equal">
      <formula>“总成件”</formula>
    </cfRule>
  </conditionalFormatting>
  <conditionalFormatting sqref="P59">
    <cfRule type="duplicateValues" dxfId="167" priority="352"/>
    <cfRule type="duplicateValues" dxfId="166" priority="353"/>
    <cfRule type="duplicateValues" dxfId="165" priority="354"/>
    <cfRule type="duplicateValues" dxfId="164" priority="355"/>
  </conditionalFormatting>
  <conditionalFormatting sqref="X59">
    <cfRule type="cellIs" dxfId="163" priority="351" stopIfTrue="1" operator="equal">
      <formula>“总成件”</formula>
    </cfRule>
  </conditionalFormatting>
  <conditionalFormatting sqref="N61">
    <cfRule type="duplicateValues" dxfId="162" priority="248"/>
  </conditionalFormatting>
  <conditionalFormatting sqref="P62">
    <cfRule type="duplicateValues" dxfId="161" priority="340"/>
    <cfRule type="duplicateValues" dxfId="160" priority="341"/>
    <cfRule type="duplicateValues" dxfId="159" priority="342"/>
    <cfRule type="duplicateValues" dxfId="158" priority="343"/>
  </conditionalFormatting>
  <conditionalFormatting sqref="W63">
    <cfRule type="cellIs" dxfId="157" priority="348" operator="equal">
      <formula>"N"</formula>
    </cfRule>
    <cfRule type="cellIs" dxfId="156" priority="349" operator="equal">
      <formula>"Y"</formula>
    </cfRule>
    <cfRule type="colorScale" priority="350">
      <colorScale>
        <cfvo type="num" val="&quot;Y&quot;"/>
        <cfvo type="num" val="&quot;N&quot;"/>
        <color rgb="FF00B050"/>
        <color rgb="FFFF0000"/>
      </colorScale>
    </cfRule>
  </conditionalFormatting>
  <conditionalFormatting sqref="P64">
    <cfRule type="duplicateValues" dxfId="155" priority="123"/>
    <cfRule type="duplicateValues" dxfId="154" priority="124"/>
    <cfRule type="duplicateValues" dxfId="153" priority="125"/>
    <cfRule type="duplicateValues" dxfId="152" priority="126"/>
  </conditionalFormatting>
  <conditionalFormatting sqref="V64">
    <cfRule type="cellIs" dxfId="151" priority="117" operator="equal">
      <formula>"N"</formula>
    </cfRule>
    <cfRule type="cellIs" dxfId="150" priority="118" operator="equal">
      <formula>"Y"</formula>
    </cfRule>
    <cfRule type="colorScale" priority="119">
      <colorScale>
        <cfvo type="num" val="&quot;Y&quot;"/>
        <cfvo type="num" val="&quot;N&quot;"/>
        <color rgb="FF00B050"/>
        <color rgb="FFFF0000"/>
      </colorScale>
    </cfRule>
  </conditionalFormatting>
  <conditionalFormatting sqref="W64">
    <cfRule type="cellIs" dxfId="149" priority="120" operator="equal">
      <formula>"N"</formula>
    </cfRule>
    <cfRule type="cellIs" dxfId="148" priority="121" operator="equal">
      <formula>"Y"</formula>
    </cfRule>
    <cfRule type="colorScale" priority="122">
      <colorScale>
        <cfvo type="num" val="&quot;Y&quot;"/>
        <cfvo type="num" val="&quot;N&quot;"/>
        <color rgb="FF00B050"/>
        <color rgb="FFFF0000"/>
      </colorScale>
    </cfRule>
  </conditionalFormatting>
  <conditionalFormatting sqref="X64">
    <cfRule type="cellIs" dxfId="147" priority="116" stopIfTrue="1" operator="equal">
      <formula>“总成件”</formula>
    </cfRule>
  </conditionalFormatting>
  <conditionalFormatting sqref="P66">
    <cfRule type="duplicateValues" dxfId="146" priority="321"/>
    <cfRule type="duplicateValues" dxfId="145" priority="322"/>
    <cfRule type="duplicateValues" dxfId="144" priority="323"/>
    <cfRule type="duplicateValues" dxfId="143" priority="324"/>
  </conditionalFormatting>
  <conditionalFormatting sqref="W66">
    <cfRule type="cellIs" dxfId="142" priority="318" operator="equal">
      <formula>"N"</formula>
    </cfRule>
    <cfRule type="cellIs" dxfId="141" priority="319" operator="equal">
      <formula>"Y"</formula>
    </cfRule>
    <cfRule type="colorScale" priority="320">
      <colorScale>
        <cfvo type="num" val="&quot;Y&quot;"/>
        <cfvo type="num" val="&quot;N&quot;"/>
        <color rgb="FF00B050"/>
        <color rgb="FFFF0000"/>
      </colorScale>
    </cfRule>
  </conditionalFormatting>
  <conditionalFormatting sqref="P67">
    <cfRule type="duplicateValues" dxfId="140" priority="344"/>
    <cfRule type="duplicateValues" dxfId="139" priority="345"/>
    <cfRule type="duplicateValues" dxfId="138" priority="346"/>
    <cfRule type="duplicateValues" dxfId="137" priority="347"/>
  </conditionalFormatting>
  <conditionalFormatting sqref="N72">
    <cfRule type="duplicateValues" dxfId="136" priority="188"/>
  </conditionalFormatting>
  <conditionalFormatting sqref="P72">
    <cfRule type="duplicateValues" dxfId="135" priority="193"/>
    <cfRule type="duplicateValues" dxfId="134" priority="194"/>
    <cfRule type="duplicateValues" dxfId="133" priority="195"/>
    <cfRule type="duplicateValues" dxfId="132" priority="196"/>
  </conditionalFormatting>
  <conditionalFormatting sqref="V72:W72">
    <cfRule type="cellIs" dxfId="131" priority="189" operator="equal">
      <formula>"N"</formula>
    </cfRule>
    <cfRule type="cellIs" dxfId="130" priority="190" operator="equal">
      <formula>"Y"</formula>
    </cfRule>
    <cfRule type="colorScale" priority="191">
      <colorScale>
        <cfvo type="num" val="&quot;Y&quot;"/>
        <cfvo type="num" val="&quot;N&quot;"/>
        <color rgb="FF00B050"/>
        <color rgb="FFFF0000"/>
      </colorScale>
    </cfRule>
  </conditionalFormatting>
  <conditionalFormatting sqref="X72">
    <cfRule type="cellIs" dxfId="129" priority="192" stopIfTrue="1" operator="equal">
      <formula>“总成件”</formula>
    </cfRule>
  </conditionalFormatting>
  <conditionalFormatting sqref="P75">
    <cfRule type="duplicateValues" dxfId="128" priority="252"/>
    <cfRule type="duplicateValues" dxfId="127" priority="253"/>
    <cfRule type="duplicateValues" dxfId="126" priority="254"/>
    <cfRule type="duplicateValues" dxfId="125" priority="255"/>
  </conditionalFormatting>
  <conditionalFormatting sqref="V75">
    <cfRule type="cellIs" dxfId="124" priority="256" operator="equal">
      <formula>"N"</formula>
    </cfRule>
    <cfRule type="cellIs" dxfId="123" priority="257" operator="equal">
      <formula>"Y"</formula>
    </cfRule>
    <cfRule type="colorScale" priority="258">
      <colorScale>
        <cfvo type="num" val="&quot;Y&quot;"/>
        <cfvo type="num" val="&quot;N&quot;"/>
        <color rgb="FF00B050"/>
        <color rgb="FFFF0000"/>
      </colorScale>
    </cfRule>
  </conditionalFormatting>
  <conditionalFormatting sqref="W75">
    <cfRule type="cellIs" dxfId="122" priority="56" operator="equal">
      <formula>"N"</formula>
    </cfRule>
    <cfRule type="cellIs" dxfId="121" priority="57" operator="equal">
      <formula>"Y"</formula>
    </cfRule>
  </conditionalFormatting>
  <conditionalFormatting sqref="X75">
    <cfRule type="cellIs" dxfId="120" priority="259" stopIfTrue="1" operator="equal">
      <formula>“总成件”</formula>
    </cfRule>
  </conditionalFormatting>
  <conditionalFormatting sqref="W78">
    <cfRule type="cellIs" dxfId="119" priority="315" operator="equal">
      <formula>"N"</formula>
    </cfRule>
    <cfRule type="cellIs" dxfId="118" priority="316" operator="equal">
      <formula>"Y"</formula>
    </cfRule>
    <cfRule type="colorScale" priority="317">
      <colorScale>
        <cfvo type="num" val="&quot;Y&quot;"/>
        <cfvo type="num" val="&quot;N&quot;"/>
        <color rgb="FF00B050"/>
        <color rgb="FFFF0000"/>
      </colorScale>
    </cfRule>
  </conditionalFormatting>
  <conditionalFormatting sqref="P80">
    <cfRule type="duplicateValues" dxfId="117" priority="237"/>
    <cfRule type="duplicateValues" dxfId="116" priority="238"/>
    <cfRule type="duplicateValues" dxfId="115" priority="239"/>
    <cfRule type="duplicateValues" dxfId="114" priority="240"/>
  </conditionalFormatting>
  <conditionalFormatting sqref="V80">
    <cfRule type="cellIs" dxfId="113" priority="241" operator="equal">
      <formula>"N"</formula>
    </cfRule>
    <cfRule type="cellIs" dxfId="112" priority="242" operator="equal">
      <formula>"Y"</formula>
    </cfRule>
    <cfRule type="colorScale" priority="243">
      <colorScale>
        <cfvo type="num" val="&quot;Y&quot;"/>
        <cfvo type="num" val="&quot;N&quot;"/>
        <color rgb="FF00B050"/>
        <color rgb="FFFF0000"/>
      </colorScale>
    </cfRule>
  </conditionalFormatting>
  <conditionalFormatting sqref="W80">
    <cfRule type="cellIs" dxfId="111" priority="244" operator="equal">
      <formula>"N"</formula>
    </cfRule>
    <cfRule type="cellIs" dxfId="110" priority="245" operator="equal">
      <formula>"Y"</formula>
    </cfRule>
    <cfRule type="colorScale" priority="246">
      <colorScale>
        <cfvo type="num" val="&quot;Y&quot;"/>
        <cfvo type="num" val="&quot;N&quot;"/>
        <color rgb="FF00B050"/>
        <color rgb="FFFF0000"/>
      </colorScale>
    </cfRule>
  </conditionalFormatting>
  <conditionalFormatting sqref="X80">
    <cfRule type="cellIs" dxfId="109" priority="247" stopIfTrue="1" operator="equal">
      <formula>“总成件”</formula>
    </cfRule>
  </conditionalFormatting>
  <conditionalFormatting sqref="P82">
    <cfRule type="duplicateValues" dxfId="108" priority="226"/>
    <cfRule type="duplicateValues" dxfId="107" priority="227"/>
    <cfRule type="duplicateValues" dxfId="106" priority="228"/>
    <cfRule type="duplicateValues" dxfId="105" priority="229"/>
  </conditionalFormatting>
  <conditionalFormatting sqref="V82">
    <cfRule type="cellIs" dxfId="104" priority="230" operator="equal">
      <formula>"N"</formula>
    </cfRule>
    <cfRule type="cellIs" dxfId="103" priority="231" operator="equal">
      <formula>"Y"</formula>
    </cfRule>
    <cfRule type="colorScale" priority="232">
      <colorScale>
        <cfvo type="num" val="&quot;Y&quot;"/>
        <cfvo type="num" val="&quot;N&quot;"/>
        <color rgb="FF00B050"/>
        <color rgb="FFFF0000"/>
      </colorScale>
    </cfRule>
  </conditionalFormatting>
  <conditionalFormatting sqref="W82">
    <cfRule type="cellIs" dxfId="102" priority="233" operator="equal">
      <formula>"N"</formula>
    </cfRule>
    <cfRule type="cellIs" dxfId="101" priority="234" operator="equal">
      <formula>"Y"</formula>
    </cfRule>
    <cfRule type="colorScale" priority="235">
      <colorScale>
        <cfvo type="num" val="&quot;Y&quot;"/>
        <cfvo type="num" val="&quot;N&quot;"/>
        <color rgb="FF00B050"/>
        <color rgb="FFFF0000"/>
      </colorScale>
    </cfRule>
  </conditionalFormatting>
  <conditionalFormatting sqref="X82">
    <cfRule type="cellIs" dxfId="100" priority="236" stopIfTrue="1" operator="equal">
      <formula>“总成件”</formula>
    </cfRule>
  </conditionalFormatting>
  <conditionalFormatting sqref="P83">
    <cfRule type="duplicateValues" dxfId="99" priority="215"/>
    <cfRule type="duplicateValues" dxfId="98" priority="216"/>
    <cfRule type="duplicateValues" dxfId="97" priority="217"/>
    <cfRule type="duplicateValues" dxfId="96" priority="218"/>
  </conditionalFormatting>
  <conditionalFormatting sqref="V83">
    <cfRule type="cellIs" dxfId="95" priority="219" operator="equal">
      <formula>"N"</formula>
    </cfRule>
    <cfRule type="cellIs" dxfId="94" priority="220" operator="equal">
      <formula>"Y"</formula>
    </cfRule>
    <cfRule type="colorScale" priority="221">
      <colorScale>
        <cfvo type="num" val="&quot;Y&quot;"/>
        <cfvo type="num" val="&quot;N&quot;"/>
        <color rgb="FF00B050"/>
        <color rgb="FFFF0000"/>
      </colorScale>
    </cfRule>
  </conditionalFormatting>
  <conditionalFormatting sqref="W83">
    <cfRule type="cellIs" dxfId="93" priority="222" operator="equal">
      <formula>"N"</formula>
    </cfRule>
    <cfRule type="cellIs" dxfId="92" priority="223" operator="equal">
      <formula>"Y"</formula>
    </cfRule>
    <cfRule type="colorScale" priority="224">
      <colorScale>
        <cfvo type="num" val="&quot;Y&quot;"/>
        <cfvo type="num" val="&quot;N&quot;"/>
        <color rgb="FF00B050"/>
        <color rgb="FFFF0000"/>
      </colorScale>
    </cfRule>
  </conditionalFormatting>
  <conditionalFormatting sqref="X83">
    <cfRule type="cellIs" dxfId="91" priority="225" stopIfTrue="1" operator="equal">
      <formula>“总成件”</formula>
    </cfRule>
  </conditionalFormatting>
  <conditionalFormatting sqref="V86:W86">
    <cfRule type="cellIs" dxfId="90" priority="453" operator="equal">
      <formula>"N"</formula>
    </cfRule>
    <cfRule type="cellIs" dxfId="89" priority="454" operator="equal">
      <formula>"Y"</formula>
    </cfRule>
  </conditionalFormatting>
  <conditionalFormatting sqref="V97:W97">
    <cfRule type="cellIs" dxfId="88" priority="565" operator="equal">
      <formula>"N"</formula>
    </cfRule>
    <cfRule type="cellIs" dxfId="87" priority="566" operator="equal">
      <formula>"Y"</formula>
    </cfRule>
  </conditionalFormatting>
  <conditionalFormatting sqref="K98:L98">
    <cfRule type="duplicateValues" dxfId="86" priority="481"/>
    <cfRule type="duplicateValues" dxfId="85" priority="482"/>
  </conditionalFormatting>
  <conditionalFormatting sqref="V98:W98">
    <cfRule type="cellIs" dxfId="84" priority="479" operator="equal">
      <formula>"N"</formula>
    </cfRule>
    <cfRule type="cellIs" dxfId="83" priority="480" operator="equal">
      <formula>"Y"</formula>
    </cfRule>
  </conditionalFormatting>
  <conditionalFormatting sqref="V99:W99">
    <cfRule type="cellIs" dxfId="82" priority="571" operator="equal">
      <formula>"N"</formula>
    </cfRule>
    <cfRule type="cellIs" dxfId="81" priority="572" operator="equal">
      <formula>"Y"</formula>
    </cfRule>
  </conditionalFormatting>
  <conditionalFormatting sqref="N41:N43">
    <cfRule type="duplicateValues" dxfId="80" priority="175"/>
  </conditionalFormatting>
  <conditionalFormatting sqref="N56:N58">
    <cfRule type="duplicateValues" dxfId="79" priority="333"/>
  </conditionalFormatting>
  <conditionalFormatting sqref="N59:N60">
    <cfRule type="duplicateValues" dxfId="78" priority="332"/>
  </conditionalFormatting>
  <conditionalFormatting sqref="P41:P43">
    <cfRule type="duplicateValues" dxfId="77" priority="180"/>
    <cfRule type="duplicateValues" dxfId="76" priority="181"/>
    <cfRule type="duplicateValues" dxfId="75" priority="182"/>
    <cfRule type="duplicateValues" dxfId="74" priority="183"/>
    <cfRule type="duplicateValues" dxfId="73" priority="184"/>
    <cfRule type="duplicateValues" dxfId="72" priority="185"/>
    <cfRule type="duplicateValues" dxfId="71" priority="186"/>
    <cfRule type="duplicateValues" dxfId="70" priority="187"/>
  </conditionalFormatting>
  <conditionalFormatting sqref="P76:P77">
    <cfRule type="duplicateValues" dxfId="69" priority="311"/>
    <cfRule type="duplicateValues" dxfId="68" priority="312"/>
    <cfRule type="duplicateValues" dxfId="67" priority="313"/>
    <cfRule type="duplicateValues" dxfId="66" priority="314"/>
  </conditionalFormatting>
  <conditionalFormatting sqref="V12:V13">
    <cfRule type="cellIs" dxfId="65" priority="42" operator="equal">
      <formula>"N"</formula>
    </cfRule>
    <cfRule type="cellIs" dxfId="64" priority="43" operator="equal">
      <formula>"Y"</formula>
    </cfRule>
  </conditionalFormatting>
  <conditionalFormatting sqref="W67:W70">
    <cfRule type="cellIs" dxfId="63" priority="374" operator="equal">
      <formula>"N"</formula>
    </cfRule>
    <cfRule type="cellIs" dxfId="62" priority="375" operator="equal">
      <formula>"Y"</formula>
    </cfRule>
    <cfRule type="colorScale" priority="376">
      <colorScale>
        <cfvo type="num" val="&quot;Y&quot;"/>
        <cfvo type="num" val="&quot;N&quot;"/>
        <color rgb="FF00B050"/>
        <color rgb="FFFF0000"/>
      </colorScale>
    </cfRule>
  </conditionalFormatting>
  <conditionalFormatting sqref="X38:X40">
    <cfRule type="cellIs" dxfId="61" priority="379" stopIfTrue="1" operator="equal">
      <formula>“总成件”</formula>
    </cfRule>
  </conditionalFormatting>
  <conditionalFormatting sqref="X41:X43">
    <cfRule type="cellIs" dxfId="60" priority="179" stopIfTrue="1" operator="equal">
      <formula>“总成件”</formula>
    </cfRule>
  </conditionalFormatting>
  <conditionalFormatting sqref="X60:X61">
    <cfRule type="cellIs" dxfId="59" priority="378" stopIfTrue="1" operator="equal">
      <formula>“总成件”</formula>
    </cfRule>
  </conditionalFormatting>
  <conditionalFormatting sqref="K9:L9 K11:L11">
    <cfRule type="duplicateValues" dxfId="58" priority="517"/>
    <cfRule type="duplicateValues" dxfId="57" priority="518"/>
  </conditionalFormatting>
  <conditionalFormatting sqref="V9:W10 W12">
    <cfRule type="cellIs" dxfId="56" priority="465" operator="equal">
      <formula>"N"</formula>
    </cfRule>
    <cfRule type="cellIs" dxfId="55" priority="466" operator="equal">
      <formula>"Y"</formula>
    </cfRule>
  </conditionalFormatting>
  <conditionalFormatting sqref="V11:W11 W13">
    <cfRule type="cellIs" dxfId="54" priority="515" operator="equal">
      <formula>"N"</formula>
    </cfRule>
    <cfRule type="cellIs" dxfId="53" priority="516" operator="equal">
      <formula>"Y"</formula>
    </cfRule>
  </conditionalFormatting>
  <conditionalFormatting sqref="V16:W17">
    <cfRule type="cellIs" dxfId="52" priority="36" operator="equal">
      <formula>"N"</formula>
    </cfRule>
    <cfRule type="cellIs" dxfId="51" priority="37" operator="equal">
      <formula>"Y"</formula>
    </cfRule>
  </conditionalFormatting>
  <conditionalFormatting sqref="K20:L23 K30:L31 K36:L37 K86:L96 K97 K99:L99">
    <cfRule type="duplicateValues" dxfId="50" priority="1601"/>
    <cfRule type="duplicateValues" dxfId="49" priority="1623"/>
  </conditionalFormatting>
  <conditionalFormatting sqref="V20:W20 V22:W22">
    <cfRule type="cellIs" dxfId="48" priority="891" operator="equal">
      <formula>"N"</formula>
    </cfRule>
    <cfRule type="cellIs" dxfId="47" priority="892" operator="equal">
      <formula>"Y"</formula>
    </cfRule>
  </conditionalFormatting>
  <conditionalFormatting sqref="K24:L26">
    <cfRule type="duplicateValues" dxfId="46" priority="932"/>
  </conditionalFormatting>
  <conditionalFormatting sqref="K28:L29">
    <cfRule type="duplicateValues" dxfId="45" priority="873"/>
  </conditionalFormatting>
  <conditionalFormatting sqref="K30:L31">
    <cfRule type="duplicateValues" dxfId="44" priority="994"/>
    <cfRule type="duplicateValues" dxfId="43" priority="996"/>
  </conditionalFormatting>
  <conditionalFormatting sqref="K32:L33">
    <cfRule type="duplicateValues" dxfId="42" priority="413"/>
    <cfRule type="duplicateValues" dxfId="41" priority="414"/>
  </conditionalFormatting>
  <conditionalFormatting sqref="V32:W33">
    <cfRule type="cellIs" dxfId="40" priority="411" operator="equal">
      <formula>"N"</formula>
    </cfRule>
    <cfRule type="cellIs" dxfId="39" priority="412" operator="equal">
      <formula>"Y"</formula>
    </cfRule>
  </conditionalFormatting>
  <conditionalFormatting sqref="K36:L37 K86:L96 K97 K99:L99">
    <cfRule type="duplicateValues" dxfId="38" priority="1642"/>
  </conditionalFormatting>
  <conditionalFormatting sqref="N44:N48 N38:N40 N51">
    <cfRule type="duplicateValues" dxfId="37" priority="306"/>
  </conditionalFormatting>
  <conditionalFormatting sqref="P38:P40 P44:P48">
    <cfRule type="duplicateValues" dxfId="36" priority="388"/>
    <cfRule type="duplicateValues" dxfId="35" priority="389"/>
    <cfRule type="duplicateValues" dxfId="34" priority="390"/>
    <cfRule type="duplicateValues" dxfId="33" priority="391"/>
  </conditionalFormatting>
  <conditionalFormatting sqref="P38:P40 P44:P48 P56:P58 P60:P61 P53 P63 P65 P68:P71 P73:P74">
    <cfRule type="duplicateValues" dxfId="32" priority="384"/>
    <cfRule type="duplicateValues" dxfId="31" priority="385"/>
    <cfRule type="duplicateValues" dxfId="30" priority="386"/>
    <cfRule type="duplicateValues" dxfId="29" priority="387"/>
  </conditionalFormatting>
  <conditionalFormatting sqref="V38:W40 V44:W48 V56:W61 V53:W53 V51:W51 W77">
    <cfRule type="cellIs" dxfId="28" priority="380" operator="equal">
      <formula>"N"</formula>
    </cfRule>
    <cfRule type="cellIs" dxfId="27" priority="381" operator="equal">
      <formula>"Y"</formula>
    </cfRule>
    <cfRule type="colorScale" priority="382">
      <colorScale>
        <cfvo type="num" val="&quot;Y&quot;"/>
        <cfvo type="num" val="&quot;N&quot;"/>
        <color rgb="FF00B050"/>
        <color rgb="FFFF0000"/>
      </colorScale>
    </cfRule>
  </conditionalFormatting>
  <conditionalFormatting sqref="V41:W43">
    <cfRule type="cellIs" dxfId="26" priority="176" operator="equal">
      <formula>"N"</formula>
    </cfRule>
    <cfRule type="cellIs" dxfId="25" priority="177" operator="equal">
      <formula>"Y"</formula>
    </cfRule>
    <cfRule type="colorScale" priority="178">
      <colorScale>
        <cfvo type="num" val="&quot;Y&quot;"/>
        <cfvo type="num" val="&quot;N&quot;"/>
        <color rgb="FF00B050"/>
        <color rgb="FFFF0000"/>
      </colorScale>
    </cfRule>
  </conditionalFormatting>
  <conditionalFormatting sqref="X44:X48 X58 X53 X56 X67:X71 X73:X74 X81 X84:X85">
    <cfRule type="cellIs" dxfId="24" priority="383" stopIfTrue="1" operator="equal">
      <formula>“总成件”</formula>
    </cfRule>
  </conditionalFormatting>
  <conditionalFormatting sqref="W49 W79 V76:V79">
    <cfRule type="cellIs" dxfId="23" priority="262" operator="equal">
      <formula>"N"</formula>
    </cfRule>
    <cfRule type="cellIs" dxfId="22" priority="263" operator="equal">
      <formula>"Y"</formula>
    </cfRule>
    <cfRule type="colorScale" priority="264">
      <colorScale>
        <cfvo type="num" val="&quot;Y&quot;"/>
        <cfvo type="num" val="&quot;N&quot;"/>
        <color rgb="FF00B050"/>
        <color rgb="FFFF0000"/>
      </colorScale>
    </cfRule>
  </conditionalFormatting>
  <conditionalFormatting sqref="X49 X62:X63 X65:X66 X76:X79">
    <cfRule type="cellIs" dxfId="21" priority="261" stopIfTrue="1" operator="equal">
      <formula>“总成件”</formula>
    </cfRule>
  </conditionalFormatting>
  <conditionalFormatting sqref="V62:W62 V63 V66:V70">
    <cfRule type="cellIs" dxfId="20" priority="337" operator="equal">
      <formula>"N"</formula>
    </cfRule>
    <cfRule type="cellIs" dxfId="19" priority="338" operator="equal">
      <formula>"Y"</formula>
    </cfRule>
    <cfRule type="colorScale" priority="339">
      <colorScale>
        <cfvo type="num" val="&quot;Y&quot;"/>
        <cfvo type="num" val="&quot;N&quot;"/>
        <color rgb="FF00B050"/>
        <color rgb="FFFF0000"/>
      </colorScale>
    </cfRule>
  </conditionalFormatting>
  <conditionalFormatting sqref="V71:W71 V65 V73:V74 V81 V84:V85">
    <cfRule type="cellIs" dxfId="18" priority="334" operator="equal">
      <formula>"N"</formula>
    </cfRule>
    <cfRule type="cellIs" dxfId="17" priority="335" operator="equal">
      <formula>"Y"</formula>
    </cfRule>
    <cfRule type="colorScale" priority="336">
      <colorScale>
        <cfvo type="num" val="&quot;Y&quot;"/>
        <cfvo type="num" val="&quot;N&quot;"/>
        <color rgb="FF00B050"/>
        <color rgb="FFFF0000"/>
      </colorScale>
    </cfRule>
  </conditionalFormatting>
  <conditionalFormatting sqref="W73:W74 W65 W76">
    <cfRule type="cellIs" dxfId="16" priority="371" operator="equal">
      <formula>"N"</formula>
    </cfRule>
    <cfRule type="cellIs" dxfId="15" priority="372" operator="equal">
      <formula>"Y"</formula>
    </cfRule>
    <cfRule type="colorScale" priority="373">
      <colorScale>
        <cfvo type="num" val="&quot;Y&quot;"/>
        <cfvo type="num" val="&quot;N&quot;"/>
        <color rgb="FF00B050"/>
        <color rgb="FFFF0000"/>
      </colorScale>
    </cfRule>
  </conditionalFormatting>
  <conditionalFormatting sqref="P78:P79 P81 P84:P85">
    <cfRule type="duplicateValues" dxfId="14" priority="1531"/>
    <cfRule type="duplicateValues" dxfId="13" priority="1532"/>
    <cfRule type="duplicateValues" dxfId="12" priority="1533"/>
    <cfRule type="duplicateValues" dxfId="11" priority="1534"/>
  </conditionalFormatting>
  <conditionalFormatting sqref="W84:W85 W81">
    <cfRule type="cellIs" dxfId="10" priority="364" operator="equal">
      <formula>"N"</formula>
    </cfRule>
    <cfRule type="cellIs" dxfId="9" priority="365" operator="equal">
      <formula>"Y"</formula>
    </cfRule>
    <cfRule type="colorScale" priority="366">
      <colorScale>
        <cfvo type="num" val="&quot;Y&quot;"/>
        <cfvo type="num" val="&quot;N&quot;"/>
        <color rgb="FF00B050"/>
        <color rgb="FFFF0000"/>
      </colorScale>
    </cfRule>
  </conditionalFormatting>
  <conditionalFormatting sqref="V87:W96">
    <cfRule type="cellIs" dxfId="8" priority="445" operator="equal">
      <formula>"N"</formula>
    </cfRule>
    <cfRule type="cellIs" dxfId="7" priority="446" operator="equal">
      <formula>"Y"</formula>
    </cfRule>
  </conditionalFormatting>
  <dataValidations count="3">
    <dataValidation type="list" allowBlank="1" showInputMessage="1" showErrorMessage="1" sqref="V9:W99" xr:uid="{00000000-0002-0000-0100-000000000000}">
      <formula1>"Y,N"</formula1>
    </dataValidation>
    <dataValidation type="list" allowBlank="1" showInputMessage="1" showErrorMessage="1" sqref="Y79:Z79 AC38:AC85" xr:uid="{00000000-0002-0000-0100-000001000000}">
      <formula1>"镀白锌,发黑,氧化铁皮膜,电泳（ED),——,镀黑锌,热处理（调质处理）,喷漆,"</formula1>
    </dataValidation>
    <dataValidation type="list" allowBlank="1" showInputMessage="1" showErrorMessage="1" sqref="X38:X85" xr:uid="{00000000-0002-0000-0100-000002000000}">
      <formula1>"装配总成件,焊接总成件,面料,塑料件,钣金件,机加工件,标准件,非标件,线材件,管材件,圆钢"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9" scale="27" orientation="landscape" r:id="rId1"/>
  <headerFooter>
    <oddFooter>&amp;C第 &amp;P 页，共 &amp;N 页</oddFooter>
  </headerFooter>
  <rowBreaks count="2" manualBreakCount="2">
    <brk id="13" max="16383" man="1"/>
    <brk id="47" max="6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H7"/>
  <sheetViews>
    <sheetView workbookViewId="0">
      <selection activeCell="J19" sqref="J19"/>
    </sheetView>
  </sheetViews>
  <sheetFormatPr defaultRowHeight="14.4" x14ac:dyDescent="0.25"/>
  <cols>
    <col min="3" max="3" width="9.33203125" customWidth="1"/>
    <col min="6" max="6" width="11.21875" customWidth="1"/>
    <col min="7" max="7" width="11.6640625" customWidth="1"/>
    <col min="8" max="8" width="12.5546875" customWidth="1"/>
  </cols>
  <sheetData>
    <row r="4" spans="3:8" x14ac:dyDescent="0.25">
      <c r="C4" s="537" t="s">
        <v>745</v>
      </c>
      <c r="D4" s="421" t="s">
        <v>746</v>
      </c>
      <c r="E4" s="423" t="s">
        <v>747</v>
      </c>
      <c r="F4" s="425" t="s">
        <v>748</v>
      </c>
      <c r="G4" s="427" t="s">
        <v>749</v>
      </c>
      <c r="H4" s="429" t="s">
        <v>751</v>
      </c>
    </row>
    <row r="5" spans="3:8" x14ac:dyDescent="0.25">
      <c r="C5" s="538"/>
      <c r="D5" s="422">
        <v>35</v>
      </c>
      <c r="E5" s="424">
        <v>11</v>
      </c>
      <c r="F5" s="426">
        <v>5</v>
      </c>
      <c r="G5" s="428">
        <v>4</v>
      </c>
      <c r="H5" s="430">
        <v>15</v>
      </c>
    </row>
    <row r="7" spans="3:8" x14ac:dyDescent="0.25">
      <c r="E7" s="432" t="s">
        <v>752</v>
      </c>
      <c r="F7" s="431">
        <f>(D5-E5)/D5</f>
        <v>0.68571428571428572</v>
      </c>
    </row>
  </sheetData>
  <mergeCells count="1">
    <mergeCell ref="C4:C5"/>
  </mergeCells>
  <phoneticPr fontId="5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4"/>
  <sheetViews>
    <sheetView zoomScale="80" zoomScaleNormal="80" workbookViewId="0">
      <pane xSplit="10" ySplit="2" topLeftCell="AA3" activePane="bottomRight" state="frozen"/>
      <selection pane="topRight"/>
      <selection pane="bottomLeft"/>
      <selection pane="bottomRight" activeCell="AF6" sqref="AF6"/>
    </sheetView>
  </sheetViews>
  <sheetFormatPr defaultColWidth="9" defaultRowHeight="14.4" x14ac:dyDescent="0.25"/>
  <cols>
    <col min="3" max="5" width="5" customWidth="1"/>
    <col min="6" max="6" width="5.44140625" customWidth="1"/>
    <col min="7" max="7" width="8.44140625" customWidth="1"/>
    <col min="8" max="8" width="7.88671875" customWidth="1"/>
    <col min="9" max="9" width="5" customWidth="1"/>
    <col min="10" max="10" width="8.33203125" customWidth="1"/>
    <col min="11" max="11" width="8.21875" customWidth="1"/>
    <col min="12" max="14" width="5" customWidth="1"/>
    <col min="15" max="15" width="6.77734375" customWidth="1"/>
    <col min="16" max="16" width="6.21875" customWidth="1"/>
    <col min="17" max="17" width="6.6640625" customWidth="1"/>
    <col min="21" max="21" width="6.44140625" customWidth="1"/>
    <col min="22" max="22" width="5.44140625" customWidth="1"/>
    <col min="23" max="23" width="6.77734375" customWidth="1"/>
    <col min="24" max="24" width="5.88671875" customWidth="1"/>
    <col min="25" max="25" width="6.33203125" customWidth="1"/>
    <col min="26" max="26" width="5.109375" customWidth="1"/>
    <col min="32" max="32" width="11.109375" style="79"/>
  </cols>
  <sheetData>
    <row r="1" spans="1:36" s="75" customFormat="1" ht="48.75" customHeight="1" x14ac:dyDescent="0.25">
      <c r="A1" s="550" t="s">
        <v>423</v>
      </c>
      <c r="B1" s="550" t="s">
        <v>3</v>
      </c>
      <c r="C1" s="543" t="s">
        <v>424</v>
      </c>
      <c r="D1" s="546" t="s">
        <v>30</v>
      </c>
      <c r="E1" s="548" t="s">
        <v>425</v>
      </c>
      <c r="F1" s="539" t="s">
        <v>426</v>
      </c>
      <c r="G1" s="541" t="s">
        <v>427</v>
      </c>
      <c r="H1" s="553" t="s">
        <v>428</v>
      </c>
      <c r="I1" s="548" t="s">
        <v>429</v>
      </c>
      <c r="J1" s="554" t="s">
        <v>430</v>
      </c>
      <c r="K1" s="556" t="s">
        <v>431</v>
      </c>
      <c r="L1" s="558" t="s">
        <v>432</v>
      </c>
      <c r="M1" s="548" t="s">
        <v>433</v>
      </c>
      <c r="N1" s="550" t="s">
        <v>434</v>
      </c>
      <c r="O1" s="559" t="s">
        <v>435</v>
      </c>
      <c r="P1" s="556" t="s">
        <v>436</v>
      </c>
      <c r="Q1" s="556" t="s">
        <v>437</v>
      </c>
      <c r="R1" s="561" t="s">
        <v>438</v>
      </c>
      <c r="S1" s="563" t="s">
        <v>439</v>
      </c>
      <c r="T1" s="550" t="s">
        <v>440</v>
      </c>
      <c r="U1" s="548" t="s">
        <v>441</v>
      </c>
      <c r="V1" s="548" t="s">
        <v>442</v>
      </c>
      <c r="W1" s="563" t="s">
        <v>443</v>
      </c>
      <c r="X1" s="553" t="s">
        <v>444</v>
      </c>
      <c r="Y1" s="553"/>
      <c r="Z1" s="550" t="s">
        <v>445</v>
      </c>
      <c r="AA1" s="553" t="s">
        <v>446</v>
      </c>
      <c r="AB1" s="553" t="s">
        <v>447</v>
      </c>
      <c r="AC1" s="548" t="s">
        <v>448</v>
      </c>
      <c r="AD1" s="553" t="s">
        <v>449</v>
      </c>
      <c r="AE1" s="568" t="s">
        <v>450</v>
      </c>
      <c r="AF1" s="122"/>
    </row>
    <row r="2" spans="1:36" s="75" customFormat="1" ht="48.75" customHeight="1" x14ac:dyDescent="0.25">
      <c r="A2" s="550"/>
      <c r="B2" s="550"/>
      <c r="C2" s="544"/>
      <c r="D2" s="546"/>
      <c r="E2" s="548"/>
      <c r="F2" s="540"/>
      <c r="G2" s="542"/>
      <c r="H2" s="553"/>
      <c r="I2" s="548"/>
      <c r="J2" s="554"/>
      <c r="K2" s="556"/>
      <c r="L2" s="558"/>
      <c r="M2" s="548"/>
      <c r="N2" s="550"/>
      <c r="O2" s="559"/>
      <c r="P2" s="556"/>
      <c r="Q2" s="556"/>
      <c r="R2" s="561"/>
      <c r="S2" s="563"/>
      <c r="T2" s="550"/>
      <c r="U2" s="548"/>
      <c r="V2" s="548"/>
      <c r="W2" s="563"/>
      <c r="X2" s="80" t="s">
        <v>451</v>
      </c>
      <c r="Y2" s="80" t="s">
        <v>452</v>
      </c>
      <c r="Z2" s="550"/>
      <c r="AA2" s="553"/>
      <c r="AB2" s="553"/>
      <c r="AC2" s="548"/>
      <c r="AD2" s="553"/>
      <c r="AE2" s="568"/>
      <c r="AF2" s="122"/>
    </row>
    <row r="3" spans="1:36" s="76" customFormat="1" ht="36" x14ac:dyDescent="0.25">
      <c r="A3" s="81" t="s">
        <v>453</v>
      </c>
      <c r="B3" s="82" t="s">
        <v>454</v>
      </c>
      <c r="C3" s="82"/>
      <c r="D3" s="83"/>
      <c r="E3" s="84">
        <v>1</v>
      </c>
      <c r="F3" s="85" t="s">
        <v>455</v>
      </c>
      <c r="G3" s="86">
        <v>1.6E-2</v>
      </c>
      <c r="H3" s="87">
        <f t="shared" ref="H3:H9" si="0">G3*1.05</f>
        <v>1.6800000000000002E-2</v>
      </c>
      <c r="I3" s="86" t="s">
        <v>456</v>
      </c>
      <c r="J3" s="100">
        <v>10</v>
      </c>
      <c r="K3" s="101">
        <v>1</v>
      </c>
      <c r="L3" s="102">
        <v>75</v>
      </c>
      <c r="M3" s="84">
        <v>3</v>
      </c>
      <c r="N3" s="85" t="s">
        <v>455</v>
      </c>
      <c r="O3" s="103">
        <v>38.9</v>
      </c>
      <c r="P3" s="104">
        <v>4.8550000000000004</v>
      </c>
      <c r="Q3" s="112">
        <v>0.05</v>
      </c>
      <c r="R3" s="113">
        <f t="shared" ref="R3" si="1">Q3*H3</f>
        <v>8.4000000000000014E-4</v>
      </c>
      <c r="S3" s="114">
        <f t="shared" ref="S3" si="2">R3*12</f>
        <v>1.0080000000000002E-2</v>
      </c>
      <c r="T3" s="85" t="s">
        <v>457</v>
      </c>
      <c r="U3" s="84">
        <f t="shared" ref="U3" si="3">12*3600/L3</f>
        <v>576</v>
      </c>
      <c r="V3" s="115">
        <v>2</v>
      </c>
      <c r="W3" s="116">
        <f t="shared" ref="W3" si="4">H3*J3*1.05</f>
        <v>0.17640000000000006</v>
      </c>
      <c r="X3" s="116">
        <f t="shared" ref="X3:X6" si="5">(12+K3)*0.76*P3/(U3*V3)</f>
        <v>4.1638368055555562E-2</v>
      </c>
      <c r="Y3" s="116">
        <f t="shared" ref="Y3" si="6">0.45*12*0.76*O3/(U3*V3)</f>
        <v>0.13858124999999999</v>
      </c>
      <c r="Z3" s="84">
        <v>3</v>
      </c>
      <c r="AA3" s="123">
        <f t="shared" ref="AA3" si="7">12*18*Z3/(U3*V3)</f>
        <v>0.5625</v>
      </c>
      <c r="AB3" s="123">
        <f t="shared" ref="AB3" si="8">S3/(U3*V3)</f>
        <v>8.7500000000000026E-6</v>
      </c>
      <c r="AC3" s="124">
        <v>0.2</v>
      </c>
      <c r="AD3" s="116">
        <f t="shared" ref="AD3:AD4" si="9">W3+X3+Y3+AA3+AB3+AC3</f>
        <v>1.1191283680555557</v>
      </c>
      <c r="AE3" s="125">
        <f t="shared" ref="AE3:AE4" si="10">AD3*1.2</f>
        <v>1.3429540416666668</v>
      </c>
      <c r="AF3" s="126">
        <f>AE3/W3</f>
        <v>7.6131181500377911</v>
      </c>
    </row>
    <row r="4" spans="1:36" s="76" customFormat="1" ht="36" x14ac:dyDescent="0.25">
      <c r="A4" s="81" t="s">
        <v>458</v>
      </c>
      <c r="B4" s="82" t="s">
        <v>459</v>
      </c>
      <c r="C4" s="82"/>
      <c r="D4" s="83"/>
      <c r="E4" s="84">
        <v>1</v>
      </c>
      <c r="F4" s="85" t="s">
        <v>455</v>
      </c>
      <c r="G4" s="88">
        <v>1.4999999999999999E-2</v>
      </c>
      <c r="H4" s="87">
        <f t="shared" si="0"/>
        <v>1.575E-2</v>
      </c>
      <c r="I4" s="86" t="s">
        <v>456</v>
      </c>
      <c r="J4" s="100">
        <v>10</v>
      </c>
      <c r="K4" s="101">
        <v>1</v>
      </c>
      <c r="L4" s="102">
        <v>75</v>
      </c>
      <c r="M4" s="84">
        <v>3</v>
      </c>
      <c r="N4" s="85" t="s">
        <v>455</v>
      </c>
      <c r="O4" s="103">
        <v>38.9</v>
      </c>
      <c r="P4" s="104">
        <v>4.8550000000000004</v>
      </c>
      <c r="Q4" s="112">
        <v>0.05</v>
      </c>
      <c r="R4" s="113">
        <f t="shared" ref="R4" si="11">Q4*H4</f>
        <v>7.8750000000000001E-4</v>
      </c>
      <c r="S4" s="114">
        <f t="shared" ref="S4" si="12">R4*12</f>
        <v>9.4500000000000001E-3</v>
      </c>
      <c r="T4" s="85" t="s">
        <v>457</v>
      </c>
      <c r="U4" s="84">
        <f t="shared" ref="U4" si="13">12*3600/L4</f>
        <v>576</v>
      </c>
      <c r="V4" s="115">
        <v>2</v>
      </c>
      <c r="W4" s="116">
        <f t="shared" ref="W4" si="14">H4*J4*1.05</f>
        <v>0.16537500000000002</v>
      </c>
      <c r="X4" s="116">
        <f t="shared" si="5"/>
        <v>4.1638368055555562E-2</v>
      </c>
      <c r="Y4" s="116">
        <f t="shared" ref="Y4" si="15">0.45*12*0.76*O4/(U4*V4)</f>
        <v>0.13858124999999999</v>
      </c>
      <c r="Z4" s="84">
        <v>3</v>
      </c>
      <c r="AA4" s="123">
        <f t="shared" ref="AA4" si="16">12*18*Z4/(U4*V4)</f>
        <v>0.5625</v>
      </c>
      <c r="AB4" s="123">
        <f t="shared" ref="AB4" si="17">S4/(U4*V4)</f>
        <v>8.2031249999999995E-6</v>
      </c>
      <c r="AC4" s="124"/>
      <c r="AD4" s="127">
        <f t="shared" si="9"/>
        <v>0.90810282118055563</v>
      </c>
      <c r="AE4" s="125">
        <f t="shared" si="10"/>
        <v>1.0897233854166668</v>
      </c>
      <c r="AF4" s="126">
        <f>AE4/W4</f>
        <v>6.5894082262534646</v>
      </c>
    </row>
    <row r="5" spans="1:36" s="76" customFormat="1" ht="37.5" customHeight="1" x14ac:dyDescent="0.25">
      <c r="A5" s="81" t="s">
        <v>354</v>
      </c>
      <c r="B5" s="82" t="s">
        <v>356</v>
      </c>
      <c r="C5" s="82"/>
      <c r="D5" s="83"/>
      <c r="E5" s="89">
        <v>4</v>
      </c>
      <c r="F5" s="85" t="s">
        <v>460</v>
      </c>
      <c r="G5" s="90">
        <v>6.0000000000000001E-3</v>
      </c>
      <c r="H5" s="87">
        <f t="shared" si="0"/>
        <v>6.3E-3</v>
      </c>
      <c r="I5" s="86" t="s">
        <v>461</v>
      </c>
      <c r="J5" s="100">
        <v>43.1</v>
      </c>
      <c r="K5" s="101">
        <v>1</v>
      </c>
      <c r="L5" s="102">
        <v>45</v>
      </c>
      <c r="M5" s="84">
        <v>2</v>
      </c>
      <c r="N5" s="85" t="s">
        <v>460</v>
      </c>
      <c r="O5" s="105">
        <v>32.75</v>
      </c>
      <c r="P5" s="105">
        <v>4.8550000000000004</v>
      </c>
      <c r="Q5" s="112">
        <v>0.05</v>
      </c>
      <c r="R5" s="113">
        <f t="shared" ref="R5:R9" si="18">Q5*H5</f>
        <v>3.1500000000000001E-4</v>
      </c>
      <c r="S5" s="114">
        <f t="shared" ref="S5:S9" si="19">R5*12</f>
        <v>3.7800000000000004E-3</v>
      </c>
      <c r="T5" s="117" t="s">
        <v>462</v>
      </c>
      <c r="U5" s="84">
        <f t="shared" ref="U5:U9" si="20">12*3600/L5</f>
        <v>960</v>
      </c>
      <c r="V5" s="115">
        <v>8</v>
      </c>
      <c r="W5" s="116">
        <f t="shared" ref="W5:W9" si="21">H5*J5*1.05</f>
        <v>0.28510649999999998</v>
      </c>
      <c r="X5" s="116">
        <f t="shared" si="5"/>
        <v>6.2457552083333336E-3</v>
      </c>
      <c r="Y5" s="116">
        <f t="shared" ref="Y5:Y9" si="22">0.45*12*0.76*O5/(U5*V5)</f>
        <v>1.750078125E-2</v>
      </c>
      <c r="Z5" s="84">
        <v>2</v>
      </c>
      <c r="AA5" s="123">
        <f t="shared" ref="AA5:AA9" si="23">12*18*Z5/(U5*V5)</f>
        <v>5.6250000000000001E-2</v>
      </c>
      <c r="AB5" s="123">
        <f t="shared" ref="AB5:AB9" si="24">S5/(U5*V5)</f>
        <v>4.921875E-7</v>
      </c>
      <c r="AC5" s="124"/>
      <c r="AD5" s="127">
        <f t="shared" ref="AD5:AD9" si="25">W5+X5+Y5+AA5+AB5+AC5</f>
        <v>0.36510352864583329</v>
      </c>
      <c r="AE5" s="125">
        <f t="shared" ref="AE5:AE9" si="26">AD5*1.2</f>
        <v>0.43812423437499992</v>
      </c>
      <c r="AF5" s="126">
        <f>AE5/W5</f>
        <v>1.5367037734144957</v>
      </c>
    </row>
    <row r="6" spans="1:36" s="76" customFormat="1" ht="31.5" customHeight="1" x14ac:dyDescent="0.25">
      <c r="A6" s="91" t="s">
        <v>463</v>
      </c>
      <c r="B6" s="82" t="s">
        <v>464</v>
      </c>
      <c r="C6" s="82"/>
      <c r="D6" s="83"/>
      <c r="E6" s="84">
        <v>1</v>
      </c>
      <c r="F6" s="92" t="s">
        <v>465</v>
      </c>
      <c r="G6" s="90">
        <v>0.21299999999999999</v>
      </c>
      <c r="H6" s="87">
        <f t="shared" si="0"/>
        <v>0.22365000000000002</v>
      </c>
      <c r="I6" s="106">
        <v>1</v>
      </c>
      <c r="J6" s="100">
        <v>9</v>
      </c>
      <c r="K6" s="101">
        <v>1</v>
      </c>
      <c r="L6" s="102">
        <v>60</v>
      </c>
      <c r="M6" s="106">
        <v>2</v>
      </c>
      <c r="N6" s="92" t="s">
        <v>465</v>
      </c>
      <c r="O6" s="105">
        <v>76.5</v>
      </c>
      <c r="P6" s="105">
        <v>4.8550000000000004</v>
      </c>
      <c r="Q6" s="112">
        <v>0.05</v>
      </c>
      <c r="R6" s="113">
        <f t="shared" si="18"/>
        <v>1.1182500000000001E-2</v>
      </c>
      <c r="S6" s="114">
        <f t="shared" si="19"/>
        <v>0.13419000000000003</v>
      </c>
      <c r="T6" s="117" t="s">
        <v>411</v>
      </c>
      <c r="U6" s="84">
        <f t="shared" si="20"/>
        <v>720</v>
      </c>
      <c r="V6" s="115">
        <v>1</v>
      </c>
      <c r="W6" s="116">
        <f t="shared" si="21"/>
        <v>2.1134925000000004</v>
      </c>
      <c r="X6" s="116">
        <f t="shared" si="5"/>
        <v>6.6621388888888897E-2</v>
      </c>
      <c r="Y6" s="116">
        <f t="shared" si="22"/>
        <v>0.43605000000000005</v>
      </c>
      <c r="Z6" s="106">
        <v>2</v>
      </c>
      <c r="AA6" s="123">
        <f t="shared" si="23"/>
        <v>0.6</v>
      </c>
      <c r="AB6" s="123">
        <f t="shared" si="24"/>
        <v>1.8637500000000004E-4</v>
      </c>
      <c r="AC6" s="124"/>
      <c r="AD6" s="127">
        <f t="shared" si="25"/>
        <v>3.2163502638888892</v>
      </c>
      <c r="AE6" s="125">
        <f t="shared" si="26"/>
        <v>3.8596203166666667</v>
      </c>
      <c r="AF6" s="126">
        <f t="shared" ref="AF6:AF9" si="27">AE6/W6</f>
        <v>1.8261812221555864</v>
      </c>
    </row>
    <row r="7" spans="1:36" s="76" customFormat="1" ht="31.5" customHeight="1" x14ac:dyDescent="0.25">
      <c r="A7" s="91" t="s">
        <v>408</v>
      </c>
      <c r="B7" s="82" t="s">
        <v>409</v>
      </c>
      <c r="C7" s="82"/>
      <c r="D7" s="83"/>
      <c r="E7" s="84">
        <v>1</v>
      </c>
      <c r="F7" s="92" t="s">
        <v>465</v>
      </c>
      <c r="G7" s="90">
        <v>0.21299999999999999</v>
      </c>
      <c r="H7" s="87">
        <f t="shared" si="0"/>
        <v>0.22365000000000002</v>
      </c>
      <c r="I7" s="106">
        <v>1</v>
      </c>
      <c r="J7" s="100">
        <v>9</v>
      </c>
      <c r="K7" s="101">
        <v>1</v>
      </c>
      <c r="L7" s="102">
        <v>60</v>
      </c>
      <c r="M7" s="106">
        <v>2</v>
      </c>
      <c r="N7" s="92" t="s">
        <v>465</v>
      </c>
      <c r="O7" s="105">
        <v>76.5</v>
      </c>
      <c r="P7" s="105">
        <v>4.8550000000000004</v>
      </c>
      <c r="Q7" s="112">
        <v>0.05</v>
      </c>
      <c r="R7" s="113">
        <f t="shared" si="18"/>
        <v>1.1182500000000001E-2</v>
      </c>
      <c r="S7" s="114">
        <f t="shared" si="19"/>
        <v>0.13419000000000003</v>
      </c>
      <c r="T7" s="117" t="s">
        <v>411</v>
      </c>
      <c r="U7" s="84">
        <f t="shared" si="20"/>
        <v>720</v>
      </c>
      <c r="V7" s="115">
        <v>1</v>
      </c>
      <c r="W7" s="116">
        <f t="shared" si="21"/>
        <v>2.1134925000000004</v>
      </c>
      <c r="X7" s="116">
        <f t="shared" ref="X7:X9" si="28">(12+K7)*0.76*P7/(U7*V7)</f>
        <v>6.6621388888888897E-2</v>
      </c>
      <c r="Y7" s="116">
        <f t="shared" si="22"/>
        <v>0.43605000000000005</v>
      </c>
      <c r="Z7" s="106">
        <v>2</v>
      </c>
      <c r="AA7" s="123">
        <f t="shared" si="23"/>
        <v>0.6</v>
      </c>
      <c r="AB7" s="123">
        <f t="shared" si="24"/>
        <v>1.8637500000000004E-4</v>
      </c>
      <c r="AC7" s="124"/>
      <c r="AD7" s="127">
        <f t="shared" si="25"/>
        <v>3.2163502638888892</v>
      </c>
      <c r="AE7" s="125">
        <f t="shared" si="26"/>
        <v>3.8596203166666667</v>
      </c>
      <c r="AF7" s="126">
        <f t="shared" si="27"/>
        <v>1.8261812221555864</v>
      </c>
    </row>
    <row r="8" spans="1:36" s="76" customFormat="1" ht="31.5" customHeight="1" x14ac:dyDescent="0.25">
      <c r="A8" s="91" t="s">
        <v>413</v>
      </c>
      <c r="B8" s="82" t="s">
        <v>414</v>
      </c>
      <c r="C8" s="82"/>
      <c r="D8" s="83"/>
      <c r="E8" s="84">
        <v>1</v>
      </c>
      <c r="F8" s="92" t="s">
        <v>466</v>
      </c>
      <c r="G8" s="93">
        <v>7.4999999999999997E-2</v>
      </c>
      <c r="H8" s="87">
        <f t="shared" si="0"/>
        <v>7.8750000000000001E-2</v>
      </c>
      <c r="I8" s="106" t="s">
        <v>456</v>
      </c>
      <c r="J8" s="100">
        <v>9</v>
      </c>
      <c r="K8" s="101">
        <v>1</v>
      </c>
      <c r="L8" s="102">
        <v>60</v>
      </c>
      <c r="M8" s="106">
        <v>1</v>
      </c>
      <c r="N8" s="92" t="s">
        <v>466</v>
      </c>
      <c r="O8" s="105">
        <v>59.9</v>
      </c>
      <c r="P8" s="105">
        <v>4.8550000000000004</v>
      </c>
      <c r="Q8" s="112">
        <v>0.05</v>
      </c>
      <c r="R8" s="113">
        <f t="shared" si="18"/>
        <v>3.9375E-3</v>
      </c>
      <c r="S8" s="114">
        <f t="shared" si="19"/>
        <v>4.725E-2</v>
      </c>
      <c r="T8" s="117" t="s">
        <v>415</v>
      </c>
      <c r="U8" s="84">
        <f t="shared" si="20"/>
        <v>720</v>
      </c>
      <c r="V8" s="115">
        <v>2</v>
      </c>
      <c r="W8" s="116">
        <f t="shared" si="21"/>
        <v>0.7441875</v>
      </c>
      <c r="X8" s="116">
        <f t="shared" si="28"/>
        <v>3.3310694444444448E-2</v>
      </c>
      <c r="Y8" s="116">
        <f t="shared" si="22"/>
        <v>0.17071500000000001</v>
      </c>
      <c r="Z8" s="106">
        <v>1</v>
      </c>
      <c r="AA8" s="123">
        <f t="shared" si="23"/>
        <v>0.15</v>
      </c>
      <c r="AB8" s="123">
        <f t="shared" si="24"/>
        <v>3.2812499999999998E-5</v>
      </c>
      <c r="AC8" s="124"/>
      <c r="AD8" s="127">
        <f t="shared" si="25"/>
        <v>1.0982460069444444</v>
      </c>
      <c r="AE8" s="125">
        <f t="shared" si="26"/>
        <v>1.3178952083333333</v>
      </c>
      <c r="AF8" s="126">
        <f t="shared" si="27"/>
        <v>1.7709182273732538</v>
      </c>
    </row>
    <row r="9" spans="1:36" s="76" customFormat="1" ht="31.5" customHeight="1" x14ac:dyDescent="0.25">
      <c r="A9" s="91" t="s">
        <v>416</v>
      </c>
      <c r="B9" s="82" t="s">
        <v>417</v>
      </c>
      <c r="C9" s="82"/>
      <c r="D9" s="83"/>
      <c r="E9" s="84">
        <v>1</v>
      </c>
      <c r="F9" s="85" t="s">
        <v>467</v>
      </c>
      <c r="G9" s="93">
        <v>3.3000000000000002E-2</v>
      </c>
      <c r="H9" s="87">
        <f t="shared" si="0"/>
        <v>3.465E-2</v>
      </c>
      <c r="I9" s="86">
        <v>2</v>
      </c>
      <c r="J9" s="100">
        <v>17</v>
      </c>
      <c r="K9" s="101">
        <v>1</v>
      </c>
      <c r="L9" s="102">
        <v>40</v>
      </c>
      <c r="M9" s="84">
        <v>1</v>
      </c>
      <c r="N9" s="107" t="s">
        <v>467</v>
      </c>
      <c r="O9" s="105">
        <v>32.75</v>
      </c>
      <c r="P9" s="105">
        <v>4.8550000000000004</v>
      </c>
      <c r="Q9" s="112">
        <v>0.05</v>
      </c>
      <c r="R9" s="113">
        <f t="shared" si="18"/>
        <v>1.7325000000000001E-3</v>
      </c>
      <c r="S9" s="114">
        <f t="shared" si="19"/>
        <v>2.0790000000000003E-2</v>
      </c>
      <c r="T9" s="117" t="s">
        <v>418</v>
      </c>
      <c r="U9" s="84">
        <f t="shared" si="20"/>
        <v>1080</v>
      </c>
      <c r="V9" s="115">
        <v>2</v>
      </c>
      <c r="W9" s="116">
        <f t="shared" si="21"/>
        <v>0.61850249999999996</v>
      </c>
      <c r="X9" s="116">
        <f t="shared" si="28"/>
        <v>2.2207129629629632E-2</v>
      </c>
      <c r="Y9" s="116">
        <f t="shared" si="22"/>
        <v>6.2225000000000003E-2</v>
      </c>
      <c r="Z9" s="116">
        <v>1</v>
      </c>
      <c r="AA9" s="123">
        <f t="shared" si="23"/>
        <v>0.1</v>
      </c>
      <c r="AB9" s="123">
        <f t="shared" si="24"/>
        <v>9.6250000000000019E-6</v>
      </c>
      <c r="AC9" s="124"/>
      <c r="AD9" s="127">
        <f t="shared" si="25"/>
        <v>0.80294425462962959</v>
      </c>
      <c r="AE9" s="125">
        <f t="shared" si="26"/>
        <v>0.96353310555555549</v>
      </c>
      <c r="AF9" s="126">
        <f t="shared" si="27"/>
        <v>1.5578483604440654</v>
      </c>
    </row>
    <row r="11" spans="1:36" s="77" customFormat="1" ht="33.75" customHeight="1" x14ac:dyDescent="0.25">
      <c r="A11" s="545" t="s">
        <v>423</v>
      </c>
      <c r="B11" s="545" t="s">
        <v>468</v>
      </c>
      <c r="C11" s="545" t="s">
        <v>3</v>
      </c>
      <c r="D11" s="547" t="s">
        <v>2</v>
      </c>
      <c r="E11" s="549" t="s">
        <v>425</v>
      </c>
      <c r="F11" s="539" t="s">
        <v>426</v>
      </c>
      <c r="G11" s="552" t="s">
        <v>427</v>
      </c>
      <c r="H11" s="552" t="s">
        <v>428</v>
      </c>
      <c r="I11" s="549" t="s">
        <v>429</v>
      </c>
      <c r="J11" s="555" t="s">
        <v>469</v>
      </c>
      <c r="K11" s="557" t="s">
        <v>431</v>
      </c>
      <c r="L11" s="549" t="s">
        <v>432</v>
      </c>
      <c r="M11" s="549" t="s">
        <v>433</v>
      </c>
      <c r="N11" s="545" t="s">
        <v>434</v>
      </c>
      <c r="O11" s="557" t="s">
        <v>435</v>
      </c>
      <c r="P11" s="557" t="s">
        <v>470</v>
      </c>
      <c r="Q11" s="560" t="s">
        <v>471</v>
      </c>
      <c r="R11" s="562" t="s">
        <v>438</v>
      </c>
      <c r="S11" s="564" t="s">
        <v>439</v>
      </c>
      <c r="T11" s="545" t="s">
        <v>440</v>
      </c>
      <c r="U11" s="549" t="s">
        <v>472</v>
      </c>
      <c r="V11" s="549" t="s">
        <v>442</v>
      </c>
      <c r="W11" s="564" t="s">
        <v>443</v>
      </c>
      <c r="X11" s="552" t="s">
        <v>444</v>
      </c>
      <c r="Y11" s="552"/>
      <c r="Z11" s="545" t="s">
        <v>445</v>
      </c>
      <c r="AA11" s="552" t="s">
        <v>446</v>
      </c>
      <c r="AB11" s="552" t="s">
        <v>447</v>
      </c>
      <c r="AC11" s="549" t="s">
        <v>473</v>
      </c>
      <c r="AD11" s="552" t="s">
        <v>449</v>
      </c>
      <c r="AE11" s="569" t="s">
        <v>450</v>
      </c>
      <c r="AF11" s="570" t="s">
        <v>474</v>
      </c>
      <c r="AG11" s="565" t="s">
        <v>475</v>
      </c>
      <c r="AH11" s="566" t="s">
        <v>476</v>
      </c>
      <c r="AI11" s="565" t="s">
        <v>477</v>
      </c>
      <c r="AJ11" s="567" t="s">
        <v>4</v>
      </c>
    </row>
    <row r="12" spans="1:36" s="77" customFormat="1" ht="30" customHeight="1" x14ac:dyDescent="0.25">
      <c r="A12" s="545"/>
      <c r="B12" s="545"/>
      <c r="C12" s="545"/>
      <c r="D12" s="547"/>
      <c r="E12" s="549"/>
      <c r="F12" s="540"/>
      <c r="G12" s="552"/>
      <c r="H12" s="552"/>
      <c r="I12" s="549"/>
      <c r="J12" s="555"/>
      <c r="K12" s="557"/>
      <c r="L12" s="549"/>
      <c r="M12" s="549"/>
      <c r="N12" s="545"/>
      <c r="O12" s="557"/>
      <c r="P12" s="557"/>
      <c r="Q12" s="560"/>
      <c r="R12" s="562"/>
      <c r="S12" s="564"/>
      <c r="T12" s="545"/>
      <c r="U12" s="549"/>
      <c r="V12" s="549"/>
      <c r="W12" s="564"/>
      <c r="X12" s="94" t="s">
        <v>451</v>
      </c>
      <c r="Y12" s="94" t="s">
        <v>452</v>
      </c>
      <c r="Z12" s="545"/>
      <c r="AA12" s="552"/>
      <c r="AB12" s="552"/>
      <c r="AC12" s="549"/>
      <c r="AD12" s="552"/>
      <c r="AE12" s="569"/>
      <c r="AF12" s="570"/>
      <c r="AG12" s="565"/>
      <c r="AH12" s="566"/>
      <c r="AI12" s="565"/>
      <c r="AJ12" s="567"/>
    </row>
    <row r="13" spans="1:36" s="78" customFormat="1" ht="32.25" customHeight="1" x14ac:dyDescent="0.25">
      <c r="A13" s="551" t="s">
        <v>478</v>
      </c>
      <c r="B13" s="83" t="s">
        <v>479</v>
      </c>
      <c r="C13" s="95" t="s">
        <v>480</v>
      </c>
      <c r="D13" s="83" t="s">
        <v>479</v>
      </c>
      <c r="E13" s="84">
        <v>1</v>
      </c>
      <c r="F13" s="84"/>
      <c r="G13" s="96">
        <v>1.2E-4</v>
      </c>
      <c r="H13" s="97">
        <f>G13*1.04</f>
        <v>1.248E-4</v>
      </c>
      <c r="I13" s="108" t="s">
        <v>461</v>
      </c>
      <c r="J13" s="109">
        <v>19.399999999999999</v>
      </c>
      <c r="K13" s="101">
        <v>1</v>
      </c>
      <c r="L13" s="110">
        <v>45</v>
      </c>
      <c r="M13" s="84">
        <v>1</v>
      </c>
      <c r="N13" s="104" t="s">
        <v>481</v>
      </c>
      <c r="O13" s="104">
        <v>17.2</v>
      </c>
      <c r="P13" s="111">
        <v>4.6550000000000002</v>
      </c>
      <c r="Q13" s="118">
        <v>0.1</v>
      </c>
      <c r="R13" s="119">
        <f>Q13*H13*J13*3600/L13*V13</f>
        <v>0.15495168000000001</v>
      </c>
      <c r="S13" s="120">
        <f>R13*12</f>
        <v>1.85942016</v>
      </c>
      <c r="T13" s="121" t="s">
        <v>482</v>
      </c>
      <c r="U13" s="84">
        <f t="shared" ref="U13:U14" si="29">12*3600/L13</f>
        <v>960</v>
      </c>
      <c r="V13" s="115">
        <v>8</v>
      </c>
      <c r="W13" s="116">
        <f t="shared" ref="W13:W14" si="30">H13*J13*1.05</f>
        <v>2.5421759999999997E-3</v>
      </c>
      <c r="X13" s="116">
        <f t="shared" ref="X13:X14" si="31">(12+K13)*0.76*P13/(U13*V13)</f>
        <v>5.9884635416666675E-3</v>
      </c>
      <c r="Y13" s="116">
        <f t="shared" ref="Y13:Y14" si="32">0.45*12*0.76*O13/(U13*V13)</f>
        <v>9.1912499999999998E-3</v>
      </c>
      <c r="Z13" s="116">
        <v>1</v>
      </c>
      <c r="AA13" s="116">
        <f t="shared" ref="AA13:AA14" si="33">12*18*Z13/(U13*V13)</f>
        <v>2.8125000000000001E-2</v>
      </c>
      <c r="AB13" s="116">
        <f t="shared" ref="AB13:AB14" si="34">S13/(U13*V13)</f>
        <v>2.42112E-4</v>
      </c>
      <c r="AC13" s="106"/>
      <c r="AD13" s="116">
        <f>W13+X13+Y13+AA13+AB13+AC13</f>
        <v>4.6089001541666674E-2</v>
      </c>
      <c r="AE13" s="125">
        <f>AD13*1.2</f>
        <v>5.5306801850000011E-2</v>
      </c>
      <c r="AF13" s="128">
        <v>0.16056586734693901</v>
      </c>
      <c r="AG13" s="129">
        <f>AF13-AE13</f>
        <v>0.105259065496939</v>
      </c>
      <c r="AH13" s="130">
        <v>0.12</v>
      </c>
      <c r="AI13" s="131">
        <f>AH13-AE13</f>
        <v>6.4693198149999992E-2</v>
      </c>
      <c r="AJ13" s="130" t="s">
        <v>483</v>
      </c>
    </row>
    <row r="14" spans="1:36" s="78" customFormat="1" ht="32.25" customHeight="1" x14ac:dyDescent="0.25">
      <c r="A14" s="551"/>
      <c r="B14" s="98" t="s">
        <v>484</v>
      </c>
      <c r="C14" s="95" t="s">
        <v>485</v>
      </c>
      <c r="D14" s="83" t="s">
        <v>484</v>
      </c>
      <c r="E14" s="84">
        <v>1</v>
      </c>
      <c r="F14" s="84"/>
      <c r="G14" s="99">
        <v>1.7000000000000001E-4</v>
      </c>
      <c r="H14" s="99">
        <f>G14*1.04</f>
        <v>1.7680000000000001E-4</v>
      </c>
      <c r="I14" s="110" t="s">
        <v>486</v>
      </c>
      <c r="J14" s="109">
        <v>19.399999999999999</v>
      </c>
      <c r="K14" s="101">
        <v>1</v>
      </c>
      <c r="L14" s="110">
        <v>45</v>
      </c>
      <c r="M14" s="84">
        <v>1</v>
      </c>
      <c r="N14" s="104" t="s">
        <v>487</v>
      </c>
      <c r="O14" s="104">
        <v>14.41</v>
      </c>
      <c r="P14" s="111">
        <v>4.6550000000000002</v>
      </c>
      <c r="Q14" s="118">
        <v>0.1</v>
      </c>
      <c r="R14" s="119">
        <f t="shared" ref="R14" si="35">Q14*H14*J14*3600/L14*V14</f>
        <v>5.4878720000000006E-2</v>
      </c>
      <c r="S14" s="120">
        <f t="shared" ref="S14" si="36">R14*12</f>
        <v>0.65854464000000013</v>
      </c>
      <c r="T14" s="121" t="s">
        <v>482</v>
      </c>
      <c r="U14" s="84">
        <f t="shared" si="29"/>
        <v>960</v>
      </c>
      <c r="V14" s="115">
        <v>2</v>
      </c>
      <c r="W14" s="116">
        <f t="shared" si="30"/>
        <v>3.6014160000000001E-3</v>
      </c>
      <c r="X14" s="116">
        <f t="shared" si="31"/>
        <v>2.395385416666667E-2</v>
      </c>
      <c r="Y14" s="116">
        <f t="shared" si="32"/>
        <v>3.0801375000000002E-2</v>
      </c>
      <c r="Z14" s="116">
        <v>1</v>
      </c>
      <c r="AA14" s="116">
        <f t="shared" si="33"/>
        <v>0.1125</v>
      </c>
      <c r="AB14" s="116">
        <f t="shared" si="34"/>
        <v>3.4299200000000008E-4</v>
      </c>
      <c r="AC14" s="106"/>
      <c r="AD14" s="116">
        <f>W14+X14+Y14+AA14+AB14+AC14</f>
        <v>0.17119963716666667</v>
      </c>
      <c r="AE14" s="125">
        <f>AD14*1.2</f>
        <v>0.20543956459999999</v>
      </c>
      <c r="AF14" s="128">
        <v>0.31275559278350501</v>
      </c>
      <c r="AG14" s="129">
        <f t="shared" ref="AG14" si="37">AF14-AE14</f>
        <v>0.10731602818350502</v>
      </c>
      <c r="AH14" s="130">
        <v>0.2</v>
      </c>
      <c r="AI14" s="131">
        <f t="shared" ref="AI14" si="38">AH14-AE14</f>
        <v>-5.4395645999999742E-3</v>
      </c>
      <c r="AJ14" s="130" t="s">
        <v>488</v>
      </c>
    </row>
  </sheetData>
  <mergeCells count="66">
    <mergeCell ref="AG11:AG12"/>
    <mergeCell ref="AH11:AH12"/>
    <mergeCell ref="AI11:AI12"/>
    <mergeCell ref="AJ11:AJ12"/>
    <mergeCell ref="AD1:AD2"/>
    <mergeCell ref="AD11:AD12"/>
    <mergeCell ref="AE1:AE2"/>
    <mergeCell ref="AE11:AE12"/>
    <mergeCell ref="AF11:AF12"/>
    <mergeCell ref="AA1:AA2"/>
    <mergeCell ref="AA11:AA12"/>
    <mergeCell ref="AB1:AB2"/>
    <mergeCell ref="AB11:AB12"/>
    <mergeCell ref="AC1:AC2"/>
    <mergeCell ref="AC11:AC12"/>
    <mergeCell ref="W1:W2"/>
    <mergeCell ref="W11:W12"/>
    <mergeCell ref="Z1:Z2"/>
    <mergeCell ref="Z11:Z12"/>
    <mergeCell ref="X1:Y1"/>
    <mergeCell ref="X11:Y11"/>
    <mergeCell ref="T1:T2"/>
    <mergeCell ref="T11:T12"/>
    <mergeCell ref="U1:U2"/>
    <mergeCell ref="U11:U12"/>
    <mergeCell ref="V1:V2"/>
    <mergeCell ref="V11:V12"/>
    <mergeCell ref="Q1:Q2"/>
    <mergeCell ref="Q11:Q12"/>
    <mergeCell ref="R1:R2"/>
    <mergeCell ref="R11:R12"/>
    <mergeCell ref="S1:S2"/>
    <mergeCell ref="S11:S12"/>
    <mergeCell ref="N1:N2"/>
    <mergeCell ref="N11:N12"/>
    <mergeCell ref="O1:O2"/>
    <mergeCell ref="O11:O12"/>
    <mergeCell ref="P1:P2"/>
    <mergeCell ref="P11:P12"/>
    <mergeCell ref="K1:K2"/>
    <mergeCell ref="K11:K12"/>
    <mergeCell ref="L1:L2"/>
    <mergeCell ref="L11:L12"/>
    <mergeCell ref="M1:M2"/>
    <mergeCell ref="M11:M12"/>
    <mergeCell ref="H1:H2"/>
    <mergeCell ref="H11:H12"/>
    <mergeCell ref="I1:I2"/>
    <mergeCell ref="I11:I12"/>
    <mergeCell ref="J1:J2"/>
    <mergeCell ref="J11:J12"/>
    <mergeCell ref="A1:A2"/>
    <mergeCell ref="A11:A12"/>
    <mergeCell ref="A13:A14"/>
    <mergeCell ref="B1:B2"/>
    <mergeCell ref="B11:B12"/>
    <mergeCell ref="F1:F2"/>
    <mergeCell ref="F11:F12"/>
    <mergeCell ref="G1:G2"/>
    <mergeCell ref="C1:C2"/>
    <mergeCell ref="C11:C12"/>
    <mergeCell ref="D1:D2"/>
    <mergeCell ref="D11:D12"/>
    <mergeCell ref="E1:E2"/>
    <mergeCell ref="E11:E12"/>
    <mergeCell ref="G11:G12"/>
  </mergeCells>
  <phoneticPr fontId="51" type="noConversion"/>
  <conditionalFormatting sqref="A3">
    <cfRule type="duplicateValues" dxfId="6" priority="9"/>
  </conditionalFormatting>
  <conditionalFormatting sqref="A4:A5">
    <cfRule type="duplicateValues" dxfId="5" priority="1645"/>
  </conditionalFormatting>
  <conditionalFormatting sqref="B11:B1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6"/>
  <sheetViews>
    <sheetView view="pageBreakPreview" zoomScale="80" zoomScaleNormal="100" zoomScaleSheetLayoutView="80" workbookViewId="0">
      <pane xSplit="10" ySplit="2" topLeftCell="K12" activePane="bottomRight" state="frozen"/>
      <selection pane="topRight"/>
      <selection pane="bottomLeft"/>
      <selection pane="bottomRight" activeCell="T13" sqref="T13:T16"/>
    </sheetView>
  </sheetViews>
  <sheetFormatPr defaultColWidth="9" defaultRowHeight="14.4" x14ac:dyDescent="0.25"/>
  <cols>
    <col min="1" max="2" width="9" style="35"/>
    <col min="3" max="3" width="14.44140625" style="36" customWidth="1"/>
    <col min="4" max="4" width="19.33203125" style="36" customWidth="1"/>
    <col min="5" max="5" width="13.6640625" style="36" hidden="1" customWidth="1"/>
    <col min="6" max="6" width="14.109375" style="36" customWidth="1"/>
    <col min="7" max="7" width="6.109375" style="36" customWidth="1"/>
    <col min="8" max="8" width="9.77734375" style="36" customWidth="1"/>
    <col min="9" max="9" width="7.33203125" style="36" customWidth="1"/>
    <col min="10" max="10" width="13.88671875" style="36" customWidth="1"/>
    <col min="11" max="11" width="9.21875" style="35" customWidth="1"/>
    <col min="12" max="12" width="8.109375" style="35" customWidth="1"/>
    <col min="13" max="13" width="15" style="35" hidden="1" customWidth="1"/>
    <col min="14" max="14" width="12.109375" style="35" customWidth="1"/>
    <col min="15" max="15" width="10.21875" style="37" customWidth="1"/>
    <col min="16" max="16" width="2.33203125" style="37" customWidth="1"/>
    <col min="17" max="17" width="9" style="34"/>
    <col min="18" max="18" width="9" style="35"/>
    <col min="19" max="19" width="9" style="38"/>
    <col min="20" max="16384" width="9" style="35"/>
  </cols>
  <sheetData>
    <row r="1" spans="1:20" ht="23.4" customHeight="1" x14ac:dyDescent="0.25">
      <c r="A1" s="571" t="s">
        <v>489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</row>
    <row r="2" spans="1:20" ht="31.2" x14ac:dyDescent="0.25">
      <c r="A2" s="39" t="s">
        <v>1</v>
      </c>
      <c r="B2" s="39" t="s">
        <v>490</v>
      </c>
      <c r="C2" s="40" t="s">
        <v>491</v>
      </c>
      <c r="D2" s="40" t="s">
        <v>492</v>
      </c>
      <c r="E2" s="40" t="s">
        <v>491</v>
      </c>
      <c r="F2" s="40" t="s">
        <v>493</v>
      </c>
      <c r="G2" s="40" t="s">
        <v>494</v>
      </c>
      <c r="H2" s="40" t="s">
        <v>440</v>
      </c>
      <c r="I2" s="40" t="s">
        <v>42</v>
      </c>
      <c r="J2" s="40" t="s">
        <v>4</v>
      </c>
      <c r="K2" s="54" t="s">
        <v>495</v>
      </c>
      <c r="L2" s="39" t="s">
        <v>496</v>
      </c>
      <c r="M2" s="54" t="s">
        <v>497</v>
      </c>
      <c r="N2" s="54" t="s">
        <v>498</v>
      </c>
      <c r="O2" s="39" t="s">
        <v>499</v>
      </c>
      <c r="Q2" s="70" t="s">
        <v>24</v>
      </c>
      <c r="R2" s="70" t="s">
        <v>500</v>
      </c>
      <c r="S2" s="71" t="s">
        <v>501</v>
      </c>
      <c r="T2" s="72" t="s">
        <v>502</v>
      </c>
    </row>
    <row r="3" spans="1:20" ht="47.4" customHeight="1" x14ac:dyDescent="0.25">
      <c r="A3" s="39">
        <v>1</v>
      </c>
      <c r="B3" s="39" t="s">
        <v>137</v>
      </c>
      <c r="C3" s="40" t="s">
        <v>503</v>
      </c>
      <c r="D3" s="40" t="s">
        <v>504</v>
      </c>
      <c r="E3" s="40" t="s">
        <v>503</v>
      </c>
      <c r="F3" s="40"/>
      <c r="G3" s="40">
        <v>1</v>
      </c>
      <c r="H3" s="41" t="s">
        <v>505</v>
      </c>
      <c r="I3" s="40" t="s">
        <v>506</v>
      </c>
      <c r="J3" s="41" t="s">
        <v>507</v>
      </c>
      <c r="K3" s="39"/>
      <c r="L3" s="55" t="s">
        <v>508</v>
      </c>
      <c r="M3" s="56">
        <v>0.501</v>
      </c>
      <c r="N3" s="57">
        <v>0.501</v>
      </c>
      <c r="O3" s="58">
        <f>VLOOKUP(C3,[1]线材核算!C4:V61,20,0)</f>
        <v>0.52548521291884098</v>
      </c>
      <c r="P3" s="35"/>
      <c r="Q3" s="73">
        <v>4.2000000000000003E-2</v>
      </c>
      <c r="R3" s="38">
        <f>N3/Q3</f>
        <v>11.928571428571427</v>
      </c>
      <c r="S3" s="74">
        <f>Q3*9</f>
        <v>0.378</v>
      </c>
      <c r="T3" s="72">
        <v>0.378</v>
      </c>
    </row>
    <row r="4" spans="1:20" ht="33.6" customHeight="1" x14ac:dyDescent="0.25">
      <c r="A4" s="39">
        <v>2</v>
      </c>
      <c r="B4" s="39" t="s">
        <v>137</v>
      </c>
      <c r="C4" s="40" t="s">
        <v>509</v>
      </c>
      <c r="D4" s="40" t="s">
        <v>510</v>
      </c>
      <c r="E4" s="40" t="s">
        <v>509</v>
      </c>
      <c r="F4" s="42"/>
      <c r="G4" s="40">
        <v>1</v>
      </c>
      <c r="H4" s="41" t="s">
        <v>505</v>
      </c>
      <c r="I4" s="40" t="s">
        <v>506</v>
      </c>
      <c r="J4" s="41" t="s">
        <v>507</v>
      </c>
      <c r="K4" s="39"/>
      <c r="L4" s="55" t="s">
        <v>508</v>
      </c>
      <c r="M4" s="59">
        <v>0.3</v>
      </c>
      <c r="N4" s="57">
        <v>0.28749999999999998</v>
      </c>
      <c r="O4" s="58">
        <f>VLOOKUP(C4,[1]线材核算!C5:V62,20,0)</f>
        <v>0.29875954920202702</v>
      </c>
      <c r="Q4" s="73">
        <v>2.5000000000000001E-2</v>
      </c>
      <c r="R4" s="38">
        <f t="shared" ref="R4:R26" si="0">N4/Q4</f>
        <v>11.499999999999998</v>
      </c>
      <c r="S4" s="74">
        <f t="shared" ref="S4" si="1">Q4*9</f>
        <v>0.22500000000000001</v>
      </c>
      <c r="T4" s="72">
        <v>0.22500000000000001</v>
      </c>
    </row>
    <row r="5" spans="1:20" ht="33.6" customHeight="1" x14ac:dyDescent="0.25">
      <c r="A5" s="39">
        <v>3</v>
      </c>
      <c r="B5" s="39" t="s">
        <v>137</v>
      </c>
      <c r="C5" s="40" t="s">
        <v>511</v>
      </c>
      <c r="D5" s="40" t="s">
        <v>512</v>
      </c>
      <c r="E5" s="40" t="s">
        <v>511</v>
      </c>
      <c r="F5" s="42"/>
      <c r="G5" s="40">
        <v>1</v>
      </c>
      <c r="H5" s="41" t="s">
        <v>505</v>
      </c>
      <c r="I5" s="40" t="s">
        <v>506</v>
      </c>
      <c r="J5" s="41" t="s">
        <v>507</v>
      </c>
      <c r="K5" s="39"/>
      <c r="L5" s="55" t="s">
        <v>508</v>
      </c>
      <c r="M5" s="59">
        <v>0.27</v>
      </c>
      <c r="N5" s="57">
        <v>0.246</v>
      </c>
      <c r="O5" s="58">
        <f>VLOOKUP(C5,[1]线材核算!C6:V63,20,0)</f>
        <v>0.25468875274184999</v>
      </c>
      <c r="Q5" s="73">
        <v>3.2000000000000001E-2</v>
      </c>
      <c r="R5" s="38">
        <f t="shared" si="0"/>
        <v>7.6875</v>
      </c>
      <c r="S5" s="74">
        <f>Q5*6.5</f>
        <v>0.20800000000000002</v>
      </c>
      <c r="T5" s="72">
        <v>0.20799999999999999</v>
      </c>
    </row>
    <row r="6" spans="1:20" s="33" customFormat="1" ht="43.2" customHeight="1" x14ac:dyDescent="0.25">
      <c r="A6" s="43">
        <v>4</v>
      </c>
      <c r="B6" s="43" t="s">
        <v>137</v>
      </c>
      <c r="C6" s="44" t="s">
        <v>513</v>
      </c>
      <c r="D6" s="44" t="s">
        <v>514</v>
      </c>
      <c r="E6" s="44" t="s">
        <v>513</v>
      </c>
      <c r="F6" s="44"/>
      <c r="G6" s="44">
        <v>1</v>
      </c>
      <c r="H6" s="45" t="s">
        <v>515</v>
      </c>
      <c r="I6" s="44" t="s">
        <v>506</v>
      </c>
      <c r="J6" s="44" t="s">
        <v>516</v>
      </c>
      <c r="K6" s="60" t="s">
        <v>508</v>
      </c>
      <c r="L6" s="60" t="s">
        <v>508</v>
      </c>
      <c r="M6" s="61">
        <v>10.77</v>
      </c>
      <c r="N6" s="61">
        <v>10.77</v>
      </c>
      <c r="O6" s="61">
        <f>VLOOKUP(C6,[1]线材核算!C7:V64,20,0)</f>
        <v>10.7948940624764</v>
      </c>
      <c r="P6" s="62" t="s">
        <v>517</v>
      </c>
      <c r="Q6" s="73">
        <v>1.3363</v>
      </c>
      <c r="R6" s="38">
        <f t="shared" si="0"/>
        <v>8.0595674623961671</v>
      </c>
      <c r="S6" s="74" t="s">
        <v>517</v>
      </c>
      <c r="T6" s="72"/>
    </row>
    <row r="7" spans="1:20" ht="41.4" customHeight="1" x14ac:dyDescent="0.25">
      <c r="A7" s="39">
        <v>5</v>
      </c>
      <c r="B7" s="39" t="s">
        <v>137</v>
      </c>
      <c r="C7" s="40" t="s">
        <v>135</v>
      </c>
      <c r="D7" s="40" t="s">
        <v>136</v>
      </c>
      <c r="E7" s="40" t="s">
        <v>135</v>
      </c>
      <c r="F7" s="40"/>
      <c r="G7" s="40">
        <v>2</v>
      </c>
      <c r="H7" s="46" t="s">
        <v>518</v>
      </c>
      <c r="I7" s="40" t="s">
        <v>506</v>
      </c>
      <c r="J7" s="40" t="s">
        <v>516</v>
      </c>
      <c r="K7" s="55" t="s">
        <v>508</v>
      </c>
      <c r="L7" s="55" t="s">
        <v>508</v>
      </c>
      <c r="M7" s="56">
        <v>0.97955000000000003</v>
      </c>
      <c r="N7" s="57">
        <v>0.97955000000000003</v>
      </c>
      <c r="O7" s="58">
        <f>VLOOKUP(C7,[1]线材核算!C8:V65,20,0)</f>
        <v>1.00107813327282</v>
      </c>
      <c r="P7" s="35"/>
      <c r="Q7" s="73">
        <v>5.0700000000000002E-2</v>
      </c>
      <c r="R7" s="38">
        <f t="shared" si="0"/>
        <v>19.320512820512821</v>
      </c>
      <c r="S7" s="74">
        <f>Q7*7</f>
        <v>0.35489999999999999</v>
      </c>
      <c r="T7" s="72"/>
    </row>
    <row r="8" spans="1:20" ht="42" customHeight="1" x14ac:dyDescent="0.25">
      <c r="A8" s="39">
        <v>6</v>
      </c>
      <c r="B8" s="39" t="s">
        <v>137</v>
      </c>
      <c r="C8" s="40" t="s">
        <v>519</v>
      </c>
      <c r="D8" s="40" t="s">
        <v>520</v>
      </c>
      <c r="E8" s="40" t="s">
        <v>519</v>
      </c>
      <c r="F8" s="40"/>
      <c r="G8" s="40">
        <v>1</v>
      </c>
      <c r="H8" s="41" t="s">
        <v>521</v>
      </c>
      <c r="I8" s="40" t="s">
        <v>506</v>
      </c>
      <c r="J8" s="40" t="s">
        <v>516</v>
      </c>
      <c r="K8" s="39"/>
      <c r="L8" s="55" t="s">
        <v>508</v>
      </c>
      <c r="M8" s="56">
        <v>0.30599999999999999</v>
      </c>
      <c r="N8" s="57">
        <v>0.30599999999999999</v>
      </c>
      <c r="O8" s="58">
        <f>VLOOKUP(C8,[1]线材核算!C9:V66,20,0)</f>
        <v>0.344423266016186</v>
      </c>
      <c r="P8" s="35"/>
      <c r="Q8" s="73">
        <v>1.0999999999999999E-2</v>
      </c>
      <c r="R8" s="38">
        <f t="shared" si="0"/>
        <v>27.81818181818182</v>
      </c>
      <c r="S8" s="74">
        <f>Q8*10</f>
        <v>0.10999999999999999</v>
      </c>
      <c r="T8" s="72">
        <v>0.14000000000000001</v>
      </c>
    </row>
    <row r="9" spans="1:20" ht="36.6" customHeight="1" x14ac:dyDescent="0.25">
      <c r="A9" s="39">
        <v>7</v>
      </c>
      <c r="B9" s="39" t="s">
        <v>137</v>
      </c>
      <c r="C9" s="40" t="s">
        <v>522</v>
      </c>
      <c r="D9" s="40" t="s">
        <v>523</v>
      </c>
      <c r="E9" s="40" t="s">
        <v>522</v>
      </c>
      <c r="F9" s="40"/>
      <c r="G9" s="40">
        <v>1</v>
      </c>
      <c r="H9" s="41" t="s">
        <v>521</v>
      </c>
      <c r="I9" s="40" t="s">
        <v>506</v>
      </c>
      <c r="J9" s="40" t="s">
        <v>516</v>
      </c>
      <c r="K9" s="39"/>
      <c r="L9" s="55" t="s">
        <v>508</v>
      </c>
      <c r="M9" s="56">
        <v>0.30599999999999999</v>
      </c>
      <c r="N9" s="57">
        <v>0.30599999999999999</v>
      </c>
      <c r="O9" s="58">
        <f>VLOOKUP(C9,[1]线材核算!C10:V67,20,0)</f>
        <v>0.344423266016186</v>
      </c>
      <c r="P9" s="35"/>
      <c r="Q9" s="73">
        <v>1.0999999999999999E-2</v>
      </c>
      <c r="R9" s="38">
        <f t="shared" si="0"/>
        <v>27.81818181818182</v>
      </c>
      <c r="S9" s="74">
        <f t="shared" ref="S9:S16" si="2">Q9*10</f>
        <v>0.10999999999999999</v>
      </c>
      <c r="T9" s="72">
        <v>0.14000000000000001</v>
      </c>
    </row>
    <row r="10" spans="1:20" ht="42" customHeight="1" x14ac:dyDescent="0.25">
      <c r="A10" s="39">
        <v>8</v>
      </c>
      <c r="B10" s="39" t="s">
        <v>137</v>
      </c>
      <c r="C10" s="40" t="s">
        <v>524</v>
      </c>
      <c r="D10" s="40" t="s">
        <v>525</v>
      </c>
      <c r="E10" s="40" t="s">
        <v>524</v>
      </c>
      <c r="F10" s="42"/>
      <c r="G10" s="40">
        <v>1</v>
      </c>
      <c r="H10" s="41" t="s">
        <v>521</v>
      </c>
      <c r="I10" s="40" t="s">
        <v>506</v>
      </c>
      <c r="J10" s="40" t="s">
        <v>516</v>
      </c>
      <c r="K10" s="39"/>
      <c r="L10" s="55" t="s">
        <v>508</v>
      </c>
      <c r="M10" s="56">
        <v>0.28799999999999998</v>
      </c>
      <c r="N10" s="57">
        <v>0.28799999999999998</v>
      </c>
      <c r="O10" s="58">
        <f>VLOOKUP(C10,[1]线材核算!C11:V68,20,0)</f>
        <v>0.32690114212238103</v>
      </c>
      <c r="P10" s="35"/>
      <c r="Q10" s="73">
        <v>8.0000000000000002E-3</v>
      </c>
      <c r="R10" s="38">
        <f t="shared" si="0"/>
        <v>36</v>
      </c>
      <c r="S10" s="74">
        <f t="shared" si="2"/>
        <v>0.08</v>
      </c>
      <c r="T10" s="72">
        <v>0.104</v>
      </c>
    </row>
    <row r="11" spans="1:20" ht="52.2" customHeight="1" x14ac:dyDescent="0.25">
      <c r="A11" s="39">
        <v>9</v>
      </c>
      <c r="B11" s="39" t="s">
        <v>137</v>
      </c>
      <c r="C11" s="40" t="s">
        <v>526</v>
      </c>
      <c r="D11" s="40" t="s">
        <v>527</v>
      </c>
      <c r="E11" s="40" t="s">
        <v>526</v>
      </c>
      <c r="F11" s="42"/>
      <c r="G11" s="40">
        <v>1</v>
      </c>
      <c r="H11" s="41" t="s">
        <v>521</v>
      </c>
      <c r="I11" s="40" t="s">
        <v>506</v>
      </c>
      <c r="J11" s="40" t="s">
        <v>516</v>
      </c>
      <c r="K11" s="39"/>
      <c r="L11" s="55" t="s">
        <v>508</v>
      </c>
      <c r="M11" s="56">
        <v>0.222</v>
      </c>
      <c r="N11" s="57">
        <v>0.222</v>
      </c>
      <c r="O11" s="58">
        <f>VLOOKUP(C11,[1]线材核算!C12:V69,20,0)</f>
        <v>0.27858255805158499</v>
      </c>
      <c r="P11" s="35"/>
      <c r="Q11" s="73">
        <v>7.0000000000000001E-3</v>
      </c>
      <c r="R11" s="38">
        <f t="shared" si="0"/>
        <v>31.714285714285715</v>
      </c>
      <c r="S11" s="74">
        <f t="shared" si="2"/>
        <v>7.0000000000000007E-2</v>
      </c>
      <c r="T11" s="72">
        <v>7.0000000000000007E-2</v>
      </c>
    </row>
    <row r="12" spans="1:20" ht="63.6" customHeight="1" x14ac:dyDescent="0.25">
      <c r="A12" s="39">
        <v>10</v>
      </c>
      <c r="B12" s="39" t="s">
        <v>137</v>
      </c>
      <c r="C12" s="40" t="s">
        <v>528</v>
      </c>
      <c r="D12" s="40" t="s">
        <v>529</v>
      </c>
      <c r="E12" s="40" t="s">
        <v>528</v>
      </c>
      <c r="F12" s="42"/>
      <c r="G12" s="40">
        <v>1</v>
      </c>
      <c r="H12" s="41" t="s">
        <v>86</v>
      </c>
      <c r="I12" s="40" t="s">
        <v>506</v>
      </c>
      <c r="J12" s="40" t="s">
        <v>516</v>
      </c>
      <c r="K12" s="55" t="s">
        <v>508</v>
      </c>
      <c r="L12" s="55" t="s">
        <v>508</v>
      </c>
      <c r="M12" s="59">
        <v>3.6823000000000001</v>
      </c>
      <c r="N12" s="57">
        <v>3.2423000000000002</v>
      </c>
      <c r="O12" s="58">
        <f>VLOOKUP(C12,[1]线材核算!C13:V70,20,0)</f>
        <v>3.2667949474321198</v>
      </c>
      <c r="Q12" s="73">
        <v>0.25679999999999997</v>
      </c>
      <c r="R12" s="38">
        <f t="shared" si="0"/>
        <v>12.625778816199379</v>
      </c>
      <c r="S12" s="74">
        <f>Q12*12</f>
        <v>3.0815999999999999</v>
      </c>
      <c r="T12" s="72">
        <v>3.15</v>
      </c>
    </row>
    <row r="13" spans="1:20" ht="46.2" customHeight="1" x14ac:dyDescent="0.25">
      <c r="A13" s="39">
        <v>11</v>
      </c>
      <c r="B13" s="39" t="s">
        <v>137</v>
      </c>
      <c r="C13" s="40" t="s">
        <v>530</v>
      </c>
      <c r="D13" s="40" t="s">
        <v>531</v>
      </c>
      <c r="E13" s="40" t="s">
        <v>530</v>
      </c>
      <c r="F13" s="42"/>
      <c r="G13" s="40">
        <v>1</v>
      </c>
      <c r="H13" s="41" t="s">
        <v>521</v>
      </c>
      <c r="I13" s="40" t="s">
        <v>506</v>
      </c>
      <c r="J13" s="40" t="s">
        <v>516</v>
      </c>
      <c r="K13" s="39"/>
      <c r="L13" s="55" t="s">
        <v>508</v>
      </c>
      <c r="M13" s="56">
        <v>0.24</v>
      </c>
      <c r="N13" s="57">
        <v>0.24</v>
      </c>
      <c r="O13" s="58">
        <f>VLOOKUP(C13,[1]线材核算!C14:V71,20,0)</f>
        <v>0.253626805839195</v>
      </c>
      <c r="P13" s="35"/>
      <c r="Q13" s="73">
        <v>0.01</v>
      </c>
      <c r="R13" s="38">
        <f t="shared" si="0"/>
        <v>24</v>
      </c>
      <c r="S13" s="74">
        <f t="shared" si="2"/>
        <v>0.1</v>
      </c>
      <c r="T13" s="72">
        <v>0.13</v>
      </c>
    </row>
    <row r="14" spans="1:20" ht="40.200000000000003" customHeight="1" x14ac:dyDescent="0.25">
      <c r="A14" s="39">
        <v>12</v>
      </c>
      <c r="B14" s="39" t="s">
        <v>137</v>
      </c>
      <c r="C14" s="40" t="s">
        <v>532</v>
      </c>
      <c r="D14" s="40" t="s">
        <v>533</v>
      </c>
      <c r="E14" s="40" t="s">
        <v>532</v>
      </c>
      <c r="F14" s="42"/>
      <c r="G14" s="40">
        <v>1</v>
      </c>
      <c r="H14" s="41" t="s">
        <v>521</v>
      </c>
      <c r="I14" s="40" t="s">
        <v>506</v>
      </c>
      <c r="J14" s="40" t="s">
        <v>516</v>
      </c>
      <c r="K14" s="39"/>
      <c r="L14" s="55"/>
      <c r="M14" s="56">
        <v>0.24</v>
      </c>
      <c r="N14" s="57">
        <v>0.24</v>
      </c>
      <c r="O14" s="58">
        <f>VLOOKUP(C14,[1]线材核算!C15:V72,20,0)</f>
        <v>0.253626805839195</v>
      </c>
      <c r="P14" s="35"/>
      <c r="Q14" s="73">
        <v>0.01</v>
      </c>
      <c r="R14" s="38">
        <f t="shared" si="0"/>
        <v>24</v>
      </c>
      <c r="S14" s="74">
        <f t="shared" si="2"/>
        <v>0.1</v>
      </c>
      <c r="T14" s="72">
        <v>0.13</v>
      </c>
    </row>
    <row r="15" spans="1:20" ht="41.4" customHeight="1" x14ac:dyDescent="0.25">
      <c r="A15" s="39">
        <v>13</v>
      </c>
      <c r="B15" s="39" t="s">
        <v>137</v>
      </c>
      <c r="C15" s="40" t="s">
        <v>534</v>
      </c>
      <c r="D15" s="40" t="s">
        <v>535</v>
      </c>
      <c r="E15" s="40" t="s">
        <v>534</v>
      </c>
      <c r="F15" s="42"/>
      <c r="G15" s="40">
        <v>1</v>
      </c>
      <c r="H15" s="41" t="s">
        <v>521</v>
      </c>
      <c r="I15" s="40" t="s">
        <v>506</v>
      </c>
      <c r="J15" s="40" t="s">
        <v>516</v>
      </c>
      <c r="K15" s="39"/>
      <c r="L15" s="55" t="s">
        <v>508</v>
      </c>
      <c r="M15" s="56">
        <v>0.222</v>
      </c>
      <c r="N15" s="57">
        <v>0.222</v>
      </c>
      <c r="O15" s="58">
        <f>VLOOKUP(C15,[1]线材核算!C16:V73,20,0)</f>
        <v>0.27858255805158499</v>
      </c>
      <c r="P15" s="35"/>
      <c r="Q15" s="73">
        <v>7.0000000000000001E-3</v>
      </c>
      <c r="R15" s="38">
        <f t="shared" si="0"/>
        <v>31.714285714285715</v>
      </c>
      <c r="S15" s="74">
        <f t="shared" si="2"/>
        <v>7.0000000000000007E-2</v>
      </c>
      <c r="T15" s="72">
        <v>7.0000000000000007E-2</v>
      </c>
    </row>
    <row r="16" spans="1:20" ht="49.95" customHeight="1" x14ac:dyDescent="0.25">
      <c r="A16" s="39">
        <v>14</v>
      </c>
      <c r="B16" s="39" t="s">
        <v>137</v>
      </c>
      <c r="C16" s="40" t="s">
        <v>536</v>
      </c>
      <c r="D16" s="40" t="s">
        <v>537</v>
      </c>
      <c r="E16" s="40" t="s">
        <v>536</v>
      </c>
      <c r="F16" s="42"/>
      <c r="G16" s="40">
        <v>1</v>
      </c>
      <c r="H16" s="41" t="s">
        <v>521</v>
      </c>
      <c r="I16" s="40" t="s">
        <v>506</v>
      </c>
      <c r="J16" s="40" t="s">
        <v>516</v>
      </c>
      <c r="K16" s="39"/>
      <c r="L16" s="55" t="s">
        <v>508</v>
      </c>
      <c r="M16" s="56">
        <v>0.27400000000000002</v>
      </c>
      <c r="N16" s="57">
        <v>0.27400000000000002</v>
      </c>
      <c r="O16" s="58">
        <f>VLOOKUP(C16,[1]线材核算!C17:V74,20,0)</f>
        <v>0.29026397398078801</v>
      </c>
      <c r="P16" s="35"/>
      <c r="Q16" s="73">
        <v>8.9999999999999993E-3</v>
      </c>
      <c r="R16" s="38">
        <f t="shared" si="0"/>
        <v>30.44444444444445</v>
      </c>
      <c r="S16" s="74">
        <f t="shared" si="2"/>
        <v>0.09</v>
      </c>
      <c r="T16" s="72">
        <v>0.12</v>
      </c>
    </row>
    <row r="17" spans="1:20" s="33" customFormat="1" ht="42.6" customHeight="1" x14ac:dyDescent="0.25">
      <c r="A17" s="43">
        <v>15</v>
      </c>
      <c r="B17" s="43" t="s">
        <v>137</v>
      </c>
      <c r="C17" s="44" t="s">
        <v>538</v>
      </c>
      <c r="D17" s="44" t="s">
        <v>539</v>
      </c>
      <c r="E17" s="44" t="s">
        <v>538</v>
      </c>
      <c r="F17" s="47"/>
      <c r="G17" s="44">
        <v>1</v>
      </c>
      <c r="H17" s="45" t="s">
        <v>540</v>
      </c>
      <c r="I17" s="44" t="s">
        <v>506</v>
      </c>
      <c r="J17" s="44" t="s">
        <v>516</v>
      </c>
      <c r="K17" s="60" t="s">
        <v>508</v>
      </c>
      <c r="L17" s="60" t="s">
        <v>508</v>
      </c>
      <c r="M17" s="61">
        <v>3.14</v>
      </c>
      <c r="N17" s="61">
        <v>3.14</v>
      </c>
      <c r="O17" s="61">
        <f>VLOOKUP(C17,[1]线材核算!C18:V75,20,0)</f>
        <v>3.1507241509719401</v>
      </c>
      <c r="P17" s="62" t="s">
        <v>517</v>
      </c>
      <c r="Q17" s="73">
        <v>0.36330000000000001</v>
      </c>
      <c r="R17" s="38">
        <f t="shared" si="0"/>
        <v>8.6429947701623995</v>
      </c>
      <c r="S17" s="74" t="s">
        <v>517</v>
      </c>
      <c r="T17" s="72"/>
    </row>
    <row r="18" spans="1:20" s="34" customFormat="1" ht="42.6" customHeight="1" x14ac:dyDescent="0.25">
      <c r="A18" s="39">
        <v>16</v>
      </c>
      <c r="B18" s="48" t="s">
        <v>137</v>
      </c>
      <c r="C18" s="49" t="s">
        <v>541</v>
      </c>
      <c r="D18" s="50" t="s">
        <v>542</v>
      </c>
      <c r="E18" s="49" t="s">
        <v>541</v>
      </c>
      <c r="F18" s="51"/>
      <c r="G18" s="52">
        <v>1</v>
      </c>
      <c r="H18" s="53" t="s">
        <v>543</v>
      </c>
      <c r="I18" s="63" t="s">
        <v>506</v>
      </c>
      <c r="J18" s="53" t="s">
        <v>544</v>
      </c>
      <c r="K18" s="64" t="s">
        <v>508</v>
      </c>
      <c r="L18" s="64" t="s">
        <v>508</v>
      </c>
      <c r="M18" s="65">
        <v>0.28599999999999998</v>
      </c>
      <c r="N18" s="57">
        <v>0.28599999999999998</v>
      </c>
      <c r="O18" s="66">
        <f>VLOOKUP(C18,[1]线材核算!C19:V76,20,0)</f>
        <v>0.30194538990999198</v>
      </c>
      <c r="P18" s="67"/>
      <c r="Q18" s="73">
        <v>1.0999999999999999E-2</v>
      </c>
      <c r="R18" s="38">
        <f t="shared" si="0"/>
        <v>26</v>
      </c>
      <c r="S18" s="74">
        <f t="shared" ref="S18:S26" si="3">Q18*10</f>
        <v>0.10999999999999999</v>
      </c>
      <c r="T18" s="72">
        <v>0.14000000000000001</v>
      </c>
    </row>
    <row r="19" spans="1:20" s="34" customFormat="1" ht="42.6" customHeight="1" x14ac:dyDescent="0.25">
      <c r="A19" s="39">
        <v>17</v>
      </c>
      <c r="B19" s="48" t="s">
        <v>137</v>
      </c>
      <c r="C19" s="49" t="s">
        <v>545</v>
      </c>
      <c r="D19" s="50" t="s">
        <v>546</v>
      </c>
      <c r="E19" s="49" t="s">
        <v>545</v>
      </c>
      <c r="F19" s="51"/>
      <c r="G19" s="52">
        <v>1</v>
      </c>
      <c r="H19" s="53" t="s">
        <v>543</v>
      </c>
      <c r="I19" s="63" t="s">
        <v>506</v>
      </c>
      <c r="J19" s="53" t="s">
        <v>544</v>
      </c>
      <c r="K19" s="64" t="s">
        <v>508</v>
      </c>
      <c r="L19" s="64" t="s">
        <v>508</v>
      </c>
      <c r="M19" s="65">
        <v>0.28599999999999998</v>
      </c>
      <c r="N19" s="57">
        <v>0.28599999999999998</v>
      </c>
      <c r="O19" s="68">
        <f>VLOOKUP(C19,[1]线材核算!C20:V77,20,0)</f>
        <v>0.30194538990999198</v>
      </c>
      <c r="P19" s="67"/>
      <c r="Q19" s="73">
        <v>1.0999999999999999E-2</v>
      </c>
      <c r="R19" s="38">
        <f t="shared" si="0"/>
        <v>26</v>
      </c>
      <c r="S19" s="74">
        <f t="shared" si="3"/>
        <v>0.10999999999999999</v>
      </c>
      <c r="T19" s="72">
        <v>0.14000000000000001</v>
      </c>
    </row>
    <row r="20" spans="1:20" s="34" customFormat="1" ht="42.6" customHeight="1" x14ac:dyDescent="0.25">
      <c r="A20" s="39">
        <v>18</v>
      </c>
      <c r="B20" s="48" t="s">
        <v>137</v>
      </c>
      <c r="C20" s="49" t="s">
        <v>547</v>
      </c>
      <c r="D20" s="50" t="s">
        <v>548</v>
      </c>
      <c r="E20" s="49" t="s">
        <v>547</v>
      </c>
      <c r="F20" s="51"/>
      <c r="G20" s="52">
        <v>1</v>
      </c>
      <c r="H20" s="53" t="s">
        <v>543</v>
      </c>
      <c r="I20" s="63" t="s">
        <v>506</v>
      </c>
      <c r="J20" s="53" t="s">
        <v>544</v>
      </c>
      <c r="K20" s="64" t="s">
        <v>508</v>
      </c>
      <c r="L20" s="64" t="s">
        <v>508</v>
      </c>
      <c r="M20" s="65">
        <v>0.182</v>
      </c>
      <c r="N20" s="57">
        <v>0.182</v>
      </c>
      <c r="O20" s="68">
        <f>VLOOKUP(C20,[1]线材核算!C21:V78,20,0)</f>
        <v>0.193626805839195</v>
      </c>
      <c r="P20" s="67"/>
      <c r="Q20" s="73">
        <v>7.0000000000000001E-3</v>
      </c>
      <c r="R20" s="38">
        <f t="shared" si="0"/>
        <v>26</v>
      </c>
      <c r="S20" s="74">
        <f t="shared" si="3"/>
        <v>7.0000000000000007E-2</v>
      </c>
      <c r="T20" s="72">
        <v>7.0000000000000007E-2</v>
      </c>
    </row>
    <row r="21" spans="1:20" s="34" customFormat="1" ht="42.6" customHeight="1" x14ac:dyDescent="0.25">
      <c r="A21" s="39">
        <v>19</v>
      </c>
      <c r="B21" s="48" t="s">
        <v>137</v>
      </c>
      <c r="C21" s="49" t="s">
        <v>549</v>
      </c>
      <c r="D21" s="50" t="s">
        <v>550</v>
      </c>
      <c r="E21" s="49" t="s">
        <v>549</v>
      </c>
      <c r="F21" s="51"/>
      <c r="G21" s="52">
        <v>1</v>
      </c>
      <c r="H21" s="53" t="s">
        <v>543</v>
      </c>
      <c r="I21" s="63" t="s">
        <v>506</v>
      </c>
      <c r="J21" s="53" t="s">
        <v>544</v>
      </c>
      <c r="K21" s="64" t="s">
        <v>508</v>
      </c>
      <c r="L21" s="64" t="s">
        <v>508</v>
      </c>
      <c r="M21" s="65">
        <v>0.246</v>
      </c>
      <c r="N21" s="57">
        <v>0.246</v>
      </c>
      <c r="O21" s="68">
        <f>VLOOKUP(C21,[1]线材核算!C22:V79,20,0)</f>
        <v>0.26530822176839902</v>
      </c>
      <c r="P21" s="67"/>
      <c r="Q21" s="73">
        <v>1.2E-2</v>
      </c>
      <c r="R21" s="38">
        <f t="shared" si="0"/>
        <v>20.5</v>
      </c>
      <c r="S21" s="74">
        <f t="shared" si="3"/>
        <v>0.12</v>
      </c>
      <c r="T21" s="72">
        <v>0.14000000000000001</v>
      </c>
    </row>
    <row r="22" spans="1:20" s="34" customFormat="1" ht="42.6" customHeight="1" x14ac:dyDescent="0.25">
      <c r="A22" s="39">
        <v>20</v>
      </c>
      <c r="B22" s="48" t="s">
        <v>137</v>
      </c>
      <c r="C22" s="49" t="s">
        <v>551</v>
      </c>
      <c r="D22" s="50" t="s">
        <v>552</v>
      </c>
      <c r="E22" s="49" t="s">
        <v>551</v>
      </c>
      <c r="F22" s="51"/>
      <c r="G22" s="52">
        <v>1</v>
      </c>
      <c r="H22" s="53" t="s">
        <v>543</v>
      </c>
      <c r="I22" s="63" t="s">
        <v>506</v>
      </c>
      <c r="J22" s="53" t="s">
        <v>544</v>
      </c>
      <c r="K22" s="64" t="s">
        <v>508</v>
      </c>
      <c r="L22" s="64" t="s">
        <v>508</v>
      </c>
      <c r="M22" s="65">
        <v>0.246</v>
      </c>
      <c r="N22" s="57">
        <v>0.246</v>
      </c>
      <c r="O22" s="68">
        <f>VLOOKUP(C22,[1]线材核算!C23:V80,20,0)</f>
        <v>0.26530822176839902</v>
      </c>
      <c r="P22" s="67"/>
      <c r="Q22" s="73">
        <v>1.2E-2</v>
      </c>
      <c r="R22" s="38">
        <f t="shared" si="0"/>
        <v>20.5</v>
      </c>
      <c r="S22" s="74">
        <f t="shared" si="3"/>
        <v>0.12</v>
      </c>
      <c r="T22" s="72">
        <v>0.14000000000000001</v>
      </c>
    </row>
    <row r="23" spans="1:20" s="34" customFormat="1" ht="42.6" customHeight="1" x14ac:dyDescent="0.25">
      <c r="A23" s="39">
        <v>21</v>
      </c>
      <c r="B23" s="48" t="s">
        <v>137</v>
      </c>
      <c r="C23" s="53" t="s">
        <v>553</v>
      </c>
      <c r="D23" s="53" t="s">
        <v>554</v>
      </c>
      <c r="E23" s="53" t="s">
        <v>553</v>
      </c>
      <c r="F23" s="51"/>
      <c r="G23" s="52">
        <v>1</v>
      </c>
      <c r="H23" s="53" t="s">
        <v>218</v>
      </c>
      <c r="I23" s="63" t="s">
        <v>506</v>
      </c>
      <c r="J23" s="53" t="s">
        <v>544</v>
      </c>
      <c r="K23" s="64" t="s">
        <v>508</v>
      </c>
      <c r="L23" s="64" t="s">
        <v>508</v>
      </c>
      <c r="M23" s="65">
        <v>0.182</v>
      </c>
      <c r="N23" s="57">
        <v>0.182</v>
      </c>
      <c r="O23" s="68">
        <f>VLOOKUP(C23,[1]线材核算!C24:V81,20,0)</f>
        <v>0.193626805839195</v>
      </c>
      <c r="P23" s="67"/>
      <c r="Q23" s="73">
        <v>7.0000000000000001E-3</v>
      </c>
      <c r="R23" s="38">
        <f t="shared" si="0"/>
        <v>26</v>
      </c>
      <c r="S23" s="74">
        <f t="shared" si="3"/>
        <v>7.0000000000000007E-2</v>
      </c>
      <c r="T23" s="72">
        <v>7.0000000000000007E-2</v>
      </c>
    </row>
    <row r="24" spans="1:20" s="34" customFormat="1" ht="42.6" customHeight="1" x14ac:dyDescent="0.25">
      <c r="A24" s="39">
        <v>22</v>
      </c>
      <c r="B24" s="48" t="s">
        <v>137</v>
      </c>
      <c r="C24" s="53" t="s">
        <v>555</v>
      </c>
      <c r="D24" s="53" t="s">
        <v>556</v>
      </c>
      <c r="E24" s="53" t="s">
        <v>555</v>
      </c>
      <c r="F24" s="51"/>
      <c r="G24" s="52">
        <v>1</v>
      </c>
      <c r="H24" s="53" t="s">
        <v>218</v>
      </c>
      <c r="I24" s="63" t="s">
        <v>506</v>
      </c>
      <c r="J24" s="53" t="s">
        <v>544</v>
      </c>
      <c r="K24" s="64" t="s">
        <v>508</v>
      </c>
      <c r="L24" s="64" t="s">
        <v>508</v>
      </c>
      <c r="M24" s="65">
        <v>0.28000000000000003</v>
      </c>
      <c r="N24" s="57">
        <v>0.28000000000000003</v>
      </c>
      <c r="O24" s="68">
        <f>VLOOKUP(C24,[1]线材核算!C25:V82,20,0)</f>
        <v>0.29610468194539002</v>
      </c>
      <c r="P24" s="67"/>
      <c r="Q24" s="73">
        <v>0.01</v>
      </c>
      <c r="R24" s="38">
        <f t="shared" si="0"/>
        <v>28.000000000000004</v>
      </c>
      <c r="S24" s="74">
        <f t="shared" si="3"/>
        <v>0.1</v>
      </c>
      <c r="T24" s="72">
        <v>0.13</v>
      </c>
    </row>
    <row r="25" spans="1:20" s="34" customFormat="1" ht="42.6" customHeight="1" x14ac:dyDescent="0.25">
      <c r="A25" s="39">
        <v>23</v>
      </c>
      <c r="B25" s="48" t="s">
        <v>137</v>
      </c>
      <c r="C25" s="53" t="s">
        <v>557</v>
      </c>
      <c r="D25" s="53" t="s">
        <v>558</v>
      </c>
      <c r="E25" s="53" t="s">
        <v>557</v>
      </c>
      <c r="F25" s="51"/>
      <c r="G25" s="52">
        <v>1</v>
      </c>
      <c r="H25" s="53" t="s">
        <v>218</v>
      </c>
      <c r="I25" s="63" t="s">
        <v>506</v>
      </c>
      <c r="J25" s="53" t="s">
        <v>544</v>
      </c>
      <c r="K25" s="69"/>
      <c r="L25" s="64" t="s">
        <v>508</v>
      </c>
      <c r="M25" s="65">
        <v>0.27600000000000002</v>
      </c>
      <c r="N25" s="57">
        <v>0.27600000000000002</v>
      </c>
      <c r="O25" s="68">
        <f>VLOOKUP(C25,[1]线材核算!C26:V83,20,0)</f>
        <v>0.28867105362680601</v>
      </c>
      <c r="P25" s="67"/>
      <c r="Q25" s="73">
        <v>1.6E-2</v>
      </c>
      <c r="R25" s="38">
        <f t="shared" si="0"/>
        <v>17.25</v>
      </c>
      <c r="S25" s="74">
        <f t="shared" si="3"/>
        <v>0.16</v>
      </c>
      <c r="T25" s="72">
        <v>0.2</v>
      </c>
    </row>
    <row r="26" spans="1:20" s="34" customFormat="1" ht="42.6" customHeight="1" x14ac:dyDescent="0.25">
      <c r="A26" s="39">
        <v>24</v>
      </c>
      <c r="B26" s="48" t="s">
        <v>137</v>
      </c>
      <c r="C26" s="53" t="s">
        <v>559</v>
      </c>
      <c r="D26" s="53" t="s">
        <v>560</v>
      </c>
      <c r="E26" s="53" t="s">
        <v>559</v>
      </c>
      <c r="F26" s="51"/>
      <c r="G26" s="52">
        <v>1</v>
      </c>
      <c r="H26" s="53" t="s">
        <v>218</v>
      </c>
      <c r="I26" s="63" t="s">
        <v>506</v>
      </c>
      <c r="J26" s="53" t="s">
        <v>544</v>
      </c>
      <c r="K26" s="69"/>
      <c r="L26" s="64" t="s">
        <v>508</v>
      </c>
      <c r="M26" s="65">
        <v>0.33600000000000002</v>
      </c>
      <c r="N26" s="57">
        <v>0.33600000000000002</v>
      </c>
      <c r="O26" s="68">
        <f>VLOOKUP(C26,[1]线材核算!C27:V84,20,0)</f>
        <v>0.373626805839195</v>
      </c>
      <c r="P26" s="67"/>
      <c r="Q26" s="73">
        <v>1.6E-2</v>
      </c>
      <c r="R26" s="38">
        <f t="shared" si="0"/>
        <v>21</v>
      </c>
      <c r="S26" s="74">
        <f t="shared" si="3"/>
        <v>0.16</v>
      </c>
      <c r="T26" s="72">
        <v>0.2</v>
      </c>
    </row>
  </sheetData>
  <autoFilter ref="A2:R26" xr:uid="{00000000-0009-0000-0000-000004000000}"/>
  <mergeCells count="1">
    <mergeCell ref="A1:L1"/>
  </mergeCells>
  <phoneticPr fontId="51" type="noConversion"/>
  <printOptions horizontalCentered="1"/>
  <pageMargins left="0.31496062992126" right="0.31496062992126" top="0.74803149606299202" bottom="0.74803149606299202" header="0.31496062992126" footer="0.31496062992126"/>
  <pageSetup paperSize="9"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1"/>
  <sheetViews>
    <sheetView workbookViewId="0">
      <pane xSplit="3" ySplit="1" topLeftCell="D2" activePane="bottomRight" state="frozen"/>
      <selection pane="topRight"/>
      <selection pane="bottomLeft"/>
      <selection pane="bottomRight" activeCell="F29" sqref="F29"/>
    </sheetView>
  </sheetViews>
  <sheetFormatPr defaultColWidth="9" defaultRowHeight="14.4" x14ac:dyDescent="0.25"/>
  <cols>
    <col min="1" max="1" width="14.77734375" style="19" customWidth="1"/>
    <col min="2" max="2" width="19.33203125" style="19" customWidth="1"/>
    <col min="3" max="3" width="9" style="19"/>
    <col min="4" max="4" width="50.109375" style="19" customWidth="1"/>
    <col min="5" max="16384" width="9" style="19"/>
  </cols>
  <sheetData>
    <row r="1" spans="1:4" s="18" customFormat="1" ht="42" customHeight="1" x14ac:dyDescent="0.25">
      <c r="A1" s="20" t="s">
        <v>2</v>
      </c>
      <c r="B1" s="21" t="s">
        <v>561</v>
      </c>
      <c r="C1" s="20" t="s">
        <v>562</v>
      </c>
      <c r="D1" s="20" t="s">
        <v>563</v>
      </c>
    </row>
    <row r="2" spans="1:4" ht="15.6" x14ac:dyDescent="0.25">
      <c r="A2" s="22" t="s">
        <v>564</v>
      </c>
      <c r="B2" s="22" t="s">
        <v>565</v>
      </c>
      <c r="C2" s="23">
        <v>4.34</v>
      </c>
      <c r="D2" s="24" t="s">
        <v>566</v>
      </c>
    </row>
    <row r="3" spans="1:4" ht="15.6" x14ac:dyDescent="0.25">
      <c r="A3" s="22" t="s">
        <v>567</v>
      </c>
      <c r="B3" s="25" t="s">
        <v>568</v>
      </c>
      <c r="C3" s="23">
        <v>51.34</v>
      </c>
      <c r="D3" s="24" t="s">
        <v>566</v>
      </c>
    </row>
    <row r="4" spans="1:4" ht="15.6" x14ac:dyDescent="0.25">
      <c r="A4" s="22" t="s">
        <v>569</v>
      </c>
      <c r="B4" s="22" t="s">
        <v>570</v>
      </c>
      <c r="C4" s="23">
        <v>11.09</v>
      </c>
      <c r="D4" s="24" t="s">
        <v>571</v>
      </c>
    </row>
    <row r="5" spans="1:4" ht="15.6" x14ac:dyDescent="0.25">
      <c r="A5" s="22" t="s">
        <v>572</v>
      </c>
      <c r="B5" s="22" t="s">
        <v>573</v>
      </c>
      <c r="C5" s="23">
        <v>0.2</v>
      </c>
      <c r="D5" s="24" t="s">
        <v>574</v>
      </c>
    </row>
    <row r="6" spans="1:4" ht="15.6" x14ac:dyDescent="0.25">
      <c r="A6" s="22" t="s">
        <v>484</v>
      </c>
      <c r="B6" s="25" t="s">
        <v>575</v>
      </c>
      <c r="C6" s="23">
        <v>0.2</v>
      </c>
      <c r="D6" s="24" t="s">
        <v>574</v>
      </c>
    </row>
    <row r="7" spans="1:4" ht="30" x14ac:dyDescent="0.25">
      <c r="A7" s="22" t="s">
        <v>576</v>
      </c>
      <c r="B7" s="22" t="s">
        <v>577</v>
      </c>
      <c r="C7" s="23">
        <v>0.77</v>
      </c>
      <c r="D7" s="24" t="s">
        <v>578</v>
      </c>
    </row>
    <row r="8" spans="1:4" ht="15.6" x14ac:dyDescent="0.25">
      <c r="A8" s="22" t="s">
        <v>579</v>
      </c>
      <c r="B8" s="22" t="s">
        <v>580</v>
      </c>
      <c r="C8" s="23">
        <v>47.6691</v>
      </c>
      <c r="D8" s="24" t="s">
        <v>581</v>
      </c>
    </row>
    <row r="9" spans="1:4" ht="15.6" x14ac:dyDescent="0.25">
      <c r="A9" s="22" t="s">
        <v>582</v>
      </c>
      <c r="B9" s="22" t="s">
        <v>583</v>
      </c>
      <c r="C9" s="23">
        <v>30.973500000000001</v>
      </c>
      <c r="D9" s="24" t="s">
        <v>584</v>
      </c>
    </row>
    <row r="10" spans="1:4" ht="15.6" x14ac:dyDescent="0.25">
      <c r="A10" s="22" t="s">
        <v>585</v>
      </c>
      <c r="B10" s="25" t="s">
        <v>586</v>
      </c>
      <c r="C10" s="23">
        <v>0.88500000000000001</v>
      </c>
      <c r="D10" s="24" t="s">
        <v>584</v>
      </c>
    </row>
    <row r="11" spans="1:4" ht="15.6" x14ac:dyDescent="0.25">
      <c r="A11" s="22" t="s">
        <v>587</v>
      </c>
      <c r="B11" s="25" t="s">
        <v>588</v>
      </c>
      <c r="C11" s="23">
        <v>0.88500000000000001</v>
      </c>
      <c r="D11" s="24" t="s">
        <v>584</v>
      </c>
    </row>
    <row r="12" spans="1:4" ht="15.6" x14ac:dyDescent="0.25">
      <c r="A12" s="22" t="s">
        <v>354</v>
      </c>
      <c r="B12" s="22" t="s">
        <v>356</v>
      </c>
      <c r="C12" s="23">
        <v>0.61360000000000003</v>
      </c>
      <c r="D12" s="24" t="s">
        <v>589</v>
      </c>
    </row>
    <row r="13" spans="1:4" ht="15.6" x14ac:dyDescent="0.25">
      <c r="A13" s="22" t="s">
        <v>416</v>
      </c>
      <c r="B13" s="25" t="s">
        <v>417</v>
      </c>
      <c r="C13" s="23">
        <v>1.5149999999999999</v>
      </c>
      <c r="D13" s="24" t="s">
        <v>589</v>
      </c>
    </row>
    <row r="14" spans="1:4" ht="15.6" x14ac:dyDescent="0.25">
      <c r="A14" s="22" t="s">
        <v>590</v>
      </c>
      <c r="B14" s="22" t="s">
        <v>591</v>
      </c>
      <c r="C14" s="23">
        <v>0.51280000000000003</v>
      </c>
      <c r="D14" s="24" t="s">
        <v>592</v>
      </c>
    </row>
    <row r="15" spans="1:4" ht="15.6" x14ac:dyDescent="0.25">
      <c r="A15" s="22" t="s">
        <v>593</v>
      </c>
      <c r="B15" s="25" t="s">
        <v>594</v>
      </c>
      <c r="C15" s="23">
        <v>0.51280000000000003</v>
      </c>
      <c r="D15" s="24" t="s">
        <v>592</v>
      </c>
    </row>
    <row r="16" spans="1:4" ht="30" x14ac:dyDescent="0.25">
      <c r="A16" s="22" t="s">
        <v>408</v>
      </c>
      <c r="B16" s="26" t="s">
        <v>409</v>
      </c>
      <c r="C16" s="23">
        <v>8.3802000000000003</v>
      </c>
      <c r="D16" s="24" t="s">
        <v>592</v>
      </c>
    </row>
    <row r="17" spans="1:4" ht="15.6" x14ac:dyDescent="0.25">
      <c r="A17" s="22" t="s">
        <v>413</v>
      </c>
      <c r="B17" s="25" t="s">
        <v>414</v>
      </c>
      <c r="C17" s="23">
        <v>3.2749999999999999</v>
      </c>
      <c r="D17" s="24" t="s">
        <v>592</v>
      </c>
    </row>
    <row r="18" spans="1:4" ht="15.6" x14ac:dyDescent="0.25">
      <c r="A18" s="22" t="s">
        <v>595</v>
      </c>
      <c r="B18" s="22" t="s">
        <v>596</v>
      </c>
      <c r="C18" s="27">
        <v>60.576500000000003</v>
      </c>
      <c r="D18" s="24" t="s">
        <v>597</v>
      </c>
    </row>
    <row r="19" spans="1:4" ht="15.6" x14ac:dyDescent="0.25">
      <c r="A19" s="22" t="s">
        <v>598</v>
      </c>
      <c r="B19" s="25" t="s">
        <v>599</v>
      </c>
      <c r="C19" s="27">
        <v>0.4365</v>
      </c>
      <c r="D19" s="24" t="s">
        <v>597</v>
      </c>
    </row>
    <row r="20" spans="1:4" ht="15.6" x14ac:dyDescent="0.25">
      <c r="A20" s="22" t="s">
        <v>600</v>
      </c>
      <c r="B20" s="26" t="s">
        <v>601</v>
      </c>
      <c r="C20" s="27">
        <v>19.2545</v>
      </c>
      <c r="D20" s="24" t="s">
        <v>597</v>
      </c>
    </row>
    <row r="21" spans="1:4" ht="15.6" x14ac:dyDescent="0.25">
      <c r="A21" s="22" t="s">
        <v>602</v>
      </c>
      <c r="B21" s="25" t="s">
        <v>603</v>
      </c>
      <c r="C21" s="27">
        <v>21.25</v>
      </c>
      <c r="D21" s="24" t="s">
        <v>597</v>
      </c>
    </row>
    <row r="22" spans="1:4" ht="15.6" x14ac:dyDescent="0.25">
      <c r="A22" s="22" t="s">
        <v>604</v>
      </c>
      <c r="B22" s="25" t="s">
        <v>605</v>
      </c>
      <c r="C22" s="27">
        <v>24.25</v>
      </c>
      <c r="D22" s="24" t="s">
        <v>597</v>
      </c>
    </row>
    <row r="23" spans="1:4" ht="15.6" x14ac:dyDescent="0.25">
      <c r="A23" s="22" t="s">
        <v>606</v>
      </c>
      <c r="B23" s="25" t="s">
        <v>607</v>
      </c>
      <c r="C23" s="27">
        <v>134.25</v>
      </c>
      <c r="D23" s="24" t="s">
        <v>597</v>
      </c>
    </row>
    <row r="24" spans="1:4" ht="15.6" x14ac:dyDescent="0.25">
      <c r="A24" s="22" t="s">
        <v>608</v>
      </c>
      <c r="B24" s="25" t="s">
        <v>609</v>
      </c>
      <c r="C24" s="28">
        <v>15.78</v>
      </c>
      <c r="D24" s="24" t="s">
        <v>597</v>
      </c>
    </row>
    <row r="25" spans="1:4" ht="15.6" x14ac:dyDescent="0.25">
      <c r="A25" s="22" t="s">
        <v>610</v>
      </c>
      <c r="B25" s="25" t="s">
        <v>611</v>
      </c>
      <c r="C25" s="27">
        <v>15.78</v>
      </c>
      <c r="D25" s="24" t="s">
        <v>597</v>
      </c>
    </row>
    <row r="26" spans="1:4" ht="30" x14ac:dyDescent="0.25">
      <c r="A26" s="22" t="s">
        <v>612</v>
      </c>
      <c r="B26" s="22" t="s">
        <v>613</v>
      </c>
      <c r="C26" s="23">
        <v>12.5</v>
      </c>
      <c r="D26" s="24" t="s">
        <v>614</v>
      </c>
    </row>
    <row r="27" spans="1:4" ht="30" x14ac:dyDescent="0.25">
      <c r="A27" s="22" t="s">
        <v>615</v>
      </c>
      <c r="B27" s="25" t="s">
        <v>616</v>
      </c>
      <c r="C27" s="23">
        <v>27</v>
      </c>
      <c r="D27" s="24" t="s">
        <v>614</v>
      </c>
    </row>
    <row r="28" spans="1:4" ht="15.6" x14ac:dyDescent="0.25">
      <c r="A28" s="22" t="s">
        <v>221</v>
      </c>
      <c r="B28" s="22" t="s">
        <v>222</v>
      </c>
      <c r="C28" s="23">
        <v>33.5</v>
      </c>
      <c r="D28" s="24" t="s">
        <v>617</v>
      </c>
    </row>
    <row r="29" spans="1:4" ht="30" x14ac:dyDescent="0.25">
      <c r="A29" s="22" t="s">
        <v>618</v>
      </c>
      <c r="B29" s="25" t="s">
        <v>229</v>
      </c>
      <c r="C29" s="23">
        <v>33.5</v>
      </c>
      <c r="D29" s="24" t="s">
        <v>617</v>
      </c>
    </row>
    <row r="30" spans="1:4" ht="15.6" x14ac:dyDescent="0.25">
      <c r="A30" s="22" t="s">
        <v>619</v>
      </c>
      <c r="B30" s="26" t="s">
        <v>620</v>
      </c>
      <c r="C30" s="23">
        <v>1.95</v>
      </c>
      <c r="D30" s="24" t="s">
        <v>617</v>
      </c>
    </row>
    <row r="31" spans="1:4" ht="15.6" x14ac:dyDescent="0.25">
      <c r="A31" s="22" t="s">
        <v>621</v>
      </c>
      <c r="B31" s="25" t="s">
        <v>622</v>
      </c>
      <c r="C31" s="23">
        <v>16.600000000000001</v>
      </c>
      <c r="D31" s="24" t="s">
        <v>617</v>
      </c>
    </row>
    <row r="32" spans="1:4" ht="15.6" x14ac:dyDescent="0.25">
      <c r="A32" s="22" t="s">
        <v>623</v>
      </c>
      <c r="B32" s="22" t="s">
        <v>624</v>
      </c>
      <c r="C32" s="23">
        <v>9.0265000000000004</v>
      </c>
      <c r="D32" s="24" t="s">
        <v>625</v>
      </c>
    </row>
    <row r="33" spans="1:4" ht="15.6" x14ac:dyDescent="0.25">
      <c r="A33" s="22" t="s">
        <v>345</v>
      </c>
      <c r="B33" s="22" t="s">
        <v>346</v>
      </c>
      <c r="C33" s="23">
        <v>1.3</v>
      </c>
      <c r="D33" s="24" t="s">
        <v>626</v>
      </c>
    </row>
    <row r="34" spans="1:4" ht="15.6" x14ac:dyDescent="0.25">
      <c r="A34" s="22" t="s">
        <v>352</v>
      </c>
      <c r="B34" s="25" t="s">
        <v>353</v>
      </c>
      <c r="C34" s="23">
        <v>2</v>
      </c>
      <c r="D34" s="24" t="s">
        <v>626</v>
      </c>
    </row>
    <row r="35" spans="1:4" ht="15.6" x14ac:dyDescent="0.25">
      <c r="A35" s="22" t="s">
        <v>627</v>
      </c>
      <c r="B35" s="22" t="s">
        <v>628</v>
      </c>
      <c r="C35" s="23">
        <v>0.15920000000000001</v>
      </c>
      <c r="D35" s="24" t="s">
        <v>629</v>
      </c>
    </row>
    <row r="36" spans="1:4" ht="15.6" x14ac:dyDescent="0.25">
      <c r="A36" s="22" t="s">
        <v>630</v>
      </c>
      <c r="B36" s="22" t="s">
        <v>628</v>
      </c>
      <c r="C36" s="23">
        <v>0.2359</v>
      </c>
      <c r="D36" s="24" t="s">
        <v>629</v>
      </c>
    </row>
    <row r="37" spans="1:4" ht="15.6" x14ac:dyDescent="0.25">
      <c r="A37" s="22" t="s">
        <v>631</v>
      </c>
      <c r="B37" s="22" t="s">
        <v>628</v>
      </c>
      <c r="C37" s="23">
        <v>0.48359999999999997</v>
      </c>
      <c r="D37" s="24" t="s">
        <v>629</v>
      </c>
    </row>
    <row r="38" spans="1:4" ht="15.6" x14ac:dyDescent="0.25">
      <c r="A38" s="22" t="s">
        <v>632</v>
      </c>
      <c r="B38" s="29" t="s">
        <v>633</v>
      </c>
      <c r="C38" s="23">
        <v>0.21229999999999999</v>
      </c>
      <c r="D38" s="24" t="s">
        <v>629</v>
      </c>
    </row>
    <row r="39" spans="1:4" ht="15.6" x14ac:dyDescent="0.25">
      <c r="A39" s="22" t="s">
        <v>634</v>
      </c>
      <c r="B39" s="29" t="s">
        <v>633</v>
      </c>
      <c r="C39" s="30">
        <v>0.17100000000000001</v>
      </c>
      <c r="D39" s="24" t="s">
        <v>629</v>
      </c>
    </row>
    <row r="40" spans="1:4" ht="15.6" x14ac:dyDescent="0.25">
      <c r="A40" s="22" t="s">
        <v>635</v>
      </c>
      <c r="B40" s="29" t="s">
        <v>633</v>
      </c>
      <c r="C40" s="23">
        <v>0.25359999999999999</v>
      </c>
      <c r="D40" s="24" t="s">
        <v>629</v>
      </c>
    </row>
    <row r="41" spans="1:4" ht="15.6" x14ac:dyDescent="0.25">
      <c r="A41" s="22" t="s">
        <v>636</v>
      </c>
      <c r="B41" s="29" t="s">
        <v>633</v>
      </c>
      <c r="C41" s="23">
        <v>0.22409999999999999</v>
      </c>
      <c r="D41" s="24" t="s">
        <v>629</v>
      </c>
    </row>
    <row r="42" spans="1:4" ht="15.6" x14ac:dyDescent="0.25">
      <c r="A42" s="22" t="s">
        <v>637</v>
      </c>
      <c r="B42" s="29" t="s">
        <v>638</v>
      </c>
      <c r="C42" s="23">
        <v>0.26229999999999998</v>
      </c>
      <c r="D42" s="24" t="s">
        <v>629</v>
      </c>
    </row>
    <row r="43" spans="1:4" ht="15.6" x14ac:dyDescent="0.25">
      <c r="A43" s="22" t="s">
        <v>637</v>
      </c>
      <c r="B43" s="29" t="s">
        <v>638</v>
      </c>
      <c r="C43" s="23">
        <v>6.5600000000000006E-2</v>
      </c>
      <c r="D43" s="24" t="s">
        <v>629</v>
      </c>
    </row>
    <row r="44" spans="1:4" ht="15.6" x14ac:dyDescent="0.25">
      <c r="A44" s="22" t="s">
        <v>639</v>
      </c>
      <c r="B44" s="29" t="s">
        <v>638</v>
      </c>
      <c r="C44" s="23">
        <v>0.2029</v>
      </c>
      <c r="D44" s="24" t="s">
        <v>629</v>
      </c>
    </row>
    <row r="45" spans="1:4" ht="15.6" x14ac:dyDescent="0.25">
      <c r="A45" s="22" t="s">
        <v>640</v>
      </c>
      <c r="B45" s="31" t="s">
        <v>641</v>
      </c>
      <c r="C45" s="30">
        <v>0.66</v>
      </c>
      <c r="D45" s="24" t="s">
        <v>629</v>
      </c>
    </row>
    <row r="46" spans="1:4" ht="15.6" x14ac:dyDescent="0.25">
      <c r="A46" s="22" t="s">
        <v>642</v>
      </c>
      <c r="B46" s="22" t="s">
        <v>643</v>
      </c>
      <c r="C46" s="32">
        <v>4.6630917861111101</v>
      </c>
      <c r="D46" s="24" t="s">
        <v>644</v>
      </c>
    </row>
    <row r="47" spans="1:4" ht="15.6" x14ac:dyDescent="0.25">
      <c r="A47" s="22" t="s">
        <v>645</v>
      </c>
      <c r="B47" s="25" t="s">
        <v>646</v>
      </c>
      <c r="C47" s="32">
        <v>6.38375876736111</v>
      </c>
      <c r="D47" s="24" t="s">
        <v>644</v>
      </c>
    </row>
    <row r="48" spans="1:4" ht="15.6" x14ac:dyDescent="0.25">
      <c r="A48" s="22" t="s">
        <v>647</v>
      </c>
      <c r="B48" s="26" t="s">
        <v>648</v>
      </c>
      <c r="C48" s="32">
        <v>4.2217942286111096</v>
      </c>
      <c r="D48" s="24" t="s">
        <v>644</v>
      </c>
    </row>
    <row r="49" spans="1:4" ht="15.6" x14ac:dyDescent="0.25">
      <c r="A49" s="22" t="s">
        <v>649</v>
      </c>
      <c r="B49" s="25" t="s">
        <v>650</v>
      </c>
      <c r="C49" s="32">
        <v>4.5863587486111097</v>
      </c>
      <c r="D49" s="24" t="s">
        <v>644</v>
      </c>
    </row>
    <row r="50" spans="1:4" ht="15.6" x14ac:dyDescent="0.25">
      <c r="A50" s="22" t="s">
        <v>364</v>
      </c>
      <c r="B50" s="22" t="s">
        <v>651</v>
      </c>
      <c r="C50" s="23">
        <v>27.2</v>
      </c>
      <c r="D50" s="24" t="s">
        <v>652</v>
      </c>
    </row>
    <row r="51" spans="1:4" ht="15.6" x14ac:dyDescent="0.25">
      <c r="A51" s="22" t="s">
        <v>653</v>
      </c>
      <c r="B51" s="22" t="s">
        <v>654</v>
      </c>
      <c r="C51" s="23">
        <v>15</v>
      </c>
      <c r="D51" s="24" t="s">
        <v>655</v>
      </c>
    </row>
  </sheetData>
  <phoneticPr fontId="5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Z61"/>
  <sheetViews>
    <sheetView topLeftCell="A10" zoomScale="80" zoomScaleNormal="80" workbookViewId="0">
      <selection activeCell="P15" sqref="A15:XFD16"/>
    </sheetView>
  </sheetViews>
  <sheetFormatPr defaultColWidth="10" defaultRowHeight="12" x14ac:dyDescent="0.25"/>
  <cols>
    <col min="1" max="1" width="10" style="2"/>
    <col min="2" max="2" width="8.6640625" style="2" customWidth="1"/>
    <col min="3" max="3" width="13.77734375" style="2" customWidth="1"/>
    <col min="4" max="4" width="16" style="2" customWidth="1"/>
    <col min="5" max="5" width="20.21875" style="2" customWidth="1"/>
    <col min="6" max="6" width="4.88671875" style="2" customWidth="1"/>
    <col min="7" max="7" width="10.44140625" style="2" customWidth="1"/>
    <col min="8" max="8" width="3.88671875" style="2" customWidth="1"/>
    <col min="9" max="9" width="7.109375" style="2" customWidth="1"/>
    <col min="10" max="10" width="6.77734375" style="2" customWidth="1"/>
    <col min="11" max="11" width="6.44140625" style="2" customWidth="1"/>
    <col min="12" max="12" width="7.21875" style="2" customWidth="1"/>
    <col min="13" max="13" width="7.109375" style="3" customWidth="1"/>
    <col min="14" max="14" width="7.44140625" style="2" customWidth="1"/>
    <col min="15" max="15" width="6.77734375" style="2" customWidth="1"/>
    <col min="16" max="16" width="8.33203125" style="2" customWidth="1"/>
    <col min="17" max="17" width="6.77734375" style="2" customWidth="1"/>
    <col min="18" max="18" width="6" style="2" customWidth="1"/>
    <col min="19" max="19" width="7.77734375" style="2" customWidth="1"/>
    <col min="20" max="20" width="8.21875" style="2" customWidth="1"/>
    <col min="21" max="21" width="10.88671875" style="2" customWidth="1"/>
    <col min="22" max="22" width="8.33203125" style="2" customWidth="1"/>
    <col min="23" max="23" width="9.44140625" style="2" customWidth="1"/>
    <col min="24" max="24" width="12.109375" style="2" customWidth="1"/>
    <col min="25" max="257" width="10" style="2"/>
    <col min="258" max="258" width="16.33203125" style="2" customWidth="1"/>
    <col min="259" max="259" width="13.77734375" style="2" customWidth="1"/>
    <col min="260" max="260" width="16" style="2" customWidth="1"/>
    <col min="261" max="261" width="20.21875" style="2" customWidth="1"/>
    <col min="262" max="262" width="4.88671875" style="2" customWidth="1"/>
    <col min="263" max="263" width="10.44140625" style="2" customWidth="1"/>
    <col min="264" max="264" width="3.88671875" style="2" customWidth="1"/>
    <col min="265" max="265" width="7.109375" style="2" customWidth="1"/>
    <col min="266" max="266" width="6.77734375" style="2" customWidth="1"/>
    <col min="267" max="267" width="6.44140625" style="2" customWidth="1"/>
    <col min="268" max="268" width="7.21875" style="2" customWidth="1"/>
    <col min="269" max="269" width="7.109375" style="2" customWidth="1"/>
    <col min="270" max="270" width="8.44140625" style="2" customWidth="1"/>
    <col min="271" max="271" width="6.77734375" style="2" customWidth="1"/>
    <col min="272" max="272" width="8.33203125" style="2" customWidth="1"/>
    <col min="273" max="273" width="6.77734375" style="2" customWidth="1"/>
    <col min="274" max="274" width="6" style="2" customWidth="1"/>
    <col min="275" max="275" width="7.77734375" style="2" customWidth="1"/>
    <col min="276" max="276" width="8.21875" style="2" customWidth="1"/>
    <col min="277" max="277" width="9.21875" style="2" customWidth="1"/>
    <col min="278" max="278" width="8.33203125" style="2" customWidth="1"/>
    <col min="279" max="279" width="9.44140625" style="2" customWidth="1"/>
    <col min="280" max="280" width="12.109375" style="2" customWidth="1"/>
    <col min="281" max="513" width="10" style="2"/>
    <col min="514" max="514" width="16.33203125" style="2" customWidth="1"/>
    <col min="515" max="515" width="13.77734375" style="2" customWidth="1"/>
    <col min="516" max="516" width="16" style="2" customWidth="1"/>
    <col min="517" max="517" width="20.21875" style="2" customWidth="1"/>
    <col min="518" max="518" width="4.88671875" style="2" customWidth="1"/>
    <col min="519" max="519" width="10.44140625" style="2" customWidth="1"/>
    <col min="520" max="520" width="3.88671875" style="2" customWidth="1"/>
    <col min="521" max="521" width="7.109375" style="2" customWidth="1"/>
    <col min="522" max="522" width="6.77734375" style="2" customWidth="1"/>
    <col min="523" max="523" width="6.44140625" style="2" customWidth="1"/>
    <col min="524" max="524" width="7.21875" style="2" customWidth="1"/>
    <col min="525" max="525" width="7.109375" style="2" customWidth="1"/>
    <col min="526" max="526" width="8.44140625" style="2" customWidth="1"/>
    <col min="527" max="527" width="6.77734375" style="2" customWidth="1"/>
    <col min="528" max="528" width="8.33203125" style="2" customWidth="1"/>
    <col min="529" max="529" width="6.77734375" style="2" customWidth="1"/>
    <col min="530" max="530" width="6" style="2" customWidth="1"/>
    <col min="531" max="531" width="7.77734375" style="2" customWidth="1"/>
    <col min="532" max="532" width="8.21875" style="2" customWidth="1"/>
    <col min="533" max="533" width="9.21875" style="2" customWidth="1"/>
    <col min="534" max="534" width="8.33203125" style="2" customWidth="1"/>
    <col min="535" max="535" width="9.44140625" style="2" customWidth="1"/>
    <col min="536" max="536" width="12.109375" style="2" customWidth="1"/>
    <col min="537" max="769" width="10" style="2"/>
    <col min="770" max="770" width="16.33203125" style="2" customWidth="1"/>
    <col min="771" max="771" width="13.77734375" style="2" customWidth="1"/>
    <col min="772" max="772" width="16" style="2" customWidth="1"/>
    <col min="773" max="773" width="20.21875" style="2" customWidth="1"/>
    <col min="774" max="774" width="4.88671875" style="2" customWidth="1"/>
    <col min="775" max="775" width="10.44140625" style="2" customWidth="1"/>
    <col min="776" max="776" width="3.88671875" style="2" customWidth="1"/>
    <col min="777" max="777" width="7.109375" style="2" customWidth="1"/>
    <col min="778" max="778" width="6.77734375" style="2" customWidth="1"/>
    <col min="779" max="779" width="6.44140625" style="2" customWidth="1"/>
    <col min="780" max="780" width="7.21875" style="2" customWidth="1"/>
    <col min="781" max="781" width="7.109375" style="2" customWidth="1"/>
    <col min="782" max="782" width="8.44140625" style="2" customWidth="1"/>
    <col min="783" max="783" width="6.77734375" style="2" customWidth="1"/>
    <col min="784" max="784" width="8.33203125" style="2" customWidth="1"/>
    <col min="785" max="785" width="6.77734375" style="2" customWidth="1"/>
    <col min="786" max="786" width="6" style="2" customWidth="1"/>
    <col min="787" max="787" width="7.77734375" style="2" customWidth="1"/>
    <col min="788" max="788" width="8.21875" style="2" customWidth="1"/>
    <col min="789" max="789" width="9.21875" style="2" customWidth="1"/>
    <col min="790" max="790" width="8.33203125" style="2" customWidth="1"/>
    <col min="791" max="791" width="9.44140625" style="2" customWidth="1"/>
    <col min="792" max="792" width="12.109375" style="2" customWidth="1"/>
    <col min="793" max="1025" width="10" style="2"/>
    <col min="1026" max="1026" width="16.33203125" style="2" customWidth="1"/>
    <col min="1027" max="1027" width="13.77734375" style="2" customWidth="1"/>
    <col min="1028" max="1028" width="16" style="2" customWidth="1"/>
    <col min="1029" max="1029" width="20.21875" style="2" customWidth="1"/>
    <col min="1030" max="1030" width="4.88671875" style="2" customWidth="1"/>
    <col min="1031" max="1031" width="10.44140625" style="2" customWidth="1"/>
    <col min="1032" max="1032" width="3.88671875" style="2" customWidth="1"/>
    <col min="1033" max="1033" width="7.109375" style="2" customWidth="1"/>
    <col min="1034" max="1034" width="6.77734375" style="2" customWidth="1"/>
    <col min="1035" max="1035" width="6.44140625" style="2" customWidth="1"/>
    <col min="1036" max="1036" width="7.21875" style="2" customWidth="1"/>
    <col min="1037" max="1037" width="7.109375" style="2" customWidth="1"/>
    <col min="1038" max="1038" width="8.44140625" style="2" customWidth="1"/>
    <col min="1039" max="1039" width="6.77734375" style="2" customWidth="1"/>
    <col min="1040" max="1040" width="8.33203125" style="2" customWidth="1"/>
    <col min="1041" max="1041" width="6.77734375" style="2" customWidth="1"/>
    <col min="1042" max="1042" width="6" style="2" customWidth="1"/>
    <col min="1043" max="1043" width="7.77734375" style="2" customWidth="1"/>
    <col min="1044" max="1044" width="8.21875" style="2" customWidth="1"/>
    <col min="1045" max="1045" width="9.21875" style="2" customWidth="1"/>
    <col min="1046" max="1046" width="8.33203125" style="2" customWidth="1"/>
    <col min="1047" max="1047" width="9.44140625" style="2" customWidth="1"/>
    <col min="1048" max="1048" width="12.109375" style="2" customWidth="1"/>
    <col min="1049" max="1281" width="10" style="2"/>
    <col min="1282" max="1282" width="16.33203125" style="2" customWidth="1"/>
    <col min="1283" max="1283" width="13.77734375" style="2" customWidth="1"/>
    <col min="1284" max="1284" width="16" style="2" customWidth="1"/>
    <col min="1285" max="1285" width="20.21875" style="2" customWidth="1"/>
    <col min="1286" max="1286" width="4.88671875" style="2" customWidth="1"/>
    <col min="1287" max="1287" width="10.44140625" style="2" customWidth="1"/>
    <col min="1288" max="1288" width="3.88671875" style="2" customWidth="1"/>
    <col min="1289" max="1289" width="7.109375" style="2" customWidth="1"/>
    <col min="1290" max="1290" width="6.77734375" style="2" customWidth="1"/>
    <col min="1291" max="1291" width="6.44140625" style="2" customWidth="1"/>
    <col min="1292" max="1292" width="7.21875" style="2" customWidth="1"/>
    <col min="1293" max="1293" width="7.109375" style="2" customWidth="1"/>
    <col min="1294" max="1294" width="8.44140625" style="2" customWidth="1"/>
    <col min="1295" max="1295" width="6.77734375" style="2" customWidth="1"/>
    <col min="1296" max="1296" width="8.33203125" style="2" customWidth="1"/>
    <col min="1297" max="1297" width="6.77734375" style="2" customWidth="1"/>
    <col min="1298" max="1298" width="6" style="2" customWidth="1"/>
    <col min="1299" max="1299" width="7.77734375" style="2" customWidth="1"/>
    <col min="1300" max="1300" width="8.21875" style="2" customWidth="1"/>
    <col min="1301" max="1301" width="9.21875" style="2" customWidth="1"/>
    <col min="1302" max="1302" width="8.33203125" style="2" customWidth="1"/>
    <col min="1303" max="1303" width="9.44140625" style="2" customWidth="1"/>
    <col min="1304" max="1304" width="12.109375" style="2" customWidth="1"/>
    <col min="1305" max="1537" width="10" style="2"/>
    <col min="1538" max="1538" width="16.33203125" style="2" customWidth="1"/>
    <col min="1539" max="1539" width="13.77734375" style="2" customWidth="1"/>
    <col min="1540" max="1540" width="16" style="2" customWidth="1"/>
    <col min="1541" max="1541" width="20.21875" style="2" customWidth="1"/>
    <col min="1542" max="1542" width="4.88671875" style="2" customWidth="1"/>
    <col min="1543" max="1543" width="10.44140625" style="2" customWidth="1"/>
    <col min="1544" max="1544" width="3.88671875" style="2" customWidth="1"/>
    <col min="1545" max="1545" width="7.109375" style="2" customWidth="1"/>
    <col min="1546" max="1546" width="6.77734375" style="2" customWidth="1"/>
    <col min="1547" max="1547" width="6.44140625" style="2" customWidth="1"/>
    <col min="1548" max="1548" width="7.21875" style="2" customWidth="1"/>
    <col min="1549" max="1549" width="7.109375" style="2" customWidth="1"/>
    <col min="1550" max="1550" width="8.44140625" style="2" customWidth="1"/>
    <col min="1551" max="1551" width="6.77734375" style="2" customWidth="1"/>
    <col min="1552" max="1552" width="8.33203125" style="2" customWidth="1"/>
    <col min="1553" max="1553" width="6.77734375" style="2" customWidth="1"/>
    <col min="1554" max="1554" width="6" style="2" customWidth="1"/>
    <col min="1555" max="1555" width="7.77734375" style="2" customWidth="1"/>
    <col min="1556" max="1556" width="8.21875" style="2" customWidth="1"/>
    <col min="1557" max="1557" width="9.21875" style="2" customWidth="1"/>
    <col min="1558" max="1558" width="8.33203125" style="2" customWidth="1"/>
    <col min="1559" max="1559" width="9.44140625" style="2" customWidth="1"/>
    <col min="1560" max="1560" width="12.109375" style="2" customWidth="1"/>
    <col min="1561" max="1793" width="10" style="2"/>
    <col min="1794" max="1794" width="16.33203125" style="2" customWidth="1"/>
    <col min="1795" max="1795" width="13.77734375" style="2" customWidth="1"/>
    <col min="1796" max="1796" width="16" style="2" customWidth="1"/>
    <col min="1797" max="1797" width="20.21875" style="2" customWidth="1"/>
    <col min="1798" max="1798" width="4.88671875" style="2" customWidth="1"/>
    <col min="1799" max="1799" width="10.44140625" style="2" customWidth="1"/>
    <col min="1800" max="1800" width="3.88671875" style="2" customWidth="1"/>
    <col min="1801" max="1801" width="7.109375" style="2" customWidth="1"/>
    <col min="1802" max="1802" width="6.77734375" style="2" customWidth="1"/>
    <col min="1803" max="1803" width="6.44140625" style="2" customWidth="1"/>
    <col min="1804" max="1804" width="7.21875" style="2" customWidth="1"/>
    <col min="1805" max="1805" width="7.109375" style="2" customWidth="1"/>
    <col min="1806" max="1806" width="8.44140625" style="2" customWidth="1"/>
    <col min="1807" max="1807" width="6.77734375" style="2" customWidth="1"/>
    <col min="1808" max="1808" width="8.33203125" style="2" customWidth="1"/>
    <col min="1809" max="1809" width="6.77734375" style="2" customWidth="1"/>
    <col min="1810" max="1810" width="6" style="2" customWidth="1"/>
    <col min="1811" max="1811" width="7.77734375" style="2" customWidth="1"/>
    <col min="1812" max="1812" width="8.21875" style="2" customWidth="1"/>
    <col min="1813" max="1813" width="9.21875" style="2" customWidth="1"/>
    <col min="1814" max="1814" width="8.33203125" style="2" customWidth="1"/>
    <col min="1815" max="1815" width="9.44140625" style="2" customWidth="1"/>
    <col min="1816" max="1816" width="12.109375" style="2" customWidth="1"/>
    <col min="1817" max="2049" width="10" style="2"/>
    <col min="2050" max="2050" width="16.33203125" style="2" customWidth="1"/>
    <col min="2051" max="2051" width="13.77734375" style="2" customWidth="1"/>
    <col min="2052" max="2052" width="16" style="2" customWidth="1"/>
    <col min="2053" max="2053" width="20.21875" style="2" customWidth="1"/>
    <col min="2054" max="2054" width="4.88671875" style="2" customWidth="1"/>
    <col min="2055" max="2055" width="10.44140625" style="2" customWidth="1"/>
    <col min="2056" max="2056" width="3.88671875" style="2" customWidth="1"/>
    <col min="2057" max="2057" width="7.109375" style="2" customWidth="1"/>
    <col min="2058" max="2058" width="6.77734375" style="2" customWidth="1"/>
    <col min="2059" max="2059" width="6.44140625" style="2" customWidth="1"/>
    <col min="2060" max="2060" width="7.21875" style="2" customWidth="1"/>
    <col min="2061" max="2061" width="7.109375" style="2" customWidth="1"/>
    <col min="2062" max="2062" width="8.44140625" style="2" customWidth="1"/>
    <col min="2063" max="2063" width="6.77734375" style="2" customWidth="1"/>
    <col min="2064" max="2064" width="8.33203125" style="2" customWidth="1"/>
    <col min="2065" max="2065" width="6.77734375" style="2" customWidth="1"/>
    <col min="2066" max="2066" width="6" style="2" customWidth="1"/>
    <col min="2067" max="2067" width="7.77734375" style="2" customWidth="1"/>
    <col min="2068" max="2068" width="8.21875" style="2" customWidth="1"/>
    <col min="2069" max="2069" width="9.21875" style="2" customWidth="1"/>
    <col min="2070" max="2070" width="8.33203125" style="2" customWidth="1"/>
    <col min="2071" max="2071" width="9.44140625" style="2" customWidth="1"/>
    <col min="2072" max="2072" width="12.109375" style="2" customWidth="1"/>
    <col min="2073" max="2305" width="10" style="2"/>
    <col min="2306" max="2306" width="16.33203125" style="2" customWidth="1"/>
    <col min="2307" max="2307" width="13.77734375" style="2" customWidth="1"/>
    <col min="2308" max="2308" width="16" style="2" customWidth="1"/>
    <col min="2309" max="2309" width="20.21875" style="2" customWidth="1"/>
    <col min="2310" max="2310" width="4.88671875" style="2" customWidth="1"/>
    <col min="2311" max="2311" width="10.44140625" style="2" customWidth="1"/>
    <col min="2312" max="2312" width="3.88671875" style="2" customWidth="1"/>
    <col min="2313" max="2313" width="7.109375" style="2" customWidth="1"/>
    <col min="2314" max="2314" width="6.77734375" style="2" customWidth="1"/>
    <col min="2315" max="2315" width="6.44140625" style="2" customWidth="1"/>
    <col min="2316" max="2316" width="7.21875" style="2" customWidth="1"/>
    <col min="2317" max="2317" width="7.109375" style="2" customWidth="1"/>
    <col min="2318" max="2318" width="8.44140625" style="2" customWidth="1"/>
    <col min="2319" max="2319" width="6.77734375" style="2" customWidth="1"/>
    <col min="2320" max="2320" width="8.33203125" style="2" customWidth="1"/>
    <col min="2321" max="2321" width="6.77734375" style="2" customWidth="1"/>
    <col min="2322" max="2322" width="6" style="2" customWidth="1"/>
    <col min="2323" max="2323" width="7.77734375" style="2" customWidth="1"/>
    <col min="2324" max="2324" width="8.21875" style="2" customWidth="1"/>
    <col min="2325" max="2325" width="9.21875" style="2" customWidth="1"/>
    <col min="2326" max="2326" width="8.33203125" style="2" customWidth="1"/>
    <col min="2327" max="2327" width="9.44140625" style="2" customWidth="1"/>
    <col min="2328" max="2328" width="12.109375" style="2" customWidth="1"/>
    <col min="2329" max="2561" width="10" style="2"/>
    <col min="2562" max="2562" width="16.33203125" style="2" customWidth="1"/>
    <col min="2563" max="2563" width="13.77734375" style="2" customWidth="1"/>
    <col min="2564" max="2564" width="16" style="2" customWidth="1"/>
    <col min="2565" max="2565" width="20.21875" style="2" customWidth="1"/>
    <col min="2566" max="2566" width="4.88671875" style="2" customWidth="1"/>
    <col min="2567" max="2567" width="10.44140625" style="2" customWidth="1"/>
    <col min="2568" max="2568" width="3.88671875" style="2" customWidth="1"/>
    <col min="2569" max="2569" width="7.109375" style="2" customWidth="1"/>
    <col min="2570" max="2570" width="6.77734375" style="2" customWidth="1"/>
    <col min="2571" max="2571" width="6.44140625" style="2" customWidth="1"/>
    <col min="2572" max="2572" width="7.21875" style="2" customWidth="1"/>
    <col min="2573" max="2573" width="7.109375" style="2" customWidth="1"/>
    <col min="2574" max="2574" width="8.44140625" style="2" customWidth="1"/>
    <col min="2575" max="2575" width="6.77734375" style="2" customWidth="1"/>
    <col min="2576" max="2576" width="8.33203125" style="2" customWidth="1"/>
    <col min="2577" max="2577" width="6.77734375" style="2" customWidth="1"/>
    <col min="2578" max="2578" width="6" style="2" customWidth="1"/>
    <col min="2579" max="2579" width="7.77734375" style="2" customWidth="1"/>
    <col min="2580" max="2580" width="8.21875" style="2" customWidth="1"/>
    <col min="2581" max="2581" width="9.21875" style="2" customWidth="1"/>
    <col min="2582" max="2582" width="8.33203125" style="2" customWidth="1"/>
    <col min="2583" max="2583" width="9.44140625" style="2" customWidth="1"/>
    <col min="2584" max="2584" width="12.109375" style="2" customWidth="1"/>
    <col min="2585" max="2817" width="10" style="2"/>
    <col min="2818" max="2818" width="16.33203125" style="2" customWidth="1"/>
    <col min="2819" max="2819" width="13.77734375" style="2" customWidth="1"/>
    <col min="2820" max="2820" width="16" style="2" customWidth="1"/>
    <col min="2821" max="2821" width="20.21875" style="2" customWidth="1"/>
    <col min="2822" max="2822" width="4.88671875" style="2" customWidth="1"/>
    <col min="2823" max="2823" width="10.44140625" style="2" customWidth="1"/>
    <col min="2824" max="2824" width="3.88671875" style="2" customWidth="1"/>
    <col min="2825" max="2825" width="7.109375" style="2" customWidth="1"/>
    <col min="2826" max="2826" width="6.77734375" style="2" customWidth="1"/>
    <col min="2827" max="2827" width="6.44140625" style="2" customWidth="1"/>
    <col min="2828" max="2828" width="7.21875" style="2" customWidth="1"/>
    <col min="2829" max="2829" width="7.109375" style="2" customWidth="1"/>
    <col min="2830" max="2830" width="8.44140625" style="2" customWidth="1"/>
    <col min="2831" max="2831" width="6.77734375" style="2" customWidth="1"/>
    <col min="2832" max="2832" width="8.33203125" style="2" customWidth="1"/>
    <col min="2833" max="2833" width="6.77734375" style="2" customWidth="1"/>
    <col min="2834" max="2834" width="6" style="2" customWidth="1"/>
    <col min="2835" max="2835" width="7.77734375" style="2" customWidth="1"/>
    <col min="2836" max="2836" width="8.21875" style="2" customWidth="1"/>
    <col min="2837" max="2837" width="9.21875" style="2" customWidth="1"/>
    <col min="2838" max="2838" width="8.33203125" style="2" customWidth="1"/>
    <col min="2839" max="2839" width="9.44140625" style="2" customWidth="1"/>
    <col min="2840" max="2840" width="12.109375" style="2" customWidth="1"/>
    <col min="2841" max="3073" width="10" style="2"/>
    <col min="3074" max="3074" width="16.33203125" style="2" customWidth="1"/>
    <col min="3075" max="3075" width="13.77734375" style="2" customWidth="1"/>
    <col min="3076" max="3076" width="16" style="2" customWidth="1"/>
    <col min="3077" max="3077" width="20.21875" style="2" customWidth="1"/>
    <col min="3078" max="3078" width="4.88671875" style="2" customWidth="1"/>
    <col min="3079" max="3079" width="10.44140625" style="2" customWidth="1"/>
    <col min="3080" max="3080" width="3.88671875" style="2" customWidth="1"/>
    <col min="3081" max="3081" width="7.109375" style="2" customWidth="1"/>
    <col min="3082" max="3082" width="6.77734375" style="2" customWidth="1"/>
    <col min="3083" max="3083" width="6.44140625" style="2" customWidth="1"/>
    <col min="3084" max="3084" width="7.21875" style="2" customWidth="1"/>
    <col min="3085" max="3085" width="7.109375" style="2" customWidth="1"/>
    <col min="3086" max="3086" width="8.44140625" style="2" customWidth="1"/>
    <col min="3087" max="3087" width="6.77734375" style="2" customWidth="1"/>
    <col min="3088" max="3088" width="8.33203125" style="2" customWidth="1"/>
    <col min="3089" max="3089" width="6.77734375" style="2" customWidth="1"/>
    <col min="3090" max="3090" width="6" style="2" customWidth="1"/>
    <col min="3091" max="3091" width="7.77734375" style="2" customWidth="1"/>
    <col min="3092" max="3092" width="8.21875" style="2" customWidth="1"/>
    <col min="3093" max="3093" width="9.21875" style="2" customWidth="1"/>
    <col min="3094" max="3094" width="8.33203125" style="2" customWidth="1"/>
    <col min="3095" max="3095" width="9.44140625" style="2" customWidth="1"/>
    <col min="3096" max="3096" width="12.109375" style="2" customWidth="1"/>
    <col min="3097" max="3329" width="10" style="2"/>
    <col min="3330" max="3330" width="16.33203125" style="2" customWidth="1"/>
    <col min="3331" max="3331" width="13.77734375" style="2" customWidth="1"/>
    <col min="3332" max="3332" width="16" style="2" customWidth="1"/>
    <col min="3333" max="3333" width="20.21875" style="2" customWidth="1"/>
    <col min="3334" max="3334" width="4.88671875" style="2" customWidth="1"/>
    <col min="3335" max="3335" width="10.44140625" style="2" customWidth="1"/>
    <col min="3336" max="3336" width="3.88671875" style="2" customWidth="1"/>
    <col min="3337" max="3337" width="7.109375" style="2" customWidth="1"/>
    <col min="3338" max="3338" width="6.77734375" style="2" customWidth="1"/>
    <col min="3339" max="3339" width="6.44140625" style="2" customWidth="1"/>
    <col min="3340" max="3340" width="7.21875" style="2" customWidth="1"/>
    <col min="3341" max="3341" width="7.109375" style="2" customWidth="1"/>
    <col min="3342" max="3342" width="8.44140625" style="2" customWidth="1"/>
    <col min="3343" max="3343" width="6.77734375" style="2" customWidth="1"/>
    <col min="3344" max="3344" width="8.33203125" style="2" customWidth="1"/>
    <col min="3345" max="3345" width="6.77734375" style="2" customWidth="1"/>
    <col min="3346" max="3346" width="6" style="2" customWidth="1"/>
    <col min="3347" max="3347" width="7.77734375" style="2" customWidth="1"/>
    <col min="3348" max="3348" width="8.21875" style="2" customWidth="1"/>
    <col min="3349" max="3349" width="9.21875" style="2" customWidth="1"/>
    <col min="3350" max="3350" width="8.33203125" style="2" customWidth="1"/>
    <col min="3351" max="3351" width="9.44140625" style="2" customWidth="1"/>
    <col min="3352" max="3352" width="12.109375" style="2" customWidth="1"/>
    <col min="3353" max="3585" width="10" style="2"/>
    <col min="3586" max="3586" width="16.33203125" style="2" customWidth="1"/>
    <col min="3587" max="3587" width="13.77734375" style="2" customWidth="1"/>
    <col min="3588" max="3588" width="16" style="2" customWidth="1"/>
    <col min="3589" max="3589" width="20.21875" style="2" customWidth="1"/>
    <col min="3590" max="3590" width="4.88671875" style="2" customWidth="1"/>
    <col min="3591" max="3591" width="10.44140625" style="2" customWidth="1"/>
    <col min="3592" max="3592" width="3.88671875" style="2" customWidth="1"/>
    <col min="3593" max="3593" width="7.109375" style="2" customWidth="1"/>
    <col min="3594" max="3594" width="6.77734375" style="2" customWidth="1"/>
    <col min="3595" max="3595" width="6.44140625" style="2" customWidth="1"/>
    <col min="3596" max="3596" width="7.21875" style="2" customWidth="1"/>
    <col min="3597" max="3597" width="7.109375" style="2" customWidth="1"/>
    <col min="3598" max="3598" width="8.44140625" style="2" customWidth="1"/>
    <col min="3599" max="3599" width="6.77734375" style="2" customWidth="1"/>
    <col min="3600" max="3600" width="8.33203125" style="2" customWidth="1"/>
    <col min="3601" max="3601" width="6.77734375" style="2" customWidth="1"/>
    <col min="3602" max="3602" width="6" style="2" customWidth="1"/>
    <col min="3603" max="3603" width="7.77734375" style="2" customWidth="1"/>
    <col min="3604" max="3604" width="8.21875" style="2" customWidth="1"/>
    <col min="3605" max="3605" width="9.21875" style="2" customWidth="1"/>
    <col min="3606" max="3606" width="8.33203125" style="2" customWidth="1"/>
    <col min="3607" max="3607" width="9.44140625" style="2" customWidth="1"/>
    <col min="3608" max="3608" width="12.109375" style="2" customWidth="1"/>
    <col min="3609" max="3841" width="10" style="2"/>
    <col min="3842" max="3842" width="16.33203125" style="2" customWidth="1"/>
    <col min="3843" max="3843" width="13.77734375" style="2" customWidth="1"/>
    <col min="3844" max="3844" width="16" style="2" customWidth="1"/>
    <col min="3845" max="3845" width="20.21875" style="2" customWidth="1"/>
    <col min="3846" max="3846" width="4.88671875" style="2" customWidth="1"/>
    <col min="3847" max="3847" width="10.44140625" style="2" customWidth="1"/>
    <col min="3848" max="3848" width="3.88671875" style="2" customWidth="1"/>
    <col min="3849" max="3849" width="7.109375" style="2" customWidth="1"/>
    <col min="3850" max="3850" width="6.77734375" style="2" customWidth="1"/>
    <col min="3851" max="3851" width="6.44140625" style="2" customWidth="1"/>
    <col min="3852" max="3852" width="7.21875" style="2" customWidth="1"/>
    <col min="3853" max="3853" width="7.109375" style="2" customWidth="1"/>
    <col min="3854" max="3854" width="8.44140625" style="2" customWidth="1"/>
    <col min="3855" max="3855" width="6.77734375" style="2" customWidth="1"/>
    <col min="3856" max="3856" width="8.33203125" style="2" customWidth="1"/>
    <col min="3857" max="3857" width="6.77734375" style="2" customWidth="1"/>
    <col min="3858" max="3858" width="6" style="2" customWidth="1"/>
    <col min="3859" max="3859" width="7.77734375" style="2" customWidth="1"/>
    <col min="3860" max="3860" width="8.21875" style="2" customWidth="1"/>
    <col min="3861" max="3861" width="9.21875" style="2" customWidth="1"/>
    <col min="3862" max="3862" width="8.33203125" style="2" customWidth="1"/>
    <col min="3863" max="3863" width="9.44140625" style="2" customWidth="1"/>
    <col min="3864" max="3864" width="12.109375" style="2" customWidth="1"/>
    <col min="3865" max="4097" width="10" style="2"/>
    <col min="4098" max="4098" width="16.33203125" style="2" customWidth="1"/>
    <col min="4099" max="4099" width="13.77734375" style="2" customWidth="1"/>
    <col min="4100" max="4100" width="16" style="2" customWidth="1"/>
    <col min="4101" max="4101" width="20.21875" style="2" customWidth="1"/>
    <col min="4102" max="4102" width="4.88671875" style="2" customWidth="1"/>
    <col min="4103" max="4103" width="10.44140625" style="2" customWidth="1"/>
    <col min="4104" max="4104" width="3.88671875" style="2" customWidth="1"/>
    <col min="4105" max="4105" width="7.109375" style="2" customWidth="1"/>
    <col min="4106" max="4106" width="6.77734375" style="2" customWidth="1"/>
    <col min="4107" max="4107" width="6.44140625" style="2" customWidth="1"/>
    <col min="4108" max="4108" width="7.21875" style="2" customWidth="1"/>
    <col min="4109" max="4109" width="7.109375" style="2" customWidth="1"/>
    <col min="4110" max="4110" width="8.44140625" style="2" customWidth="1"/>
    <col min="4111" max="4111" width="6.77734375" style="2" customWidth="1"/>
    <col min="4112" max="4112" width="8.33203125" style="2" customWidth="1"/>
    <col min="4113" max="4113" width="6.77734375" style="2" customWidth="1"/>
    <col min="4114" max="4114" width="6" style="2" customWidth="1"/>
    <col min="4115" max="4115" width="7.77734375" style="2" customWidth="1"/>
    <col min="4116" max="4116" width="8.21875" style="2" customWidth="1"/>
    <col min="4117" max="4117" width="9.21875" style="2" customWidth="1"/>
    <col min="4118" max="4118" width="8.33203125" style="2" customWidth="1"/>
    <col min="4119" max="4119" width="9.44140625" style="2" customWidth="1"/>
    <col min="4120" max="4120" width="12.109375" style="2" customWidth="1"/>
    <col min="4121" max="4353" width="10" style="2"/>
    <col min="4354" max="4354" width="16.33203125" style="2" customWidth="1"/>
    <col min="4355" max="4355" width="13.77734375" style="2" customWidth="1"/>
    <col min="4356" max="4356" width="16" style="2" customWidth="1"/>
    <col min="4357" max="4357" width="20.21875" style="2" customWidth="1"/>
    <col min="4358" max="4358" width="4.88671875" style="2" customWidth="1"/>
    <col min="4359" max="4359" width="10.44140625" style="2" customWidth="1"/>
    <col min="4360" max="4360" width="3.88671875" style="2" customWidth="1"/>
    <col min="4361" max="4361" width="7.109375" style="2" customWidth="1"/>
    <col min="4362" max="4362" width="6.77734375" style="2" customWidth="1"/>
    <col min="4363" max="4363" width="6.44140625" style="2" customWidth="1"/>
    <col min="4364" max="4364" width="7.21875" style="2" customWidth="1"/>
    <col min="4365" max="4365" width="7.109375" style="2" customWidth="1"/>
    <col min="4366" max="4366" width="8.44140625" style="2" customWidth="1"/>
    <col min="4367" max="4367" width="6.77734375" style="2" customWidth="1"/>
    <col min="4368" max="4368" width="8.33203125" style="2" customWidth="1"/>
    <col min="4369" max="4369" width="6.77734375" style="2" customWidth="1"/>
    <col min="4370" max="4370" width="6" style="2" customWidth="1"/>
    <col min="4371" max="4371" width="7.77734375" style="2" customWidth="1"/>
    <col min="4372" max="4372" width="8.21875" style="2" customWidth="1"/>
    <col min="4373" max="4373" width="9.21875" style="2" customWidth="1"/>
    <col min="4374" max="4374" width="8.33203125" style="2" customWidth="1"/>
    <col min="4375" max="4375" width="9.44140625" style="2" customWidth="1"/>
    <col min="4376" max="4376" width="12.109375" style="2" customWidth="1"/>
    <col min="4377" max="4609" width="10" style="2"/>
    <col min="4610" max="4610" width="16.33203125" style="2" customWidth="1"/>
    <col min="4611" max="4611" width="13.77734375" style="2" customWidth="1"/>
    <col min="4612" max="4612" width="16" style="2" customWidth="1"/>
    <col min="4613" max="4613" width="20.21875" style="2" customWidth="1"/>
    <col min="4614" max="4614" width="4.88671875" style="2" customWidth="1"/>
    <col min="4615" max="4615" width="10.44140625" style="2" customWidth="1"/>
    <col min="4616" max="4616" width="3.88671875" style="2" customWidth="1"/>
    <col min="4617" max="4617" width="7.109375" style="2" customWidth="1"/>
    <col min="4618" max="4618" width="6.77734375" style="2" customWidth="1"/>
    <col min="4619" max="4619" width="6.44140625" style="2" customWidth="1"/>
    <col min="4620" max="4620" width="7.21875" style="2" customWidth="1"/>
    <col min="4621" max="4621" width="7.109375" style="2" customWidth="1"/>
    <col min="4622" max="4622" width="8.44140625" style="2" customWidth="1"/>
    <col min="4623" max="4623" width="6.77734375" style="2" customWidth="1"/>
    <col min="4624" max="4624" width="8.33203125" style="2" customWidth="1"/>
    <col min="4625" max="4625" width="6.77734375" style="2" customWidth="1"/>
    <col min="4626" max="4626" width="6" style="2" customWidth="1"/>
    <col min="4627" max="4627" width="7.77734375" style="2" customWidth="1"/>
    <col min="4628" max="4628" width="8.21875" style="2" customWidth="1"/>
    <col min="4629" max="4629" width="9.21875" style="2" customWidth="1"/>
    <col min="4630" max="4630" width="8.33203125" style="2" customWidth="1"/>
    <col min="4631" max="4631" width="9.44140625" style="2" customWidth="1"/>
    <col min="4632" max="4632" width="12.109375" style="2" customWidth="1"/>
    <col min="4633" max="4865" width="10" style="2"/>
    <col min="4866" max="4866" width="16.33203125" style="2" customWidth="1"/>
    <col min="4867" max="4867" width="13.77734375" style="2" customWidth="1"/>
    <col min="4868" max="4868" width="16" style="2" customWidth="1"/>
    <col min="4869" max="4869" width="20.21875" style="2" customWidth="1"/>
    <col min="4870" max="4870" width="4.88671875" style="2" customWidth="1"/>
    <col min="4871" max="4871" width="10.44140625" style="2" customWidth="1"/>
    <col min="4872" max="4872" width="3.88671875" style="2" customWidth="1"/>
    <col min="4873" max="4873" width="7.109375" style="2" customWidth="1"/>
    <col min="4874" max="4874" width="6.77734375" style="2" customWidth="1"/>
    <col min="4875" max="4875" width="6.44140625" style="2" customWidth="1"/>
    <col min="4876" max="4876" width="7.21875" style="2" customWidth="1"/>
    <col min="4877" max="4877" width="7.109375" style="2" customWidth="1"/>
    <col min="4878" max="4878" width="8.44140625" style="2" customWidth="1"/>
    <col min="4879" max="4879" width="6.77734375" style="2" customWidth="1"/>
    <col min="4880" max="4880" width="8.33203125" style="2" customWidth="1"/>
    <col min="4881" max="4881" width="6.77734375" style="2" customWidth="1"/>
    <col min="4882" max="4882" width="6" style="2" customWidth="1"/>
    <col min="4883" max="4883" width="7.77734375" style="2" customWidth="1"/>
    <col min="4884" max="4884" width="8.21875" style="2" customWidth="1"/>
    <col min="4885" max="4885" width="9.21875" style="2" customWidth="1"/>
    <col min="4886" max="4886" width="8.33203125" style="2" customWidth="1"/>
    <col min="4887" max="4887" width="9.44140625" style="2" customWidth="1"/>
    <col min="4888" max="4888" width="12.109375" style="2" customWidth="1"/>
    <col min="4889" max="5121" width="10" style="2"/>
    <col min="5122" max="5122" width="16.33203125" style="2" customWidth="1"/>
    <col min="5123" max="5123" width="13.77734375" style="2" customWidth="1"/>
    <col min="5124" max="5124" width="16" style="2" customWidth="1"/>
    <col min="5125" max="5125" width="20.21875" style="2" customWidth="1"/>
    <col min="5126" max="5126" width="4.88671875" style="2" customWidth="1"/>
    <col min="5127" max="5127" width="10.44140625" style="2" customWidth="1"/>
    <col min="5128" max="5128" width="3.88671875" style="2" customWidth="1"/>
    <col min="5129" max="5129" width="7.109375" style="2" customWidth="1"/>
    <col min="5130" max="5130" width="6.77734375" style="2" customWidth="1"/>
    <col min="5131" max="5131" width="6.44140625" style="2" customWidth="1"/>
    <col min="5132" max="5132" width="7.21875" style="2" customWidth="1"/>
    <col min="5133" max="5133" width="7.109375" style="2" customWidth="1"/>
    <col min="5134" max="5134" width="8.44140625" style="2" customWidth="1"/>
    <col min="5135" max="5135" width="6.77734375" style="2" customWidth="1"/>
    <col min="5136" max="5136" width="8.33203125" style="2" customWidth="1"/>
    <col min="5137" max="5137" width="6.77734375" style="2" customWidth="1"/>
    <col min="5138" max="5138" width="6" style="2" customWidth="1"/>
    <col min="5139" max="5139" width="7.77734375" style="2" customWidth="1"/>
    <col min="5140" max="5140" width="8.21875" style="2" customWidth="1"/>
    <col min="5141" max="5141" width="9.21875" style="2" customWidth="1"/>
    <col min="5142" max="5142" width="8.33203125" style="2" customWidth="1"/>
    <col min="5143" max="5143" width="9.44140625" style="2" customWidth="1"/>
    <col min="5144" max="5144" width="12.109375" style="2" customWidth="1"/>
    <col min="5145" max="5377" width="10" style="2"/>
    <col min="5378" max="5378" width="16.33203125" style="2" customWidth="1"/>
    <col min="5379" max="5379" width="13.77734375" style="2" customWidth="1"/>
    <col min="5380" max="5380" width="16" style="2" customWidth="1"/>
    <col min="5381" max="5381" width="20.21875" style="2" customWidth="1"/>
    <col min="5382" max="5382" width="4.88671875" style="2" customWidth="1"/>
    <col min="5383" max="5383" width="10.44140625" style="2" customWidth="1"/>
    <col min="5384" max="5384" width="3.88671875" style="2" customWidth="1"/>
    <col min="5385" max="5385" width="7.109375" style="2" customWidth="1"/>
    <col min="5386" max="5386" width="6.77734375" style="2" customWidth="1"/>
    <col min="5387" max="5387" width="6.44140625" style="2" customWidth="1"/>
    <col min="5388" max="5388" width="7.21875" style="2" customWidth="1"/>
    <col min="5389" max="5389" width="7.109375" style="2" customWidth="1"/>
    <col min="5390" max="5390" width="8.44140625" style="2" customWidth="1"/>
    <col min="5391" max="5391" width="6.77734375" style="2" customWidth="1"/>
    <col min="5392" max="5392" width="8.33203125" style="2" customWidth="1"/>
    <col min="5393" max="5393" width="6.77734375" style="2" customWidth="1"/>
    <col min="5394" max="5394" width="6" style="2" customWidth="1"/>
    <col min="5395" max="5395" width="7.77734375" style="2" customWidth="1"/>
    <col min="5396" max="5396" width="8.21875" style="2" customWidth="1"/>
    <col min="5397" max="5397" width="9.21875" style="2" customWidth="1"/>
    <col min="5398" max="5398" width="8.33203125" style="2" customWidth="1"/>
    <col min="5399" max="5399" width="9.44140625" style="2" customWidth="1"/>
    <col min="5400" max="5400" width="12.109375" style="2" customWidth="1"/>
    <col min="5401" max="5633" width="10" style="2"/>
    <col min="5634" max="5634" width="16.33203125" style="2" customWidth="1"/>
    <col min="5635" max="5635" width="13.77734375" style="2" customWidth="1"/>
    <col min="5636" max="5636" width="16" style="2" customWidth="1"/>
    <col min="5637" max="5637" width="20.21875" style="2" customWidth="1"/>
    <col min="5638" max="5638" width="4.88671875" style="2" customWidth="1"/>
    <col min="5639" max="5639" width="10.44140625" style="2" customWidth="1"/>
    <col min="5640" max="5640" width="3.88671875" style="2" customWidth="1"/>
    <col min="5641" max="5641" width="7.109375" style="2" customWidth="1"/>
    <col min="5642" max="5642" width="6.77734375" style="2" customWidth="1"/>
    <col min="5643" max="5643" width="6.44140625" style="2" customWidth="1"/>
    <col min="5644" max="5644" width="7.21875" style="2" customWidth="1"/>
    <col min="5645" max="5645" width="7.109375" style="2" customWidth="1"/>
    <col min="5646" max="5646" width="8.44140625" style="2" customWidth="1"/>
    <col min="5647" max="5647" width="6.77734375" style="2" customWidth="1"/>
    <col min="5648" max="5648" width="8.33203125" style="2" customWidth="1"/>
    <col min="5649" max="5649" width="6.77734375" style="2" customWidth="1"/>
    <col min="5650" max="5650" width="6" style="2" customWidth="1"/>
    <col min="5651" max="5651" width="7.77734375" style="2" customWidth="1"/>
    <col min="5652" max="5652" width="8.21875" style="2" customWidth="1"/>
    <col min="5653" max="5653" width="9.21875" style="2" customWidth="1"/>
    <col min="5654" max="5654" width="8.33203125" style="2" customWidth="1"/>
    <col min="5655" max="5655" width="9.44140625" style="2" customWidth="1"/>
    <col min="5656" max="5656" width="12.109375" style="2" customWidth="1"/>
    <col min="5657" max="5889" width="10" style="2"/>
    <col min="5890" max="5890" width="16.33203125" style="2" customWidth="1"/>
    <col min="5891" max="5891" width="13.77734375" style="2" customWidth="1"/>
    <col min="5892" max="5892" width="16" style="2" customWidth="1"/>
    <col min="5893" max="5893" width="20.21875" style="2" customWidth="1"/>
    <col min="5894" max="5894" width="4.88671875" style="2" customWidth="1"/>
    <col min="5895" max="5895" width="10.44140625" style="2" customWidth="1"/>
    <col min="5896" max="5896" width="3.88671875" style="2" customWidth="1"/>
    <col min="5897" max="5897" width="7.109375" style="2" customWidth="1"/>
    <col min="5898" max="5898" width="6.77734375" style="2" customWidth="1"/>
    <col min="5899" max="5899" width="6.44140625" style="2" customWidth="1"/>
    <col min="5900" max="5900" width="7.21875" style="2" customWidth="1"/>
    <col min="5901" max="5901" width="7.109375" style="2" customWidth="1"/>
    <col min="5902" max="5902" width="8.44140625" style="2" customWidth="1"/>
    <col min="5903" max="5903" width="6.77734375" style="2" customWidth="1"/>
    <col min="5904" max="5904" width="8.33203125" style="2" customWidth="1"/>
    <col min="5905" max="5905" width="6.77734375" style="2" customWidth="1"/>
    <col min="5906" max="5906" width="6" style="2" customWidth="1"/>
    <col min="5907" max="5907" width="7.77734375" style="2" customWidth="1"/>
    <col min="5908" max="5908" width="8.21875" style="2" customWidth="1"/>
    <col min="5909" max="5909" width="9.21875" style="2" customWidth="1"/>
    <col min="5910" max="5910" width="8.33203125" style="2" customWidth="1"/>
    <col min="5911" max="5911" width="9.44140625" style="2" customWidth="1"/>
    <col min="5912" max="5912" width="12.109375" style="2" customWidth="1"/>
    <col min="5913" max="6145" width="10" style="2"/>
    <col min="6146" max="6146" width="16.33203125" style="2" customWidth="1"/>
    <col min="6147" max="6147" width="13.77734375" style="2" customWidth="1"/>
    <col min="6148" max="6148" width="16" style="2" customWidth="1"/>
    <col min="6149" max="6149" width="20.21875" style="2" customWidth="1"/>
    <col min="6150" max="6150" width="4.88671875" style="2" customWidth="1"/>
    <col min="6151" max="6151" width="10.44140625" style="2" customWidth="1"/>
    <col min="6152" max="6152" width="3.88671875" style="2" customWidth="1"/>
    <col min="6153" max="6153" width="7.109375" style="2" customWidth="1"/>
    <col min="6154" max="6154" width="6.77734375" style="2" customWidth="1"/>
    <col min="6155" max="6155" width="6.44140625" style="2" customWidth="1"/>
    <col min="6156" max="6156" width="7.21875" style="2" customWidth="1"/>
    <col min="6157" max="6157" width="7.109375" style="2" customWidth="1"/>
    <col min="6158" max="6158" width="8.44140625" style="2" customWidth="1"/>
    <col min="6159" max="6159" width="6.77734375" style="2" customWidth="1"/>
    <col min="6160" max="6160" width="8.33203125" style="2" customWidth="1"/>
    <col min="6161" max="6161" width="6.77734375" style="2" customWidth="1"/>
    <col min="6162" max="6162" width="6" style="2" customWidth="1"/>
    <col min="6163" max="6163" width="7.77734375" style="2" customWidth="1"/>
    <col min="6164" max="6164" width="8.21875" style="2" customWidth="1"/>
    <col min="6165" max="6165" width="9.21875" style="2" customWidth="1"/>
    <col min="6166" max="6166" width="8.33203125" style="2" customWidth="1"/>
    <col min="6167" max="6167" width="9.44140625" style="2" customWidth="1"/>
    <col min="6168" max="6168" width="12.109375" style="2" customWidth="1"/>
    <col min="6169" max="6401" width="10" style="2"/>
    <col min="6402" max="6402" width="16.33203125" style="2" customWidth="1"/>
    <col min="6403" max="6403" width="13.77734375" style="2" customWidth="1"/>
    <col min="6404" max="6404" width="16" style="2" customWidth="1"/>
    <col min="6405" max="6405" width="20.21875" style="2" customWidth="1"/>
    <col min="6406" max="6406" width="4.88671875" style="2" customWidth="1"/>
    <col min="6407" max="6407" width="10.44140625" style="2" customWidth="1"/>
    <col min="6408" max="6408" width="3.88671875" style="2" customWidth="1"/>
    <col min="6409" max="6409" width="7.109375" style="2" customWidth="1"/>
    <col min="6410" max="6410" width="6.77734375" style="2" customWidth="1"/>
    <col min="6411" max="6411" width="6.44140625" style="2" customWidth="1"/>
    <col min="6412" max="6412" width="7.21875" style="2" customWidth="1"/>
    <col min="6413" max="6413" width="7.109375" style="2" customWidth="1"/>
    <col min="6414" max="6414" width="8.44140625" style="2" customWidth="1"/>
    <col min="6415" max="6415" width="6.77734375" style="2" customWidth="1"/>
    <col min="6416" max="6416" width="8.33203125" style="2" customWidth="1"/>
    <col min="6417" max="6417" width="6.77734375" style="2" customWidth="1"/>
    <col min="6418" max="6418" width="6" style="2" customWidth="1"/>
    <col min="6419" max="6419" width="7.77734375" style="2" customWidth="1"/>
    <col min="6420" max="6420" width="8.21875" style="2" customWidth="1"/>
    <col min="6421" max="6421" width="9.21875" style="2" customWidth="1"/>
    <col min="6422" max="6422" width="8.33203125" style="2" customWidth="1"/>
    <col min="6423" max="6423" width="9.44140625" style="2" customWidth="1"/>
    <col min="6424" max="6424" width="12.109375" style="2" customWidth="1"/>
    <col min="6425" max="6657" width="10" style="2"/>
    <col min="6658" max="6658" width="16.33203125" style="2" customWidth="1"/>
    <col min="6659" max="6659" width="13.77734375" style="2" customWidth="1"/>
    <col min="6660" max="6660" width="16" style="2" customWidth="1"/>
    <col min="6661" max="6661" width="20.21875" style="2" customWidth="1"/>
    <col min="6662" max="6662" width="4.88671875" style="2" customWidth="1"/>
    <col min="6663" max="6663" width="10.44140625" style="2" customWidth="1"/>
    <col min="6664" max="6664" width="3.88671875" style="2" customWidth="1"/>
    <col min="6665" max="6665" width="7.109375" style="2" customWidth="1"/>
    <col min="6666" max="6666" width="6.77734375" style="2" customWidth="1"/>
    <col min="6667" max="6667" width="6.44140625" style="2" customWidth="1"/>
    <col min="6668" max="6668" width="7.21875" style="2" customWidth="1"/>
    <col min="6669" max="6669" width="7.109375" style="2" customWidth="1"/>
    <col min="6670" max="6670" width="8.44140625" style="2" customWidth="1"/>
    <col min="6671" max="6671" width="6.77734375" style="2" customWidth="1"/>
    <col min="6672" max="6672" width="8.33203125" style="2" customWidth="1"/>
    <col min="6673" max="6673" width="6.77734375" style="2" customWidth="1"/>
    <col min="6674" max="6674" width="6" style="2" customWidth="1"/>
    <col min="6675" max="6675" width="7.77734375" style="2" customWidth="1"/>
    <col min="6676" max="6676" width="8.21875" style="2" customWidth="1"/>
    <col min="6677" max="6677" width="9.21875" style="2" customWidth="1"/>
    <col min="6678" max="6678" width="8.33203125" style="2" customWidth="1"/>
    <col min="6679" max="6679" width="9.44140625" style="2" customWidth="1"/>
    <col min="6680" max="6680" width="12.109375" style="2" customWidth="1"/>
    <col min="6681" max="6913" width="10" style="2"/>
    <col min="6914" max="6914" width="16.33203125" style="2" customWidth="1"/>
    <col min="6915" max="6915" width="13.77734375" style="2" customWidth="1"/>
    <col min="6916" max="6916" width="16" style="2" customWidth="1"/>
    <col min="6917" max="6917" width="20.21875" style="2" customWidth="1"/>
    <col min="6918" max="6918" width="4.88671875" style="2" customWidth="1"/>
    <col min="6919" max="6919" width="10.44140625" style="2" customWidth="1"/>
    <col min="6920" max="6920" width="3.88671875" style="2" customWidth="1"/>
    <col min="6921" max="6921" width="7.109375" style="2" customWidth="1"/>
    <col min="6922" max="6922" width="6.77734375" style="2" customWidth="1"/>
    <col min="6923" max="6923" width="6.44140625" style="2" customWidth="1"/>
    <col min="6924" max="6924" width="7.21875" style="2" customWidth="1"/>
    <col min="6925" max="6925" width="7.109375" style="2" customWidth="1"/>
    <col min="6926" max="6926" width="8.44140625" style="2" customWidth="1"/>
    <col min="6927" max="6927" width="6.77734375" style="2" customWidth="1"/>
    <col min="6928" max="6928" width="8.33203125" style="2" customWidth="1"/>
    <col min="6929" max="6929" width="6.77734375" style="2" customWidth="1"/>
    <col min="6930" max="6930" width="6" style="2" customWidth="1"/>
    <col min="6931" max="6931" width="7.77734375" style="2" customWidth="1"/>
    <col min="6932" max="6932" width="8.21875" style="2" customWidth="1"/>
    <col min="6933" max="6933" width="9.21875" style="2" customWidth="1"/>
    <col min="6934" max="6934" width="8.33203125" style="2" customWidth="1"/>
    <col min="6935" max="6935" width="9.44140625" style="2" customWidth="1"/>
    <col min="6936" max="6936" width="12.109375" style="2" customWidth="1"/>
    <col min="6937" max="7169" width="10" style="2"/>
    <col min="7170" max="7170" width="16.33203125" style="2" customWidth="1"/>
    <col min="7171" max="7171" width="13.77734375" style="2" customWidth="1"/>
    <col min="7172" max="7172" width="16" style="2" customWidth="1"/>
    <col min="7173" max="7173" width="20.21875" style="2" customWidth="1"/>
    <col min="7174" max="7174" width="4.88671875" style="2" customWidth="1"/>
    <col min="7175" max="7175" width="10.44140625" style="2" customWidth="1"/>
    <col min="7176" max="7176" width="3.88671875" style="2" customWidth="1"/>
    <col min="7177" max="7177" width="7.109375" style="2" customWidth="1"/>
    <col min="7178" max="7178" width="6.77734375" style="2" customWidth="1"/>
    <col min="7179" max="7179" width="6.44140625" style="2" customWidth="1"/>
    <col min="7180" max="7180" width="7.21875" style="2" customWidth="1"/>
    <col min="7181" max="7181" width="7.109375" style="2" customWidth="1"/>
    <col min="7182" max="7182" width="8.44140625" style="2" customWidth="1"/>
    <col min="7183" max="7183" width="6.77734375" style="2" customWidth="1"/>
    <col min="7184" max="7184" width="8.33203125" style="2" customWidth="1"/>
    <col min="7185" max="7185" width="6.77734375" style="2" customWidth="1"/>
    <col min="7186" max="7186" width="6" style="2" customWidth="1"/>
    <col min="7187" max="7187" width="7.77734375" style="2" customWidth="1"/>
    <col min="7188" max="7188" width="8.21875" style="2" customWidth="1"/>
    <col min="7189" max="7189" width="9.21875" style="2" customWidth="1"/>
    <col min="7190" max="7190" width="8.33203125" style="2" customWidth="1"/>
    <col min="7191" max="7191" width="9.44140625" style="2" customWidth="1"/>
    <col min="7192" max="7192" width="12.109375" style="2" customWidth="1"/>
    <col min="7193" max="7425" width="10" style="2"/>
    <col min="7426" max="7426" width="16.33203125" style="2" customWidth="1"/>
    <col min="7427" max="7427" width="13.77734375" style="2" customWidth="1"/>
    <col min="7428" max="7428" width="16" style="2" customWidth="1"/>
    <col min="7429" max="7429" width="20.21875" style="2" customWidth="1"/>
    <col min="7430" max="7430" width="4.88671875" style="2" customWidth="1"/>
    <col min="7431" max="7431" width="10.44140625" style="2" customWidth="1"/>
    <col min="7432" max="7432" width="3.88671875" style="2" customWidth="1"/>
    <col min="7433" max="7433" width="7.109375" style="2" customWidth="1"/>
    <col min="7434" max="7434" width="6.77734375" style="2" customWidth="1"/>
    <col min="7435" max="7435" width="6.44140625" style="2" customWidth="1"/>
    <col min="7436" max="7436" width="7.21875" style="2" customWidth="1"/>
    <col min="7437" max="7437" width="7.109375" style="2" customWidth="1"/>
    <col min="7438" max="7438" width="8.44140625" style="2" customWidth="1"/>
    <col min="7439" max="7439" width="6.77734375" style="2" customWidth="1"/>
    <col min="7440" max="7440" width="8.33203125" style="2" customWidth="1"/>
    <col min="7441" max="7441" width="6.77734375" style="2" customWidth="1"/>
    <col min="7442" max="7442" width="6" style="2" customWidth="1"/>
    <col min="7443" max="7443" width="7.77734375" style="2" customWidth="1"/>
    <col min="7444" max="7444" width="8.21875" style="2" customWidth="1"/>
    <col min="7445" max="7445" width="9.21875" style="2" customWidth="1"/>
    <col min="7446" max="7446" width="8.33203125" style="2" customWidth="1"/>
    <col min="7447" max="7447" width="9.44140625" style="2" customWidth="1"/>
    <col min="7448" max="7448" width="12.109375" style="2" customWidth="1"/>
    <col min="7449" max="7681" width="10" style="2"/>
    <col min="7682" max="7682" width="16.33203125" style="2" customWidth="1"/>
    <col min="7683" max="7683" width="13.77734375" style="2" customWidth="1"/>
    <col min="7684" max="7684" width="16" style="2" customWidth="1"/>
    <col min="7685" max="7685" width="20.21875" style="2" customWidth="1"/>
    <col min="7686" max="7686" width="4.88671875" style="2" customWidth="1"/>
    <col min="7687" max="7687" width="10.44140625" style="2" customWidth="1"/>
    <col min="7688" max="7688" width="3.88671875" style="2" customWidth="1"/>
    <col min="7689" max="7689" width="7.109375" style="2" customWidth="1"/>
    <col min="7690" max="7690" width="6.77734375" style="2" customWidth="1"/>
    <col min="7691" max="7691" width="6.44140625" style="2" customWidth="1"/>
    <col min="7692" max="7692" width="7.21875" style="2" customWidth="1"/>
    <col min="7693" max="7693" width="7.109375" style="2" customWidth="1"/>
    <col min="7694" max="7694" width="8.44140625" style="2" customWidth="1"/>
    <col min="7695" max="7695" width="6.77734375" style="2" customWidth="1"/>
    <col min="7696" max="7696" width="8.33203125" style="2" customWidth="1"/>
    <col min="7697" max="7697" width="6.77734375" style="2" customWidth="1"/>
    <col min="7698" max="7698" width="6" style="2" customWidth="1"/>
    <col min="7699" max="7699" width="7.77734375" style="2" customWidth="1"/>
    <col min="7700" max="7700" width="8.21875" style="2" customWidth="1"/>
    <col min="7701" max="7701" width="9.21875" style="2" customWidth="1"/>
    <col min="7702" max="7702" width="8.33203125" style="2" customWidth="1"/>
    <col min="7703" max="7703" width="9.44140625" style="2" customWidth="1"/>
    <col min="7704" max="7704" width="12.109375" style="2" customWidth="1"/>
    <col min="7705" max="7937" width="10" style="2"/>
    <col min="7938" max="7938" width="16.33203125" style="2" customWidth="1"/>
    <col min="7939" max="7939" width="13.77734375" style="2" customWidth="1"/>
    <col min="7940" max="7940" width="16" style="2" customWidth="1"/>
    <col min="7941" max="7941" width="20.21875" style="2" customWidth="1"/>
    <col min="7942" max="7942" width="4.88671875" style="2" customWidth="1"/>
    <col min="7943" max="7943" width="10.44140625" style="2" customWidth="1"/>
    <col min="7944" max="7944" width="3.88671875" style="2" customWidth="1"/>
    <col min="7945" max="7945" width="7.109375" style="2" customWidth="1"/>
    <col min="7946" max="7946" width="6.77734375" style="2" customWidth="1"/>
    <col min="7947" max="7947" width="6.44140625" style="2" customWidth="1"/>
    <col min="7948" max="7948" width="7.21875" style="2" customWidth="1"/>
    <col min="7949" max="7949" width="7.109375" style="2" customWidth="1"/>
    <col min="7950" max="7950" width="8.44140625" style="2" customWidth="1"/>
    <col min="7951" max="7951" width="6.77734375" style="2" customWidth="1"/>
    <col min="7952" max="7952" width="8.33203125" style="2" customWidth="1"/>
    <col min="7953" max="7953" width="6.77734375" style="2" customWidth="1"/>
    <col min="7954" max="7954" width="6" style="2" customWidth="1"/>
    <col min="7955" max="7955" width="7.77734375" style="2" customWidth="1"/>
    <col min="7956" max="7956" width="8.21875" style="2" customWidth="1"/>
    <col min="7957" max="7957" width="9.21875" style="2" customWidth="1"/>
    <col min="7958" max="7958" width="8.33203125" style="2" customWidth="1"/>
    <col min="7959" max="7959" width="9.44140625" style="2" customWidth="1"/>
    <col min="7960" max="7960" width="12.109375" style="2" customWidth="1"/>
    <col min="7961" max="8193" width="10" style="2"/>
    <col min="8194" max="8194" width="16.33203125" style="2" customWidth="1"/>
    <col min="8195" max="8195" width="13.77734375" style="2" customWidth="1"/>
    <col min="8196" max="8196" width="16" style="2" customWidth="1"/>
    <col min="8197" max="8197" width="20.21875" style="2" customWidth="1"/>
    <col min="8198" max="8198" width="4.88671875" style="2" customWidth="1"/>
    <col min="8199" max="8199" width="10.44140625" style="2" customWidth="1"/>
    <col min="8200" max="8200" width="3.88671875" style="2" customWidth="1"/>
    <col min="8201" max="8201" width="7.109375" style="2" customWidth="1"/>
    <col min="8202" max="8202" width="6.77734375" style="2" customWidth="1"/>
    <col min="8203" max="8203" width="6.44140625" style="2" customWidth="1"/>
    <col min="8204" max="8204" width="7.21875" style="2" customWidth="1"/>
    <col min="8205" max="8205" width="7.109375" style="2" customWidth="1"/>
    <col min="8206" max="8206" width="8.44140625" style="2" customWidth="1"/>
    <col min="8207" max="8207" width="6.77734375" style="2" customWidth="1"/>
    <col min="8208" max="8208" width="8.33203125" style="2" customWidth="1"/>
    <col min="8209" max="8209" width="6.77734375" style="2" customWidth="1"/>
    <col min="8210" max="8210" width="6" style="2" customWidth="1"/>
    <col min="8211" max="8211" width="7.77734375" style="2" customWidth="1"/>
    <col min="8212" max="8212" width="8.21875" style="2" customWidth="1"/>
    <col min="8213" max="8213" width="9.21875" style="2" customWidth="1"/>
    <col min="8214" max="8214" width="8.33203125" style="2" customWidth="1"/>
    <col min="8215" max="8215" width="9.44140625" style="2" customWidth="1"/>
    <col min="8216" max="8216" width="12.109375" style="2" customWidth="1"/>
    <col min="8217" max="8449" width="10" style="2"/>
    <col min="8450" max="8450" width="16.33203125" style="2" customWidth="1"/>
    <col min="8451" max="8451" width="13.77734375" style="2" customWidth="1"/>
    <col min="8452" max="8452" width="16" style="2" customWidth="1"/>
    <col min="8453" max="8453" width="20.21875" style="2" customWidth="1"/>
    <col min="8454" max="8454" width="4.88671875" style="2" customWidth="1"/>
    <col min="8455" max="8455" width="10.44140625" style="2" customWidth="1"/>
    <col min="8456" max="8456" width="3.88671875" style="2" customWidth="1"/>
    <col min="8457" max="8457" width="7.109375" style="2" customWidth="1"/>
    <col min="8458" max="8458" width="6.77734375" style="2" customWidth="1"/>
    <col min="8459" max="8459" width="6.44140625" style="2" customWidth="1"/>
    <col min="8460" max="8460" width="7.21875" style="2" customWidth="1"/>
    <col min="8461" max="8461" width="7.109375" style="2" customWidth="1"/>
    <col min="8462" max="8462" width="8.44140625" style="2" customWidth="1"/>
    <col min="8463" max="8463" width="6.77734375" style="2" customWidth="1"/>
    <col min="8464" max="8464" width="8.33203125" style="2" customWidth="1"/>
    <col min="8465" max="8465" width="6.77734375" style="2" customWidth="1"/>
    <col min="8466" max="8466" width="6" style="2" customWidth="1"/>
    <col min="8467" max="8467" width="7.77734375" style="2" customWidth="1"/>
    <col min="8468" max="8468" width="8.21875" style="2" customWidth="1"/>
    <col min="8469" max="8469" width="9.21875" style="2" customWidth="1"/>
    <col min="8470" max="8470" width="8.33203125" style="2" customWidth="1"/>
    <col min="8471" max="8471" width="9.44140625" style="2" customWidth="1"/>
    <col min="8472" max="8472" width="12.109375" style="2" customWidth="1"/>
    <col min="8473" max="8705" width="10" style="2"/>
    <col min="8706" max="8706" width="16.33203125" style="2" customWidth="1"/>
    <col min="8707" max="8707" width="13.77734375" style="2" customWidth="1"/>
    <col min="8708" max="8708" width="16" style="2" customWidth="1"/>
    <col min="8709" max="8709" width="20.21875" style="2" customWidth="1"/>
    <col min="8710" max="8710" width="4.88671875" style="2" customWidth="1"/>
    <col min="8711" max="8711" width="10.44140625" style="2" customWidth="1"/>
    <col min="8712" max="8712" width="3.88671875" style="2" customWidth="1"/>
    <col min="8713" max="8713" width="7.109375" style="2" customWidth="1"/>
    <col min="8714" max="8714" width="6.77734375" style="2" customWidth="1"/>
    <col min="8715" max="8715" width="6.44140625" style="2" customWidth="1"/>
    <col min="8716" max="8716" width="7.21875" style="2" customWidth="1"/>
    <col min="8717" max="8717" width="7.109375" style="2" customWidth="1"/>
    <col min="8718" max="8718" width="8.44140625" style="2" customWidth="1"/>
    <col min="8719" max="8719" width="6.77734375" style="2" customWidth="1"/>
    <col min="8720" max="8720" width="8.33203125" style="2" customWidth="1"/>
    <col min="8721" max="8721" width="6.77734375" style="2" customWidth="1"/>
    <col min="8722" max="8722" width="6" style="2" customWidth="1"/>
    <col min="8723" max="8723" width="7.77734375" style="2" customWidth="1"/>
    <col min="8724" max="8724" width="8.21875" style="2" customWidth="1"/>
    <col min="8725" max="8725" width="9.21875" style="2" customWidth="1"/>
    <col min="8726" max="8726" width="8.33203125" style="2" customWidth="1"/>
    <col min="8727" max="8727" width="9.44140625" style="2" customWidth="1"/>
    <col min="8728" max="8728" width="12.109375" style="2" customWidth="1"/>
    <col min="8729" max="8961" width="10" style="2"/>
    <col min="8962" max="8962" width="16.33203125" style="2" customWidth="1"/>
    <col min="8963" max="8963" width="13.77734375" style="2" customWidth="1"/>
    <col min="8964" max="8964" width="16" style="2" customWidth="1"/>
    <col min="8965" max="8965" width="20.21875" style="2" customWidth="1"/>
    <col min="8966" max="8966" width="4.88671875" style="2" customWidth="1"/>
    <col min="8967" max="8967" width="10.44140625" style="2" customWidth="1"/>
    <col min="8968" max="8968" width="3.88671875" style="2" customWidth="1"/>
    <col min="8969" max="8969" width="7.109375" style="2" customWidth="1"/>
    <col min="8970" max="8970" width="6.77734375" style="2" customWidth="1"/>
    <col min="8971" max="8971" width="6.44140625" style="2" customWidth="1"/>
    <col min="8972" max="8972" width="7.21875" style="2" customWidth="1"/>
    <col min="8973" max="8973" width="7.109375" style="2" customWidth="1"/>
    <col min="8974" max="8974" width="8.44140625" style="2" customWidth="1"/>
    <col min="8975" max="8975" width="6.77734375" style="2" customWidth="1"/>
    <col min="8976" max="8976" width="8.33203125" style="2" customWidth="1"/>
    <col min="8977" max="8977" width="6.77734375" style="2" customWidth="1"/>
    <col min="8978" max="8978" width="6" style="2" customWidth="1"/>
    <col min="8979" max="8979" width="7.77734375" style="2" customWidth="1"/>
    <col min="8980" max="8980" width="8.21875" style="2" customWidth="1"/>
    <col min="8981" max="8981" width="9.21875" style="2" customWidth="1"/>
    <col min="8982" max="8982" width="8.33203125" style="2" customWidth="1"/>
    <col min="8983" max="8983" width="9.44140625" style="2" customWidth="1"/>
    <col min="8984" max="8984" width="12.109375" style="2" customWidth="1"/>
    <col min="8985" max="9217" width="10" style="2"/>
    <col min="9218" max="9218" width="16.33203125" style="2" customWidth="1"/>
    <col min="9219" max="9219" width="13.77734375" style="2" customWidth="1"/>
    <col min="9220" max="9220" width="16" style="2" customWidth="1"/>
    <col min="9221" max="9221" width="20.21875" style="2" customWidth="1"/>
    <col min="9222" max="9222" width="4.88671875" style="2" customWidth="1"/>
    <col min="9223" max="9223" width="10.44140625" style="2" customWidth="1"/>
    <col min="9224" max="9224" width="3.88671875" style="2" customWidth="1"/>
    <col min="9225" max="9225" width="7.109375" style="2" customWidth="1"/>
    <col min="9226" max="9226" width="6.77734375" style="2" customWidth="1"/>
    <col min="9227" max="9227" width="6.44140625" style="2" customWidth="1"/>
    <col min="9228" max="9228" width="7.21875" style="2" customWidth="1"/>
    <col min="9229" max="9229" width="7.109375" style="2" customWidth="1"/>
    <col min="9230" max="9230" width="8.44140625" style="2" customWidth="1"/>
    <col min="9231" max="9231" width="6.77734375" style="2" customWidth="1"/>
    <col min="9232" max="9232" width="8.33203125" style="2" customWidth="1"/>
    <col min="9233" max="9233" width="6.77734375" style="2" customWidth="1"/>
    <col min="9234" max="9234" width="6" style="2" customWidth="1"/>
    <col min="9235" max="9235" width="7.77734375" style="2" customWidth="1"/>
    <col min="9236" max="9236" width="8.21875" style="2" customWidth="1"/>
    <col min="9237" max="9237" width="9.21875" style="2" customWidth="1"/>
    <col min="9238" max="9238" width="8.33203125" style="2" customWidth="1"/>
    <col min="9239" max="9239" width="9.44140625" style="2" customWidth="1"/>
    <col min="9240" max="9240" width="12.109375" style="2" customWidth="1"/>
    <col min="9241" max="9473" width="10" style="2"/>
    <col min="9474" max="9474" width="16.33203125" style="2" customWidth="1"/>
    <col min="9475" max="9475" width="13.77734375" style="2" customWidth="1"/>
    <col min="9476" max="9476" width="16" style="2" customWidth="1"/>
    <col min="9477" max="9477" width="20.21875" style="2" customWidth="1"/>
    <col min="9478" max="9478" width="4.88671875" style="2" customWidth="1"/>
    <col min="9479" max="9479" width="10.44140625" style="2" customWidth="1"/>
    <col min="9480" max="9480" width="3.88671875" style="2" customWidth="1"/>
    <col min="9481" max="9481" width="7.109375" style="2" customWidth="1"/>
    <col min="9482" max="9482" width="6.77734375" style="2" customWidth="1"/>
    <col min="9483" max="9483" width="6.44140625" style="2" customWidth="1"/>
    <col min="9484" max="9484" width="7.21875" style="2" customWidth="1"/>
    <col min="9485" max="9485" width="7.109375" style="2" customWidth="1"/>
    <col min="9486" max="9486" width="8.44140625" style="2" customWidth="1"/>
    <col min="9487" max="9487" width="6.77734375" style="2" customWidth="1"/>
    <col min="9488" max="9488" width="8.33203125" style="2" customWidth="1"/>
    <col min="9489" max="9489" width="6.77734375" style="2" customWidth="1"/>
    <col min="9490" max="9490" width="6" style="2" customWidth="1"/>
    <col min="9491" max="9491" width="7.77734375" style="2" customWidth="1"/>
    <col min="9492" max="9492" width="8.21875" style="2" customWidth="1"/>
    <col min="9493" max="9493" width="9.21875" style="2" customWidth="1"/>
    <col min="9494" max="9494" width="8.33203125" style="2" customWidth="1"/>
    <col min="9495" max="9495" width="9.44140625" style="2" customWidth="1"/>
    <col min="9496" max="9496" width="12.109375" style="2" customWidth="1"/>
    <col min="9497" max="9729" width="10" style="2"/>
    <col min="9730" max="9730" width="16.33203125" style="2" customWidth="1"/>
    <col min="9731" max="9731" width="13.77734375" style="2" customWidth="1"/>
    <col min="9732" max="9732" width="16" style="2" customWidth="1"/>
    <col min="9733" max="9733" width="20.21875" style="2" customWidth="1"/>
    <col min="9734" max="9734" width="4.88671875" style="2" customWidth="1"/>
    <col min="9735" max="9735" width="10.44140625" style="2" customWidth="1"/>
    <col min="9736" max="9736" width="3.88671875" style="2" customWidth="1"/>
    <col min="9737" max="9737" width="7.109375" style="2" customWidth="1"/>
    <col min="9738" max="9738" width="6.77734375" style="2" customWidth="1"/>
    <col min="9739" max="9739" width="6.44140625" style="2" customWidth="1"/>
    <col min="9740" max="9740" width="7.21875" style="2" customWidth="1"/>
    <col min="9741" max="9741" width="7.109375" style="2" customWidth="1"/>
    <col min="9742" max="9742" width="8.44140625" style="2" customWidth="1"/>
    <col min="9743" max="9743" width="6.77734375" style="2" customWidth="1"/>
    <col min="9744" max="9744" width="8.33203125" style="2" customWidth="1"/>
    <col min="9745" max="9745" width="6.77734375" style="2" customWidth="1"/>
    <col min="9746" max="9746" width="6" style="2" customWidth="1"/>
    <col min="9747" max="9747" width="7.77734375" style="2" customWidth="1"/>
    <col min="9748" max="9748" width="8.21875" style="2" customWidth="1"/>
    <col min="9749" max="9749" width="9.21875" style="2" customWidth="1"/>
    <col min="9750" max="9750" width="8.33203125" style="2" customWidth="1"/>
    <col min="9751" max="9751" width="9.44140625" style="2" customWidth="1"/>
    <col min="9752" max="9752" width="12.109375" style="2" customWidth="1"/>
    <col min="9753" max="9985" width="10" style="2"/>
    <col min="9986" max="9986" width="16.33203125" style="2" customWidth="1"/>
    <col min="9987" max="9987" width="13.77734375" style="2" customWidth="1"/>
    <col min="9988" max="9988" width="16" style="2" customWidth="1"/>
    <col min="9989" max="9989" width="20.21875" style="2" customWidth="1"/>
    <col min="9990" max="9990" width="4.88671875" style="2" customWidth="1"/>
    <col min="9991" max="9991" width="10.44140625" style="2" customWidth="1"/>
    <col min="9992" max="9992" width="3.88671875" style="2" customWidth="1"/>
    <col min="9993" max="9993" width="7.109375" style="2" customWidth="1"/>
    <col min="9994" max="9994" width="6.77734375" style="2" customWidth="1"/>
    <col min="9995" max="9995" width="6.44140625" style="2" customWidth="1"/>
    <col min="9996" max="9996" width="7.21875" style="2" customWidth="1"/>
    <col min="9997" max="9997" width="7.109375" style="2" customWidth="1"/>
    <col min="9998" max="9998" width="8.44140625" style="2" customWidth="1"/>
    <col min="9999" max="9999" width="6.77734375" style="2" customWidth="1"/>
    <col min="10000" max="10000" width="8.33203125" style="2" customWidth="1"/>
    <col min="10001" max="10001" width="6.77734375" style="2" customWidth="1"/>
    <col min="10002" max="10002" width="6" style="2" customWidth="1"/>
    <col min="10003" max="10003" width="7.77734375" style="2" customWidth="1"/>
    <col min="10004" max="10004" width="8.21875" style="2" customWidth="1"/>
    <col min="10005" max="10005" width="9.21875" style="2" customWidth="1"/>
    <col min="10006" max="10006" width="8.33203125" style="2" customWidth="1"/>
    <col min="10007" max="10007" width="9.44140625" style="2" customWidth="1"/>
    <col min="10008" max="10008" width="12.109375" style="2" customWidth="1"/>
    <col min="10009" max="10241" width="10" style="2"/>
    <col min="10242" max="10242" width="16.33203125" style="2" customWidth="1"/>
    <col min="10243" max="10243" width="13.77734375" style="2" customWidth="1"/>
    <col min="10244" max="10244" width="16" style="2" customWidth="1"/>
    <col min="10245" max="10245" width="20.21875" style="2" customWidth="1"/>
    <col min="10246" max="10246" width="4.88671875" style="2" customWidth="1"/>
    <col min="10247" max="10247" width="10.44140625" style="2" customWidth="1"/>
    <col min="10248" max="10248" width="3.88671875" style="2" customWidth="1"/>
    <col min="10249" max="10249" width="7.109375" style="2" customWidth="1"/>
    <col min="10250" max="10250" width="6.77734375" style="2" customWidth="1"/>
    <col min="10251" max="10251" width="6.44140625" style="2" customWidth="1"/>
    <col min="10252" max="10252" width="7.21875" style="2" customWidth="1"/>
    <col min="10253" max="10253" width="7.109375" style="2" customWidth="1"/>
    <col min="10254" max="10254" width="8.44140625" style="2" customWidth="1"/>
    <col min="10255" max="10255" width="6.77734375" style="2" customWidth="1"/>
    <col min="10256" max="10256" width="8.33203125" style="2" customWidth="1"/>
    <col min="10257" max="10257" width="6.77734375" style="2" customWidth="1"/>
    <col min="10258" max="10258" width="6" style="2" customWidth="1"/>
    <col min="10259" max="10259" width="7.77734375" style="2" customWidth="1"/>
    <col min="10260" max="10260" width="8.21875" style="2" customWidth="1"/>
    <col min="10261" max="10261" width="9.21875" style="2" customWidth="1"/>
    <col min="10262" max="10262" width="8.33203125" style="2" customWidth="1"/>
    <col min="10263" max="10263" width="9.44140625" style="2" customWidth="1"/>
    <col min="10264" max="10264" width="12.109375" style="2" customWidth="1"/>
    <col min="10265" max="10497" width="10" style="2"/>
    <col min="10498" max="10498" width="16.33203125" style="2" customWidth="1"/>
    <col min="10499" max="10499" width="13.77734375" style="2" customWidth="1"/>
    <col min="10500" max="10500" width="16" style="2" customWidth="1"/>
    <col min="10501" max="10501" width="20.21875" style="2" customWidth="1"/>
    <col min="10502" max="10502" width="4.88671875" style="2" customWidth="1"/>
    <col min="10503" max="10503" width="10.44140625" style="2" customWidth="1"/>
    <col min="10504" max="10504" width="3.88671875" style="2" customWidth="1"/>
    <col min="10505" max="10505" width="7.109375" style="2" customWidth="1"/>
    <col min="10506" max="10506" width="6.77734375" style="2" customWidth="1"/>
    <col min="10507" max="10507" width="6.44140625" style="2" customWidth="1"/>
    <col min="10508" max="10508" width="7.21875" style="2" customWidth="1"/>
    <col min="10509" max="10509" width="7.109375" style="2" customWidth="1"/>
    <col min="10510" max="10510" width="8.44140625" style="2" customWidth="1"/>
    <col min="10511" max="10511" width="6.77734375" style="2" customWidth="1"/>
    <col min="10512" max="10512" width="8.33203125" style="2" customWidth="1"/>
    <col min="10513" max="10513" width="6.77734375" style="2" customWidth="1"/>
    <col min="10514" max="10514" width="6" style="2" customWidth="1"/>
    <col min="10515" max="10515" width="7.77734375" style="2" customWidth="1"/>
    <col min="10516" max="10516" width="8.21875" style="2" customWidth="1"/>
    <col min="10517" max="10517" width="9.21875" style="2" customWidth="1"/>
    <col min="10518" max="10518" width="8.33203125" style="2" customWidth="1"/>
    <col min="10519" max="10519" width="9.44140625" style="2" customWidth="1"/>
    <col min="10520" max="10520" width="12.109375" style="2" customWidth="1"/>
    <col min="10521" max="10753" width="10" style="2"/>
    <col min="10754" max="10754" width="16.33203125" style="2" customWidth="1"/>
    <col min="10755" max="10755" width="13.77734375" style="2" customWidth="1"/>
    <col min="10756" max="10756" width="16" style="2" customWidth="1"/>
    <col min="10757" max="10757" width="20.21875" style="2" customWidth="1"/>
    <col min="10758" max="10758" width="4.88671875" style="2" customWidth="1"/>
    <col min="10759" max="10759" width="10.44140625" style="2" customWidth="1"/>
    <col min="10760" max="10760" width="3.88671875" style="2" customWidth="1"/>
    <col min="10761" max="10761" width="7.109375" style="2" customWidth="1"/>
    <col min="10762" max="10762" width="6.77734375" style="2" customWidth="1"/>
    <col min="10763" max="10763" width="6.44140625" style="2" customWidth="1"/>
    <col min="10764" max="10764" width="7.21875" style="2" customWidth="1"/>
    <col min="10765" max="10765" width="7.109375" style="2" customWidth="1"/>
    <col min="10766" max="10766" width="8.44140625" style="2" customWidth="1"/>
    <col min="10767" max="10767" width="6.77734375" style="2" customWidth="1"/>
    <col min="10768" max="10768" width="8.33203125" style="2" customWidth="1"/>
    <col min="10769" max="10769" width="6.77734375" style="2" customWidth="1"/>
    <col min="10770" max="10770" width="6" style="2" customWidth="1"/>
    <col min="10771" max="10771" width="7.77734375" style="2" customWidth="1"/>
    <col min="10772" max="10772" width="8.21875" style="2" customWidth="1"/>
    <col min="10773" max="10773" width="9.21875" style="2" customWidth="1"/>
    <col min="10774" max="10774" width="8.33203125" style="2" customWidth="1"/>
    <col min="10775" max="10775" width="9.44140625" style="2" customWidth="1"/>
    <col min="10776" max="10776" width="12.109375" style="2" customWidth="1"/>
    <col min="10777" max="11009" width="10" style="2"/>
    <col min="11010" max="11010" width="16.33203125" style="2" customWidth="1"/>
    <col min="11011" max="11011" width="13.77734375" style="2" customWidth="1"/>
    <col min="11012" max="11012" width="16" style="2" customWidth="1"/>
    <col min="11013" max="11013" width="20.21875" style="2" customWidth="1"/>
    <col min="11014" max="11014" width="4.88671875" style="2" customWidth="1"/>
    <col min="11015" max="11015" width="10.44140625" style="2" customWidth="1"/>
    <col min="11016" max="11016" width="3.88671875" style="2" customWidth="1"/>
    <col min="11017" max="11017" width="7.109375" style="2" customWidth="1"/>
    <col min="11018" max="11018" width="6.77734375" style="2" customWidth="1"/>
    <col min="11019" max="11019" width="6.44140625" style="2" customWidth="1"/>
    <col min="11020" max="11020" width="7.21875" style="2" customWidth="1"/>
    <col min="11021" max="11021" width="7.109375" style="2" customWidth="1"/>
    <col min="11022" max="11022" width="8.44140625" style="2" customWidth="1"/>
    <col min="11023" max="11023" width="6.77734375" style="2" customWidth="1"/>
    <col min="11024" max="11024" width="8.33203125" style="2" customWidth="1"/>
    <col min="11025" max="11025" width="6.77734375" style="2" customWidth="1"/>
    <col min="11026" max="11026" width="6" style="2" customWidth="1"/>
    <col min="11027" max="11027" width="7.77734375" style="2" customWidth="1"/>
    <col min="11028" max="11028" width="8.21875" style="2" customWidth="1"/>
    <col min="11029" max="11029" width="9.21875" style="2" customWidth="1"/>
    <col min="11030" max="11030" width="8.33203125" style="2" customWidth="1"/>
    <col min="11031" max="11031" width="9.44140625" style="2" customWidth="1"/>
    <col min="11032" max="11032" width="12.109375" style="2" customWidth="1"/>
    <col min="11033" max="11265" width="10" style="2"/>
    <col min="11266" max="11266" width="16.33203125" style="2" customWidth="1"/>
    <col min="11267" max="11267" width="13.77734375" style="2" customWidth="1"/>
    <col min="11268" max="11268" width="16" style="2" customWidth="1"/>
    <col min="11269" max="11269" width="20.21875" style="2" customWidth="1"/>
    <col min="11270" max="11270" width="4.88671875" style="2" customWidth="1"/>
    <col min="11271" max="11271" width="10.44140625" style="2" customWidth="1"/>
    <col min="11272" max="11272" width="3.88671875" style="2" customWidth="1"/>
    <col min="11273" max="11273" width="7.109375" style="2" customWidth="1"/>
    <col min="11274" max="11274" width="6.77734375" style="2" customWidth="1"/>
    <col min="11275" max="11275" width="6.44140625" style="2" customWidth="1"/>
    <col min="11276" max="11276" width="7.21875" style="2" customWidth="1"/>
    <col min="11277" max="11277" width="7.109375" style="2" customWidth="1"/>
    <col min="11278" max="11278" width="8.44140625" style="2" customWidth="1"/>
    <col min="11279" max="11279" width="6.77734375" style="2" customWidth="1"/>
    <col min="11280" max="11280" width="8.33203125" style="2" customWidth="1"/>
    <col min="11281" max="11281" width="6.77734375" style="2" customWidth="1"/>
    <col min="11282" max="11282" width="6" style="2" customWidth="1"/>
    <col min="11283" max="11283" width="7.77734375" style="2" customWidth="1"/>
    <col min="11284" max="11284" width="8.21875" style="2" customWidth="1"/>
    <col min="11285" max="11285" width="9.21875" style="2" customWidth="1"/>
    <col min="11286" max="11286" width="8.33203125" style="2" customWidth="1"/>
    <col min="11287" max="11287" width="9.44140625" style="2" customWidth="1"/>
    <col min="11288" max="11288" width="12.109375" style="2" customWidth="1"/>
    <col min="11289" max="11521" width="10" style="2"/>
    <col min="11522" max="11522" width="16.33203125" style="2" customWidth="1"/>
    <col min="11523" max="11523" width="13.77734375" style="2" customWidth="1"/>
    <col min="11524" max="11524" width="16" style="2" customWidth="1"/>
    <col min="11525" max="11525" width="20.21875" style="2" customWidth="1"/>
    <col min="11526" max="11526" width="4.88671875" style="2" customWidth="1"/>
    <col min="11527" max="11527" width="10.44140625" style="2" customWidth="1"/>
    <col min="11528" max="11528" width="3.88671875" style="2" customWidth="1"/>
    <col min="11529" max="11529" width="7.109375" style="2" customWidth="1"/>
    <col min="11530" max="11530" width="6.77734375" style="2" customWidth="1"/>
    <col min="11531" max="11531" width="6.44140625" style="2" customWidth="1"/>
    <col min="11532" max="11532" width="7.21875" style="2" customWidth="1"/>
    <col min="11533" max="11533" width="7.109375" style="2" customWidth="1"/>
    <col min="11534" max="11534" width="8.44140625" style="2" customWidth="1"/>
    <col min="11535" max="11535" width="6.77734375" style="2" customWidth="1"/>
    <col min="11536" max="11536" width="8.33203125" style="2" customWidth="1"/>
    <col min="11537" max="11537" width="6.77734375" style="2" customWidth="1"/>
    <col min="11538" max="11538" width="6" style="2" customWidth="1"/>
    <col min="11539" max="11539" width="7.77734375" style="2" customWidth="1"/>
    <col min="11540" max="11540" width="8.21875" style="2" customWidth="1"/>
    <col min="11541" max="11541" width="9.21875" style="2" customWidth="1"/>
    <col min="11542" max="11542" width="8.33203125" style="2" customWidth="1"/>
    <col min="11543" max="11543" width="9.44140625" style="2" customWidth="1"/>
    <col min="11544" max="11544" width="12.109375" style="2" customWidth="1"/>
    <col min="11545" max="11777" width="10" style="2"/>
    <col min="11778" max="11778" width="16.33203125" style="2" customWidth="1"/>
    <col min="11779" max="11779" width="13.77734375" style="2" customWidth="1"/>
    <col min="11780" max="11780" width="16" style="2" customWidth="1"/>
    <col min="11781" max="11781" width="20.21875" style="2" customWidth="1"/>
    <col min="11782" max="11782" width="4.88671875" style="2" customWidth="1"/>
    <col min="11783" max="11783" width="10.44140625" style="2" customWidth="1"/>
    <col min="11784" max="11784" width="3.88671875" style="2" customWidth="1"/>
    <col min="11785" max="11785" width="7.109375" style="2" customWidth="1"/>
    <col min="11786" max="11786" width="6.77734375" style="2" customWidth="1"/>
    <col min="11787" max="11787" width="6.44140625" style="2" customWidth="1"/>
    <col min="11788" max="11788" width="7.21875" style="2" customWidth="1"/>
    <col min="11789" max="11789" width="7.109375" style="2" customWidth="1"/>
    <col min="11790" max="11790" width="8.44140625" style="2" customWidth="1"/>
    <col min="11791" max="11791" width="6.77734375" style="2" customWidth="1"/>
    <col min="11792" max="11792" width="8.33203125" style="2" customWidth="1"/>
    <col min="11793" max="11793" width="6.77734375" style="2" customWidth="1"/>
    <col min="11794" max="11794" width="6" style="2" customWidth="1"/>
    <col min="11795" max="11795" width="7.77734375" style="2" customWidth="1"/>
    <col min="11796" max="11796" width="8.21875" style="2" customWidth="1"/>
    <col min="11797" max="11797" width="9.21875" style="2" customWidth="1"/>
    <col min="11798" max="11798" width="8.33203125" style="2" customWidth="1"/>
    <col min="11799" max="11799" width="9.44140625" style="2" customWidth="1"/>
    <col min="11800" max="11800" width="12.109375" style="2" customWidth="1"/>
    <col min="11801" max="12033" width="10" style="2"/>
    <col min="12034" max="12034" width="16.33203125" style="2" customWidth="1"/>
    <col min="12035" max="12035" width="13.77734375" style="2" customWidth="1"/>
    <col min="12036" max="12036" width="16" style="2" customWidth="1"/>
    <col min="12037" max="12037" width="20.21875" style="2" customWidth="1"/>
    <col min="12038" max="12038" width="4.88671875" style="2" customWidth="1"/>
    <col min="12039" max="12039" width="10.44140625" style="2" customWidth="1"/>
    <col min="12040" max="12040" width="3.88671875" style="2" customWidth="1"/>
    <col min="12041" max="12041" width="7.109375" style="2" customWidth="1"/>
    <col min="12042" max="12042" width="6.77734375" style="2" customWidth="1"/>
    <col min="12043" max="12043" width="6.44140625" style="2" customWidth="1"/>
    <col min="12044" max="12044" width="7.21875" style="2" customWidth="1"/>
    <col min="12045" max="12045" width="7.109375" style="2" customWidth="1"/>
    <col min="12046" max="12046" width="8.44140625" style="2" customWidth="1"/>
    <col min="12047" max="12047" width="6.77734375" style="2" customWidth="1"/>
    <col min="12048" max="12048" width="8.33203125" style="2" customWidth="1"/>
    <col min="12049" max="12049" width="6.77734375" style="2" customWidth="1"/>
    <col min="12050" max="12050" width="6" style="2" customWidth="1"/>
    <col min="12051" max="12051" width="7.77734375" style="2" customWidth="1"/>
    <col min="12052" max="12052" width="8.21875" style="2" customWidth="1"/>
    <col min="12053" max="12053" width="9.21875" style="2" customWidth="1"/>
    <col min="12054" max="12054" width="8.33203125" style="2" customWidth="1"/>
    <col min="12055" max="12055" width="9.44140625" style="2" customWidth="1"/>
    <col min="12056" max="12056" width="12.109375" style="2" customWidth="1"/>
    <col min="12057" max="12289" width="10" style="2"/>
    <col min="12290" max="12290" width="16.33203125" style="2" customWidth="1"/>
    <col min="12291" max="12291" width="13.77734375" style="2" customWidth="1"/>
    <col min="12292" max="12292" width="16" style="2" customWidth="1"/>
    <col min="12293" max="12293" width="20.21875" style="2" customWidth="1"/>
    <col min="12294" max="12294" width="4.88671875" style="2" customWidth="1"/>
    <col min="12295" max="12295" width="10.44140625" style="2" customWidth="1"/>
    <col min="12296" max="12296" width="3.88671875" style="2" customWidth="1"/>
    <col min="12297" max="12297" width="7.109375" style="2" customWidth="1"/>
    <col min="12298" max="12298" width="6.77734375" style="2" customWidth="1"/>
    <col min="12299" max="12299" width="6.44140625" style="2" customWidth="1"/>
    <col min="12300" max="12300" width="7.21875" style="2" customWidth="1"/>
    <col min="12301" max="12301" width="7.109375" style="2" customWidth="1"/>
    <col min="12302" max="12302" width="8.44140625" style="2" customWidth="1"/>
    <col min="12303" max="12303" width="6.77734375" style="2" customWidth="1"/>
    <col min="12304" max="12304" width="8.33203125" style="2" customWidth="1"/>
    <col min="12305" max="12305" width="6.77734375" style="2" customWidth="1"/>
    <col min="12306" max="12306" width="6" style="2" customWidth="1"/>
    <col min="12307" max="12307" width="7.77734375" style="2" customWidth="1"/>
    <col min="12308" max="12308" width="8.21875" style="2" customWidth="1"/>
    <col min="12309" max="12309" width="9.21875" style="2" customWidth="1"/>
    <col min="12310" max="12310" width="8.33203125" style="2" customWidth="1"/>
    <col min="12311" max="12311" width="9.44140625" style="2" customWidth="1"/>
    <col min="12312" max="12312" width="12.109375" style="2" customWidth="1"/>
    <col min="12313" max="12545" width="10" style="2"/>
    <col min="12546" max="12546" width="16.33203125" style="2" customWidth="1"/>
    <col min="12547" max="12547" width="13.77734375" style="2" customWidth="1"/>
    <col min="12548" max="12548" width="16" style="2" customWidth="1"/>
    <col min="12549" max="12549" width="20.21875" style="2" customWidth="1"/>
    <col min="12550" max="12550" width="4.88671875" style="2" customWidth="1"/>
    <col min="12551" max="12551" width="10.44140625" style="2" customWidth="1"/>
    <col min="12552" max="12552" width="3.88671875" style="2" customWidth="1"/>
    <col min="12553" max="12553" width="7.109375" style="2" customWidth="1"/>
    <col min="12554" max="12554" width="6.77734375" style="2" customWidth="1"/>
    <col min="12555" max="12555" width="6.44140625" style="2" customWidth="1"/>
    <col min="12556" max="12556" width="7.21875" style="2" customWidth="1"/>
    <col min="12557" max="12557" width="7.109375" style="2" customWidth="1"/>
    <col min="12558" max="12558" width="8.44140625" style="2" customWidth="1"/>
    <col min="12559" max="12559" width="6.77734375" style="2" customWidth="1"/>
    <col min="12560" max="12560" width="8.33203125" style="2" customWidth="1"/>
    <col min="12561" max="12561" width="6.77734375" style="2" customWidth="1"/>
    <col min="12562" max="12562" width="6" style="2" customWidth="1"/>
    <col min="12563" max="12563" width="7.77734375" style="2" customWidth="1"/>
    <col min="12564" max="12564" width="8.21875" style="2" customWidth="1"/>
    <col min="12565" max="12565" width="9.21875" style="2" customWidth="1"/>
    <col min="12566" max="12566" width="8.33203125" style="2" customWidth="1"/>
    <col min="12567" max="12567" width="9.44140625" style="2" customWidth="1"/>
    <col min="12568" max="12568" width="12.109375" style="2" customWidth="1"/>
    <col min="12569" max="12801" width="10" style="2"/>
    <col min="12802" max="12802" width="16.33203125" style="2" customWidth="1"/>
    <col min="12803" max="12803" width="13.77734375" style="2" customWidth="1"/>
    <col min="12804" max="12804" width="16" style="2" customWidth="1"/>
    <col min="12805" max="12805" width="20.21875" style="2" customWidth="1"/>
    <col min="12806" max="12806" width="4.88671875" style="2" customWidth="1"/>
    <col min="12807" max="12807" width="10.44140625" style="2" customWidth="1"/>
    <col min="12808" max="12808" width="3.88671875" style="2" customWidth="1"/>
    <col min="12809" max="12809" width="7.109375" style="2" customWidth="1"/>
    <col min="12810" max="12810" width="6.77734375" style="2" customWidth="1"/>
    <col min="12811" max="12811" width="6.44140625" style="2" customWidth="1"/>
    <col min="12812" max="12812" width="7.21875" style="2" customWidth="1"/>
    <col min="12813" max="12813" width="7.109375" style="2" customWidth="1"/>
    <col min="12814" max="12814" width="8.44140625" style="2" customWidth="1"/>
    <col min="12815" max="12815" width="6.77734375" style="2" customWidth="1"/>
    <col min="12816" max="12816" width="8.33203125" style="2" customWidth="1"/>
    <col min="12817" max="12817" width="6.77734375" style="2" customWidth="1"/>
    <col min="12818" max="12818" width="6" style="2" customWidth="1"/>
    <col min="12819" max="12819" width="7.77734375" style="2" customWidth="1"/>
    <col min="12820" max="12820" width="8.21875" style="2" customWidth="1"/>
    <col min="12821" max="12821" width="9.21875" style="2" customWidth="1"/>
    <col min="12822" max="12822" width="8.33203125" style="2" customWidth="1"/>
    <col min="12823" max="12823" width="9.44140625" style="2" customWidth="1"/>
    <col min="12824" max="12824" width="12.109375" style="2" customWidth="1"/>
    <col min="12825" max="13057" width="10" style="2"/>
    <col min="13058" max="13058" width="16.33203125" style="2" customWidth="1"/>
    <col min="13059" max="13059" width="13.77734375" style="2" customWidth="1"/>
    <col min="13060" max="13060" width="16" style="2" customWidth="1"/>
    <col min="13061" max="13061" width="20.21875" style="2" customWidth="1"/>
    <col min="13062" max="13062" width="4.88671875" style="2" customWidth="1"/>
    <col min="13063" max="13063" width="10.44140625" style="2" customWidth="1"/>
    <col min="13064" max="13064" width="3.88671875" style="2" customWidth="1"/>
    <col min="13065" max="13065" width="7.109375" style="2" customWidth="1"/>
    <col min="13066" max="13066" width="6.77734375" style="2" customWidth="1"/>
    <col min="13067" max="13067" width="6.44140625" style="2" customWidth="1"/>
    <col min="13068" max="13068" width="7.21875" style="2" customWidth="1"/>
    <col min="13069" max="13069" width="7.109375" style="2" customWidth="1"/>
    <col min="13070" max="13070" width="8.44140625" style="2" customWidth="1"/>
    <col min="13071" max="13071" width="6.77734375" style="2" customWidth="1"/>
    <col min="13072" max="13072" width="8.33203125" style="2" customWidth="1"/>
    <col min="13073" max="13073" width="6.77734375" style="2" customWidth="1"/>
    <col min="13074" max="13074" width="6" style="2" customWidth="1"/>
    <col min="13075" max="13075" width="7.77734375" style="2" customWidth="1"/>
    <col min="13076" max="13076" width="8.21875" style="2" customWidth="1"/>
    <col min="13077" max="13077" width="9.21875" style="2" customWidth="1"/>
    <col min="13078" max="13078" width="8.33203125" style="2" customWidth="1"/>
    <col min="13079" max="13079" width="9.44140625" style="2" customWidth="1"/>
    <col min="13080" max="13080" width="12.109375" style="2" customWidth="1"/>
    <col min="13081" max="13313" width="10" style="2"/>
    <col min="13314" max="13314" width="16.33203125" style="2" customWidth="1"/>
    <col min="13315" max="13315" width="13.77734375" style="2" customWidth="1"/>
    <col min="13316" max="13316" width="16" style="2" customWidth="1"/>
    <col min="13317" max="13317" width="20.21875" style="2" customWidth="1"/>
    <col min="13318" max="13318" width="4.88671875" style="2" customWidth="1"/>
    <col min="13319" max="13319" width="10.44140625" style="2" customWidth="1"/>
    <col min="13320" max="13320" width="3.88671875" style="2" customWidth="1"/>
    <col min="13321" max="13321" width="7.109375" style="2" customWidth="1"/>
    <col min="13322" max="13322" width="6.77734375" style="2" customWidth="1"/>
    <col min="13323" max="13323" width="6.44140625" style="2" customWidth="1"/>
    <col min="13324" max="13324" width="7.21875" style="2" customWidth="1"/>
    <col min="13325" max="13325" width="7.109375" style="2" customWidth="1"/>
    <col min="13326" max="13326" width="8.44140625" style="2" customWidth="1"/>
    <col min="13327" max="13327" width="6.77734375" style="2" customWidth="1"/>
    <col min="13328" max="13328" width="8.33203125" style="2" customWidth="1"/>
    <col min="13329" max="13329" width="6.77734375" style="2" customWidth="1"/>
    <col min="13330" max="13330" width="6" style="2" customWidth="1"/>
    <col min="13331" max="13331" width="7.77734375" style="2" customWidth="1"/>
    <col min="13332" max="13332" width="8.21875" style="2" customWidth="1"/>
    <col min="13333" max="13333" width="9.21875" style="2" customWidth="1"/>
    <col min="13334" max="13334" width="8.33203125" style="2" customWidth="1"/>
    <col min="13335" max="13335" width="9.44140625" style="2" customWidth="1"/>
    <col min="13336" max="13336" width="12.109375" style="2" customWidth="1"/>
    <col min="13337" max="13569" width="10" style="2"/>
    <col min="13570" max="13570" width="16.33203125" style="2" customWidth="1"/>
    <col min="13571" max="13571" width="13.77734375" style="2" customWidth="1"/>
    <col min="13572" max="13572" width="16" style="2" customWidth="1"/>
    <col min="13573" max="13573" width="20.21875" style="2" customWidth="1"/>
    <col min="13574" max="13574" width="4.88671875" style="2" customWidth="1"/>
    <col min="13575" max="13575" width="10.44140625" style="2" customWidth="1"/>
    <col min="13576" max="13576" width="3.88671875" style="2" customWidth="1"/>
    <col min="13577" max="13577" width="7.109375" style="2" customWidth="1"/>
    <col min="13578" max="13578" width="6.77734375" style="2" customWidth="1"/>
    <col min="13579" max="13579" width="6.44140625" style="2" customWidth="1"/>
    <col min="13580" max="13580" width="7.21875" style="2" customWidth="1"/>
    <col min="13581" max="13581" width="7.109375" style="2" customWidth="1"/>
    <col min="13582" max="13582" width="8.44140625" style="2" customWidth="1"/>
    <col min="13583" max="13583" width="6.77734375" style="2" customWidth="1"/>
    <col min="13584" max="13584" width="8.33203125" style="2" customWidth="1"/>
    <col min="13585" max="13585" width="6.77734375" style="2" customWidth="1"/>
    <col min="13586" max="13586" width="6" style="2" customWidth="1"/>
    <col min="13587" max="13587" width="7.77734375" style="2" customWidth="1"/>
    <col min="13588" max="13588" width="8.21875" style="2" customWidth="1"/>
    <col min="13589" max="13589" width="9.21875" style="2" customWidth="1"/>
    <col min="13590" max="13590" width="8.33203125" style="2" customWidth="1"/>
    <col min="13591" max="13591" width="9.44140625" style="2" customWidth="1"/>
    <col min="13592" max="13592" width="12.109375" style="2" customWidth="1"/>
    <col min="13593" max="13825" width="10" style="2"/>
    <col min="13826" max="13826" width="16.33203125" style="2" customWidth="1"/>
    <col min="13827" max="13827" width="13.77734375" style="2" customWidth="1"/>
    <col min="13828" max="13828" width="16" style="2" customWidth="1"/>
    <col min="13829" max="13829" width="20.21875" style="2" customWidth="1"/>
    <col min="13830" max="13830" width="4.88671875" style="2" customWidth="1"/>
    <col min="13831" max="13831" width="10.44140625" style="2" customWidth="1"/>
    <col min="13832" max="13832" width="3.88671875" style="2" customWidth="1"/>
    <col min="13833" max="13833" width="7.109375" style="2" customWidth="1"/>
    <col min="13834" max="13834" width="6.77734375" style="2" customWidth="1"/>
    <col min="13835" max="13835" width="6.44140625" style="2" customWidth="1"/>
    <col min="13836" max="13836" width="7.21875" style="2" customWidth="1"/>
    <col min="13837" max="13837" width="7.109375" style="2" customWidth="1"/>
    <col min="13838" max="13838" width="8.44140625" style="2" customWidth="1"/>
    <col min="13839" max="13839" width="6.77734375" style="2" customWidth="1"/>
    <col min="13840" max="13840" width="8.33203125" style="2" customWidth="1"/>
    <col min="13841" max="13841" width="6.77734375" style="2" customWidth="1"/>
    <col min="13842" max="13842" width="6" style="2" customWidth="1"/>
    <col min="13843" max="13843" width="7.77734375" style="2" customWidth="1"/>
    <col min="13844" max="13844" width="8.21875" style="2" customWidth="1"/>
    <col min="13845" max="13845" width="9.21875" style="2" customWidth="1"/>
    <col min="13846" max="13846" width="8.33203125" style="2" customWidth="1"/>
    <col min="13847" max="13847" width="9.44140625" style="2" customWidth="1"/>
    <col min="13848" max="13848" width="12.109375" style="2" customWidth="1"/>
    <col min="13849" max="14081" width="10" style="2"/>
    <col min="14082" max="14082" width="16.33203125" style="2" customWidth="1"/>
    <col min="14083" max="14083" width="13.77734375" style="2" customWidth="1"/>
    <col min="14084" max="14084" width="16" style="2" customWidth="1"/>
    <col min="14085" max="14085" width="20.21875" style="2" customWidth="1"/>
    <col min="14086" max="14086" width="4.88671875" style="2" customWidth="1"/>
    <col min="14087" max="14087" width="10.44140625" style="2" customWidth="1"/>
    <col min="14088" max="14088" width="3.88671875" style="2" customWidth="1"/>
    <col min="14089" max="14089" width="7.109375" style="2" customWidth="1"/>
    <col min="14090" max="14090" width="6.77734375" style="2" customWidth="1"/>
    <col min="14091" max="14091" width="6.44140625" style="2" customWidth="1"/>
    <col min="14092" max="14092" width="7.21875" style="2" customWidth="1"/>
    <col min="14093" max="14093" width="7.109375" style="2" customWidth="1"/>
    <col min="14094" max="14094" width="8.44140625" style="2" customWidth="1"/>
    <col min="14095" max="14095" width="6.77734375" style="2" customWidth="1"/>
    <col min="14096" max="14096" width="8.33203125" style="2" customWidth="1"/>
    <col min="14097" max="14097" width="6.77734375" style="2" customWidth="1"/>
    <col min="14098" max="14098" width="6" style="2" customWidth="1"/>
    <col min="14099" max="14099" width="7.77734375" style="2" customWidth="1"/>
    <col min="14100" max="14100" width="8.21875" style="2" customWidth="1"/>
    <col min="14101" max="14101" width="9.21875" style="2" customWidth="1"/>
    <col min="14102" max="14102" width="8.33203125" style="2" customWidth="1"/>
    <col min="14103" max="14103" width="9.44140625" style="2" customWidth="1"/>
    <col min="14104" max="14104" width="12.109375" style="2" customWidth="1"/>
    <col min="14105" max="14337" width="10" style="2"/>
    <col min="14338" max="14338" width="16.33203125" style="2" customWidth="1"/>
    <col min="14339" max="14339" width="13.77734375" style="2" customWidth="1"/>
    <col min="14340" max="14340" width="16" style="2" customWidth="1"/>
    <col min="14341" max="14341" width="20.21875" style="2" customWidth="1"/>
    <col min="14342" max="14342" width="4.88671875" style="2" customWidth="1"/>
    <col min="14343" max="14343" width="10.44140625" style="2" customWidth="1"/>
    <col min="14344" max="14344" width="3.88671875" style="2" customWidth="1"/>
    <col min="14345" max="14345" width="7.109375" style="2" customWidth="1"/>
    <col min="14346" max="14346" width="6.77734375" style="2" customWidth="1"/>
    <col min="14347" max="14347" width="6.44140625" style="2" customWidth="1"/>
    <col min="14348" max="14348" width="7.21875" style="2" customWidth="1"/>
    <col min="14349" max="14349" width="7.109375" style="2" customWidth="1"/>
    <col min="14350" max="14350" width="8.44140625" style="2" customWidth="1"/>
    <col min="14351" max="14351" width="6.77734375" style="2" customWidth="1"/>
    <col min="14352" max="14352" width="8.33203125" style="2" customWidth="1"/>
    <col min="14353" max="14353" width="6.77734375" style="2" customWidth="1"/>
    <col min="14354" max="14354" width="6" style="2" customWidth="1"/>
    <col min="14355" max="14355" width="7.77734375" style="2" customWidth="1"/>
    <col min="14356" max="14356" width="8.21875" style="2" customWidth="1"/>
    <col min="14357" max="14357" width="9.21875" style="2" customWidth="1"/>
    <col min="14358" max="14358" width="8.33203125" style="2" customWidth="1"/>
    <col min="14359" max="14359" width="9.44140625" style="2" customWidth="1"/>
    <col min="14360" max="14360" width="12.109375" style="2" customWidth="1"/>
    <col min="14361" max="14593" width="10" style="2"/>
    <col min="14594" max="14594" width="16.33203125" style="2" customWidth="1"/>
    <col min="14595" max="14595" width="13.77734375" style="2" customWidth="1"/>
    <col min="14596" max="14596" width="16" style="2" customWidth="1"/>
    <col min="14597" max="14597" width="20.21875" style="2" customWidth="1"/>
    <col min="14598" max="14598" width="4.88671875" style="2" customWidth="1"/>
    <col min="14599" max="14599" width="10.44140625" style="2" customWidth="1"/>
    <col min="14600" max="14600" width="3.88671875" style="2" customWidth="1"/>
    <col min="14601" max="14601" width="7.109375" style="2" customWidth="1"/>
    <col min="14602" max="14602" width="6.77734375" style="2" customWidth="1"/>
    <col min="14603" max="14603" width="6.44140625" style="2" customWidth="1"/>
    <col min="14604" max="14604" width="7.21875" style="2" customWidth="1"/>
    <col min="14605" max="14605" width="7.109375" style="2" customWidth="1"/>
    <col min="14606" max="14606" width="8.44140625" style="2" customWidth="1"/>
    <col min="14607" max="14607" width="6.77734375" style="2" customWidth="1"/>
    <col min="14608" max="14608" width="8.33203125" style="2" customWidth="1"/>
    <col min="14609" max="14609" width="6.77734375" style="2" customWidth="1"/>
    <col min="14610" max="14610" width="6" style="2" customWidth="1"/>
    <col min="14611" max="14611" width="7.77734375" style="2" customWidth="1"/>
    <col min="14612" max="14612" width="8.21875" style="2" customWidth="1"/>
    <col min="14613" max="14613" width="9.21875" style="2" customWidth="1"/>
    <col min="14614" max="14614" width="8.33203125" style="2" customWidth="1"/>
    <col min="14615" max="14615" width="9.44140625" style="2" customWidth="1"/>
    <col min="14616" max="14616" width="12.109375" style="2" customWidth="1"/>
    <col min="14617" max="14849" width="10" style="2"/>
    <col min="14850" max="14850" width="16.33203125" style="2" customWidth="1"/>
    <col min="14851" max="14851" width="13.77734375" style="2" customWidth="1"/>
    <col min="14852" max="14852" width="16" style="2" customWidth="1"/>
    <col min="14853" max="14853" width="20.21875" style="2" customWidth="1"/>
    <col min="14854" max="14854" width="4.88671875" style="2" customWidth="1"/>
    <col min="14855" max="14855" width="10.44140625" style="2" customWidth="1"/>
    <col min="14856" max="14856" width="3.88671875" style="2" customWidth="1"/>
    <col min="14857" max="14857" width="7.109375" style="2" customWidth="1"/>
    <col min="14858" max="14858" width="6.77734375" style="2" customWidth="1"/>
    <col min="14859" max="14859" width="6.44140625" style="2" customWidth="1"/>
    <col min="14860" max="14860" width="7.21875" style="2" customWidth="1"/>
    <col min="14861" max="14861" width="7.109375" style="2" customWidth="1"/>
    <col min="14862" max="14862" width="8.44140625" style="2" customWidth="1"/>
    <col min="14863" max="14863" width="6.77734375" style="2" customWidth="1"/>
    <col min="14864" max="14864" width="8.33203125" style="2" customWidth="1"/>
    <col min="14865" max="14865" width="6.77734375" style="2" customWidth="1"/>
    <col min="14866" max="14866" width="6" style="2" customWidth="1"/>
    <col min="14867" max="14867" width="7.77734375" style="2" customWidth="1"/>
    <col min="14868" max="14868" width="8.21875" style="2" customWidth="1"/>
    <col min="14869" max="14869" width="9.21875" style="2" customWidth="1"/>
    <col min="14870" max="14870" width="8.33203125" style="2" customWidth="1"/>
    <col min="14871" max="14871" width="9.44140625" style="2" customWidth="1"/>
    <col min="14872" max="14872" width="12.109375" style="2" customWidth="1"/>
    <col min="14873" max="15105" width="10" style="2"/>
    <col min="15106" max="15106" width="16.33203125" style="2" customWidth="1"/>
    <col min="15107" max="15107" width="13.77734375" style="2" customWidth="1"/>
    <col min="15108" max="15108" width="16" style="2" customWidth="1"/>
    <col min="15109" max="15109" width="20.21875" style="2" customWidth="1"/>
    <col min="15110" max="15110" width="4.88671875" style="2" customWidth="1"/>
    <col min="15111" max="15111" width="10.44140625" style="2" customWidth="1"/>
    <col min="15112" max="15112" width="3.88671875" style="2" customWidth="1"/>
    <col min="15113" max="15113" width="7.109375" style="2" customWidth="1"/>
    <col min="15114" max="15114" width="6.77734375" style="2" customWidth="1"/>
    <col min="15115" max="15115" width="6.44140625" style="2" customWidth="1"/>
    <col min="15116" max="15116" width="7.21875" style="2" customWidth="1"/>
    <col min="15117" max="15117" width="7.109375" style="2" customWidth="1"/>
    <col min="15118" max="15118" width="8.44140625" style="2" customWidth="1"/>
    <col min="15119" max="15119" width="6.77734375" style="2" customWidth="1"/>
    <col min="15120" max="15120" width="8.33203125" style="2" customWidth="1"/>
    <col min="15121" max="15121" width="6.77734375" style="2" customWidth="1"/>
    <col min="15122" max="15122" width="6" style="2" customWidth="1"/>
    <col min="15123" max="15123" width="7.77734375" style="2" customWidth="1"/>
    <col min="15124" max="15124" width="8.21875" style="2" customWidth="1"/>
    <col min="15125" max="15125" width="9.21875" style="2" customWidth="1"/>
    <col min="15126" max="15126" width="8.33203125" style="2" customWidth="1"/>
    <col min="15127" max="15127" width="9.44140625" style="2" customWidth="1"/>
    <col min="15128" max="15128" width="12.109375" style="2" customWidth="1"/>
    <col min="15129" max="15361" width="10" style="2"/>
    <col min="15362" max="15362" width="16.33203125" style="2" customWidth="1"/>
    <col min="15363" max="15363" width="13.77734375" style="2" customWidth="1"/>
    <col min="15364" max="15364" width="16" style="2" customWidth="1"/>
    <col min="15365" max="15365" width="20.21875" style="2" customWidth="1"/>
    <col min="15366" max="15366" width="4.88671875" style="2" customWidth="1"/>
    <col min="15367" max="15367" width="10.44140625" style="2" customWidth="1"/>
    <col min="15368" max="15368" width="3.88671875" style="2" customWidth="1"/>
    <col min="15369" max="15369" width="7.109375" style="2" customWidth="1"/>
    <col min="15370" max="15370" width="6.77734375" style="2" customWidth="1"/>
    <col min="15371" max="15371" width="6.44140625" style="2" customWidth="1"/>
    <col min="15372" max="15372" width="7.21875" style="2" customWidth="1"/>
    <col min="15373" max="15373" width="7.109375" style="2" customWidth="1"/>
    <col min="15374" max="15374" width="8.44140625" style="2" customWidth="1"/>
    <col min="15375" max="15375" width="6.77734375" style="2" customWidth="1"/>
    <col min="15376" max="15376" width="8.33203125" style="2" customWidth="1"/>
    <col min="15377" max="15377" width="6.77734375" style="2" customWidth="1"/>
    <col min="15378" max="15378" width="6" style="2" customWidth="1"/>
    <col min="15379" max="15379" width="7.77734375" style="2" customWidth="1"/>
    <col min="15380" max="15380" width="8.21875" style="2" customWidth="1"/>
    <col min="15381" max="15381" width="9.21875" style="2" customWidth="1"/>
    <col min="15382" max="15382" width="8.33203125" style="2" customWidth="1"/>
    <col min="15383" max="15383" width="9.44140625" style="2" customWidth="1"/>
    <col min="15384" max="15384" width="12.109375" style="2" customWidth="1"/>
    <col min="15385" max="15617" width="10" style="2"/>
    <col min="15618" max="15618" width="16.33203125" style="2" customWidth="1"/>
    <col min="15619" max="15619" width="13.77734375" style="2" customWidth="1"/>
    <col min="15620" max="15620" width="16" style="2" customWidth="1"/>
    <col min="15621" max="15621" width="20.21875" style="2" customWidth="1"/>
    <col min="15622" max="15622" width="4.88671875" style="2" customWidth="1"/>
    <col min="15623" max="15623" width="10.44140625" style="2" customWidth="1"/>
    <col min="15624" max="15624" width="3.88671875" style="2" customWidth="1"/>
    <col min="15625" max="15625" width="7.109375" style="2" customWidth="1"/>
    <col min="15626" max="15626" width="6.77734375" style="2" customWidth="1"/>
    <col min="15627" max="15627" width="6.44140625" style="2" customWidth="1"/>
    <col min="15628" max="15628" width="7.21875" style="2" customWidth="1"/>
    <col min="15629" max="15629" width="7.109375" style="2" customWidth="1"/>
    <col min="15630" max="15630" width="8.44140625" style="2" customWidth="1"/>
    <col min="15631" max="15631" width="6.77734375" style="2" customWidth="1"/>
    <col min="15632" max="15632" width="8.33203125" style="2" customWidth="1"/>
    <col min="15633" max="15633" width="6.77734375" style="2" customWidth="1"/>
    <col min="15634" max="15634" width="6" style="2" customWidth="1"/>
    <col min="15635" max="15635" width="7.77734375" style="2" customWidth="1"/>
    <col min="15636" max="15636" width="8.21875" style="2" customWidth="1"/>
    <col min="15637" max="15637" width="9.21875" style="2" customWidth="1"/>
    <col min="15638" max="15638" width="8.33203125" style="2" customWidth="1"/>
    <col min="15639" max="15639" width="9.44140625" style="2" customWidth="1"/>
    <col min="15640" max="15640" width="12.109375" style="2" customWidth="1"/>
    <col min="15641" max="15873" width="10" style="2"/>
    <col min="15874" max="15874" width="16.33203125" style="2" customWidth="1"/>
    <col min="15875" max="15875" width="13.77734375" style="2" customWidth="1"/>
    <col min="15876" max="15876" width="16" style="2" customWidth="1"/>
    <col min="15877" max="15877" width="20.21875" style="2" customWidth="1"/>
    <col min="15878" max="15878" width="4.88671875" style="2" customWidth="1"/>
    <col min="15879" max="15879" width="10.44140625" style="2" customWidth="1"/>
    <col min="15880" max="15880" width="3.88671875" style="2" customWidth="1"/>
    <col min="15881" max="15881" width="7.109375" style="2" customWidth="1"/>
    <col min="15882" max="15882" width="6.77734375" style="2" customWidth="1"/>
    <col min="15883" max="15883" width="6.44140625" style="2" customWidth="1"/>
    <col min="15884" max="15884" width="7.21875" style="2" customWidth="1"/>
    <col min="15885" max="15885" width="7.109375" style="2" customWidth="1"/>
    <col min="15886" max="15886" width="8.44140625" style="2" customWidth="1"/>
    <col min="15887" max="15887" width="6.77734375" style="2" customWidth="1"/>
    <col min="15888" max="15888" width="8.33203125" style="2" customWidth="1"/>
    <col min="15889" max="15889" width="6.77734375" style="2" customWidth="1"/>
    <col min="15890" max="15890" width="6" style="2" customWidth="1"/>
    <col min="15891" max="15891" width="7.77734375" style="2" customWidth="1"/>
    <col min="15892" max="15892" width="8.21875" style="2" customWidth="1"/>
    <col min="15893" max="15893" width="9.21875" style="2" customWidth="1"/>
    <col min="15894" max="15894" width="8.33203125" style="2" customWidth="1"/>
    <col min="15895" max="15895" width="9.44140625" style="2" customWidth="1"/>
    <col min="15896" max="15896" width="12.109375" style="2" customWidth="1"/>
    <col min="15897" max="16129" width="10" style="2"/>
    <col min="16130" max="16130" width="16.33203125" style="2" customWidth="1"/>
    <col min="16131" max="16131" width="13.77734375" style="2" customWidth="1"/>
    <col min="16132" max="16132" width="16" style="2" customWidth="1"/>
    <col min="16133" max="16133" width="20.21875" style="2" customWidth="1"/>
    <col min="16134" max="16134" width="4.88671875" style="2" customWidth="1"/>
    <col min="16135" max="16135" width="10.44140625" style="2" customWidth="1"/>
    <col min="16136" max="16136" width="3.88671875" style="2" customWidth="1"/>
    <col min="16137" max="16137" width="7.109375" style="2" customWidth="1"/>
    <col min="16138" max="16138" width="6.77734375" style="2" customWidth="1"/>
    <col min="16139" max="16139" width="6.44140625" style="2" customWidth="1"/>
    <col min="16140" max="16140" width="7.21875" style="2" customWidth="1"/>
    <col min="16141" max="16141" width="7.109375" style="2" customWidth="1"/>
    <col min="16142" max="16142" width="8.44140625" style="2" customWidth="1"/>
    <col min="16143" max="16143" width="6.77734375" style="2" customWidth="1"/>
    <col min="16144" max="16144" width="8.33203125" style="2" customWidth="1"/>
    <col min="16145" max="16145" width="6.77734375" style="2" customWidth="1"/>
    <col min="16146" max="16146" width="6" style="2" customWidth="1"/>
    <col min="16147" max="16147" width="7.77734375" style="2" customWidth="1"/>
    <col min="16148" max="16148" width="8.21875" style="2" customWidth="1"/>
    <col min="16149" max="16149" width="9.21875" style="2" customWidth="1"/>
    <col min="16150" max="16150" width="8.33203125" style="2" customWidth="1"/>
    <col min="16151" max="16151" width="9.44140625" style="2" customWidth="1"/>
    <col min="16152" max="16152" width="12.109375" style="2" customWidth="1"/>
    <col min="16153" max="16384" width="10" style="2"/>
  </cols>
  <sheetData>
    <row r="1" spans="1:26" x14ac:dyDescent="0.25"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4"/>
      <c r="W1" s="4"/>
    </row>
    <row r="2" spans="1:26" ht="12" customHeight="1" x14ac:dyDescent="0.25">
      <c r="A2" s="576" t="s">
        <v>1</v>
      </c>
      <c r="B2" s="581" t="s">
        <v>468</v>
      </c>
      <c r="C2" s="581" t="s">
        <v>27</v>
      </c>
      <c r="D2" s="581" t="s">
        <v>656</v>
      </c>
      <c r="E2" s="575" t="s">
        <v>657</v>
      </c>
      <c r="F2" s="581" t="s">
        <v>658</v>
      </c>
      <c r="G2" s="575" t="s">
        <v>440</v>
      </c>
      <c r="H2" s="581" t="s">
        <v>659</v>
      </c>
      <c r="I2" s="604" t="s">
        <v>660</v>
      </c>
      <c r="J2" s="573" t="s">
        <v>661</v>
      </c>
      <c r="K2" s="573"/>
      <c r="L2" s="574" t="s">
        <v>24</v>
      </c>
      <c r="M2" s="574"/>
      <c r="N2" s="574"/>
      <c r="O2" s="573" t="s">
        <v>662</v>
      </c>
      <c r="P2" s="575" t="s">
        <v>663</v>
      </c>
      <c r="Q2" s="575"/>
      <c r="R2" s="575"/>
      <c r="S2" s="575"/>
      <c r="T2" s="575"/>
      <c r="U2" s="609" t="s">
        <v>661</v>
      </c>
      <c r="V2" s="609" t="s">
        <v>664</v>
      </c>
      <c r="W2" s="609" t="s">
        <v>665</v>
      </c>
      <c r="X2" s="612" t="s">
        <v>4</v>
      </c>
    </row>
    <row r="3" spans="1:26" ht="24" x14ac:dyDescent="0.25">
      <c r="A3" s="576"/>
      <c r="B3" s="581"/>
      <c r="C3" s="581"/>
      <c r="D3" s="581"/>
      <c r="E3" s="575"/>
      <c r="F3" s="581"/>
      <c r="G3" s="575" t="s">
        <v>440</v>
      </c>
      <c r="H3" s="581"/>
      <c r="I3" s="604"/>
      <c r="J3" s="7" t="s">
        <v>38</v>
      </c>
      <c r="K3" s="7" t="s">
        <v>666</v>
      </c>
      <c r="L3" s="8" t="s">
        <v>667</v>
      </c>
      <c r="M3" s="9" t="s">
        <v>668</v>
      </c>
      <c r="N3" s="8" t="s">
        <v>666</v>
      </c>
      <c r="O3" s="573"/>
      <c r="P3" s="10" t="s">
        <v>669</v>
      </c>
      <c r="Q3" s="10" t="s">
        <v>426</v>
      </c>
      <c r="R3" s="10" t="s">
        <v>670</v>
      </c>
      <c r="S3" s="13" t="s">
        <v>671</v>
      </c>
      <c r="T3" s="13" t="s">
        <v>672</v>
      </c>
      <c r="U3" s="609"/>
      <c r="V3" s="609"/>
      <c r="W3" s="609"/>
      <c r="X3" s="613"/>
      <c r="Z3" s="2" t="s">
        <v>673</v>
      </c>
    </row>
    <row r="4" spans="1:26" s="1" customFormat="1" ht="33" customHeight="1" x14ac:dyDescent="0.25">
      <c r="A4" s="577">
        <v>1</v>
      </c>
      <c r="B4" s="582"/>
      <c r="C4" s="582" t="s">
        <v>503</v>
      </c>
      <c r="D4" s="582" t="s">
        <v>504</v>
      </c>
      <c r="E4" s="577"/>
      <c r="F4" s="577">
        <v>1</v>
      </c>
      <c r="G4" s="577" t="s">
        <v>674</v>
      </c>
      <c r="H4" s="577">
        <v>6</v>
      </c>
      <c r="I4" s="577"/>
      <c r="J4" s="577">
        <v>5.5</v>
      </c>
      <c r="K4" s="577"/>
      <c r="L4" s="603">
        <v>4.2000000000000003E-2</v>
      </c>
      <c r="M4" s="603">
        <v>4.2000000000000003E-2</v>
      </c>
      <c r="N4" s="605">
        <f>L4-M4</f>
        <v>0</v>
      </c>
      <c r="O4" s="607">
        <f>(J4*L4-K4*N4)*F4</f>
        <v>0.23100000000000001</v>
      </c>
      <c r="P4" s="5" t="s">
        <v>675</v>
      </c>
      <c r="Q4" s="5"/>
      <c r="R4" s="5">
        <v>6</v>
      </c>
      <c r="S4" s="14">
        <v>0.04</v>
      </c>
      <c r="T4" s="14">
        <f t="shared" ref="T4:T61" si="0">S4*R4</f>
        <v>0.24</v>
      </c>
      <c r="U4" s="607">
        <f>(O4+SUM(T4:T5))*1.2</f>
        <v>0.59379829059829059</v>
      </c>
      <c r="V4" s="607">
        <f>U4/1.13</f>
        <v>0.52548521291884132</v>
      </c>
      <c r="W4" s="610"/>
      <c r="X4" s="614"/>
    </row>
    <row r="5" spans="1:26" s="1" customFormat="1" ht="34.950000000000003" customHeight="1" x14ac:dyDescent="0.25">
      <c r="A5" s="577"/>
      <c r="B5" s="582"/>
      <c r="C5" s="582"/>
      <c r="D5" s="582"/>
      <c r="E5" s="577"/>
      <c r="F5" s="577"/>
      <c r="G5" s="577"/>
      <c r="H5" s="577"/>
      <c r="I5" s="577"/>
      <c r="J5" s="577"/>
      <c r="K5" s="577"/>
      <c r="L5" s="603"/>
      <c r="M5" s="603"/>
      <c r="N5" s="605"/>
      <c r="O5" s="607"/>
      <c r="P5" s="11" t="s">
        <v>676</v>
      </c>
      <c r="Q5" s="15"/>
      <c r="R5" s="5">
        <v>1</v>
      </c>
      <c r="S5" s="14">
        <f>20000/10/12/26/3600*2.8+4000/26/8/3600*2.8+5/3600*2.8</f>
        <v>2.3831908831908829E-2</v>
      </c>
      <c r="T5" s="14">
        <f t="shared" si="0"/>
        <v>2.3831908831908829E-2</v>
      </c>
      <c r="U5" s="607"/>
      <c r="V5" s="607"/>
      <c r="W5" s="610"/>
      <c r="X5" s="615"/>
    </row>
    <row r="6" spans="1:26" s="1" customFormat="1" ht="33" customHeight="1" x14ac:dyDescent="0.25">
      <c r="A6" s="577">
        <v>2</v>
      </c>
      <c r="B6" s="582"/>
      <c r="C6" s="582" t="s">
        <v>509</v>
      </c>
      <c r="D6" s="582" t="s">
        <v>510</v>
      </c>
      <c r="E6" s="577"/>
      <c r="F6" s="577">
        <v>1</v>
      </c>
      <c r="G6" s="577" t="s">
        <v>674</v>
      </c>
      <c r="H6" s="577">
        <v>6</v>
      </c>
      <c r="I6" s="577"/>
      <c r="J6" s="577">
        <v>5.5</v>
      </c>
      <c r="K6" s="577"/>
      <c r="L6" s="603">
        <v>2.5000000000000001E-2</v>
      </c>
      <c r="M6" s="603">
        <v>2.5000000000000001E-2</v>
      </c>
      <c r="N6" s="605">
        <f>L6-M6</f>
        <v>0</v>
      </c>
      <c r="O6" s="607">
        <f>(J6*L6-K6*N6)*F6</f>
        <v>0.13750000000000001</v>
      </c>
      <c r="P6" s="5" t="s">
        <v>675</v>
      </c>
      <c r="Q6" s="5"/>
      <c r="R6" s="5">
        <v>3</v>
      </c>
      <c r="S6" s="14">
        <v>0.04</v>
      </c>
      <c r="T6" s="14">
        <f t="shared" si="0"/>
        <v>0.12</v>
      </c>
      <c r="U6" s="607">
        <f>(O6+SUM(T6:T7))*1.2</f>
        <v>0.33759829059829061</v>
      </c>
      <c r="V6" s="607">
        <f>U6/1.13</f>
        <v>0.29875954920202713</v>
      </c>
      <c r="W6" s="610"/>
      <c r="X6" s="614"/>
    </row>
    <row r="7" spans="1:26" s="1" customFormat="1" ht="34.950000000000003" customHeight="1" x14ac:dyDescent="0.25">
      <c r="A7" s="577"/>
      <c r="B7" s="582"/>
      <c r="C7" s="582"/>
      <c r="D7" s="582"/>
      <c r="E7" s="577"/>
      <c r="F7" s="577"/>
      <c r="G7" s="577"/>
      <c r="H7" s="577"/>
      <c r="I7" s="577"/>
      <c r="J7" s="577"/>
      <c r="K7" s="577"/>
      <c r="L7" s="603"/>
      <c r="M7" s="603"/>
      <c r="N7" s="605"/>
      <c r="O7" s="607"/>
      <c r="P7" s="11" t="s">
        <v>676</v>
      </c>
      <c r="Q7" s="15"/>
      <c r="R7" s="5">
        <v>1</v>
      </c>
      <c r="S7" s="14">
        <f>20000/10/12/26/3600*2.8+4000/26/8/3600*2.8+5/3600*2.8</f>
        <v>2.3831908831908829E-2</v>
      </c>
      <c r="T7" s="14">
        <f t="shared" si="0"/>
        <v>2.3831908831908829E-2</v>
      </c>
      <c r="U7" s="607"/>
      <c r="V7" s="607"/>
      <c r="W7" s="610"/>
      <c r="X7" s="615"/>
    </row>
    <row r="8" spans="1:26" s="1" customFormat="1" ht="33" customHeight="1" x14ac:dyDescent="0.25">
      <c r="A8" s="577">
        <v>3</v>
      </c>
      <c r="B8" s="582"/>
      <c r="C8" s="582" t="s">
        <v>511</v>
      </c>
      <c r="D8" s="582" t="s">
        <v>512</v>
      </c>
      <c r="E8" s="577"/>
      <c r="F8" s="577">
        <v>1</v>
      </c>
      <c r="G8" s="577" t="s">
        <v>674</v>
      </c>
      <c r="H8" s="577">
        <v>6</v>
      </c>
      <c r="I8" s="577"/>
      <c r="J8" s="577">
        <v>5.5</v>
      </c>
      <c r="K8" s="577"/>
      <c r="L8" s="603">
        <v>3.2000000000000001E-2</v>
      </c>
      <c r="M8" s="603">
        <v>3.2000000000000001E-2</v>
      </c>
      <c r="N8" s="605">
        <f>L8-M8</f>
        <v>0</v>
      </c>
      <c r="O8" s="607">
        <f>(J8*L8-K8*N8)*F8</f>
        <v>0.17599999999999999</v>
      </c>
      <c r="P8" s="5" t="s">
        <v>675</v>
      </c>
      <c r="Q8" s="5"/>
      <c r="R8" s="5">
        <v>1</v>
      </c>
      <c r="S8" s="14">
        <v>0.04</v>
      </c>
      <c r="T8" s="14">
        <f t="shared" si="0"/>
        <v>0.04</v>
      </c>
      <c r="U8" s="607">
        <f>(O8+SUM(T8:T9))*1.2</f>
        <v>0.28779829059829054</v>
      </c>
      <c r="V8" s="607">
        <f>U8/1.13</f>
        <v>0.25468875274185004</v>
      </c>
      <c r="W8" s="610"/>
      <c r="X8" s="614"/>
    </row>
    <row r="9" spans="1:26" s="1" customFormat="1" ht="34.950000000000003" customHeight="1" x14ac:dyDescent="0.25">
      <c r="A9" s="577"/>
      <c r="B9" s="582"/>
      <c r="C9" s="582"/>
      <c r="D9" s="582"/>
      <c r="E9" s="577"/>
      <c r="F9" s="577"/>
      <c r="G9" s="577"/>
      <c r="H9" s="577"/>
      <c r="I9" s="577"/>
      <c r="J9" s="577"/>
      <c r="K9" s="577"/>
      <c r="L9" s="603"/>
      <c r="M9" s="603"/>
      <c r="N9" s="605"/>
      <c r="O9" s="607"/>
      <c r="P9" s="11" t="s">
        <v>676</v>
      </c>
      <c r="Q9" s="15"/>
      <c r="R9" s="5">
        <v>1</v>
      </c>
      <c r="S9" s="14">
        <f>20000/10/12/26/3600*2.8+4000/26/8/3600*2.8+5/3600*2.8</f>
        <v>2.3831908831908829E-2</v>
      </c>
      <c r="T9" s="14">
        <f t="shared" si="0"/>
        <v>2.3831908831908829E-2</v>
      </c>
      <c r="U9" s="607"/>
      <c r="V9" s="607"/>
      <c r="W9" s="610"/>
      <c r="X9" s="615"/>
    </row>
    <row r="10" spans="1:26" s="1" customFormat="1" ht="33" customHeight="1" x14ac:dyDescent="0.25">
      <c r="A10" s="578">
        <v>4</v>
      </c>
      <c r="B10" s="582"/>
      <c r="C10" s="582" t="s">
        <v>513</v>
      </c>
      <c r="D10" s="582" t="s">
        <v>514</v>
      </c>
      <c r="E10" s="577"/>
      <c r="F10" s="577">
        <v>1</v>
      </c>
      <c r="G10" s="577" t="s">
        <v>515</v>
      </c>
      <c r="H10" s="582" t="s">
        <v>677</v>
      </c>
      <c r="I10" s="577"/>
      <c r="J10" s="577">
        <v>7.2</v>
      </c>
      <c r="K10" s="577"/>
      <c r="L10" s="603">
        <v>1.3363</v>
      </c>
      <c r="M10" s="603">
        <v>1.3363</v>
      </c>
      <c r="N10" s="605">
        <f>L10-M10</f>
        <v>0</v>
      </c>
      <c r="O10" s="607">
        <f>(J10*L10-K10*N10)*F10</f>
        <v>9.621360000000001</v>
      </c>
      <c r="P10" s="5" t="s">
        <v>675</v>
      </c>
      <c r="Q10" s="5"/>
      <c r="R10" s="5">
        <v>4</v>
      </c>
      <c r="S10" s="14">
        <v>0.08</v>
      </c>
      <c r="T10" s="14">
        <f t="shared" si="0"/>
        <v>0.32</v>
      </c>
      <c r="U10" s="607">
        <f>(O10+SUM(T10:T12))*1.2</f>
        <v>12.198230290598291</v>
      </c>
      <c r="V10" s="607">
        <f>U10/1.13</f>
        <v>10.794894062476365</v>
      </c>
      <c r="W10" s="610"/>
      <c r="X10" s="614"/>
    </row>
    <row r="11" spans="1:26" s="1" customFormat="1" ht="33" customHeight="1" x14ac:dyDescent="0.25">
      <c r="A11" s="579"/>
      <c r="B11" s="582"/>
      <c r="C11" s="582"/>
      <c r="D11" s="582"/>
      <c r="E11" s="577"/>
      <c r="F11" s="577"/>
      <c r="G11" s="577"/>
      <c r="H11" s="582"/>
      <c r="I11" s="577"/>
      <c r="J11" s="577"/>
      <c r="K11" s="577"/>
      <c r="L11" s="603"/>
      <c r="M11" s="603"/>
      <c r="N11" s="605"/>
      <c r="O11" s="607"/>
      <c r="P11" s="5" t="s">
        <v>678</v>
      </c>
      <c r="Q11" s="5" t="s">
        <v>679</v>
      </c>
      <c r="R11" s="5">
        <v>4</v>
      </c>
      <c r="S11" s="14">
        <v>0.05</v>
      </c>
      <c r="T11" s="14">
        <f t="shared" si="0"/>
        <v>0.2</v>
      </c>
      <c r="U11" s="607"/>
      <c r="V11" s="607"/>
      <c r="W11" s="610"/>
      <c r="X11" s="616"/>
    </row>
    <row r="12" spans="1:26" s="1" customFormat="1" ht="34.950000000000003" customHeight="1" x14ac:dyDescent="0.25">
      <c r="A12" s="580"/>
      <c r="B12" s="582"/>
      <c r="C12" s="582"/>
      <c r="D12" s="582"/>
      <c r="E12" s="577"/>
      <c r="F12" s="577"/>
      <c r="G12" s="577"/>
      <c r="H12" s="582"/>
      <c r="I12" s="577"/>
      <c r="J12" s="577"/>
      <c r="K12" s="577"/>
      <c r="L12" s="603"/>
      <c r="M12" s="603"/>
      <c r="N12" s="605"/>
      <c r="O12" s="607"/>
      <c r="P12" s="11" t="s">
        <v>676</v>
      </c>
      <c r="Q12" s="15"/>
      <c r="R12" s="5">
        <v>1</v>
      </c>
      <c r="S12" s="14">
        <f>20000/10/12/26/3600*2.8+4000/26/8/3600*2.8+5/3600*2.8</f>
        <v>2.3831908831908829E-2</v>
      </c>
      <c r="T12" s="14">
        <f t="shared" si="0"/>
        <v>2.3831908831908829E-2</v>
      </c>
      <c r="U12" s="607"/>
      <c r="V12" s="607"/>
      <c r="W12" s="610"/>
      <c r="X12" s="615"/>
    </row>
    <row r="13" spans="1:26" s="1" customFormat="1" ht="33" customHeight="1" x14ac:dyDescent="0.25">
      <c r="A13" s="578">
        <v>5</v>
      </c>
      <c r="B13" s="582"/>
      <c r="C13" s="586" t="s">
        <v>135</v>
      </c>
      <c r="D13" s="586" t="s">
        <v>136</v>
      </c>
      <c r="E13" s="577"/>
      <c r="F13" s="577">
        <v>1</v>
      </c>
      <c r="G13" s="577" t="s">
        <v>680</v>
      </c>
      <c r="H13" s="577">
        <v>3.2</v>
      </c>
      <c r="I13" s="577"/>
      <c r="J13" s="577">
        <v>5.5</v>
      </c>
      <c r="K13" s="577"/>
      <c r="L13" s="603">
        <v>5.0700000000000002E-2</v>
      </c>
      <c r="M13" s="603">
        <v>5.0700000000000002E-2</v>
      </c>
      <c r="N13" s="605">
        <f>L13-M13</f>
        <v>0</v>
      </c>
      <c r="O13" s="607">
        <f>(J13*L13-K13*N13)*F13</f>
        <v>0.27884999999999999</v>
      </c>
      <c r="P13" s="5" t="s">
        <v>675</v>
      </c>
      <c r="Q13" s="5"/>
      <c r="R13" s="5">
        <v>16</v>
      </c>
      <c r="S13" s="14">
        <v>0.04</v>
      </c>
      <c r="T13" s="14">
        <f t="shared" si="0"/>
        <v>0.64</v>
      </c>
      <c r="U13" s="607">
        <f>(O13+SUM(T13:T14))*1.2</f>
        <v>1.1312182905982904</v>
      </c>
      <c r="V13" s="607">
        <f>U13/1.13</f>
        <v>1.0010781332728234</v>
      </c>
      <c r="W13" s="610"/>
      <c r="X13" s="614"/>
    </row>
    <row r="14" spans="1:26" s="1" customFormat="1" ht="34.950000000000003" customHeight="1" x14ac:dyDescent="0.25">
      <c r="A14" s="580"/>
      <c r="B14" s="582"/>
      <c r="C14" s="587"/>
      <c r="D14" s="587"/>
      <c r="E14" s="577"/>
      <c r="F14" s="577"/>
      <c r="G14" s="577"/>
      <c r="H14" s="577"/>
      <c r="I14" s="577"/>
      <c r="J14" s="577"/>
      <c r="K14" s="577"/>
      <c r="L14" s="603"/>
      <c r="M14" s="603"/>
      <c r="N14" s="605"/>
      <c r="O14" s="607"/>
      <c r="P14" s="11" t="s">
        <v>676</v>
      </c>
      <c r="Q14" s="15"/>
      <c r="R14" s="5">
        <v>1</v>
      </c>
      <c r="S14" s="14">
        <f>20000/10/12/26/3600*2.8+4000/26/8/3600*2.8+5/3600*2.8</f>
        <v>2.3831908831908829E-2</v>
      </c>
      <c r="T14" s="14">
        <f t="shared" si="0"/>
        <v>2.3831908831908829E-2</v>
      </c>
      <c r="U14" s="607"/>
      <c r="V14" s="607"/>
      <c r="W14" s="610"/>
      <c r="X14" s="615"/>
    </row>
    <row r="15" spans="1:26" s="1" customFormat="1" ht="33" customHeight="1" x14ac:dyDescent="0.25">
      <c r="A15" s="578">
        <v>6</v>
      </c>
      <c r="B15" s="582"/>
      <c r="C15" s="586" t="s">
        <v>519</v>
      </c>
      <c r="D15" s="586" t="s">
        <v>520</v>
      </c>
      <c r="E15" s="577"/>
      <c r="F15" s="577">
        <v>1</v>
      </c>
      <c r="G15" s="603" t="s">
        <v>681</v>
      </c>
      <c r="H15" s="577">
        <v>2</v>
      </c>
      <c r="I15" s="577"/>
      <c r="J15" s="577">
        <v>5.5</v>
      </c>
      <c r="K15" s="577"/>
      <c r="L15" s="603">
        <v>1.0999999999999999E-2</v>
      </c>
      <c r="M15" s="603">
        <v>1.0999999999999999E-2</v>
      </c>
      <c r="N15" s="605">
        <f>L15-M15</f>
        <v>0</v>
      </c>
      <c r="O15" s="607">
        <f>(J15*L15-K15*N15)*F15</f>
        <v>6.0499999999999998E-2</v>
      </c>
      <c r="P15" s="5" t="s">
        <v>675</v>
      </c>
      <c r="Q15" s="5"/>
      <c r="R15" s="5">
        <v>6</v>
      </c>
      <c r="S15" s="14">
        <v>0.04</v>
      </c>
      <c r="T15" s="14">
        <f t="shared" si="0"/>
        <v>0.24</v>
      </c>
      <c r="U15" s="607">
        <f>(O15+SUM(T15:T16))*1.2</f>
        <v>0.38919829059829059</v>
      </c>
      <c r="V15" s="607">
        <f>U15/1.13</f>
        <v>0.34442326601618639</v>
      </c>
      <c r="W15" s="610"/>
      <c r="X15" s="614"/>
    </row>
    <row r="16" spans="1:26" s="1" customFormat="1" ht="34.950000000000003" customHeight="1" x14ac:dyDescent="0.25">
      <c r="A16" s="580"/>
      <c r="B16" s="582"/>
      <c r="C16" s="587"/>
      <c r="D16" s="587"/>
      <c r="E16" s="577"/>
      <c r="F16" s="577"/>
      <c r="G16" s="603"/>
      <c r="H16" s="577"/>
      <c r="I16" s="577"/>
      <c r="J16" s="577"/>
      <c r="K16" s="577"/>
      <c r="L16" s="603"/>
      <c r="M16" s="603"/>
      <c r="N16" s="605"/>
      <c r="O16" s="607"/>
      <c r="P16" s="11" t="s">
        <v>676</v>
      </c>
      <c r="Q16" s="15"/>
      <c r="R16" s="5">
        <v>1</v>
      </c>
      <c r="S16" s="14">
        <f>20000/10/12/26/3600*2.8+4000/26/8/3600*2.8+5/3600*2.8</f>
        <v>2.3831908831908829E-2</v>
      </c>
      <c r="T16" s="14">
        <f t="shared" si="0"/>
        <v>2.3831908831908829E-2</v>
      </c>
      <c r="U16" s="607"/>
      <c r="V16" s="607"/>
      <c r="W16" s="610"/>
      <c r="X16" s="615"/>
    </row>
    <row r="17" spans="1:24" s="1" customFormat="1" ht="33" customHeight="1" x14ac:dyDescent="0.25">
      <c r="A17" s="578">
        <v>7</v>
      </c>
      <c r="B17" s="582"/>
      <c r="C17" s="586" t="s">
        <v>522</v>
      </c>
      <c r="D17" s="586" t="s">
        <v>523</v>
      </c>
      <c r="E17" s="577"/>
      <c r="F17" s="577">
        <v>1</v>
      </c>
      <c r="G17" s="603" t="s">
        <v>681</v>
      </c>
      <c r="H17" s="577">
        <v>2</v>
      </c>
      <c r="I17" s="577"/>
      <c r="J17" s="577">
        <v>5.5</v>
      </c>
      <c r="K17" s="577"/>
      <c r="L17" s="603">
        <v>1.0999999999999999E-2</v>
      </c>
      <c r="M17" s="603">
        <v>1.0999999999999999E-2</v>
      </c>
      <c r="N17" s="605">
        <f>L17-M17</f>
        <v>0</v>
      </c>
      <c r="O17" s="607">
        <f>(J17*L17-K17*N17)*F17</f>
        <v>6.0499999999999998E-2</v>
      </c>
      <c r="P17" s="5" t="s">
        <v>675</v>
      </c>
      <c r="Q17" s="5"/>
      <c r="R17" s="5">
        <v>6</v>
      </c>
      <c r="S17" s="14">
        <v>0.04</v>
      </c>
      <c r="T17" s="14">
        <f t="shared" si="0"/>
        <v>0.24</v>
      </c>
      <c r="U17" s="607">
        <f>(O17+SUM(T17:T18))*1.2</f>
        <v>0.38919829059829059</v>
      </c>
      <c r="V17" s="607">
        <f>U17/1.13</f>
        <v>0.34442326601618639</v>
      </c>
      <c r="W17" s="610"/>
      <c r="X17" s="614"/>
    </row>
    <row r="18" spans="1:24" s="1" customFormat="1" ht="34.950000000000003" customHeight="1" x14ac:dyDescent="0.25">
      <c r="A18" s="580"/>
      <c r="B18" s="582"/>
      <c r="C18" s="587"/>
      <c r="D18" s="587"/>
      <c r="E18" s="577"/>
      <c r="F18" s="577"/>
      <c r="G18" s="603"/>
      <c r="H18" s="577"/>
      <c r="I18" s="577"/>
      <c r="J18" s="577"/>
      <c r="K18" s="577"/>
      <c r="L18" s="603"/>
      <c r="M18" s="603"/>
      <c r="N18" s="605"/>
      <c r="O18" s="607"/>
      <c r="P18" s="11" t="s">
        <v>676</v>
      </c>
      <c r="Q18" s="15"/>
      <c r="R18" s="5">
        <v>1</v>
      </c>
      <c r="S18" s="14">
        <f>20000/10/12/26/3600*2.8+4000/26/8/3600*2.8+5/3600*2.8</f>
        <v>2.3831908831908829E-2</v>
      </c>
      <c r="T18" s="14">
        <f t="shared" si="0"/>
        <v>2.3831908831908829E-2</v>
      </c>
      <c r="U18" s="607"/>
      <c r="V18" s="607"/>
      <c r="W18" s="610"/>
      <c r="X18" s="615"/>
    </row>
    <row r="19" spans="1:24" s="1" customFormat="1" ht="33" customHeight="1" x14ac:dyDescent="0.25">
      <c r="A19" s="578">
        <v>8</v>
      </c>
      <c r="B19" s="582"/>
      <c r="C19" s="586" t="s">
        <v>524</v>
      </c>
      <c r="D19" s="586" t="s">
        <v>525</v>
      </c>
      <c r="E19" s="577"/>
      <c r="F19" s="577">
        <v>1</v>
      </c>
      <c r="G19" s="603" t="s">
        <v>681</v>
      </c>
      <c r="H19" s="577">
        <v>2</v>
      </c>
      <c r="I19" s="577"/>
      <c r="J19" s="577">
        <v>5.5</v>
      </c>
      <c r="K19" s="577"/>
      <c r="L19" s="603">
        <v>8.0000000000000002E-3</v>
      </c>
      <c r="M19" s="603">
        <v>8.0000000000000002E-3</v>
      </c>
      <c r="N19" s="605">
        <f>L19-M19</f>
        <v>0</v>
      </c>
      <c r="O19" s="607">
        <f>(J19*L19-K19*N19)*F19</f>
        <v>4.3999999999999997E-2</v>
      </c>
      <c r="P19" s="5" t="s">
        <v>675</v>
      </c>
      <c r="Q19" s="5"/>
      <c r="R19" s="5">
        <v>6</v>
      </c>
      <c r="S19" s="14">
        <v>0.04</v>
      </c>
      <c r="T19" s="14">
        <f t="shared" si="0"/>
        <v>0.24</v>
      </c>
      <c r="U19" s="607">
        <f>(O19+SUM(T19:T20))*1.2</f>
        <v>0.36939829059829055</v>
      </c>
      <c r="V19" s="607">
        <f>U19/1.13</f>
        <v>0.32690114212238103</v>
      </c>
      <c r="W19" s="610"/>
      <c r="X19" s="614"/>
    </row>
    <row r="20" spans="1:24" s="1" customFormat="1" ht="34.950000000000003" customHeight="1" x14ac:dyDescent="0.25">
      <c r="A20" s="580"/>
      <c r="B20" s="582"/>
      <c r="C20" s="587"/>
      <c r="D20" s="587"/>
      <c r="E20" s="577"/>
      <c r="F20" s="577"/>
      <c r="G20" s="603"/>
      <c r="H20" s="577"/>
      <c r="I20" s="577"/>
      <c r="J20" s="577"/>
      <c r="K20" s="577"/>
      <c r="L20" s="603"/>
      <c r="M20" s="603"/>
      <c r="N20" s="605"/>
      <c r="O20" s="607"/>
      <c r="P20" s="11" t="s">
        <v>676</v>
      </c>
      <c r="Q20" s="15"/>
      <c r="R20" s="5">
        <v>1</v>
      </c>
      <c r="S20" s="14">
        <f>20000/10/12/26/3600*2.8+4000/26/8/3600*2.8+5/3600*2.8</f>
        <v>2.3831908831908829E-2</v>
      </c>
      <c r="T20" s="14">
        <f t="shared" si="0"/>
        <v>2.3831908831908829E-2</v>
      </c>
      <c r="U20" s="607"/>
      <c r="V20" s="607"/>
      <c r="W20" s="610"/>
      <c r="X20" s="615"/>
    </row>
    <row r="21" spans="1:24" s="1" customFormat="1" ht="33" customHeight="1" x14ac:dyDescent="0.25">
      <c r="A21" s="578">
        <v>9</v>
      </c>
      <c r="B21" s="582"/>
      <c r="C21" s="586" t="s">
        <v>526</v>
      </c>
      <c r="D21" s="586" t="s">
        <v>527</v>
      </c>
      <c r="E21" s="577"/>
      <c r="F21" s="577">
        <v>1</v>
      </c>
      <c r="G21" s="603" t="s">
        <v>681</v>
      </c>
      <c r="H21" s="577">
        <v>2</v>
      </c>
      <c r="I21" s="577"/>
      <c r="J21" s="577">
        <v>5.5</v>
      </c>
      <c r="K21" s="577"/>
      <c r="L21" s="603">
        <v>7.0000000000000001E-3</v>
      </c>
      <c r="M21" s="603">
        <v>7.0000000000000001E-3</v>
      </c>
      <c r="N21" s="605">
        <f>L21-M21</f>
        <v>0</v>
      </c>
      <c r="O21" s="607">
        <f>(J21*L21-K21*N21)*F21</f>
        <v>3.85E-2</v>
      </c>
      <c r="P21" s="5" t="s">
        <v>675</v>
      </c>
      <c r="Q21" s="5"/>
      <c r="R21" s="5">
        <v>5</v>
      </c>
      <c r="S21" s="14">
        <v>0.04</v>
      </c>
      <c r="T21" s="14">
        <f t="shared" si="0"/>
        <v>0.2</v>
      </c>
      <c r="U21" s="607">
        <f>(O21+SUM(T21:T22))*1.2</f>
        <v>0.31479829059829056</v>
      </c>
      <c r="V21" s="607">
        <f>U21/1.13</f>
        <v>0.27858255805158461</v>
      </c>
      <c r="W21" s="610"/>
      <c r="X21" s="614"/>
    </row>
    <row r="22" spans="1:24" s="1" customFormat="1" ht="34.950000000000003" customHeight="1" x14ac:dyDescent="0.25">
      <c r="A22" s="580"/>
      <c r="B22" s="582"/>
      <c r="C22" s="587"/>
      <c r="D22" s="587"/>
      <c r="E22" s="577"/>
      <c r="F22" s="577"/>
      <c r="G22" s="603"/>
      <c r="H22" s="577"/>
      <c r="I22" s="577"/>
      <c r="J22" s="577"/>
      <c r="K22" s="577"/>
      <c r="L22" s="603"/>
      <c r="M22" s="603"/>
      <c r="N22" s="605"/>
      <c r="O22" s="607"/>
      <c r="P22" s="11" t="s">
        <v>676</v>
      </c>
      <c r="Q22" s="15"/>
      <c r="R22" s="5">
        <v>1</v>
      </c>
      <c r="S22" s="14">
        <f>20000/10/12/26/3600*2.8+4000/26/8/3600*2.8+5/3600*2.8</f>
        <v>2.3831908831908829E-2</v>
      </c>
      <c r="T22" s="14">
        <f t="shared" si="0"/>
        <v>2.3831908831908829E-2</v>
      </c>
      <c r="U22" s="607"/>
      <c r="V22" s="607"/>
      <c r="W22" s="610"/>
      <c r="X22" s="615"/>
    </row>
    <row r="23" spans="1:24" s="1" customFormat="1" ht="33" customHeight="1" x14ac:dyDescent="0.25">
      <c r="A23" s="578">
        <v>10</v>
      </c>
      <c r="B23" s="582"/>
      <c r="C23" s="586" t="s">
        <v>528</v>
      </c>
      <c r="D23" s="586" t="s">
        <v>529</v>
      </c>
      <c r="E23" s="577"/>
      <c r="F23" s="577">
        <v>1</v>
      </c>
      <c r="G23" s="603" t="s">
        <v>681</v>
      </c>
      <c r="H23" s="577">
        <v>2</v>
      </c>
      <c r="I23" s="577"/>
      <c r="J23" s="577">
        <v>5.5</v>
      </c>
      <c r="K23" s="577"/>
      <c r="L23" s="603">
        <v>0.25679999999999997</v>
      </c>
      <c r="M23" s="603">
        <v>0.25679999999999997</v>
      </c>
      <c r="N23" s="605">
        <f>L23-M23</f>
        <v>0</v>
      </c>
      <c r="O23" s="607">
        <f>(J23*L23-K23*N23)*F23</f>
        <v>1.4123999999999999</v>
      </c>
      <c r="P23" s="5" t="s">
        <v>675</v>
      </c>
      <c r="Q23" s="5"/>
      <c r="R23" s="5">
        <f>5+5+6+6</f>
        <v>22</v>
      </c>
      <c r="S23" s="14">
        <v>0.04</v>
      </c>
      <c r="T23" s="14">
        <f t="shared" si="0"/>
        <v>0.88</v>
      </c>
      <c r="U23" s="607">
        <f>(O23+SUM(T23:T27))*1.2</f>
        <v>3.6914782905982899</v>
      </c>
      <c r="V23" s="607">
        <f>U23/1.13</f>
        <v>3.2667949474321154</v>
      </c>
      <c r="W23" s="610"/>
      <c r="X23" s="614"/>
    </row>
    <row r="24" spans="1:24" s="1" customFormat="1" ht="33" customHeight="1" x14ac:dyDescent="0.25">
      <c r="A24" s="579"/>
      <c r="B24" s="582"/>
      <c r="C24" s="588"/>
      <c r="D24" s="588"/>
      <c r="E24" s="577"/>
      <c r="F24" s="577"/>
      <c r="G24" s="603"/>
      <c r="H24" s="577"/>
      <c r="I24" s="577"/>
      <c r="J24" s="577"/>
      <c r="K24" s="577"/>
      <c r="L24" s="603"/>
      <c r="M24" s="603"/>
      <c r="N24" s="605"/>
      <c r="O24" s="607"/>
      <c r="P24" s="5" t="s">
        <v>87</v>
      </c>
      <c r="Q24" s="5"/>
      <c r="R24" s="5">
        <v>8</v>
      </c>
      <c r="S24" s="14">
        <v>0.05</v>
      </c>
      <c r="T24" s="14">
        <f t="shared" si="0"/>
        <v>0.4</v>
      </c>
      <c r="U24" s="607"/>
      <c r="V24" s="607"/>
      <c r="W24" s="610"/>
      <c r="X24" s="616"/>
    </row>
    <row r="25" spans="1:24" s="1" customFormat="1" ht="33" customHeight="1" x14ac:dyDescent="0.25">
      <c r="A25" s="579"/>
      <c r="B25" s="582"/>
      <c r="C25" s="588"/>
      <c r="D25" s="588"/>
      <c r="E25" s="577"/>
      <c r="F25" s="577"/>
      <c r="G25" s="603"/>
      <c r="H25" s="577"/>
      <c r="I25" s="577"/>
      <c r="J25" s="577"/>
      <c r="K25" s="577"/>
      <c r="L25" s="603"/>
      <c r="M25" s="603"/>
      <c r="N25" s="605"/>
      <c r="O25" s="607"/>
      <c r="P25" s="5" t="s">
        <v>682</v>
      </c>
      <c r="Q25" s="5"/>
      <c r="R25" s="5">
        <v>4</v>
      </c>
      <c r="S25" s="14">
        <v>0.04</v>
      </c>
      <c r="T25" s="14">
        <f t="shared" si="0"/>
        <v>0.16</v>
      </c>
      <c r="U25" s="607"/>
      <c r="V25" s="607"/>
      <c r="W25" s="610"/>
      <c r="X25" s="616"/>
    </row>
    <row r="26" spans="1:24" s="1" customFormat="1" ht="33" customHeight="1" x14ac:dyDescent="0.25">
      <c r="A26" s="579"/>
      <c r="B26" s="582"/>
      <c r="C26" s="588"/>
      <c r="D26" s="588"/>
      <c r="E26" s="577"/>
      <c r="F26" s="577"/>
      <c r="G26" s="603"/>
      <c r="H26" s="577"/>
      <c r="I26" s="577"/>
      <c r="J26" s="577"/>
      <c r="K26" s="577"/>
      <c r="L26" s="603"/>
      <c r="M26" s="603"/>
      <c r="N26" s="605"/>
      <c r="O26" s="607"/>
      <c r="P26" s="5" t="s">
        <v>683</v>
      </c>
      <c r="Q26" s="5"/>
      <c r="R26" s="5">
        <v>1</v>
      </c>
      <c r="S26" s="14">
        <v>0.2</v>
      </c>
      <c r="T26" s="14">
        <f t="shared" si="0"/>
        <v>0.2</v>
      </c>
      <c r="U26" s="607"/>
      <c r="V26" s="607"/>
      <c r="W26" s="610"/>
      <c r="X26" s="616"/>
    </row>
    <row r="27" spans="1:24" s="1" customFormat="1" ht="34.950000000000003" customHeight="1" x14ac:dyDescent="0.25">
      <c r="A27" s="580"/>
      <c r="B27" s="582"/>
      <c r="C27" s="587"/>
      <c r="D27" s="587"/>
      <c r="E27" s="577"/>
      <c r="F27" s="577"/>
      <c r="G27" s="603"/>
      <c r="H27" s="577"/>
      <c r="I27" s="577"/>
      <c r="J27" s="577"/>
      <c r="K27" s="577"/>
      <c r="L27" s="603"/>
      <c r="M27" s="603"/>
      <c r="N27" s="605"/>
      <c r="O27" s="607"/>
      <c r="P27" s="11" t="s">
        <v>676</v>
      </c>
      <c r="Q27" s="15"/>
      <c r="R27" s="5">
        <v>1</v>
      </c>
      <c r="S27" s="14">
        <f>20000/10/12/26/3600*2.8+4000/26/8/3600*2.8+5/3600*2.8</f>
        <v>2.3831908831908829E-2</v>
      </c>
      <c r="T27" s="14">
        <f t="shared" si="0"/>
        <v>2.3831908831908829E-2</v>
      </c>
      <c r="U27" s="607"/>
      <c r="V27" s="607"/>
      <c r="W27" s="610"/>
      <c r="X27" s="615"/>
    </row>
    <row r="28" spans="1:24" s="1" customFormat="1" ht="33" customHeight="1" x14ac:dyDescent="0.25">
      <c r="A28" s="578">
        <v>11</v>
      </c>
      <c r="B28" s="582"/>
      <c r="C28" s="586" t="s">
        <v>530</v>
      </c>
      <c r="D28" s="586" t="s">
        <v>531</v>
      </c>
      <c r="E28" s="577"/>
      <c r="F28" s="577">
        <v>1</v>
      </c>
      <c r="G28" s="603" t="s">
        <v>681</v>
      </c>
      <c r="H28" s="577">
        <v>2</v>
      </c>
      <c r="I28" s="577"/>
      <c r="J28" s="577">
        <v>5.5</v>
      </c>
      <c r="K28" s="577"/>
      <c r="L28" s="603">
        <v>0.01</v>
      </c>
      <c r="M28" s="603">
        <v>0.01</v>
      </c>
      <c r="N28" s="605">
        <f>L28-M28</f>
        <v>0</v>
      </c>
      <c r="O28" s="607">
        <f>(J28*L28-K28*N28)*F28</f>
        <v>5.5E-2</v>
      </c>
      <c r="P28" s="5" t="s">
        <v>675</v>
      </c>
      <c r="Q28" s="5"/>
      <c r="R28" s="5">
        <v>4</v>
      </c>
      <c r="S28" s="14">
        <v>0.04</v>
      </c>
      <c r="T28" s="14">
        <f t="shared" si="0"/>
        <v>0.16</v>
      </c>
      <c r="U28" s="607">
        <f>(O28+SUM(T28:T29))*1.2</f>
        <v>0.28659829059829056</v>
      </c>
      <c r="V28" s="607">
        <f>U28/1.13</f>
        <v>0.25362680583919522</v>
      </c>
      <c r="W28" s="610"/>
      <c r="X28" s="614"/>
    </row>
    <row r="29" spans="1:24" s="1" customFormat="1" ht="34.950000000000003" customHeight="1" x14ac:dyDescent="0.25">
      <c r="A29" s="580"/>
      <c r="B29" s="582"/>
      <c r="C29" s="587"/>
      <c r="D29" s="587"/>
      <c r="E29" s="577"/>
      <c r="F29" s="577"/>
      <c r="G29" s="603"/>
      <c r="H29" s="577"/>
      <c r="I29" s="577"/>
      <c r="J29" s="577"/>
      <c r="K29" s="577"/>
      <c r="L29" s="603"/>
      <c r="M29" s="603"/>
      <c r="N29" s="605"/>
      <c r="O29" s="607"/>
      <c r="P29" s="11" t="s">
        <v>676</v>
      </c>
      <c r="Q29" s="15"/>
      <c r="R29" s="5">
        <v>1</v>
      </c>
      <c r="S29" s="14">
        <f>20000/10/12/26/3600*2.8+4000/26/8/3600*2.8+5/3600*2.8</f>
        <v>2.3831908831908829E-2</v>
      </c>
      <c r="T29" s="14">
        <f t="shared" si="0"/>
        <v>2.3831908831908829E-2</v>
      </c>
      <c r="U29" s="607"/>
      <c r="V29" s="607"/>
      <c r="W29" s="610"/>
      <c r="X29" s="615"/>
    </row>
    <row r="30" spans="1:24" s="1" customFormat="1" ht="33" customHeight="1" x14ac:dyDescent="0.25">
      <c r="A30" s="578">
        <v>12</v>
      </c>
      <c r="B30" s="582"/>
      <c r="C30" s="586" t="s">
        <v>532</v>
      </c>
      <c r="D30" s="586" t="s">
        <v>533</v>
      </c>
      <c r="E30" s="577"/>
      <c r="F30" s="577">
        <v>1</v>
      </c>
      <c r="G30" s="603" t="s">
        <v>681</v>
      </c>
      <c r="H30" s="577">
        <v>2</v>
      </c>
      <c r="I30" s="577"/>
      <c r="J30" s="577">
        <v>5.5</v>
      </c>
      <c r="K30" s="577"/>
      <c r="L30" s="603">
        <v>0.01</v>
      </c>
      <c r="M30" s="603">
        <v>0.01</v>
      </c>
      <c r="N30" s="605">
        <f>L30-M30</f>
        <v>0</v>
      </c>
      <c r="O30" s="607">
        <f>(J30*L30-K30*N30)*F30</f>
        <v>5.5E-2</v>
      </c>
      <c r="P30" s="5" t="s">
        <v>675</v>
      </c>
      <c r="Q30" s="5"/>
      <c r="R30" s="5">
        <v>4</v>
      </c>
      <c r="S30" s="14">
        <v>0.04</v>
      </c>
      <c r="T30" s="14">
        <f t="shared" si="0"/>
        <v>0.16</v>
      </c>
      <c r="U30" s="607">
        <f>(O30+SUM(T30:T31))*1.2</f>
        <v>0.28659829059829056</v>
      </c>
      <c r="V30" s="607">
        <f>U30/1.13</f>
        <v>0.25362680583919522</v>
      </c>
      <c r="W30" s="610"/>
      <c r="X30" s="614"/>
    </row>
    <row r="31" spans="1:24" s="1" customFormat="1" ht="34.950000000000003" customHeight="1" x14ac:dyDescent="0.25">
      <c r="A31" s="580"/>
      <c r="B31" s="582"/>
      <c r="C31" s="587"/>
      <c r="D31" s="587"/>
      <c r="E31" s="577"/>
      <c r="F31" s="577"/>
      <c r="G31" s="603"/>
      <c r="H31" s="577"/>
      <c r="I31" s="577"/>
      <c r="J31" s="577"/>
      <c r="K31" s="577"/>
      <c r="L31" s="603"/>
      <c r="M31" s="603"/>
      <c r="N31" s="605"/>
      <c r="O31" s="607"/>
      <c r="P31" s="11" t="s">
        <v>676</v>
      </c>
      <c r="Q31" s="15"/>
      <c r="R31" s="5">
        <v>1</v>
      </c>
      <c r="S31" s="14">
        <f>20000/10/12/26/3600*2.8+4000/26/8/3600*2.8+5/3600*2.8</f>
        <v>2.3831908831908829E-2</v>
      </c>
      <c r="T31" s="14">
        <f t="shared" si="0"/>
        <v>2.3831908831908829E-2</v>
      </c>
      <c r="U31" s="607"/>
      <c r="V31" s="607"/>
      <c r="W31" s="610"/>
      <c r="X31" s="615"/>
    </row>
    <row r="32" spans="1:24" s="1" customFormat="1" ht="33" customHeight="1" x14ac:dyDescent="0.25">
      <c r="A32" s="578">
        <v>13</v>
      </c>
      <c r="B32" s="582"/>
      <c r="C32" s="586" t="s">
        <v>534</v>
      </c>
      <c r="D32" s="586" t="s">
        <v>535</v>
      </c>
      <c r="E32" s="577"/>
      <c r="F32" s="577">
        <v>1</v>
      </c>
      <c r="G32" s="603" t="s">
        <v>681</v>
      </c>
      <c r="H32" s="577">
        <v>2</v>
      </c>
      <c r="I32" s="577"/>
      <c r="J32" s="577">
        <v>5.5</v>
      </c>
      <c r="K32" s="577"/>
      <c r="L32" s="603">
        <v>7.0000000000000001E-3</v>
      </c>
      <c r="M32" s="603">
        <v>7.0000000000000001E-3</v>
      </c>
      <c r="N32" s="605">
        <f>L32-M32</f>
        <v>0</v>
      </c>
      <c r="O32" s="607">
        <f>(J32*L32-K32*N32)*F32</f>
        <v>3.85E-2</v>
      </c>
      <c r="P32" s="5" t="s">
        <v>675</v>
      </c>
      <c r="Q32" s="5"/>
      <c r="R32" s="5">
        <v>5</v>
      </c>
      <c r="S32" s="14">
        <v>0.04</v>
      </c>
      <c r="T32" s="14">
        <f t="shared" si="0"/>
        <v>0.2</v>
      </c>
      <c r="U32" s="607">
        <f>(O32+SUM(T32:T33))*1.2</f>
        <v>0.31479829059829056</v>
      </c>
      <c r="V32" s="607">
        <f>U32/1.13</f>
        <v>0.27858255805158461</v>
      </c>
      <c r="W32" s="610"/>
      <c r="X32" s="614"/>
    </row>
    <row r="33" spans="1:25" s="1" customFormat="1" ht="34.950000000000003" customHeight="1" x14ac:dyDescent="0.25">
      <c r="A33" s="580"/>
      <c r="B33" s="582"/>
      <c r="C33" s="587"/>
      <c r="D33" s="587"/>
      <c r="E33" s="577"/>
      <c r="F33" s="577"/>
      <c r="G33" s="603"/>
      <c r="H33" s="577"/>
      <c r="I33" s="577"/>
      <c r="J33" s="577"/>
      <c r="K33" s="577"/>
      <c r="L33" s="603"/>
      <c r="M33" s="603"/>
      <c r="N33" s="605"/>
      <c r="O33" s="607"/>
      <c r="P33" s="11" t="s">
        <v>676</v>
      </c>
      <c r="Q33" s="15"/>
      <c r="R33" s="5">
        <v>1</v>
      </c>
      <c r="S33" s="14">
        <f>20000/10/12/26/3600*2.8+4000/26/8/3600*2.8+5/3600*2.8</f>
        <v>2.3831908831908829E-2</v>
      </c>
      <c r="T33" s="14">
        <f t="shared" si="0"/>
        <v>2.3831908831908829E-2</v>
      </c>
      <c r="U33" s="607"/>
      <c r="V33" s="607"/>
      <c r="W33" s="610"/>
      <c r="X33" s="615"/>
    </row>
    <row r="34" spans="1:25" s="1" customFormat="1" ht="33" customHeight="1" x14ac:dyDescent="0.25">
      <c r="A34" s="578">
        <v>14</v>
      </c>
      <c r="B34" s="582"/>
      <c r="C34" s="586" t="s">
        <v>536</v>
      </c>
      <c r="D34" s="586" t="s">
        <v>537</v>
      </c>
      <c r="E34" s="577"/>
      <c r="F34" s="577">
        <v>1</v>
      </c>
      <c r="G34" s="603" t="s">
        <v>681</v>
      </c>
      <c r="H34" s="577">
        <v>2</v>
      </c>
      <c r="I34" s="577"/>
      <c r="J34" s="577">
        <v>5.5</v>
      </c>
      <c r="K34" s="577"/>
      <c r="L34" s="603">
        <v>8.9999999999999993E-3</v>
      </c>
      <c r="M34" s="603">
        <v>8.9999999999999993E-3</v>
      </c>
      <c r="N34" s="605">
        <f>L34-M34</f>
        <v>0</v>
      </c>
      <c r="O34" s="607">
        <f>(J34*L34-K34*N34)*F34</f>
        <v>4.9499999999999995E-2</v>
      </c>
      <c r="P34" s="5" t="s">
        <v>675</v>
      </c>
      <c r="Q34" s="5"/>
      <c r="R34" s="5">
        <v>5</v>
      </c>
      <c r="S34" s="14">
        <v>0.04</v>
      </c>
      <c r="T34" s="14">
        <f t="shared" si="0"/>
        <v>0.2</v>
      </c>
      <c r="U34" s="607">
        <f>(O34+SUM(T34:T35))*1.2</f>
        <v>0.32799829059829061</v>
      </c>
      <c r="V34" s="607">
        <f>U34/1.13</f>
        <v>0.29026397398078818</v>
      </c>
      <c r="W34" s="610"/>
      <c r="X34" s="614"/>
    </row>
    <row r="35" spans="1:25" s="1" customFormat="1" ht="34.950000000000003" customHeight="1" x14ac:dyDescent="0.25">
      <c r="A35" s="580"/>
      <c r="B35" s="582"/>
      <c r="C35" s="587"/>
      <c r="D35" s="587"/>
      <c r="E35" s="577"/>
      <c r="F35" s="577"/>
      <c r="G35" s="603"/>
      <c r="H35" s="577"/>
      <c r="I35" s="577"/>
      <c r="J35" s="577"/>
      <c r="K35" s="577"/>
      <c r="L35" s="603"/>
      <c r="M35" s="603"/>
      <c r="N35" s="605"/>
      <c r="O35" s="607"/>
      <c r="P35" s="11" t="s">
        <v>676</v>
      </c>
      <c r="Q35" s="15"/>
      <c r="R35" s="5">
        <v>1</v>
      </c>
      <c r="S35" s="14">
        <f>20000/10/12/26/3600*2.8+4000/26/8/3600*2.8+5/3600*2.8</f>
        <v>2.3831908831908829E-2</v>
      </c>
      <c r="T35" s="14">
        <f t="shared" si="0"/>
        <v>2.3831908831908829E-2</v>
      </c>
      <c r="U35" s="607"/>
      <c r="V35" s="607"/>
      <c r="W35" s="610"/>
      <c r="X35" s="615"/>
    </row>
    <row r="36" spans="1:25" s="1" customFormat="1" ht="33" customHeight="1" x14ac:dyDescent="0.25">
      <c r="A36" s="578">
        <v>15</v>
      </c>
      <c r="B36" s="582"/>
      <c r="C36" s="586" t="s">
        <v>538</v>
      </c>
      <c r="D36" s="586" t="s">
        <v>539</v>
      </c>
      <c r="E36" s="577"/>
      <c r="F36" s="577">
        <v>1</v>
      </c>
      <c r="G36" s="585" t="s">
        <v>684</v>
      </c>
      <c r="H36" s="577">
        <v>20</v>
      </c>
      <c r="I36" s="577"/>
      <c r="J36" s="577">
        <v>7</v>
      </c>
      <c r="K36" s="577"/>
      <c r="L36" s="603">
        <v>0.36330000000000001</v>
      </c>
      <c r="M36" s="603">
        <v>0.36330000000000001</v>
      </c>
      <c r="N36" s="605">
        <f>L36-M36</f>
        <v>0</v>
      </c>
      <c r="O36" s="607">
        <f>(J36*L36-K36*N36)*F36</f>
        <v>2.5430999999999999</v>
      </c>
      <c r="P36" s="5" t="s">
        <v>675</v>
      </c>
      <c r="Q36" s="5"/>
      <c r="R36" s="5">
        <v>5</v>
      </c>
      <c r="S36" s="14">
        <v>0.08</v>
      </c>
      <c r="T36" s="14">
        <f t="shared" si="0"/>
        <v>0.4</v>
      </c>
      <c r="U36" s="607">
        <f>(O36+SUM(T36:T37))*1.2</f>
        <v>3.5603182905982904</v>
      </c>
      <c r="V36" s="607">
        <f>U36/1.13</f>
        <v>3.1507241509719388</v>
      </c>
      <c r="W36" s="610"/>
      <c r="X36" s="614"/>
    </row>
    <row r="37" spans="1:25" s="1" customFormat="1" ht="34.950000000000003" customHeight="1" x14ac:dyDescent="0.25">
      <c r="A37" s="580"/>
      <c r="B37" s="582"/>
      <c r="C37" s="587"/>
      <c r="D37" s="587"/>
      <c r="E37" s="577"/>
      <c r="F37" s="577"/>
      <c r="G37" s="585"/>
      <c r="H37" s="577"/>
      <c r="I37" s="577"/>
      <c r="J37" s="577"/>
      <c r="K37" s="577"/>
      <c r="L37" s="603"/>
      <c r="M37" s="603"/>
      <c r="N37" s="605"/>
      <c r="O37" s="607"/>
      <c r="P37" s="11" t="s">
        <v>676</v>
      </c>
      <c r="Q37" s="15"/>
      <c r="R37" s="5">
        <v>1</v>
      </c>
      <c r="S37" s="14">
        <f>20000/10/12/26/3600*2.8+4000/26/8/3600*2.8+5/3600*2.8</f>
        <v>2.3831908831908829E-2</v>
      </c>
      <c r="T37" s="14">
        <f t="shared" si="0"/>
        <v>2.3831908831908829E-2</v>
      </c>
      <c r="U37" s="607"/>
      <c r="V37" s="607"/>
      <c r="W37" s="610"/>
      <c r="X37" s="615"/>
    </row>
    <row r="38" spans="1:25" s="1" customFormat="1" ht="33" customHeight="1" x14ac:dyDescent="0.25">
      <c r="A38" s="578">
        <v>16</v>
      </c>
      <c r="B38" s="582"/>
      <c r="C38" s="589" t="s">
        <v>541</v>
      </c>
      <c r="D38" s="597" t="s">
        <v>542</v>
      </c>
      <c r="E38" s="577"/>
      <c r="F38" s="577">
        <v>1</v>
      </c>
      <c r="G38" s="585" t="s">
        <v>543</v>
      </c>
      <c r="H38" s="603"/>
      <c r="I38" s="577"/>
      <c r="J38" s="577">
        <v>5.5</v>
      </c>
      <c r="K38" s="577"/>
      <c r="L38" s="603">
        <v>1.0999999999999999E-2</v>
      </c>
      <c r="M38" s="603">
        <v>1.0999999999999999E-2</v>
      </c>
      <c r="N38" s="605">
        <f>L38-M38</f>
        <v>0</v>
      </c>
      <c r="O38" s="607">
        <f>(J38*L38-K38*N38)*F38</f>
        <v>6.0499999999999998E-2</v>
      </c>
      <c r="P38" s="5" t="s">
        <v>675</v>
      </c>
      <c r="Q38" s="5"/>
      <c r="R38" s="5">
        <v>5</v>
      </c>
      <c r="S38" s="14">
        <v>0.04</v>
      </c>
      <c r="T38" s="14">
        <f t="shared" si="0"/>
        <v>0.2</v>
      </c>
      <c r="U38" s="607">
        <f>(O38+SUM(T38:T39))*1.2</f>
        <v>0.3411982905982906</v>
      </c>
      <c r="V38" s="607">
        <f>U38/1.13</f>
        <v>0.3019453899099917</v>
      </c>
      <c r="W38" s="610"/>
      <c r="X38" s="614"/>
    </row>
    <row r="39" spans="1:25" s="1" customFormat="1" ht="34.950000000000003" customHeight="1" x14ac:dyDescent="0.25">
      <c r="A39" s="580"/>
      <c r="B39" s="582"/>
      <c r="C39" s="590"/>
      <c r="D39" s="598"/>
      <c r="E39" s="577"/>
      <c r="F39" s="577"/>
      <c r="G39" s="585"/>
      <c r="H39" s="603"/>
      <c r="I39" s="577"/>
      <c r="J39" s="577"/>
      <c r="K39" s="577"/>
      <c r="L39" s="603"/>
      <c r="M39" s="603"/>
      <c r="N39" s="605"/>
      <c r="O39" s="607"/>
      <c r="P39" s="11" t="s">
        <v>676</v>
      </c>
      <c r="Q39" s="15"/>
      <c r="R39" s="5">
        <v>1</v>
      </c>
      <c r="S39" s="14">
        <f>20000/10/12/26/3600*2.8+4000/26/8/3600*2.8+5/3600*2.8</f>
        <v>2.3831908831908829E-2</v>
      </c>
      <c r="T39" s="14">
        <f t="shared" si="0"/>
        <v>2.3831908831908829E-2</v>
      </c>
      <c r="U39" s="607"/>
      <c r="V39" s="607"/>
      <c r="W39" s="610"/>
      <c r="X39" s="615"/>
    </row>
    <row r="40" spans="1:25" s="1" customFormat="1" ht="33" customHeight="1" x14ac:dyDescent="0.25">
      <c r="A40" s="578">
        <v>17</v>
      </c>
      <c r="B40" s="582"/>
      <c r="C40" s="589" t="s">
        <v>545</v>
      </c>
      <c r="D40" s="599" t="s">
        <v>546</v>
      </c>
      <c r="E40" s="577"/>
      <c r="F40" s="577">
        <v>1</v>
      </c>
      <c r="G40" s="585" t="s">
        <v>543</v>
      </c>
      <c r="H40" s="603"/>
      <c r="I40" s="577"/>
      <c r="J40" s="577">
        <v>5.5</v>
      </c>
      <c r="K40" s="577"/>
      <c r="L40" s="603">
        <v>1.0999999999999999E-2</v>
      </c>
      <c r="M40" s="603">
        <v>1.0999999999999999E-2</v>
      </c>
      <c r="N40" s="605">
        <f>L40-M40</f>
        <v>0</v>
      </c>
      <c r="O40" s="607">
        <f>(J40*L40-K40*N40)*F40</f>
        <v>6.0499999999999998E-2</v>
      </c>
      <c r="P40" s="5" t="s">
        <v>675</v>
      </c>
      <c r="Q40" s="5"/>
      <c r="R40" s="5">
        <v>5</v>
      </c>
      <c r="S40" s="14">
        <v>0.04</v>
      </c>
      <c r="T40" s="14">
        <f t="shared" si="0"/>
        <v>0.2</v>
      </c>
      <c r="U40" s="607">
        <f>(O40+SUM(T40:T41))*1.2</f>
        <v>0.3411982905982906</v>
      </c>
      <c r="V40" s="607">
        <f>U40/1.13</f>
        <v>0.3019453899099917</v>
      </c>
      <c r="W40" s="610"/>
      <c r="X40" s="614"/>
    </row>
    <row r="41" spans="1:25" s="1" customFormat="1" ht="34.950000000000003" customHeight="1" x14ac:dyDescent="0.25">
      <c r="A41" s="580"/>
      <c r="B41" s="582"/>
      <c r="C41" s="590"/>
      <c r="D41" s="600"/>
      <c r="E41" s="577"/>
      <c r="F41" s="577"/>
      <c r="G41" s="585"/>
      <c r="H41" s="603"/>
      <c r="I41" s="577"/>
      <c r="J41" s="577"/>
      <c r="K41" s="577"/>
      <c r="L41" s="603"/>
      <c r="M41" s="603"/>
      <c r="N41" s="605"/>
      <c r="O41" s="607"/>
      <c r="P41" s="11" t="s">
        <v>676</v>
      </c>
      <c r="Q41" s="15"/>
      <c r="R41" s="5">
        <v>1</v>
      </c>
      <c r="S41" s="14">
        <f>20000/10/12/26/3600*2.8+4000/26/8/3600*2.8+5/3600*2.8</f>
        <v>2.3831908831908829E-2</v>
      </c>
      <c r="T41" s="14">
        <f t="shared" si="0"/>
        <v>2.3831908831908829E-2</v>
      </c>
      <c r="U41" s="607"/>
      <c r="V41" s="607"/>
      <c r="W41" s="610"/>
      <c r="X41" s="615"/>
    </row>
    <row r="42" spans="1:25" s="1" customFormat="1" ht="33" customHeight="1" x14ac:dyDescent="0.25">
      <c r="A42" s="578">
        <v>18</v>
      </c>
      <c r="B42" s="582"/>
      <c r="C42" s="589" t="s">
        <v>547</v>
      </c>
      <c r="D42" s="597" t="s">
        <v>548</v>
      </c>
      <c r="E42" s="577"/>
      <c r="F42" s="577">
        <v>1</v>
      </c>
      <c r="G42" s="585" t="s">
        <v>543</v>
      </c>
      <c r="H42" s="603"/>
      <c r="I42" s="577"/>
      <c r="J42" s="577">
        <v>5.5</v>
      </c>
      <c r="K42" s="577"/>
      <c r="L42" s="603">
        <v>7.0000000000000001E-3</v>
      </c>
      <c r="M42" s="603">
        <v>7.0000000000000001E-3</v>
      </c>
      <c r="N42" s="605">
        <f>L42-M42</f>
        <v>0</v>
      </c>
      <c r="O42" s="607">
        <f>(J42*L42-K42*N42)*F42</f>
        <v>3.85E-2</v>
      </c>
      <c r="P42" s="5" t="s">
        <v>675</v>
      </c>
      <c r="Q42" s="5"/>
      <c r="R42" s="5">
        <v>3</v>
      </c>
      <c r="S42" s="14">
        <v>0.04</v>
      </c>
      <c r="T42" s="14">
        <f t="shared" si="0"/>
        <v>0.12</v>
      </c>
      <c r="U42" s="607">
        <f>(O42+SUM(T42:T43))*1.2</f>
        <v>0.21879829059829059</v>
      </c>
      <c r="V42" s="607">
        <f>U42/1.13</f>
        <v>0.19362680583919523</v>
      </c>
      <c r="W42" s="610"/>
      <c r="X42" s="614"/>
    </row>
    <row r="43" spans="1:25" s="1" customFormat="1" ht="34.950000000000003" customHeight="1" x14ac:dyDescent="0.25">
      <c r="A43" s="580"/>
      <c r="B43" s="582"/>
      <c r="C43" s="590"/>
      <c r="D43" s="598"/>
      <c r="E43" s="577"/>
      <c r="F43" s="577"/>
      <c r="G43" s="585"/>
      <c r="H43" s="603"/>
      <c r="I43" s="577"/>
      <c r="J43" s="577"/>
      <c r="K43" s="577"/>
      <c r="L43" s="603"/>
      <c r="M43" s="603"/>
      <c r="N43" s="605"/>
      <c r="O43" s="607"/>
      <c r="P43" s="11" t="s">
        <v>676</v>
      </c>
      <c r="Q43" s="15"/>
      <c r="R43" s="5">
        <v>1</v>
      </c>
      <c r="S43" s="14">
        <f>20000/10/12/26/3600*2.8+4000/26/8/3600*2.8+5/3600*2.8</f>
        <v>2.3831908831908829E-2</v>
      </c>
      <c r="T43" s="14">
        <f t="shared" si="0"/>
        <v>2.3831908831908829E-2</v>
      </c>
      <c r="U43" s="607"/>
      <c r="V43" s="607"/>
      <c r="W43" s="610"/>
      <c r="X43" s="615"/>
    </row>
    <row r="44" spans="1:25" s="1" customFormat="1" ht="33" customHeight="1" x14ac:dyDescent="0.25">
      <c r="A44" s="578">
        <v>19</v>
      </c>
      <c r="B44" s="582"/>
      <c r="C44" s="589" t="s">
        <v>549</v>
      </c>
      <c r="D44" s="597" t="s">
        <v>550</v>
      </c>
      <c r="E44" s="577"/>
      <c r="F44" s="577">
        <v>1</v>
      </c>
      <c r="G44" s="585" t="s">
        <v>543</v>
      </c>
      <c r="H44" s="603"/>
      <c r="I44" s="577"/>
      <c r="J44" s="577">
        <v>5.5</v>
      </c>
      <c r="K44" s="577"/>
      <c r="L44" s="603">
        <v>1.2E-2</v>
      </c>
      <c r="M44" s="603">
        <v>1.2E-2</v>
      </c>
      <c r="N44" s="605">
        <f>L44-M44</f>
        <v>0</v>
      </c>
      <c r="O44" s="607">
        <f>(J44*L44-K44*N44)*F44</f>
        <v>6.6000000000000003E-2</v>
      </c>
      <c r="P44" s="5" t="s">
        <v>675</v>
      </c>
      <c r="Q44" s="5"/>
      <c r="R44" s="5">
        <v>4</v>
      </c>
      <c r="S44" s="14">
        <v>0.04</v>
      </c>
      <c r="T44" s="14">
        <f t="shared" si="0"/>
        <v>0.16</v>
      </c>
      <c r="U44" s="607">
        <f>(O44+SUM(T44:T45))*1.2</f>
        <v>0.29979829059829061</v>
      </c>
      <c r="V44" s="607">
        <f>U44/1.13</f>
        <v>0.2653082217683988</v>
      </c>
      <c r="W44" s="610"/>
      <c r="X44" s="614"/>
    </row>
    <row r="45" spans="1:25" s="1" customFormat="1" ht="34.950000000000003" customHeight="1" x14ac:dyDescent="0.25">
      <c r="A45" s="580"/>
      <c r="B45" s="582"/>
      <c r="C45" s="590"/>
      <c r="D45" s="598"/>
      <c r="E45" s="577"/>
      <c r="F45" s="577"/>
      <c r="G45" s="585"/>
      <c r="H45" s="603"/>
      <c r="I45" s="577"/>
      <c r="J45" s="577"/>
      <c r="K45" s="577"/>
      <c r="L45" s="603"/>
      <c r="M45" s="603"/>
      <c r="N45" s="605"/>
      <c r="O45" s="607"/>
      <c r="P45" s="11" t="s">
        <v>676</v>
      </c>
      <c r="Q45" s="15"/>
      <c r="R45" s="5">
        <v>1</v>
      </c>
      <c r="S45" s="14">
        <f>20000/10/12/26/3600*2.8+4000/26/8/3600*2.8+5/3600*2.8</f>
        <v>2.3831908831908829E-2</v>
      </c>
      <c r="T45" s="14">
        <f t="shared" si="0"/>
        <v>2.3831908831908829E-2</v>
      </c>
      <c r="U45" s="607"/>
      <c r="V45" s="607"/>
      <c r="W45" s="610"/>
      <c r="X45" s="615"/>
    </row>
    <row r="46" spans="1:25" s="1" customFormat="1" ht="33" customHeight="1" x14ac:dyDescent="0.25">
      <c r="A46" s="578">
        <v>20</v>
      </c>
      <c r="B46" s="582"/>
      <c r="C46" s="589" t="s">
        <v>551</v>
      </c>
      <c r="D46" s="597" t="s">
        <v>552</v>
      </c>
      <c r="E46" s="577"/>
      <c r="F46" s="577">
        <v>1</v>
      </c>
      <c r="G46" s="585" t="s">
        <v>543</v>
      </c>
      <c r="H46" s="603"/>
      <c r="I46" s="577"/>
      <c r="J46" s="577">
        <v>5.5</v>
      </c>
      <c r="K46" s="577"/>
      <c r="L46" s="603">
        <v>1.2E-2</v>
      </c>
      <c r="M46" s="603">
        <v>1.2E-2</v>
      </c>
      <c r="N46" s="605">
        <f>L46-M46</f>
        <v>0</v>
      </c>
      <c r="O46" s="607">
        <f>(J46*L46-K46*N46)*F46</f>
        <v>6.6000000000000003E-2</v>
      </c>
      <c r="P46" s="5" t="s">
        <v>675</v>
      </c>
      <c r="Q46" s="5"/>
      <c r="R46" s="5">
        <v>4</v>
      </c>
      <c r="S46" s="14">
        <v>0.04</v>
      </c>
      <c r="T46" s="14">
        <f t="shared" si="0"/>
        <v>0.16</v>
      </c>
      <c r="U46" s="607">
        <f>(O46+SUM(T46:T47))*1.2</f>
        <v>0.29979829059829061</v>
      </c>
      <c r="V46" s="607">
        <f>U46/1.13</f>
        <v>0.2653082217683988</v>
      </c>
      <c r="W46" s="610"/>
      <c r="X46" s="614"/>
    </row>
    <row r="47" spans="1:25" s="1" customFormat="1" ht="34.950000000000003" customHeight="1" x14ac:dyDescent="0.25">
      <c r="A47" s="580"/>
      <c r="B47" s="582"/>
      <c r="C47" s="590"/>
      <c r="D47" s="598"/>
      <c r="E47" s="577"/>
      <c r="F47" s="577"/>
      <c r="G47" s="585"/>
      <c r="H47" s="603"/>
      <c r="I47" s="577"/>
      <c r="J47" s="577"/>
      <c r="K47" s="577"/>
      <c r="L47" s="603"/>
      <c r="M47" s="603"/>
      <c r="N47" s="605"/>
      <c r="O47" s="607"/>
      <c r="P47" s="11" t="s">
        <v>676</v>
      </c>
      <c r="Q47" s="15"/>
      <c r="R47" s="5">
        <v>1</v>
      </c>
      <c r="S47" s="14">
        <f>20000/10/12/26/3600*2.8+4000/26/8/3600*2.8+5/3600*2.8</f>
        <v>2.3831908831908829E-2</v>
      </c>
      <c r="T47" s="14">
        <f t="shared" si="0"/>
        <v>2.3831908831908829E-2</v>
      </c>
      <c r="U47" s="607"/>
      <c r="V47" s="607"/>
      <c r="W47" s="610"/>
      <c r="X47" s="615"/>
    </row>
    <row r="48" spans="1:25" s="1" customFormat="1" ht="33" customHeight="1" x14ac:dyDescent="0.25">
      <c r="A48" s="583">
        <v>21</v>
      </c>
      <c r="B48" s="585"/>
      <c r="C48" s="591" t="s">
        <v>685</v>
      </c>
      <c r="D48" s="595" t="s">
        <v>686</v>
      </c>
      <c r="E48" s="603"/>
      <c r="F48" s="603">
        <v>1</v>
      </c>
      <c r="G48" s="585" t="s">
        <v>218</v>
      </c>
      <c r="H48" s="603"/>
      <c r="I48" s="603"/>
      <c r="J48" s="603">
        <v>5.5</v>
      </c>
      <c r="K48" s="603"/>
      <c r="L48" s="603"/>
      <c r="M48" s="603"/>
      <c r="N48" s="606">
        <f>L48-M48</f>
        <v>0</v>
      </c>
      <c r="O48" s="608">
        <f>(J48*L48-K48*N48)*F48</f>
        <v>0</v>
      </c>
      <c r="P48" s="6" t="s">
        <v>675</v>
      </c>
      <c r="Q48" s="6"/>
      <c r="R48" s="6">
        <v>4</v>
      </c>
      <c r="S48" s="16">
        <v>0.04</v>
      </c>
      <c r="T48" s="16">
        <f t="shared" si="0"/>
        <v>0.16</v>
      </c>
      <c r="U48" s="608">
        <f>(O48+SUM(T48:T49))*1.2</f>
        <v>0.22059829059829059</v>
      </c>
      <c r="V48" s="608">
        <f>U48/1.13</f>
        <v>0.19521972619317754</v>
      </c>
      <c r="W48" s="611"/>
      <c r="X48" s="619"/>
      <c r="Y48" s="617" t="s">
        <v>687</v>
      </c>
    </row>
    <row r="49" spans="1:25" s="1" customFormat="1" ht="34.950000000000003" customHeight="1" x14ac:dyDescent="0.25">
      <c r="A49" s="584"/>
      <c r="B49" s="585"/>
      <c r="C49" s="592"/>
      <c r="D49" s="596"/>
      <c r="E49" s="603"/>
      <c r="F49" s="603"/>
      <c r="G49" s="585"/>
      <c r="H49" s="603"/>
      <c r="I49" s="603"/>
      <c r="J49" s="603"/>
      <c r="K49" s="603"/>
      <c r="L49" s="603"/>
      <c r="M49" s="603"/>
      <c r="N49" s="606"/>
      <c r="O49" s="608"/>
      <c r="P49" s="12" t="s">
        <v>676</v>
      </c>
      <c r="Q49" s="17"/>
      <c r="R49" s="6">
        <v>1</v>
      </c>
      <c r="S49" s="16">
        <f>20000/10/12/26/3600*2.8+4000/26/8/3600*2.8+5/3600*2.8</f>
        <v>2.3831908831908829E-2</v>
      </c>
      <c r="T49" s="16">
        <f t="shared" si="0"/>
        <v>2.3831908831908829E-2</v>
      </c>
      <c r="U49" s="608"/>
      <c r="V49" s="608"/>
      <c r="W49" s="611"/>
      <c r="X49" s="620"/>
      <c r="Y49" s="617"/>
    </row>
    <row r="50" spans="1:25" s="1" customFormat="1" ht="33" customHeight="1" x14ac:dyDescent="0.25">
      <c r="A50" s="583">
        <v>22</v>
      </c>
      <c r="B50" s="585"/>
      <c r="C50" s="591" t="s">
        <v>553</v>
      </c>
      <c r="D50" s="591" t="s">
        <v>554</v>
      </c>
      <c r="E50" s="603"/>
      <c r="F50" s="603">
        <v>1</v>
      </c>
      <c r="G50" s="585" t="s">
        <v>543</v>
      </c>
      <c r="H50" s="603"/>
      <c r="I50" s="603"/>
      <c r="J50" s="603">
        <v>5.5</v>
      </c>
      <c r="K50" s="603"/>
      <c r="L50" s="603">
        <v>7.0000000000000001E-3</v>
      </c>
      <c r="M50" s="603">
        <v>7.0000000000000001E-3</v>
      </c>
      <c r="N50" s="606">
        <f>L50-M50</f>
        <v>0</v>
      </c>
      <c r="O50" s="608">
        <f>(J50*L50-K50*N50)*F50</f>
        <v>3.85E-2</v>
      </c>
      <c r="P50" s="6" t="s">
        <v>675</v>
      </c>
      <c r="Q50" s="6"/>
      <c r="R50" s="6">
        <v>3</v>
      </c>
      <c r="S50" s="16">
        <v>0.04</v>
      </c>
      <c r="T50" s="16">
        <f t="shared" si="0"/>
        <v>0.12</v>
      </c>
      <c r="U50" s="608">
        <f>(O50+SUM(T50:T51))*1.2</f>
        <v>0.21879829059829059</v>
      </c>
      <c r="V50" s="608">
        <f>U50/1.13</f>
        <v>0.19362680583919523</v>
      </c>
      <c r="W50" s="611"/>
      <c r="X50" s="619"/>
      <c r="Y50" s="618"/>
    </row>
    <row r="51" spans="1:25" s="1" customFormat="1" ht="34.950000000000003" customHeight="1" x14ac:dyDescent="0.25">
      <c r="A51" s="584"/>
      <c r="B51" s="585"/>
      <c r="C51" s="592"/>
      <c r="D51" s="592"/>
      <c r="E51" s="603"/>
      <c r="F51" s="603"/>
      <c r="G51" s="585"/>
      <c r="H51" s="603"/>
      <c r="I51" s="603"/>
      <c r="J51" s="603"/>
      <c r="K51" s="603"/>
      <c r="L51" s="603"/>
      <c r="M51" s="603"/>
      <c r="N51" s="606"/>
      <c r="O51" s="608"/>
      <c r="P51" s="12" t="s">
        <v>676</v>
      </c>
      <c r="Q51" s="17"/>
      <c r="R51" s="6">
        <v>1</v>
      </c>
      <c r="S51" s="16">
        <f>20000/10/12/26/3600*2.8+4000/26/8/3600*2.8+5/3600*2.8</f>
        <v>2.3831908831908829E-2</v>
      </c>
      <c r="T51" s="16">
        <f t="shared" si="0"/>
        <v>2.3831908831908829E-2</v>
      </c>
      <c r="U51" s="608"/>
      <c r="V51" s="608"/>
      <c r="W51" s="611"/>
      <c r="X51" s="620"/>
      <c r="Y51" s="618"/>
    </row>
    <row r="52" spans="1:25" s="1" customFormat="1" ht="33" customHeight="1" x14ac:dyDescent="0.25">
      <c r="A52" s="578">
        <v>23</v>
      </c>
      <c r="B52" s="582"/>
      <c r="C52" s="593" t="s">
        <v>555</v>
      </c>
      <c r="D52" s="601" t="s">
        <v>556</v>
      </c>
      <c r="E52" s="577"/>
      <c r="F52" s="577">
        <v>1</v>
      </c>
      <c r="G52" s="585" t="s">
        <v>543</v>
      </c>
      <c r="H52" s="603"/>
      <c r="I52" s="577"/>
      <c r="J52" s="577">
        <v>5.5</v>
      </c>
      <c r="K52" s="577"/>
      <c r="L52" s="603">
        <v>0.01</v>
      </c>
      <c r="M52" s="603">
        <v>0.01</v>
      </c>
      <c r="N52" s="605">
        <f>L52-M52</f>
        <v>0</v>
      </c>
      <c r="O52" s="607">
        <f>(J52*L52-K52*N52)*F52</f>
        <v>5.5E-2</v>
      </c>
      <c r="P52" s="5" t="s">
        <v>675</v>
      </c>
      <c r="Q52" s="5"/>
      <c r="R52" s="5">
        <v>5</v>
      </c>
      <c r="S52" s="14">
        <v>0.04</v>
      </c>
      <c r="T52" s="14">
        <f t="shared" si="0"/>
        <v>0.2</v>
      </c>
      <c r="U52" s="607">
        <f>(O52+SUM(T52:T53))*1.2</f>
        <v>0.3345982905982906</v>
      </c>
      <c r="V52" s="607">
        <f>U52/1.13</f>
        <v>0.29610468194538997</v>
      </c>
      <c r="W52" s="610"/>
      <c r="X52" s="614"/>
    </row>
    <row r="53" spans="1:25" s="1" customFormat="1" ht="34.950000000000003" customHeight="1" x14ac:dyDescent="0.25">
      <c r="A53" s="580"/>
      <c r="B53" s="582"/>
      <c r="C53" s="594"/>
      <c r="D53" s="602"/>
      <c r="E53" s="577"/>
      <c r="F53" s="577"/>
      <c r="G53" s="585"/>
      <c r="H53" s="603"/>
      <c r="I53" s="577"/>
      <c r="J53" s="577"/>
      <c r="K53" s="577"/>
      <c r="L53" s="603"/>
      <c r="M53" s="603"/>
      <c r="N53" s="605"/>
      <c r="O53" s="607"/>
      <c r="P53" s="11" t="s">
        <v>676</v>
      </c>
      <c r="Q53" s="15"/>
      <c r="R53" s="5">
        <v>1</v>
      </c>
      <c r="S53" s="14">
        <f>20000/10/12/26/3600*2.8+4000/26/8/3600*2.8+5/3600*2.8</f>
        <v>2.3831908831908829E-2</v>
      </c>
      <c r="T53" s="14">
        <f t="shared" si="0"/>
        <v>2.3831908831908829E-2</v>
      </c>
      <c r="U53" s="607"/>
      <c r="V53" s="607"/>
      <c r="W53" s="610"/>
      <c r="X53" s="615"/>
    </row>
    <row r="54" spans="1:25" s="1" customFormat="1" ht="33" customHeight="1" x14ac:dyDescent="0.25">
      <c r="A54" s="578">
        <v>24</v>
      </c>
      <c r="B54" s="582"/>
      <c r="C54" s="593" t="s">
        <v>557</v>
      </c>
      <c r="D54" s="601" t="s">
        <v>558</v>
      </c>
      <c r="E54" s="577"/>
      <c r="F54" s="577">
        <v>1</v>
      </c>
      <c r="G54" s="585" t="s">
        <v>543</v>
      </c>
      <c r="H54" s="603"/>
      <c r="I54" s="577"/>
      <c r="J54" s="577">
        <v>5.5</v>
      </c>
      <c r="K54" s="577"/>
      <c r="L54" s="603">
        <v>1.6E-2</v>
      </c>
      <c r="M54" s="603">
        <v>1.6E-2</v>
      </c>
      <c r="N54" s="605">
        <f>L54-M54</f>
        <v>0</v>
      </c>
      <c r="O54" s="607">
        <f>(J54*L54-K54*N54)*F54</f>
        <v>8.7999999999999995E-2</v>
      </c>
      <c r="P54" s="5" t="s">
        <v>675</v>
      </c>
      <c r="Q54" s="5"/>
      <c r="R54" s="5">
        <v>4</v>
      </c>
      <c r="S54" s="14">
        <v>0.04</v>
      </c>
      <c r="T54" s="14">
        <f t="shared" si="0"/>
        <v>0.16</v>
      </c>
      <c r="U54" s="607">
        <f>(O54+SUM(T54:T55))*1.2</f>
        <v>0.32619829059829059</v>
      </c>
      <c r="V54" s="607">
        <f>U54/1.13</f>
        <v>0.28867105362680584</v>
      </c>
      <c r="W54" s="610"/>
      <c r="X54" s="614"/>
    </row>
    <row r="55" spans="1:25" s="1" customFormat="1" ht="34.950000000000003" customHeight="1" x14ac:dyDescent="0.25">
      <c r="A55" s="580"/>
      <c r="B55" s="582"/>
      <c r="C55" s="594"/>
      <c r="D55" s="602"/>
      <c r="E55" s="577"/>
      <c r="F55" s="577"/>
      <c r="G55" s="585"/>
      <c r="H55" s="603"/>
      <c r="I55" s="577"/>
      <c r="J55" s="577"/>
      <c r="K55" s="577"/>
      <c r="L55" s="603"/>
      <c r="M55" s="603"/>
      <c r="N55" s="605"/>
      <c r="O55" s="607"/>
      <c r="P55" s="11" t="s">
        <v>676</v>
      </c>
      <c r="Q55" s="15"/>
      <c r="R55" s="5">
        <v>1</v>
      </c>
      <c r="S55" s="14">
        <f>20000/10/12/26/3600*2.8+4000/26/8/3600*2.8+5/3600*2.8</f>
        <v>2.3831908831908829E-2</v>
      </c>
      <c r="T55" s="14">
        <f t="shared" si="0"/>
        <v>2.3831908831908829E-2</v>
      </c>
      <c r="U55" s="607"/>
      <c r="V55" s="607"/>
      <c r="W55" s="610"/>
      <c r="X55" s="615"/>
    </row>
    <row r="56" spans="1:25" s="1" customFormat="1" ht="33" customHeight="1" x14ac:dyDescent="0.25">
      <c r="A56" s="578">
        <v>25</v>
      </c>
      <c r="B56" s="582"/>
      <c r="C56" s="593" t="s">
        <v>559</v>
      </c>
      <c r="D56" s="601" t="s">
        <v>560</v>
      </c>
      <c r="E56" s="577"/>
      <c r="F56" s="577">
        <v>1</v>
      </c>
      <c r="G56" s="585" t="s">
        <v>543</v>
      </c>
      <c r="H56" s="603"/>
      <c r="I56" s="577"/>
      <c r="J56" s="577">
        <v>5.5</v>
      </c>
      <c r="K56" s="577"/>
      <c r="L56" s="603">
        <v>1.6E-2</v>
      </c>
      <c r="M56" s="603">
        <v>1.6E-2</v>
      </c>
      <c r="N56" s="605">
        <f>L56-M56</f>
        <v>0</v>
      </c>
      <c r="O56" s="607">
        <f>(J56*L56-K56*N56)*F56</f>
        <v>8.7999999999999995E-2</v>
      </c>
      <c r="P56" s="5" t="s">
        <v>675</v>
      </c>
      <c r="Q56" s="5"/>
      <c r="R56" s="5">
        <v>6</v>
      </c>
      <c r="S56" s="14">
        <v>0.04</v>
      </c>
      <c r="T56" s="14">
        <f t="shared" si="0"/>
        <v>0.24</v>
      </c>
      <c r="U56" s="607">
        <f>(O56+SUM(T56:T57))*1.2</f>
        <v>0.42219829059829062</v>
      </c>
      <c r="V56" s="607">
        <f>U56/1.13</f>
        <v>0.37362680583919528</v>
      </c>
      <c r="W56" s="610"/>
      <c r="X56" s="614"/>
    </row>
    <row r="57" spans="1:25" s="1" customFormat="1" ht="34.950000000000003" customHeight="1" x14ac:dyDescent="0.25">
      <c r="A57" s="580"/>
      <c r="B57" s="582"/>
      <c r="C57" s="594"/>
      <c r="D57" s="602"/>
      <c r="E57" s="577"/>
      <c r="F57" s="577"/>
      <c r="G57" s="585"/>
      <c r="H57" s="603"/>
      <c r="I57" s="577"/>
      <c r="J57" s="577"/>
      <c r="K57" s="577"/>
      <c r="L57" s="603"/>
      <c r="M57" s="603"/>
      <c r="N57" s="605"/>
      <c r="O57" s="607"/>
      <c r="P57" s="11" t="s">
        <v>676</v>
      </c>
      <c r="Q57" s="15"/>
      <c r="R57" s="5">
        <v>1</v>
      </c>
      <c r="S57" s="14">
        <f>20000/10/12/26/3600*2.8+4000/26/8/3600*2.8+5/3600*2.8</f>
        <v>2.3831908831908829E-2</v>
      </c>
      <c r="T57" s="14">
        <f t="shared" si="0"/>
        <v>2.3831908831908829E-2</v>
      </c>
      <c r="U57" s="607"/>
      <c r="V57" s="607"/>
      <c r="W57" s="610"/>
      <c r="X57" s="615"/>
    </row>
    <row r="58" spans="1:25" s="1" customFormat="1" ht="33" customHeight="1" x14ac:dyDescent="0.25">
      <c r="A58" s="583">
        <v>26</v>
      </c>
      <c r="B58" s="585"/>
      <c r="C58" s="595" t="s">
        <v>688</v>
      </c>
      <c r="D58" s="595" t="s">
        <v>689</v>
      </c>
      <c r="E58" s="603"/>
      <c r="F58" s="603">
        <v>1</v>
      </c>
      <c r="G58" s="585" t="s">
        <v>543</v>
      </c>
      <c r="H58" s="603"/>
      <c r="I58" s="603"/>
      <c r="J58" s="603">
        <v>5.5</v>
      </c>
      <c r="K58" s="603"/>
      <c r="L58" s="603">
        <v>1.2E-2</v>
      </c>
      <c r="M58" s="603">
        <v>1.2E-2</v>
      </c>
      <c r="N58" s="606">
        <f>L58-M58</f>
        <v>0</v>
      </c>
      <c r="O58" s="608">
        <f>(J58*L58-K58*N58)*F58</f>
        <v>6.6000000000000003E-2</v>
      </c>
      <c r="P58" s="6" t="s">
        <v>675</v>
      </c>
      <c r="Q58" s="6"/>
      <c r="R58" s="6">
        <v>4</v>
      </c>
      <c r="S58" s="16">
        <v>0.04</v>
      </c>
      <c r="T58" s="16">
        <f t="shared" si="0"/>
        <v>0.16</v>
      </c>
      <c r="U58" s="608">
        <f>(O58+SUM(T58:T59))*1.2</f>
        <v>0.29979829059829061</v>
      </c>
      <c r="V58" s="608">
        <f>U58/1.13</f>
        <v>0.2653082217683988</v>
      </c>
      <c r="W58" s="611"/>
      <c r="X58" s="619"/>
      <c r="Y58" s="618"/>
    </row>
    <row r="59" spans="1:25" s="1" customFormat="1" ht="34.950000000000003" customHeight="1" x14ac:dyDescent="0.25">
      <c r="A59" s="584"/>
      <c r="B59" s="585"/>
      <c r="C59" s="596"/>
      <c r="D59" s="596"/>
      <c r="E59" s="603"/>
      <c r="F59" s="603"/>
      <c r="G59" s="585"/>
      <c r="H59" s="603"/>
      <c r="I59" s="603"/>
      <c r="J59" s="603"/>
      <c r="K59" s="603"/>
      <c r="L59" s="603"/>
      <c r="M59" s="603"/>
      <c r="N59" s="606"/>
      <c r="O59" s="608"/>
      <c r="P59" s="12" t="s">
        <v>676</v>
      </c>
      <c r="Q59" s="17"/>
      <c r="R59" s="6">
        <v>1</v>
      </c>
      <c r="S59" s="16">
        <f>20000/10/12/26/3600*2.8+4000/26/8/3600*2.8+5/3600*2.8</f>
        <v>2.3831908831908829E-2</v>
      </c>
      <c r="T59" s="16">
        <f t="shared" si="0"/>
        <v>2.3831908831908829E-2</v>
      </c>
      <c r="U59" s="608"/>
      <c r="V59" s="608"/>
      <c r="W59" s="611"/>
      <c r="X59" s="620"/>
      <c r="Y59" s="618"/>
    </row>
    <row r="60" spans="1:25" s="1" customFormat="1" ht="33" customHeight="1" x14ac:dyDescent="0.25">
      <c r="A60" s="583">
        <v>27</v>
      </c>
      <c r="B60" s="585"/>
      <c r="C60" s="595" t="s">
        <v>690</v>
      </c>
      <c r="D60" s="595" t="s">
        <v>691</v>
      </c>
      <c r="E60" s="603"/>
      <c r="F60" s="603">
        <v>1</v>
      </c>
      <c r="G60" s="585" t="s">
        <v>543</v>
      </c>
      <c r="H60" s="603"/>
      <c r="I60" s="603"/>
      <c r="J60" s="603">
        <v>5.5</v>
      </c>
      <c r="K60" s="603"/>
      <c r="L60" s="603">
        <v>1.2E-2</v>
      </c>
      <c r="M60" s="603">
        <v>1.2E-2</v>
      </c>
      <c r="N60" s="606">
        <f>L60-M60</f>
        <v>0</v>
      </c>
      <c r="O60" s="608">
        <f>(J60*L60-K60*N60)*F60</f>
        <v>6.6000000000000003E-2</v>
      </c>
      <c r="P60" s="6" t="s">
        <v>675</v>
      </c>
      <c r="Q60" s="6"/>
      <c r="R60" s="6">
        <v>6</v>
      </c>
      <c r="S60" s="16">
        <v>0.04</v>
      </c>
      <c r="T60" s="16">
        <f t="shared" si="0"/>
        <v>0.24</v>
      </c>
      <c r="U60" s="608">
        <f>(O60+SUM(T60:T61))*1.2</f>
        <v>0.39579829059829058</v>
      </c>
      <c r="V60" s="608">
        <f>U60/1.13</f>
        <v>0.35026397398078818</v>
      </c>
      <c r="W60" s="611"/>
      <c r="X60" s="619"/>
      <c r="Y60" s="618"/>
    </row>
    <row r="61" spans="1:25" s="1" customFormat="1" ht="34.950000000000003" customHeight="1" x14ac:dyDescent="0.25">
      <c r="A61" s="584"/>
      <c r="B61" s="585"/>
      <c r="C61" s="596"/>
      <c r="D61" s="596"/>
      <c r="E61" s="603"/>
      <c r="F61" s="603"/>
      <c r="G61" s="585"/>
      <c r="H61" s="603"/>
      <c r="I61" s="603"/>
      <c r="J61" s="603"/>
      <c r="K61" s="603"/>
      <c r="L61" s="603"/>
      <c r="M61" s="603"/>
      <c r="N61" s="606"/>
      <c r="O61" s="608"/>
      <c r="P61" s="12" t="s">
        <v>676</v>
      </c>
      <c r="Q61" s="17"/>
      <c r="R61" s="6">
        <v>1</v>
      </c>
      <c r="S61" s="16">
        <f>20000/10/12/26/3600*2.8+4000/26/8/3600*2.8+5/3600*2.8</f>
        <v>2.3831908831908829E-2</v>
      </c>
      <c r="T61" s="16">
        <f t="shared" si="0"/>
        <v>2.3831908831908829E-2</v>
      </c>
      <c r="U61" s="608"/>
      <c r="V61" s="608"/>
      <c r="W61" s="611"/>
      <c r="X61" s="620"/>
      <c r="Y61" s="618"/>
    </row>
  </sheetData>
  <autoFilter ref="B3:X61" xr:uid="{00000000-0009-0000-0000-000006000000}"/>
  <mergeCells count="535">
    <mergeCell ref="Y48:Y49"/>
    <mergeCell ref="Y50:Y51"/>
    <mergeCell ref="Y58:Y59"/>
    <mergeCell ref="Y60:Y61"/>
    <mergeCell ref="X44:X45"/>
    <mergeCell ref="X46:X47"/>
    <mergeCell ref="X48:X49"/>
    <mergeCell ref="X50:X51"/>
    <mergeCell ref="X52:X53"/>
    <mergeCell ref="X54:X55"/>
    <mergeCell ref="X56:X57"/>
    <mergeCell ref="X58:X59"/>
    <mergeCell ref="X60:X61"/>
    <mergeCell ref="W52:W53"/>
    <mergeCell ref="W54:W55"/>
    <mergeCell ref="W56:W57"/>
    <mergeCell ref="W58:W59"/>
    <mergeCell ref="W60:W61"/>
    <mergeCell ref="X2:X3"/>
    <mergeCell ref="X4:X5"/>
    <mergeCell ref="X6:X7"/>
    <mergeCell ref="X8:X9"/>
    <mergeCell ref="X10:X12"/>
    <mergeCell ref="X13:X14"/>
    <mergeCell ref="X15:X16"/>
    <mergeCell ref="X17:X18"/>
    <mergeCell ref="X19:X20"/>
    <mergeCell ref="X21:X22"/>
    <mergeCell ref="X23:X27"/>
    <mergeCell ref="X28:X29"/>
    <mergeCell ref="X30:X31"/>
    <mergeCell ref="X32:X33"/>
    <mergeCell ref="X34:X35"/>
    <mergeCell ref="X36:X37"/>
    <mergeCell ref="X38:X39"/>
    <mergeCell ref="X40:X41"/>
    <mergeCell ref="X42:X43"/>
    <mergeCell ref="V60:V61"/>
    <mergeCell ref="W2:W3"/>
    <mergeCell ref="W4:W5"/>
    <mergeCell ref="W6:W7"/>
    <mergeCell ref="W8:W9"/>
    <mergeCell ref="W10:W12"/>
    <mergeCell ref="W13:W14"/>
    <mergeCell ref="W15:W16"/>
    <mergeCell ref="W17:W18"/>
    <mergeCell ref="W19:W20"/>
    <mergeCell ref="W21:W22"/>
    <mergeCell ref="W23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U50:U51"/>
    <mergeCell ref="U52:U53"/>
    <mergeCell ref="U54:U55"/>
    <mergeCell ref="U56:U57"/>
    <mergeCell ref="U58:U59"/>
    <mergeCell ref="U60:U61"/>
    <mergeCell ref="V2:V3"/>
    <mergeCell ref="V4:V5"/>
    <mergeCell ref="V6:V7"/>
    <mergeCell ref="V8:V9"/>
    <mergeCell ref="V10:V12"/>
    <mergeCell ref="V13:V14"/>
    <mergeCell ref="V15:V16"/>
    <mergeCell ref="V17:V18"/>
    <mergeCell ref="V19:V20"/>
    <mergeCell ref="V21:V22"/>
    <mergeCell ref="V23:V27"/>
    <mergeCell ref="V28:V29"/>
    <mergeCell ref="V30:V31"/>
    <mergeCell ref="V32:V33"/>
    <mergeCell ref="V34:V35"/>
    <mergeCell ref="V36:V37"/>
    <mergeCell ref="V38:V39"/>
    <mergeCell ref="V40:V41"/>
    <mergeCell ref="O58:O59"/>
    <mergeCell ref="O60:O61"/>
    <mergeCell ref="U2:U3"/>
    <mergeCell ref="U4:U5"/>
    <mergeCell ref="U6:U7"/>
    <mergeCell ref="U8:U9"/>
    <mergeCell ref="U10:U12"/>
    <mergeCell ref="U13:U14"/>
    <mergeCell ref="U15:U16"/>
    <mergeCell ref="U17:U18"/>
    <mergeCell ref="U19:U20"/>
    <mergeCell ref="U21:U22"/>
    <mergeCell ref="U23:U27"/>
    <mergeCell ref="U28:U29"/>
    <mergeCell ref="U30:U31"/>
    <mergeCell ref="U32:U33"/>
    <mergeCell ref="U34:U35"/>
    <mergeCell ref="U36:U37"/>
    <mergeCell ref="U38:U39"/>
    <mergeCell ref="U40:U41"/>
    <mergeCell ref="U42:U43"/>
    <mergeCell ref="U44:U45"/>
    <mergeCell ref="U46:U47"/>
    <mergeCell ref="U48:U4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N48:N49"/>
    <mergeCell ref="N50:N51"/>
    <mergeCell ref="N52:N53"/>
    <mergeCell ref="N54:N55"/>
    <mergeCell ref="N56:N57"/>
    <mergeCell ref="N58:N59"/>
    <mergeCell ref="N60:N61"/>
    <mergeCell ref="O2:O3"/>
    <mergeCell ref="O4:O5"/>
    <mergeCell ref="O6:O7"/>
    <mergeCell ref="O8:O9"/>
    <mergeCell ref="O10:O12"/>
    <mergeCell ref="O13:O14"/>
    <mergeCell ref="O15:O16"/>
    <mergeCell ref="O17:O18"/>
    <mergeCell ref="O19:O20"/>
    <mergeCell ref="O21:O22"/>
    <mergeCell ref="O23:O27"/>
    <mergeCell ref="O28:O29"/>
    <mergeCell ref="O30:O31"/>
    <mergeCell ref="O32:O33"/>
    <mergeCell ref="O34:O35"/>
    <mergeCell ref="O36:O37"/>
    <mergeCell ref="O38:O39"/>
    <mergeCell ref="M54:M55"/>
    <mergeCell ref="M56:M57"/>
    <mergeCell ref="M58:M59"/>
    <mergeCell ref="M60:M61"/>
    <mergeCell ref="N4:N5"/>
    <mergeCell ref="N6:N7"/>
    <mergeCell ref="N8:N9"/>
    <mergeCell ref="N10:N12"/>
    <mergeCell ref="N13:N14"/>
    <mergeCell ref="N15:N16"/>
    <mergeCell ref="N17:N18"/>
    <mergeCell ref="N19:N20"/>
    <mergeCell ref="N21:N22"/>
    <mergeCell ref="N23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L60:L61"/>
    <mergeCell ref="M4:M5"/>
    <mergeCell ref="M6:M7"/>
    <mergeCell ref="M8:M9"/>
    <mergeCell ref="M10:M12"/>
    <mergeCell ref="M13:M14"/>
    <mergeCell ref="M15:M16"/>
    <mergeCell ref="M17:M18"/>
    <mergeCell ref="M19:M20"/>
    <mergeCell ref="M21:M22"/>
    <mergeCell ref="M23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K48:K49"/>
    <mergeCell ref="K50:K51"/>
    <mergeCell ref="K52:K53"/>
    <mergeCell ref="K54:K55"/>
    <mergeCell ref="K56:K57"/>
    <mergeCell ref="K58:K59"/>
    <mergeCell ref="K60:K61"/>
    <mergeCell ref="L4:L5"/>
    <mergeCell ref="L6:L7"/>
    <mergeCell ref="L8:L9"/>
    <mergeCell ref="L10:L12"/>
    <mergeCell ref="L13:L14"/>
    <mergeCell ref="L15:L16"/>
    <mergeCell ref="L17:L18"/>
    <mergeCell ref="L19:L20"/>
    <mergeCell ref="L21:L22"/>
    <mergeCell ref="L23:L27"/>
    <mergeCell ref="L28:L29"/>
    <mergeCell ref="L30:L31"/>
    <mergeCell ref="L32:L33"/>
    <mergeCell ref="L34:L35"/>
    <mergeCell ref="L36:L37"/>
    <mergeCell ref="L38:L39"/>
    <mergeCell ref="L40:L41"/>
    <mergeCell ref="J54:J55"/>
    <mergeCell ref="J56:J57"/>
    <mergeCell ref="J58:J59"/>
    <mergeCell ref="J60:J61"/>
    <mergeCell ref="K4:K5"/>
    <mergeCell ref="K6:K7"/>
    <mergeCell ref="K8:K9"/>
    <mergeCell ref="K10:K12"/>
    <mergeCell ref="K13:K14"/>
    <mergeCell ref="K15:K16"/>
    <mergeCell ref="K17:K18"/>
    <mergeCell ref="K19:K20"/>
    <mergeCell ref="K21:K22"/>
    <mergeCell ref="K23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I60:I61"/>
    <mergeCell ref="J4:J5"/>
    <mergeCell ref="J6:J7"/>
    <mergeCell ref="J8:J9"/>
    <mergeCell ref="J10:J12"/>
    <mergeCell ref="J13:J14"/>
    <mergeCell ref="J15:J16"/>
    <mergeCell ref="J17:J18"/>
    <mergeCell ref="J19:J20"/>
    <mergeCell ref="J21:J22"/>
    <mergeCell ref="J23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21:I22"/>
    <mergeCell ref="I23:I27"/>
    <mergeCell ref="I28:I29"/>
    <mergeCell ref="I30:I31"/>
    <mergeCell ref="I32:I33"/>
    <mergeCell ref="I34:I35"/>
    <mergeCell ref="I36:I37"/>
    <mergeCell ref="I38:I39"/>
    <mergeCell ref="I40:I41"/>
    <mergeCell ref="I2:I3"/>
    <mergeCell ref="I4:I5"/>
    <mergeCell ref="I6:I7"/>
    <mergeCell ref="I8:I9"/>
    <mergeCell ref="I10:I12"/>
    <mergeCell ref="I13:I14"/>
    <mergeCell ref="I15:I16"/>
    <mergeCell ref="I17:I18"/>
    <mergeCell ref="I19:I20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G52:G53"/>
    <mergeCell ref="G54:G55"/>
    <mergeCell ref="G56:G57"/>
    <mergeCell ref="G58:G59"/>
    <mergeCell ref="G60:G61"/>
    <mergeCell ref="H2:H3"/>
    <mergeCell ref="H4:H5"/>
    <mergeCell ref="H6:H7"/>
    <mergeCell ref="H8:H9"/>
    <mergeCell ref="H10:H12"/>
    <mergeCell ref="H13:H14"/>
    <mergeCell ref="H15:H16"/>
    <mergeCell ref="H17:H18"/>
    <mergeCell ref="H19:H20"/>
    <mergeCell ref="H21:H22"/>
    <mergeCell ref="H23:H27"/>
    <mergeCell ref="H28:H29"/>
    <mergeCell ref="H30:H31"/>
    <mergeCell ref="H32:H33"/>
    <mergeCell ref="H34:H35"/>
    <mergeCell ref="H36:H37"/>
    <mergeCell ref="H38:H39"/>
    <mergeCell ref="H40:H41"/>
    <mergeCell ref="H42:H4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13:G14"/>
    <mergeCell ref="G15:G16"/>
    <mergeCell ref="G17:G18"/>
    <mergeCell ref="G19:G20"/>
    <mergeCell ref="G21:G22"/>
    <mergeCell ref="G23:G27"/>
    <mergeCell ref="G28:G29"/>
    <mergeCell ref="G30:G31"/>
    <mergeCell ref="G32:G3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E52:E53"/>
    <mergeCell ref="E54:E55"/>
    <mergeCell ref="E56:E57"/>
    <mergeCell ref="E58:E59"/>
    <mergeCell ref="E60:E61"/>
    <mergeCell ref="F2:F3"/>
    <mergeCell ref="F4:F5"/>
    <mergeCell ref="F6:F7"/>
    <mergeCell ref="F8:F9"/>
    <mergeCell ref="F10:F12"/>
    <mergeCell ref="F13:F14"/>
    <mergeCell ref="F15:F16"/>
    <mergeCell ref="F17:F18"/>
    <mergeCell ref="F19:F20"/>
    <mergeCell ref="F21:F22"/>
    <mergeCell ref="F23:F27"/>
    <mergeCell ref="F28:F29"/>
    <mergeCell ref="F30:F31"/>
    <mergeCell ref="F32:F33"/>
    <mergeCell ref="F34:F35"/>
    <mergeCell ref="F36:F37"/>
    <mergeCell ref="F38:F39"/>
    <mergeCell ref="F40:F41"/>
    <mergeCell ref="F42:F4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13:E14"/>
    <mergeCell ref="E15:E16"/>
    <mergeCell ref="E17:E18"/>
    <mergeCell ref="E19:E20"/>
    <mergeCell ref="E21:E22"/>
    <mergeCell ref="E23:E27"/>
    <mergeCell ref="E28:E29"/>
    <mergeCell ref="E30:E31"/>
    <mergeCell ref="E32:E3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C52:C53"/>
    <mergeCell ref="C54:C55"/>
    <mergeCell ref="C56:C57"/>
    <mergeCell ref="C58:C59"/>
    <mergeCell ref="C60:C61"/>
    <mergeCell ref="D2:D3"/>
    <mergeCell ref="D4:D5"/>
    <mergeCell ref="D6:D7"/>
    <mergeCell ref="D8:D9"/>
    <mergeCell ref="D10:D12"/>
    <mergeCell ref="D13:D14"/>
    <mergeCell ref="D15:D16"/>
    <mergeCell ref="D17:D18"/>
    <mergeCell ref="D19:D20"/>
    <mergeCell ref="D21:D22"/>
    <mergeCell ref="D23:D27"/>
    <mergeCell ref="D28:D29"/>
    <mergeCell ref="D30:D31"/>
    <mergeCell ref="D32:D33"/>
    <mergeCell ref="D34:D35"/>
    <mergeCell ref="D36:D37"/>
    <mergeCell ref="D38:D39"/>
    <mergeCell ref="D40:D41"/>
    <mergeCell ref="D42:D4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13:C14"/>
    <mergeCell ref="C15:C16"/>
    <mergeCell ref="C17:C18"/>
    <mergeCell ref="C19:C20"/>
    <mergeCell ref="C21:C22"/>
    <mergeCell ref="C23:C27"/>
    <mergeCell ref="C28:C29"/>
    <mergeCell ref="C30:C31"/>
    <mergeCell ref="C32:C3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A52:A53"/>
    <mergeCell ref="A54:A55"/>
    <mergeCell ref="A56:A57"/>
    <mergeCell ref="A58:A59"/>
    <mergeCell ref="A60:A61"/>
    <mergeCell ref="B2:B3"/>
    <mergeCell ref="B4:B5"/>
    <mergeCell ref="B6:B7"/>
    <mergeCell ref="B8:B9"/>
    <mergeCell ref="B10:B12"/>
    <mergeCell ref="B13:B14"/>
    <mergeCell ref="B15:B16"/>
    <mergeCell ref="B17:B18"/>
    <mergeCell ref="B19:B20"/>
    <mergeCell ref="B21:B22"/>
    <mergeCell ref="B23:B27"/>
    <mergeCell ref="B28:B29"/>
    <mergeCell ref="B30:B31"/>
    <mergeCell ref="B32:B33"/>
    <mergeCell ref="B34:B35"/>
    <mergeCell ref="B36:B37"/>
    <mergeCell ref="B38:B39"/>
    <mergeCell ref="B40:B41"/>
    <mergeCell ref="B42:B4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13:A14"/>
    <mergeCell ref="A15:A16"/>
    <mergeCell ref="A17:A18"/>
    <mergeCell ref="A19:A20"/>
    <mergeCell ref="A21:A22"/>
    <mergeCell ref="A23:A27"/>
    <mergeCell ref="A28:A29"/>
    <mergeCell ref="A30:A31"/>
    <mergeCell ref="A32:A33"/>
    <mergeCell ref="B1:U1"/>
    <mergeCell ref="J2:K2"/>
    <mergeCell ref="L2:N2"/>
    <mergeCell ref="P2:T2"/>
    <mergeCell ref="A2:A3"/>
    <mergeCell ref="A4:A5"/>
    <mergeCell ref="A6:A7"/>
    <mergeCell ref="A8:A9"/>
    <mergeCell ref="A10:A12"/>
    <mergeCell ref="C2:C3"/>
    <mergeCell ref="C4:C5"/>
    <mergeCell ref="C6:C7"/>
    <mergeCell ref="C8:C9"/>
    <mergeCell ref="C10:C12"/>
    <mergeCell ref="E2:E3"/>
    <mergeCell ref="E4:E5"/>
    <mergeCell ref="E6:E7"/>
    <mergeCell ref="E8:E9"/>
    <mergeCell ref="E10:E12"/>
    <mergeCell ref="G2:G3"/>
    <mergeCell ref="G4:G5"/>
    <mergeCell ref="G6:G7"/>
    <mergeCell ref="G8:G9"/>
    <mergeCell ref="G10:G12"/>
  </mergeCells>
  <phoneticPr fontId="51" type="noConversion"/>
  <pageMargins left="0.156944444444444" right="0.196527777777778" top="0.23611111111111099" bottom="0.156944444444444" header="0.156944444444444" footer="0.118055555555556"/>
  <pageSetup paperSize="9" scale="54" orientation="portrait"/>
  <headerFooter scaleWithDoc="0"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5</vt:i4>
      </vt:variant>
    </vt:vector>
  </HeadingPairs>
  <TitlesOfParts>
    <vt:vector size="12" baseType="lpstr">
      <vt:lpstr>总清单</vt:lpstr>
      <vt:lpstr>问题项</vt:lpstr>
      <vt:lpstr>完成情况</vt:lpstr>
      <vt:lpstr>塑料件测算</vt:lpstr>
      <vt:lpstr>线材 </vt:lpstr>
      <vt:lpstr>采购价格</vt:lpstr>
      <vt:lpstr>线材核算</vt:lpstr>
      <vt:lpstr>问题项!Print_Area</vt:lpstr>
      <vt:lpstr>'线材 '!Print_Area</vt:lpstr>
      <vt:lpstr>线材核算!Print_Area</vt:lpstr>
      <vt:lpstr>总清单!Print_Area</vt:lpstr>
      <vt:lpstr>问题项!Print_Titles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2021-12-30T09:05:00Z</cp:lastPrinted>
  <dcterms:created xsi:type="dcterms:W3CDTF">2006-09-13T11:21:00Z</dcterms:created>
  <dcterms:modified xsi:type="dcterms:W3CDTF">2022-04-21T03:26:54Z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ICV">
    <vt:lpwstr>0919AF2AEF124FB690B977A48AF382BC</vt:lpwstr>
  </property>
</Properties>
</file>