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570" windowWidth="18525" windowHeight="6120" tabRatio="810" activeTab="1"/>
  </bookViews>
  <sheets>
    <sheet name="假设条件" sheetId="34" r:id="rId1"/>
    <sheet name="损益表" sheetId="2" r:id="rId2"/>
    <sheet name="现金" sheetId="36" state="hidden" r:id="rId3"/>
    <sheet name="2022年" sheetId="43" r:id="rId4"/>
    <sheet name="2023年" sheetId="56" r:id="rId5"/>
    <sheet name="2024年" sheetId="57" r:id="rId6"/>
    <sheet name="2025年" sheetId="68" r:id="rId7"/>
    <sheet name="2026年" sheetId="67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  <sheet name="附加值" sheetId="64" r:id="rId14"/>
  </sheets>
  <externalReferences>
    <externalReference r:id="rId15"/>
  </externalReferences>
  <definedNames>
    <definedName name="_xlnm.Print_Area" localSheetId="3">'2022年'!$A$1:$G$48</definedName>
    <definedName name="_xlnm.Print_Area" localSheetId="4">'2023年'!$A$1:$G$48</definedName>
    <definedName name="_xlnm.Print_Area" localSheetId="5">'2024年'!$A$1:$G$48</definedName>
    <definedName name="_xlnm.Print_Area" localSheetId="6">'2025年'!$A$1:$G$48</definedName>
    <definedName name="_xlnm.Print_Area" localSheetId="7">'2026年'!$A$1:$G$48</definedName>
    <definedName name="_xlnm.Print_Area" localSheetId="1">损益表!$A$1:$G$61</definedName>
    <definedName name="_xlnm.Print_Area" localSheetId="8">项目投资!$A$1:$C$32</definedName>
  </definedNames>
  <calcPr calcId="144525"/>
</workbook>
</file>

<file path=xl/calcChain.xml><?xml version="1.0" encoding="utf-8"?>
<calcChain xmlns="http://schemas.openxmlformats.org/spreadsheetml/2006/main">
  <c r="E7" i="64" l="1"/>
  <c r="D7" i="64"/>
  <c r="D8" i="55" l="1"/>
  <c r="C8" i="55"/>
  <c r="D6" i="67" l="1"/>
  <c r="C6" i="67"/>
  <c r="D6" i="68"/>
  <c r="C6" i="68"/>
  <c r="F31" i="67" l="1"/>
  <c r="F3" i="67" l="1"/>
  <c r="F4" i="67"/>
  <c r="F6" i="67"/>
  <c r="F7" i="67" s="1"/>
  <c r="F31" i="68"/>
  <c r="F3" i="68"/>
  <c r="F4" i="68"/>
  <c r="F6" i="68"/>
  <c r="F7" i="68" s="1"/>
  <c r="F31" i="57"/>
  <c r="F3" i="57"/>
  <c r="F4" i="57"/>
  <c r="F6" i="57"/>
  <c r="F31" i="56"/>
  <c r="F6" i="56"/>
  <c r="F4" i="56"/>
  <c r="F3" i="56"/>
  <c r="F31" i="43"/>
  <c r="F32" i="43" s="1"/>
  <c r="G8" i="43"/>
  <c r="E31" i="68"/>
  <c r="D31" i="68"/>
  <c r="C31" i="68"/>
  <c r="E6" i="68"/>
  <c r="E4" i="68"/>
  <c r="D4" i="68"/>
  <c r="C4" i="68"/>
  <c r="E3" i="68"/>
  <c r="D3" i="68"/>
  <c r="C3" i="68"/>
  <c r="C2" i="68"/>
  <c r="E31" i="67"/>
  <c r="D31" i="67"/>
  <c r="C31" i="67"/>
  <c r="C7" i="67"/>
  <c r="E6" i="67"/>
  <c r="E4" i="67"/>
  <c r="D4" i="67"/>
  <c r="C4" i="67"/>
  <c r="E3" i="67"/>
  <c r="D3" i="67"/>
  <c r="C3" i="67"/>
  <c r="C2" i="67"/>
  <c r="F3" i="43"/>
  <c r="F6" i="43"/>
  <c r="F4" i="43"/>
  <c r="E9" i="64"/>
  <c r="E8" i="64"/>
  <c r="F7" i="64"/>
  <c r="G7" i="64" s="1"/>
  <c r="E6" i="64"/>
  <c r="E5" i="64"/>
  <c r="E4" i="64"/>
  <c r="B9" i="64"/>
  <c r="B8" i="64"/>
  <c r="C9" i="64"/>
  <c r="C8" i="64"/>
  <c r="C6" i="64"/>
  <c r="C5" i="64"/>
  <c r="C4" i="64"/>
  <c r="B6" i="64"/>
  <c r="B5" i="64"/>
  <c r="B4" i="64"/>
  <c r="F7" i="56" l="1"/>
  <c r="G6" i="67"/>
  <c r="F7" i="43"/>
  <c r="F9" i="43" s="1"/>
  <c r="F7" i="57"/>
  <c r="G6" i="68"/>
  <c r="F3" i="2" s="1"/>
  <c r="E7" i="68"/>
  <c r="C7" i="68"/>
  <c r="D7" i="68"/>
  <c r="D7" i="67"/>
  <c r="E7" i="67"/>
  <c r="F9" i="64"/>
  <c r="G9" i="64" s="1"/>
  <c r="F8" i="64"/>
  <c r="G8" i="64" s="1"/>
  <c r="F6" i="64"/>
  <c r="G6" i="64" s="1"/>
  <c r="F5" i="64"/>
  <c r="G5" i="64" s="1"/>
  <c r="F4" i="64"/>
  <c r="G4" i="64" s="1"/>
  <c r="G7" i="68" l="1"/>
  <c r="F4" i="2" s="1"/>
  <c r="G7" i="67"/>
  <c r="I7" i="50" l="1"/>
  <c r="I10" i="50"/>
  <c r="I21" i="50"/>
  <c r="I24" i="50"/>
  <c r="I35" i="50"/>
  <c r="I38" i="50"/>
  <c r="I48" i="50"/>
  <c r="I51" i="50"/>
  <c r="I61" i="50"/>
  <c r="I64" i="50"/>
  <c r="I74" i="50"/>
  <c r="I77" i="50"/>
  <c r="F77" i="50" l="1"/>
  <c r="F74" i="50"/>
  <c r="F64" i="50"/>
  <c r="F61" i="50"/>
  <c r="F51" i="50"/>
  <c r="F48" i="50"/>
  <c r="F38" i="50"/>
  <c r="F35" i="50"/>
  <c r="F24" i="50"/>
  <c r="F21" i="50"/>
  <c r="F10" i="50"/>
  <c r="F7" i="50"/>
  <c r="D33" i="53" l="1"/>
  <c r="F33" i="53"/>
  <c r="G33" i="53"/>
  <c r="H33" i="53"/>
  <c r="I33" i="53"/>
  <c r="I70" i="50" l="1"/>
  <c r="H75" i="50"/>
  <c r="H74" i="50"/>
  <c r="I57" i="50"/>
  <c r="H62" i="50"/>
  <c r="H61" i="50"/>
  <c r="I44" i="50"/>
  <c r="H49" i="50"/>
  <c r="H48" i="50"/>
  <c r="I31" i="50"/>
  <c r="H36" i="50"/>
  <c r="H35" i="50"/>
  <c r="I17" i="50"/>
  <c r="E24" i="50" s="1"/>
  <c r="H22" i="50"/>
  <c r="H21" i="50"/>
  <c r="I3" i="50"/>
  <c r="D3" i="57"/>
  <c r="E3" i="57"/>
  <c r="D4" i="57"/>
  <c r="E4" i="57"/>
  <c r="D6" i="57"/>
  <c r="D7" i="57" s="1"/>
  <c r="E6" i="57"/>
  <c r="D31" i="57"/>
  <c r="E31" i="57"/>
  <c r="D31" i="56"/>
  <c r="E31" i="56"/>
  <c r="D3" i="56"/>
  <c r="E3" i="56"/>
  <c r="D4" i="56"/>
  <c r="E4" i="56"/>
  <c r="D6" i="56"/>
  <c r="E6" i="56"/>
  <c r="E45" i="53"/>
  <c r="F45" i="53" s="1"/>
  <c r="G45" i="53" s="1"/>
  <c r="I4" i="53"/>
  <c r="I5" i="53"/>
  <c r="E4" i="53"/>
  <c r="F4" i="53"/>
  <c r="G4" i="53"/>
  <c r="H4" i="53"/>
  <c r="E5" i="53"/>
  <c r="F5" i="53"/>
  <c r="G5" i="53"/>
  <c r="H5" i="53"/>
  <c r="D5" i="53"/>
  <c r="D4" i="53"/>
  <c r="E7" i="56" l="1"/>
  <c r="E7" i="57"/>
  <c r="E77" i="50"/>
  <c r="E72" i="50"/>
  <c r="E76" i="50"/>
  <c r="E73" i="50"/>
  <c r="E78" i="50"/>
  <c r="E74" i="50"/>
  <c r="E71" i="50"/>
  <c r="E75" i="50"/>
  <c r="E38" i="50"/>
  <c r="E38" i="43" s="1"/>
  <c r="E36" i="50"/>
  <c r="E45" i="43" s="1"/>
  <c r="E33" i="50"/>
  <c r="E43" i="43" s="1"/>
  <c r="E37" i="50"/>
  <c r="E44" i="43" s="1"/>
  <c r="E34" i="50"/>
  <c r="E37" i="43" s="1"/>
  <c r="E39" i="50"/>
  <c r="E35" i="50"/>
  <c r="E32" i="50"/>
  <c r="E36" i="43" s="1"/>
  <c r="E51" i="50"/>
  <c r="F38" i="43" s="1"/>
  <c r="E48" i="50"/>
  <c r="E45" i="50"/>
  <c r="F36" i="43" s="1"/>
  <c r="E49" i="50"/>
  <c r="F45" i="43" s="1"/>
  <c r="E46" i="50"/>
  <c r="F43" i="43" s="1"/>
  <c r="E50" i="50"/>
  <c r="F44" i="43" s="1"/>
  <c r="E47" i="50"/>
  <c r="F37" i="43" s="1"/>
  <c r="E52" i="50"/>
  <c r="F47" i="43" s="1"/>
  <c r="E10" i="50"/>
  <c r="E7" i="50"/>
  <c r="E5" i="50"/>
  <c r="C43" i="43" s="1"/>
  <c r="E8" i="50"/>
  <c r="C45" i="43" s="1"/>
  <c r="E6" i="50"/>
  <c r="E11" i="50"/>
  <c r="E4" i="50"/>
  <c r="C36" i="43" s="1"/>
  <c r="E9" i="50"/>
  <c r="C44" i="43" s="1"/>
  <c r="E64" i="50"/>
  <c r="E60" i="50"/>
  <c r="E65" i="50"/>
  <c r="E61" i="50"/>
  <c r="E58" i="50"/>
  <c r="E62" i="50"/>
  <c r="E59" i="50"/>
  <c r="E63" i="50"/>
  <c r="E22" i="50"/>
  <c r="D45" i="43" s="1"/>
  <c r="E19" i="50"/>
  <c r="D43" i="43" s="1"/>
  <c r="E23" i="50"/>
  <c r="D44" i="43" s="1"/>
  <c r="E20" i="50"/>
  <c r="D37" i="43" s="1"/>
  <c r="D38" i="43"/>
  <c r="E21" i="50"/>
  <c r="E25" i="50"/>
  <c r="D47" i="43" s="1"/>
  <c r="E18" i="50"/>
  <c r="D36" i="43" s="1"/>
  <c r="E47" i="43"/>
  <c r="D7" i="56"/>
  <c r="E36" i="68" l="1"/>
  <c r="E11" i="68" s="1"/>
  <c r="E36" i="67"/>
  <c r="E11" i="67" s="1"/>
  <c r="F20" i="43"/>
  <c r="F45" i="67"/>
  <c r="F20" i="67" s="1"/>
  <c r="F45" i="57"/>
  <c r="F20" i="57" s="1"/>
  <c r="F45" i="68"/>
  <c r="F20" i="68" s="1"/>
  <c r="F45" i="56"/>
  <c r="F20" i="56" s="1"/>
  <c r="E44" i="68"/>
  <c r="E19" i="68" s="1"/>
  <c r="E44" i="67"/>
  <c r="E19" i="67" s="1"/>
  <c r="E43" i="68"/>
  <c r="E43" i="67"/>
  <c r="F22" i="43"/>
  <c r="F47" i="67"/>
  <c r="F22" i="67" s="1"/>
  <c r="F47" i="68"/>
  <c r="F22" i="68" s="1"/>
  <c r="F47" i="56"/>
  <c r="F22" i="56" s="1"/>
  <c r="F47" i="57"/>
  <c r="F22" i="57" s="1"/>
  <c r="F12" i="43"/>
  <c r="F37" i="67"/>
  <c r="F12" i="67" s="1"/>
  <c r="F37" i="68"/>
  <c r="F12" i="68" s="1"/>
  <c r="F37" i="56"/>
  <c r="F12" i="56" s="1"/>
  <c r="F37" i="57"/>
  <c r="F12" i="57" s="1"/>
  <c r="F11" i="43"/>
  <c r="F36" i="67"/>
  <c r="F11" i="67" s="1"/>
  <c r="F36" i="57"/>
  <c r="F11" i="57" s="1"/>
  <c r="F36" i="68"/>
  <c r="F11" i="68" s="1"/>
  <c r="F36" i="56"/>
  <c r="F11" i="56" s="1"/>
  <c r="E47" i="68"/>
  <c r="E22" i="68" s="1"/>
  <c r="E47" i="67"/>
  <c r="E22" i="67" s="1"/>
  <c r="F44" i="67"/>
  <c r="F19" i="67" s="1"/>
  <c r="F44" i="68"/>
  <c r="F19" i="68" s="1"/>
  <c r="F44" i="56"/>
  <c r="F19" i="56" s="1"/>
  <c r="F19" i="43"/>
  <c r="F44" i="57"/>
  <c r="F19" i="57" s="1"/>
  <c r="E45" i="68"/>
  <c r="E20" i="68" s="1"/>
  <c r="E45" i="67"/>
  <c r="E20" i="67" s="1"/>
  <c r="F43" i="67"/>
  <c r="F43" i="57"/>
  <c r="F43" i="68"/>
  <c r="F43" i="56"/>
  <c r="F13" i="43"/>
  <c r="F38" i="67"/>
  <c r="F13" i="67" s="1"/>
  <c r="F38" i="68"/>
  <c r="F13" i="68" s="1"/>
  <c r="F38" i="56"/>
  <c r="F13" i="56" s="1"/>
  <c r="F38" i="57"/>
  <c r="F13" i="57" s="1"/>
  <c r="E37" i="68"/>
  <c r="E12" i="68" s="1"/>
  <c r="E37" i="67"/>
  <c r="E12" i="67" s="1"/>
  <c r="E38" i="68"/>
  <c r="E13" i="68" s="1"/>
  <c r="E38" i="67"/>
  <c r="E13" i="67" s="1"/>
  <c r="D37" i="67"/>
  <c r="D12" i="67" s="1"/>
  <c r="D37" i="68"/>
  <c r="D12" i="68" s="1"/>
  <c r="D47" i="68"/>
  <c r="D22" i="68" s="1"/>
  <c r="D47" i="67"/>
  <c r="D22" i="67" s="1"/>
  <c r="D44" i="68"/>
  <c r="D19" i="68" s="1"/>
  <c r="D44" i="67"/>
  <c r="D19" i="67" s="1"/>
  <c r="D36" i="68"/>
  <c r="D11" i="68" s="1"/>
  <c r="D36" i="67"/>
  <c r="D11" i="67" s="1"/>
  <c r="D43" i="67"/>
  <c r="D43" i="68"/>
  <c r="D38" i="68"/>
  <c r="D13" i="68" s="1"/>
  <c r="D38" i="67"/>
  <c r="D13" i="67" s="1"/>
  <c r="D45" i="67"/>
  <c r="D20" i="67" s="1"/>
  <c r="D45" i="68"/>
  <c r="D20" i="68" s="1"/>
  <c r="C45" i="68"/>
  <c r="C20" i="68" s="1"/>
  <c r="C45" i="67"/>
  <c r="C20" i="67" s="1"/>
  <c r="C44" i="68"/>
  <c r="C19" i="68" s="1"/>
  <c r="C44" i="67"/>
  <c r="C19" i="67" s="1"/>
  <c r="G19" i="67" s="1"/>
  <c r="C43" i="68"/>
  <c r="C43" i="67"/>
  <c r="C36" i="68"/>
  <c r="C11" i="68" s="1"/>
  <c r="C36" i="67"/>
  <c r="C11" i="67" s="1"/>
  <c r="E47" i="57"/>
  <c r="E22" i="57" s="1"/>
  <c r="E47" i="56"/>
  <c r="E22" i="56" s="1"/>
  <c r="D45" i="57"/>
  <c r="D45" i="56"/>
  <c r="E45" i="57"/>
  <c r="E45" i="56"/>
  <c r="E37" i="57"/>
  <c r="E12" i="57" s="1"/>
  <c r="E37" i="56"/>
  <c r="E12" i="56" s="1"/>
  <c r="D36" i="56"/>
  <c r="D11" i="56" s="1"/>
  <c r="D36" i="57"/>
  <c r="D11" i="57" s="1"/>
  <c r="C44" i="57"/>
  <c r="C44" i="56"/>
  <c r="C45" i="56"/>
  <c r="C45" i="57"/>
  <c r="E38" i="57"/>
  <c r="E13" i="57" s="1"/>
  <c r="E38" i="56"/>
  <c r="E13" i="56" s="1"/>
  <c r="E36" i="56"/>
  <c r="E11" i="56" s="1"/>
  <c r="E36" i="57"/>
  <c r="E11" i="57" s="1"/>
  <c r="D47" i="57"/>
  <c r="D22" i="57" s="1"/>
  <c r="D47" i="56"/>
  <c r="D22" i="56" s="1"/>
  <c r="D44" i="57"/>
  <c r="D19" i="57" s="1"/>
  <c r="D44" i="56"/>
  <c r="D19" i="56" s="1"/>
  <c r="C36" i="57"/>
  <c r="C36" i="56"/>
  <c r="C43" i="57"/>
  <c r="C43" i="56"/>
  <c r="E44" i="56"/>
  <c r="E19" i="56" s="1"/>
  <c r="E44" i="57"/>
  <c r="E19" i="57" s="1"/>
  <c r="D38" i="57"/>
  <c r="D13" i="57" s="1"/>
  <c r="D38" i="56"/>
  <c r="D13" i="56" s="1"/>
  <c r="D37" i="57"/>
  <c r="D12" i="57" s="1"/>
  <c r="D37" i="56"/>
  <c r="D12" i="56" s="1"/>
  <c r="D43" i="57"/>
  <c r="D43" i="56"/>
  <c r="E43" i="57"/>
  <c r="E43" i="56"/>
  <c r="G20" i="67" l="1"/>
  <c r="D14" i="68"/>
  <c r="F14" i="67"/>
  <c r="G11" i="67"/>
  <c r="F14" i="56"/>
  <c r="F14" i="43"/>
  <c r="E14" i="67"/>
  <c r="F14" i="57"/>
  <c r="G19" i="68"/>
  <c r="F16" i="2" s="1"/>
  <c r="F42" i="2" s="1"/>
  <c r="F14" i="68"/>
  <c r="E14" i="68"/>
  <c r="D14" i="67"/>
  <c r="G20" i="68"/>
  <c r="F17" i="2" s="1"/>
  <c r="G11" i="68"/>
  <c r="F8" i="2" s="1"/>
  <c r="E14" i="56"/>
  <c r="D14" i="56"/>
  <c r="E14" i="57"/>
  <c r="D14" i="57"/>
  <c r="D31" i="43"/>
  <c r="D32" i="43" s="1"/>
  <c r="E31" i="43"/>
  <c r="E32" i="43" s="1"/>
  <c r="D6" i="43"/>
  <c r="E6" i="43"/>
  <c r="E3" i="43"/>
  <c r="E4" i="43"/>
  <c r="D4" i="43"/>
  <c r="D3" i="43"/>
  <c r="K7" i="55"/>
  <c r="K8" i="55" s="1"/>
  <c r="I10" i="55"/>
  <c r="I11" i="55"/>
  <c r="I12" i="55"/>
  <c r="I13" i="55"/>
  <c r="I14" i="55"/>
  <c r="C15" i="55"/>
  <c r="D15" i="55"/>
  <c r="E15" i="55"/>
  <c r="F15" i="55"/>
  <c r="G15" i="55"/>
  <c r="H15" i="55"/>
  <c r="F43" i="2" l="1"/>
  <c r="F34" i="2"/>
  <c r="E12" i="43"/>
  <c r="E7" i="43"/>
  <c r="E9" i="43" s="1"/>
  <c r="E22" i="43"/>
  <c r="E13" i="43"/>
  <c r="D22" i="43"/>
  <c r="D13" i="43"/>
  <c r="D19" i="43"/>
  <c r="D12" i="43"/>
  <c r="D11" i="43"/>
  <c r="D20" i="43"/>
  <c r="E19" i="43"/>
  <c r="D7" i="43"/>
  <c r="D9" i="43" s="1"/>
  <c r="E11" i="43"/>
  <c r="E20" i="43"/>
  <c r="E14" i="43" l="1"/>
  <c r="D14" i="43"/>
  <c r="C2" i="57"/>
  <c r="C2" i="56"/>
  <c r="H7" i="50" l="1"/>
  <c r="C4" i="57" l="1"/>
  <c r="C3" i="57"/>
  <c r="C3" i="56"/>
  <c r="C4" i="56"/>
  <c r="C3" i="43"/>
  <c r="C4" i="43"/>
  <c r="B9" i="51"/>
  <c r="L8" i="55" l="1"/>
  <c r="F8" i="57" s="1"/>
  <c r="F9" i="57" s="1"/>
  <c r="K9" i="55"/>
  <c r="L7" i="55"/>
  <c r="F8" i="56" s="1"/>
  <c r="F9" i="56" s="1"/>
  <c r="F32" i="56" s="1"/>
  <c r="C6" i="57"/>
  <c r="G6" i="57" s="1"/>
  <c r="C31" i="57"/>
  <c r="C6" i="56"/>
  <c r="G6" i="56" s="1"/>
  <c r="C31" i="56"/>
  <c r="F32" i="57" l="1"/>
  <c r="E8" i="56"/>
  <c r="E9" i="56" s="1"/>
  <c r="D8" i="56"/>
  <c r="D9" i="56" s="1"/>
  <c r="E8" i="57"/>
  <c r="E9" i="57" s="1"/>
  <c r="D8" i="57"/>
  <c r="D9" i="57" s="1"/>
  <c r="E3" i="2"/>
  <c r="D3" i="2"/>
  <c r="C7" i="56"/>
  <c r="G7" i="56" s="1"/>
  <c r="C7" i="57"/>
  <c r="G7" i="57" s="1"/>
  <c r="C38" i="43"/>
  <c r="C37" i="43"/>
  <c r="L9" i="55"/>
  <c r="K10" i="55"/>
  <c r="L10" i="55" s="1"/>
  <c r="C11" i="56"/>
  <c r="G11" i="56" s="1"/>
  <c r="F8" i="68" l="1"/>
  <c r="F9" i="68" s="1"/>
  <c r="F32" i="68" s="1"/>
  <c r="C8" i="68"/>
  <c r="D8" i="68"/>
  <c r="D9" i="68" s="1"/>
  <c r="D32" i="68" s="1"/>
  <c r="E8" i="68"/>
  <c r="E9" i="68" s="1"/>
  <c r="E32" i="68" s="1"/>
  <c r="C8" i="67"/>
  <c r="F8" i="67"/>
  <c r="F9" i="67" s="1"/>
  <c r="F32" i="67" s="1"/>
  <c r="E8" i="67"/>
  <c r="E9" i="67" s="1"/>
  <c r="E32" i="67" s="1"/>
  <c r="D8" i="67"/>
  <c r="D9" i="67" s="1"/>
  <c r="D32" i="67" s="1"/>
  <c r="C37" i="68"/>
  <c r="C12" i="68" s="1"/>
  <c r="C37" i="67"/>
  <c r="C12" i="67" s="1"/>
  <c r="G12" i="67" s="1"/>
  <c r="C38" i="68"/>
  <c r="C13" i="68" s="1"/>
  <c r="G13" i="68" s="1"/>
  <c r="F10" i="2" s="1"/>
  <c r="C38" i="67"/>
  <c r="C13" i="67" s="1"/>
  <c r="C38" i="57"/>
  <c r="C13" i="57" s="1"/>
  <c r="C38" i="56"/>
  <c r="C13" i="56" s="1"/>
  <c r="G13" i="56" s="1"/>
  <c r="C37" i="56"/>
  <c r="C12" i="56" s="1"/>
  <c r="G12" i="56" s="1"/>
  <c r="C37" i="57"/>
  <c r="C12" i="57" s="1"/>
  <c r="G12" i="57" s="1"/>
  <c r="E32" i="57"/>
  <c r="D32" i="56"/>
  <c r="D32" i="57"/>
  <c r="E32" i="56"/>
  <c r="C8" i="56"/>
  <c r="D4" i="2"/>
  <c r="E4" i="2"/>
  <c r="C8" i="57"/>
  <c r="G8" i="57" s="1"/>
  <c r="C11" i="57"/>
  <c r="G11" i="57" s="1"/>
  <c r="D8" i="2"/>
  <c r="D34" i="2" s="1"/>
  <c r="C19" i="57"/>
  <c r="G19" i="57" s="1"/>
  <c r="C19" i="56"/>
  <c r="G19" i="56" s="1"/>
  <c r="G8" i="68" l="1"/>
  <c r="F5" i="2" s="1"/>
  <c r="C9" i="68"/>
  <c r="C9" i="67"/>
  <c r="G8" i="67"/>
  <c r="C14" i="67"/>
  <c r="G14" i="67" s="1"/>
  <c r="G13" i="67"/>
  <c r="F36" i="2"/>
  <c r="C9" i="56"/>
  <c r="G9" i="56" s="1"/>
  <c r="D6" i="2" s="1"/>
  <c r="D29" i="2" s="1"/>
  <c r="G8" i="56"/>
  <c r="D5" i="2" s="1"/>
  <c r="G13" i="57"/>
  <c r="E10" i="2" s="1"/>
  <c r="E36" i="2" s="1"/>
  <c r="G12" i="68"/>
  <c r="F9" i="2" s="1"/>
  <c r="C14" i="68"/>
  <c r="G14" i="68" s="1"/>
  <c r="F11" i="2" s="1"/>
  <c r="E20" i="56"/>
  <c r="D20" i="56"/>
  <c r="D20" i="57"/>
  <c r="E20" i="57"/>
  <c r="C32" i="56"/>
  <c r="C20" i="56" s="1"/>
  <c r="C9" i="57"/>
  <c r="G9" i="57" s="1"/>
  <c r="E5" i="2"/>
  <c r="E8" i="2"/>
  <c r="E34" i="2" s="1"/>
  <c r="C14" i="56"/>
  <c r="G14" i="56" s="1"/>
  <c r="C14" i="57"/>
  <c r="G14" i="57" s="1"/>
  <c r="E16" i="2"/>
  <c r="D10" i="2"/>
  <c r="D36" i="2" s="1"/>
  <c r="D16" i="2"/>
  <c r="G9" i="68" l="1"/>
  <c r="F6" i="2" s="1"/>
  <c r="C32" i="68"/>
  <c r="C32" i="67"/>
  <c r="G9" i="67"/>
  <c r="G20" i="56"/>
  <c r="F35" i="2"/>
  <c r="E42" i="2"/>
  <c r="D47" i="2"/>
  <c r="D42" i="2"/>
  <c r="C32" i="57"/>
  <c r="C20" i="57" s="1"/>
  <c r="G20" i="57" s="1"/>
  <c r="E6" i="2"/>
  <c r="E29" i="2" s="1"/>
  <c r="F29" i="2" l="1"/>
  <c r="F49" i="2"/>
  <c r="F47" i="2"/>
  <c r="E47" i="2"/>
  <c r="E17" i="2"/>
  <c r="D11" i="2"/>
  <c r="D9" i="2"/>
  <c r="D35" i="2" s="1"/>
  <c r="E49" i="2" l="1"/>
  <c r="E43" i="2"/>
  <c r="E11" i="2"/>
  <c r="E9" i="2"/>
  <c r="E35" i="2" s="1"/>
  <c r="D17" i="2" l="1"/>
  <c r="D49" i="2" l="1"/>
  <c r="D43" i="2"/>
  <c r="B5" i="51"/>
  <c r="H8" i="50" l="1"/>
  <c r="E44" i="53" l="1"/>
  <c r="F44" i="53" s="1"/>
  <c r="G44" i="53" s="1"/>
  <c r="E43" i="53"/>
  <c r="E42" i="53"/>
  <c r="F42" i="53" s="1"/>
  <c r="G42" i="53" s="1"/>
  <c r="H42" i="53" s="1"/>
  <c r="E33" i="53"/>
  <c r="E41" i="53" s="1"/>
  <c r="F41" i="53" s="1"/>
  <c r="G41" i="53" s="1"/>
  <c r="H41" i="53" s="1"/>
  <c r="I41" i="53" s="1"/>
  <c r="E40" i="53"/>
  <c r="F40" i="53" s="1"/>
  <c r="G40" i="53" s="1"/>
  <c r="H40" i="53" s="1"/>
  <c r="I40" i="53" s="1"/>
  <c r="I9" i="55"/>
  <c r="G22" i="51"/>
  <c r="B27" i="51"/>
  <c r="B8" i="51"/>
  <c r="B7" i="51"/>
  <c r="C47" i="43"/>
  <c r="C31" i="43"/>
  <c r="C32" i="43" s="1"/>
  <c r="C6" i="43"/>
  <c r="G6" i="43" s="1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E10" i="36" s="1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I5" i="36" s="1"/>
  <c r="H6" i="36"/>
  <c r="G6" i="36"/>
  <c r="E6" i="36"/>
  <c r="E5" i="36" s="1"/>
  <c r="K5" i="36"/>
  <c r="J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5" i="2"/>
  <c r="G5" i="2" s="1"/>
  <c r="D27" i="51" l="1"/>
  <c r="G21" i="68" s="1"/>
  <c r="D33" i="68"/>
  <c r="D34" i="68" s="1"/>
  <c r="D40" i="68" s="1"/>
  <c r="D10" i="68"/>
  <c r="D15" i="68" s="1"/>
  <c r="D16" i="68" s="1"/>
  <c r="E33" i="68"/>
  <c r="E10" i="68"/>
  <c r="F43" i="53"/>
  <c r="F33" i="43"/>
  <c r="F10" i="43"/>
  <c r="F15" i="43" s="1"/>
  <c r="F16" i="43" s="1"/>
  <c r="C47" i="68"/>
  <c r="C22" i="68" s="1"/>
  <c r="C47" i="67"/>
  <c r="C22" i="67" s="1"/>
  <c r="I42" i="53"/>
  <c r="F34" i="43"/>
  <c r="F40" i="43" s="1"/>
  <c r="C56" i="2"/>
  <c r="C47" i="56"/>
  <c r="C22" i="56" s="1"/>
  <c r="C47" i="57"/>
  <c r="C22" i="57" s="1"/>
  <c r="G22" i="57" s="1"/>
  <c r="E33" i="43"/>
  <c r="E10" i="43"/>
  <c r="K10" i="36"/>
  <c r="K17" i="36" s="1"/>
  <c r="K19" i="36" s="1"/>
  <c r="D33" i="43"/>
  <c r="D10" i="43"/>
  <c r="C22" i="43"/>
  <c r="G22" i="43" s="1"/>
  <c r="C3" i="2"/>
  <c r="G3" i="2" s="1"/>
  <c r="C19" i="43"/>
  <c r="G19" i="43" s="1"/>
  <c r="C33" i="43"/>
  <c r="C34" i="43" s="1"/>
  <c r="C40" i="43" s="1"/>
  <c r="C7" i="43"/>
  <c r="G7" i="43" s="1"/>
  <c r="C10" i="43"/>
  <c r="B26" i="51"/>
  <c r="D26" i="51" s="1"/>
  <c r="G5" i="36"/>
  <c r="M6" i="36"/>
  <c r="G10" i="36"/>
  <c r="J10" i="36"/>
  <c r="J17" i="36" s="1"/>
  <c r="J19" i="36" s="1"/>
  <c r="C10" i="36"/>
  <c r="C17" i="36" s="1"/>
  <c r="M15" i="36"/>
  <c r="H5" i="36"/>
  <c r="B10" i="51"/>
  <c r="I15" i="55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M13" i="36"/>
  <c r="E17" i="36"/>
  <c r="E19" i="36" s="1"/>
  <c r="M14" i="36"/>
  <c r="C11" i="43"/>
  <c r="G11" i="43" s="1"/>
  <c r="C12" i="43"/>
  <c r="G12" i="43" s="1"/>
  <c r="C13" i="43"/>
  <c r="G13" i="43" s="1"/>
  <c r="C20" i="43"/>
  <c r="G20" i="43" s="1"/>
  <c r="C10" i="56" l="1"/>
  <c r="C21" i="68"/>
  <c r="C46" i="68" s="1"/>
  <c r="D21" i="68"/>
  <c r="D46" i="68" s="1"/>
  <c r="D48" i="68" s="1"/>
  <c r="E21" i="68"/>
  <c r="E46" i="68" s="1"/>
  <c r="F21" i="68"/>
  <c r="F18" i="2"/>
  <c r="F50" i="2" s="1"/>
  <c r="E33" i="67"/>
  <c r="E10" i="67"/>
  <c r="C33" i="68"/>
  <c r="C34" i="68" s="1"/>
  <c r="C40" i="68" s="1"/>
  <c r="C10" i="68"/>
  <c r="C15" i="68" s="1"/>
  <c r="G43" i="53"/>
  <c r="F33" i="56"/>
  <c r="F34" i="56" s="1"/>
  <c r="F40" i="56" s="1"/>
  <c r="F10" i="56"/>
  <c r="F15" i="56" s="1"/>
  <c r="F16" i="56" s="1"/>
  <c r="D33" i="67"/>
  <c r="D34" i="67" s="1"/>
  <c r="D40" i="67" s="1"/>
  <c r="D10" i="67"/>
  <c r="D15" i="67" s="1"/>
  <c r="D16" i="67" s="1"/>
  <c r="F46" i="68"/>
  <c r="G22" i="56"/>
  <c r="D19" i="2" s="1"/>
  <c r="D51" i="2" s="1"/>
  <c r="G22" i="67"/>
  <c r="G22" i="68"/>
  <c r="G10" i="43"/>
  <c r="C7" i="2" s="1"/>
  <c r="E34" i="68"/>
  <c r="E40" i="68" s="1"/>
  <c r="E34" i="67"/>
  <c r="E40" i="67" s="1"/>
  <c r="E15" i="68"/>
  <c r="E16" i="68" s="1"/>
  <c r="E15" i="67"/>
  <c r="G18" i="56"/>
  <c r="C57" i="2"/>
  <c r="C55" i="2" s="1"/>
  <c r="D33" i="56"/>
  <c r="D10" i="56"/>
  <c r="D15" i="56" s="1"/>
  <c r="D16" i="56" s="1"/>
  <c r="E33" i="56"/>
  <c r="E10" i="56"/>
  <c r="E15" i="56" s="1"/>
  <c r="E16" i="56" s="1"/>
  <c r="C9" i="43"/>
  <c r="G9" i="43" s="1"/>
  <c r="C4" i="2"/>
  <c r="G4" i="2" s="1"/>
  <c r="G18" i="43"/>
  <c r="F18" i="43" s="1"/>
  <c r="F17" i="43" s="1"/>
  <c r="D34" i="43"/>
  <c r="D40" i="43" s="1"/>
  <c r="D15" i="43"/>
  <c r="C33" i="56"/>
  <c r="C34" i="56" s="1"/>
  <c r="C40" i="56" s="1"/>
  <c r="C14" i="43"/>
  <c r="G14" i="43" s="1"/>
  <c r="G17" i="36"/>
  <c r="G19" i="36" s="1"/>
  <c r="G18" i="57"/>
  <c r="E26" i="51"/>
  <c r="F26" i="51" s="1"/>
  <c r="J26" i="51"/>
  <c r="E23" i="36"/>
  <c r="C18" i="36"/>
  <c r="D18" i="36" s="1"/>
  <c r="E18" i="36" s="1"/>
  <c r="C19" i="36"/>
  <c r="M10" i="36"/>
  <c r="D19" i="36"/>
  <c r="E22" i="36"/>
  <c r="H17" i="36"/>
  <c r="H19" i="36" s="1"/>
  <c r="G21" i="56"/>
  <c r="F21" i="56" s="1"/>
  <c r="F46" i="56" s="1"/>
  <c r="G21" i="57"/>
  <c r="F21" i="57" s="1"/>
  <c r="F46" i="57" s="1"/>
  <c r="C17" i="2"/>
  <c r="C9" i="2"/>
  <c r="G21" i="43"/>
  <c r="F21" i="43" s="1"/>
  <c r="F46" i="43" s="1"/>
  <c r="F48" i="43" s="1"/>
  <c r="E27" i="51"/>
  <c r="F27" i="51" s="1"/>
  <c r="G27" i="51" s="1"/>
  <c r="G21" i="67" s="1"/>
  <c r="D28" i="51"/>
  <c r="M17" i="36"/>
  <c r="C48" i="68" l="1"/>
  <c r="E48" i="68"/>
  <c r="E34" i="56"/>
  <c r="E40" i="56" s="1"/>
  <c r="C33" i="67"/>
  <c r="C34" i="67" s="1"/>
  <c r="C40" i="67" s="1"/>
  <c r="C10" i="67"/>
  <c r="C15" i="67" s="1"/>
  <c r="C16" i="67" s="1"/>
  <c r="D34" i="56"/>
  <c r="D40" i="56" s="1"/>
  <c r="H43" i="53"/>
  <c r="F33" i="57"/>
  <c r="F34" i="57" s="1"/>
  <c r="F40" i="57" s="1"/>
  <c r="F48" i="57" s="1"/>
  <c r="F10" i="57"/>
  <c r="F15" i="57" s="1"/>
  <c r="F16" i="57" s="1"/>
  <c r="C30" i="2"/>
  <c r="C35" i="2"/>
  <c r="G9" i="2"/>
  <c r="G35" i="2" s="1"/>
  <c r="C43" i="2"/>
  <c r="G17" i="2"/>
  <c r="F21" i="67"/>
  <c r="D21" i="67"/>
  <c r="E21" i="67"/>
  <c r="C21" i="67"/>
  <c r="G18" i="68"/>
  <c r="G26" i="51"/>
  <c r="G18" i="67" s="1"/>
  <c r="F48" i="56"/>
  <c r="F19" i="2"/>
  <c r="F51" i="2" s="1"/>
  <c r="E16" i="67"/>
  <c r="C16" i="68"/>
  <c r="G10" i="56"/>
  <c r="D7" i="2" s="1"/>
  <c r="D30" i="2" s="1"/>
  <c r="E60" i="2"/>
  <c r="F18" i="57"/>
  <c r="F17" i="57" s="1"/>
  <c r="F23" i="43"/>
  <c r="F24" i="43" s="1"/>
  <c r="D60" i="2"/>
  <c r="F18" i="56"/>
  <c r="F17" i="56" s="1"/>
  <c r="F23" i="56" s="1"/>
  <c r="F24" i="56" s="1"/>
  <c r="F25" i="56" s="1"/>
  <c r="F26" i="56" s="1"/>
  <c r="F27" i="56" s="1"/>
  <c r="C18" i="43"/>
  <c r="C60" i="2"/>
  <c r="M19" i="36"/>
  <c r="C33" i="57"/>
  <c r="C34" i="57" s="1"/>
  <c r="C40" i="57" s="1"/>
  <c r="C10" i="57"/>
  <c r="D33" i="57"/>
  <c r="D34" i="57" s="1"/>
  <c r="D40" i="57" s="1"/>
  <c r="D10" i="57"/>
  <c r="D15" i="57" s="1"/>
  <c r="D16" i="57" s="1"/>
  <c r="I22" i="36"/>
  <c r="E33" i="57"/>
  <c r="E34" i="57" s="1"/>
  <c r="E40" i="57" s="1"/>
  <c r="E10" i="57"/>
  <c r="E15" i="57" s="1"/>
  <c r="E16" i="57" s="1"/>
  <c r="G43" i="2"/>
  <c r="F6" i="36"/>
  <c r="F5" i="36" s="1"/>
  <c r="F17" i="36" s="1"/>
  <c r="F19" i="36" s="1"/>
  <c r="L6" i="36"/>
  <c r="L5" i="36" s="1"/>
  <c r="L17" i="36" s="1"/>
  <c r="L19" i="36" s="1"/>
  <c r="I23" i="36"/>
  <c r="D21" i="56"/>
  <c r="E21" i="56"/>
  <c r="C18" i="57"/>
  <c r="C17" i="57" s="1"/>
  <c r="E18" i="57"/>
  <c r="E17" i="57" s="1"/>
  <c r="D18" i="57"/>
  <c r="D17" i="57" s="1"/>
  <c r="C21" i="43"/>
  <c r="D21" i="43"/>
  <c r="D46" i="43" s="1"/>
  <c r="D48" i="43" s="1"/>
  <c r="E21" i="43"/>
  <c r="E46" i="43" s="1"/>
  <c r="E21" i="57"/>
  <c r="D21" i="57"/>
  <c r="D16" i="43"/>
  <c r="E34" i="43"/>
  <c r="E40" i="43" s="1"/>
  <c r="E15" i="43"/>
  <c r="C6" i="2"/>
  <c r="G6" i="2" s="1"/>
  <c r="C15" i="56"/>
  <c r="G15" i="56" s="1"/>
  <c r="C20" i="36"/>
  <c r="D20" i="36" s="1"/>
  <c r="E20" i="36" s="1"/>
  <c r="C16" i="2"/>
  <c r="G16" i="2" s="1"/>
  <c r="D18" i="2"/>
  <c r="D50" i="2" s="1"/>
  <c r="C21" i="56"/>
  <c r="C46" i="56" s="1"/>
  <c r="C48" i="56" s="1"/>
  <c r="E18" i="2"/>
  <c r="E50" i="2" s="1"/>
  <c r="C21" i="57"/>
  <c r="C46" i="57" s="1"/>
  <c r="C8" i="2"/>
  <c r="C10" i="2"/>
  <c r="C15" i="43"/>
  <c r="E28" i="51"/>
  <c r="I27" i="51"/>
  <c r="C19" i="2"/>
  <c r="F28" i="51"/>
  <c r="C18" i="2"/>
  <c r="I43" i="53" l="1"/>
  <c r="F33" i="68"/>
  <c r="F34" i="68" s="1"/>
  <c r="F40" i="68" s="1"/>
  <c r="F48" i="68" s="1"/>
  <c r="F10" i="68"/>
  <c r="C36" i="2"/>
  <c r="G10" i="2"/>
  <c r="C34" i="2"/>
  <c r="G8" i="2"/>
  <c r="G34" i="2" s="1"/>
  <c r="G18" i="2"/>
  <c r="C46" i="67"/>
  <c r="C48" i="67" s="1"/>
  <c r="F25" i="43"/>
  <c r="F26" i="43" s="1"/>
  <c r="F27" i="43" s="1"/>
  <c r="F18" i="67"/>
  <c r="F17" i="67" s="1"/>
  <c r="F23" i="67" s="1"/>
  <c r="E18" i="67"/>
  <c r="E17" i="67" s="1"/>
  <c r="E23" i="67" s="1"/>
  <c r="E24" i="67" s="1"/>
  <c r="E25" i="67" s="1"/>
  <c r="E26" i="67" s="1"/>
  <c r="E27" i="67" s="1"/>
  <c r="C18" i="67"/>
  <c r="C17" i="67" s="1"/>
  <c r="C23" i="67" s="1"/>
  <c r="C24" i="67" s="1"/>
  <c r="C25" i="67" s="1"/>
  <c r="C26" i="67" s="1"/>
  <c r="C27" i="67" s="1"/>
  <c r="D18" i="67"/>
  <c r="D17" i="67" s="1"/>
  <c r="D23" i="67" s="1"/>
  <c r="D24" i="67" s="1"/>
  <c r="D25" i="67" s="1"/>
  <c r="D26" i="67" s="1"/>
  <c r="D27" i="67" s="1"/>
  <c r="E46" i="67"/>
  <c r="E48" i="67" s="1"/>
  <c r="F60" i="2"/>
  <c r="F15" i="2"/>
  <c r="F18" i="68"/>
  <c r="F17" i="68" s="1"/>
  <c r="F23" i="68" s="1"/>
  <c r="E18" i="68"/>
  <c r="E17" i="68" s="1"/>
  <c r="E23" i="68" s="1"/>
  <c r="E24" i="68" s="1"/>
  <c r="E25" i="68" s="1"/>
  <c r="E26" i="68" s="1"/>
  <c r="E27" i="68" s="1"/>
  <c r="D18" i="68"/>
  <c r="D17" i="68" s="1"/>
  <c r="D23" i="68" s="1"/>
  <c r="D24" i="68" s="1"/>
  <c r="D25" i="68" s="1"/>
  <c r="D26" i="68" s="1"/>
  <c r="D27" i="68" s="1"/>
  <c r="C18" i="68"/>
  <c r="C17" i="68" s="1"/>
  <c r="D46" i="67"/>
  <c r="D48" i="67" s="1"/>
  <c r="F46" i="67"/>
  <c r="G10" i="57"/>
  <c r="E7" i="2" s="1"/>
  <c r="E30" i="2" s="1"/>
  <c r="G15" i="43"/>
  <c r="G17" i="57"/>
  <c r="F23" i="57"/>
  <c r="F24" i="57" s="1"/>
  <c r="F25" i="57" s="1"/>
  <c r="F26" i="57" s="1"/>
  <c r="F27" i="57" s="1"/>
  <c r="D31" i="2"/>
  <c r="D32" i="2" s="1"/>
  <c r="G42" i="2"/>
  <c r="C42" i="2"/>
  <c r="C49" i="2"/>
  <c r="C29" i="2"/>
  <c r="C31" i="2" s="1"/>
  <c r="C32" i="2" s="1"/>
  <c r="C51" i="2"/>
  <c r="C50" i="2"/>
  <c r="C47" i="2"/>
  <c r="F20" i="36"/>
  <c r="G20" i="36" s="1"/>
  <c r="H20" i="36" s="1"/>
  <c r="I24" i="36" s="1"/>
  <c r="F18" i="36"/>
  <c r="G18" i="36" s="1"/>
  <c r="H18" i="36" s="1"/>
  <c r="E24" i="36" s="1"/>
  <c r="E48" i="43"/>
  <c r="C16" i="43"/>
  <c r="E46" i="57"/>
  <c r="E48" i="57" s="1"/>
  <c r="E23" i="57"/>
  <c r="E24" i="57" s="1"/>
  <c r="E25" i="57" s="1"/>
  <c r="E46" i="56"/>
  <c r="E48" i="56" s="1"/>
  <c r="D46" i="57"/>
  <c r="D48" i="57" s="1"/>
  <c r="D23" i="57"/>
  <c r="D24" i="57" s="1"/>
  <c r="D46" i="56"/>
  <c r="D48" i="56" s="1"/>
  <c r="C16" i="56"/>
  <c r="G16" i="56"/>
  <c r="D13" i="2" s="1"/>
  <c r="E16" i="43"/>
  <c r="C48" i="57"/>
  <c r="C15" i="57"/>
  <c r="G15" i="57" s="1"/>
  <c r="C23" i="57"/>
  <c r="C11" i="2"/>
  <c r="G11" i="2" s="1"/>
  <c r="C46" i="43"/>
  <c r="C48" i="43" s="1"/>
  <c r="G28" i="51"/>
  <c r="F15" i="68" l="1"/>
  <c r="G10" i="68"/>
  <c r="F7" i="2" s="1"/>
  <c r="F30" i="2" s="1"/>
  <c r="F31" i="2" s="1"/>
  <c r="F32" i="2" s="1"/>
  <c r="F24" i="68"/>
  <c r="F25" i="68" s="1"/>
  <c r="F26" i="68" s="1"/>
  <c r="F27" i="68" s="1"/>
  <c r="F33" i="67"/>
  <c r="F34" i="67" s="1"/>
  <c r="F40" i="67" s="1"/>
  <c r="F48" i="67" s="1"/>
  <c r="F10" i="67"/>
  <c r="G17" i="68"/>
  <c r="C23" i="68"/>
  <c r="C24" i="68" s="1"/>
  <c r="C25" i="68" s="1"/>
  <c r="C26" i="68" s="1"/>
  <c r="C27" i="68" s="1"/>
  <c r="G17" i="67"/>
  <c r="E14" i="2"/>
  <c r="E48" i="2" s="1"/>
  <c r="E31" i="2"/>
  <c r="E32" i="2" s="1"/>
  <c r="I20" i="36"/>
  <c r="J20" i="36" s="1"/>
  <c r="K20" i="36" s="1"/>
  <c r="L20" i="36" s="1"/>
  <c r="D25" i="57"/>
  <c r="D26" i="57" s="1"/>
  <c r="D27" i="57" s="1"/>
  <c r="I18" i="36"/>
  <c r="J18" i="36" s="1"/>
  <c r="K18" i="36" s="1"/>
  <c r="L18" i="36" s="1"/>
  <c r="G47" i="2"/>
  <c r="G36" i="2"/>
  <c r="G29" i="2"/>
  <c r="G49" i="2"/>
  <c r="G50" i="2"/>
  <c r="E26" i="57"/>
  <c r="E27" i="57" s="1"/>
  <c r="D12" i="2"/>
  <c r="D38" i="2" s="1"/>
  <c r="C16" i="57"/>
  <c r="C24" i="57"/>
  <c r="H28" i="51"/>
  <c r="I26" i="51"/>
  <c r="G60" i="2" s="1"/>
  <c r="G7" i="2" l="1"/>
  <c r="F15" i="67"/>
  <c r="G10" i="67"/>
  <c r="F16" i="68"/>
  <c r="G15" i="68"/>
  <c r="F14" i="2"/>
  <c r="G23" i="68"/>
  <c r="G23" i="67"/>
  <c r="E41" i="2"/>
  <c r="C25" i="57"/>
  <c r="C26" i="57" s="1"/>
  <c r="C27" i="57" s="1"/>
  <c r="G16" i="43"/>
  <c r="C12" i="2"/>
  <c r="C38" i="2" s="1"/>
  <c r="E12" i="2"/>
  <c r="E38" i="2" s="1"/>
  <c r="G16" i="57"/>
  <c r="E13" i="2" s="1"/>
  <c r="F12" i="2" l="1"/>
  <c r="F38" i="2" s="1"/>
  <c r="G16" i="68"/>
  <c r="F13" i="2" s="1"/>
  <c r="F16" i="67"/>
  <c r="G15" i="67"/>
  <c r="F24" i="67"/>
  <c r="F25" i="67" s="1"/>
  <c r="F26" i="67" s="1"/>
  <c r="F27" i="67" s="1"/>
  <c r="F20" i="2"/>
  <c r="G24" i="68"/>
  <c r="F41" i="2"/>
  <c r="F48" i="2"/>
  <c r="C13" i="2"/>
  <c r="F39" i="2" l="1"/>
  <c r="G16" i="67"/>
  <c r="G24" i="67"/>
  <c r="G25" i="67" s="1"/>
  <c r="F21" i="2"/>
  <c r="F53" i="2" s="1"/>
  <c r="G25" i="68"/>
  <c r="F22" i="2" s="1"/>
  <c r="G12" i="2"/>
  <c r="G30" i="2"/>
  <c r="G31" i="2" s="1"/>
  <c r="G32" i="2" s="1"/>
  <c r="G26" i="67" l="1"/>
  <c r="G27" i="67" s="1"/>
  <c r="G26" i="68"/>
  <c r="F23" i="2" s="1"/>
  <c r="G13" i="2"/>
  <c r="G38" i="2"/>
  <c r="G27" i="68" l="1"/>
  <c r="F24" i="2" s="1"/>
  <c r="F59" i="2"/>
  <c r="F58" i="2" s="1"/>
  <c r="F52" i="2"/>
  <c r="E18" i="43"/>
  <c r="E17" i="43" s="1"/>
  <c r="E23" i="43" s="1"/>
  <c r="E24" i="43" s="1"/>
  <c r="E25" i="43" s="1"/>
  <c r="D18" i="43"/>
  <c r="D17" i="43" s="1"/>
  <c r="D23" i="43" s="1"/>
  <c r="D24" i="43" s="1"/>
  <c r="D25" i="43" s="1"/>
  <c r="C17" i="43"/>
  <c r="G17" i="43" l="1"/>
  <c r="C23" i="43"/>
  <c r="C24" i="43" s="1"/>
  <c r="C25" i="43" s="1"/>
  <c r="D26" i="43"/>
  <c r="D27" i="43" s="1"/>
  <c r="E26" i="43"/>
  <c r="E27" i="43" s="1"/>
  <c r="G23" i="43" l="1"/>
  <c r="G24" i="43" s="1"/>
  <c r="C14" i="2"/>
  <c r="C26" i="43"/>
  <c r="G25" i="43" l="1"/>
  <c r="G26" i="43"/>
  <c r="G27" i="43" s="1"/>
  <c r="C41" i="2"/>
  <c r="C48" i="2"/>
  <c r="C27" i="43"/>
  <c r="C20" i="2"/>
  <c r="C39" i="2" s="1"/>
  <c r="C21" i="2" l="1"/>
  <c r="C53" i="2" l="1"/>
  <c r="C22" i="2"/>
  <c r="C23" i="2" s="1"/>
  <c r="C59" i="2" l="1"/>
  <c r="C58" i="2" s="1"/>
  <c r="C52" i="2"/>
  <c r="C24" i="2"/>
  <c r="D18" i="56"/>
  <c r="D17" i="56" s="1"/>
  <c r="D23" i="56" s="1"/>
  <c r="D24" i="56" s="1"/>
  <c r="D25" i="56" s="1"/>
  <c r="E18" i="56"/>
  <c r="E17" i="56" s="1"/>
  <c r="E23" i="56" s="1"/>
  <c r="E24" i="56" s="1"/>
  <c r="E25" i="56" s="1"/>
  <c r="C18" i="56"/>
  <c r="C17" i="56" s="1"/>
  <c r="G17" i="56" l="1"/>
  <c r="E26" i="56"/>
  <c r="E27" i="56" s="1"/>
  <c r="C23" i="56"/>
  <c r="C24" i="56" s="1"/>
  <c r="C25" i="56" s="1"/>
  <c r="D26" i="56"/>
  <c r="D27" i="56" s="1"/>
  <c r="D14" i="2" l="1"/>
  <c r="G14" i="2" s="1"/>
  <c r="G23" i="56"/>
  <c r="C26" i="56"/>
  <c r="D48" i="2" l="1"/>
  <c r="D41" i="2"/>
  <c r="C27" i="56"/>
  <c r="G24" i="56"/>
  <c r="D20" i="2"/>
  <c r="G25" i="56" l="1"/>
  <c r="G26" i="56" s="1"/>
  <c r="D39" i="2"/>
  <c r="G41" i="2"/>
  <c r="G48" i="2"/>
  <c r="D21" i="2"/>
  <c r="D53" i="2" s="1"/>
  <c r="G27" i="56" l="1"/>
  <c r="D22" i="2"/>
  <c r="D23" i="2" l="1"/>
  <c r="D59" i="2" s="1"/>
  <c r="D58" i="2" s="1"/>
  <c r="D24" i="2"/>
  <c r="D52" i="2" l="1"/>
  <c r="E19" i="2" l="1"/>
  <c r="G19" i="2" s="1"/>
  <c r="G51" i="2" s="1"/>
  <c r="G23" i="57"/>
  <c r="G24" i="57" s="1"/>
  <c r="G25" i="57" l="1"/>
  <c r="E22" i="2" s="1"/>
  <c r="E21" i="2"/>
  <c r="E53" i="2" s="1"/>
  <c r="E51" i="2"/>
  <c r="E20" i="2"/>
  <c r="E39" i="2" l="1"/>
  <c r="G20" i="2"/>
  <c r="G26" i="57"/>
  <c r="G21" i="2" l="1"/>
  <c r="G39" i="2"/>
  <c r="G27" i="57"/>
  <c r="E24" i="2" s="1"/>
  <c r="E23" i="2"/>
  <c r="E52" i="2" l="1"/>
  <c r="E59" i="2"/>
  <c r="E58" i="2" s="1"/>
  <c r="G53" i="2"/>
  <c r="G22" i="2"/>
  <c r="G23" i="2" s="1"/>
  <c r="G52" i="2" l="1"/>
  <c r="G59" i="2"/>
  <c r="G58" i="2" s="1"/>
  <c r="G24" i="2"/>
</calcChain>
</file>

<file path=xl/comments1.xml><?xml version="1.0" encoding="utf-8"?>
<comments xmlns="http://schemas.openxmlformats.org/spreadsheetml/2006/main">
  <authors>
    <author>作者</author>
  </authors>
  <commentList>
    <comment ref="J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3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F10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24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38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51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64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77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</commentList>
</comments>
</file>

<file path=xl/sharedStrings.xml><?xml version="1.0" encoding="utf-8"?>
<sst xmlns="http://schemas.openxmlformats.org/spreadsheetml/2006/main" count="1435" uniqueCount="290">
  <si>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</si>
  <si>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</si>
  <si>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</si>
  <si>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</si>
  <si>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</si>
  <si>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</si>
  <si>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</si>
  <si>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</si>
  <si>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单台材料成本为未税价格。</t>
  </si>
  <si>
    <t>变动费用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</si>
  <si>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</si>
  <si>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</si>
  <si>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</si>
  <si>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</si>
  <si>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</si>
  <si>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</si>
  <si>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</si>
  <si>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</si>
  <si>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2022年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</si>
  <si>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</si>
  <si>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</si>
  <si>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</si>
  <si>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</si>
  <si>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</si>
  <si>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</si>
  <si>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</si>
  <si>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</si>
  <si>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</si>
  <si>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</si>
  <si>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</si>
  <si>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</si>
  <si>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</si>
  <si>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</si>
  <si>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</si>
  <si>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</si>
  <si>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</si>
  <si>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</si>
  <si>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</si>
  <si>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</si>
  <si>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</si>
  <si>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</si>
  <si>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</si>
  <si>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</si>
  <si>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</si>
  <si>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</si>
  <si>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</si>
  <si>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</si>
  <si>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</si>
  <si>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</si>
  <si>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</si>
  <si>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</si>
  <si>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</si>
  <si>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</si>
  <si>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</si>
  <si>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</si>
  <si>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</si>
  <si>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</si>
  <si>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</si>
  <si>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</si>
  <si>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</si>
  <si>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</si>
  <si>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</si>
  <si>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</si>
  <si>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</si>
  <si>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</si>
  <si>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</si>
  <si>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</si>
  <si>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</si>
  <si>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</si>
  <si>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</si>
  <si>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</si>
  <si>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</si>
  <si>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</si>
  <si>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</si>
  <si>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</si>
  <si>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</si>
  <si>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</si>
  <si>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</si>
  <si>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</si>
  <si>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</si>
  <si>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</si>
  <si>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</si>
  <si>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</si>
  <si>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</si>
  <si>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</si>
  <si>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</si>
  <si>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</si>
  <si>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</si>
  <si>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</si>
  <si>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</si>
  <si>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</si>
  <si>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</si>
  <si>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</si>
  <si>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</si>
  <si>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</si>
  <si>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</si>
  <si>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</si>
  <si>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</si>
  <si>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</si>
  <si>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</si>
  <si>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</si>
  <si>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</si>
  <si>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</si>
  <si>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</si>
  <si>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</si>
  <si>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</si>
  <si>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</si>
  <si>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</si>
  <si>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</si>
  <si>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</si>
  <si>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</si>
  <si>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</si>
  <si>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</si>
  <si>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</si>
  <si>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</si>
  <si>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</si>
  <si>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</si>
  <si>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</si>
  <si>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</si>
  <si>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</si>
  <si>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</si>
  <si>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</si>
  <si>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</si>
  <si>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</si>
  <si>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</si>
  <si>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</si>
  <si>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</si>
  <si>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</si>
  <si>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</si>
  <si>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</si>
  <si>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</si>
  <si>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</si>
  <si>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</si>
  <si>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</si>
  <si>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</si>
  <si>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</si>
  <si>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</si>
  <si>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</si>
  <si>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</si>
  <si>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</si>
  <si>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</si>
  <si>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</si>
  <si>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</si>
  <si>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</si>
  <si>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</si>
  <si>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</si>
  <si>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</si>
  <si>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</si>
  <si>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</si>
  <si>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</si>
  <si>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</si>
  <si>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</si>
  <si>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</si>
  <si>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</si>
  <si>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</si>
  <si>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</si>
  <si>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</si>
  <si>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</si>
  <si>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</si>
  <si>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</si>
  <si>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</si>
  <si>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</si>
  <si>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</si>
  <si>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</si>
  <si>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</si>
  <si>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</si>
  <si>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</si>
  <si>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</si>
  <si>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</si>
  <si>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</si>
  <si>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</si>
  <si>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</si>
  <si>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</si>
  <si>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</si>
  <si>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</si>
  <si>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</si>
  <si>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</si>
  <si>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</si>
  <si>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</si>
  <si>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</si>
  <si>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</si>
  <si>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</si>
  <si>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</si>
  <si>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</si>
  <si>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</si>
  <si>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</si>
  <si>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</si>
  <si>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</si>
  <si>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</si>
  <si>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</si>
  <si>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</si>
  <si>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</si>
  <si>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</si>
  <si>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</si>
  <si>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</si>
  <si>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</si>
  <si>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</si>
  <si>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</si>
  <si>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</si>
  <si>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</si>
  <si>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</si>
  <si>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</si>
  <si>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</si>
  <si>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</si>
  <si>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</si>
  <si>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</si>
  <si>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</si>
  <si>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</si>
  <si>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</si>
  <si>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</si>
  <si>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</si>
  <si>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</si>
  <si>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</si>
  <si>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</si>
  <si>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</si>
  <si>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</si>
  <si>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</si>
  <si>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</si>
  <si>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</si>
  <si>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</si>
  <si>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</si>
  <si>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</si>
  <si>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</si>
  <si>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</si>
  <si>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</si>
  <si>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</si>
  <si>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</si>
  <si>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</si>
  <si>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9" type="noConversion"/>
  </si>
  <si>
    <t>综合单件金额</t>
    <phoneticPr fontId="39" type="noConversion"/>
  </si>
  <si>
    <t>座椅单件金额</t>
    <phoneticPr fontId="39" type="noConversion"/>
  </si>
  <si>
    <t>后视镜单件金额</t>
    <phoneticPr fontId="39" type="noConversion"/>
  </si>
  <si>
    <t>综合占收入比率</t>
    <phoneticPr fontId="39" type="noConversion"/>
  </si>
  <si>
    <t>后视镜占收入比率</t>
    <phoneticPr fontId="39" type="noConversion"/>
  </si>
  <si>
    <t>座椅占收入比率</t>
    <phoneticPr fontId="39" type="noConversion"/>
  </si>
  <si>
    <t>采购</t>
    <phoneticPr fontId="39" type="noConversion"/>
  </si>
  <si>
    <t>产品名称</t>
    <phoneticPr fontId="39" type="noConversion"/>
  </si>
  <si>
    <t>材料成本</t>
    <phoneticPr fontId="39" type="noConversion"/>
  </si>
  <si>
    <t>2026年</t>
  </si>
  <si>
    <t>青岛</t>
  </si>
  <si>
    <t>承兑90天账期</t>
  </si>
  <si>
    <t>2人</t>
  </si>
  <si>
    <t>千分之八+5元每台</t>
  </si>
  <si>
    <t>安全带锁扣指定  14元，结算方式同解放结算</t>
  </si>
  <si>
    <t>材料成本</t>
    <phoneticPr fontId="39" type="noConversion"/>
  </si>
  <si>
    <t>驾驶员座椅总成6800010CH26-C00</t>
  </si>
  <si>
    <t>驾驶员座椅总成6800010BH26-C00</t>
  </si>
  <si>
    <t>驾驶员座椅总成6800010FH26-C00</t>
  </si>
  <si>
    <t>驾驶员座椅总成6800010HH26-C00</t>
  </si>
  <si>
    <t>驾驶员座椅总成6800010JH26-C00</t>
  </si>
  <si>
    <t>驾驶员座椅总成6800010GH26-C00</t>
  </si>
  <si>
    <t>变动费用参考河北工厂2021年实际及2022预算暂估。</t>
    <phoneticPr fontId="39" type="noConversion"/>
  </si>
  <si>
    <t>2022年</t>
    <phoneticPr fontId="39" type="noConversion"/>
  </si>
  <si>
    <t>2023年</t>
    <phoneticPr fontId="39" type="noConversion"/>
  </si>
  <si>
    <t>2024年</t>
    <phoneticPr fontId="39" type="noConversion"/>
  </si>
  <si>
    <t>2025年</t>
    <phoneticPr fontId="39" type="noConversion"/>
  </si>
  <si>
    <t>2026年</t>
    <phoneticPr fontId="39" type="noConversion"/>
  </si>
  <si>
    <t>所得税(税率15%）</t>
    <phoneticPr fontId="39" type="noConversion"/>
  </si>
  <si>
    <t xml:space="preserve">2024年  </t>
    <phoneticPr fontId="39" type="noConversion"/>
  </si>
  <si>
    <t xml:space="preserve">2025年  </t>
    <phoneticPr fontId="39" type="noConversion"/>
  </si>
  <si>
    <t>2022年</t>
    <phoneticPr fontId="39" type="noConversion"/>
  </si>
  <si>
    <t>附加值汇总表</t>
    <phoneticPr fontId="39" type="noConversion"/>
  </si>
  <si>
    <t>产品图号</t>
    <phoneticPr fontId="39" type="noConversion"/>
  </si>
  <si>
    <t>名称</t>
    <phoneticPr fontId="39" type="noConversion"/>
  </si>
  <si>
    <t>成本</t>
    <phoneticPr fontId="39" type="noConversion"/>
  </si>
  <si>
    <t>报价</t>
    <phoneticPr fontId="39" type="noConversion"/>
  </si>
  <si>
    <t>附加值</t>
    <phoneticPr fontId="39" type="noConversion"/>
  </si>
  <si>
    <t>附加值率</t>
    <phoneticPr fontId="39" type="noConversion"/>
  </si>
  <si>
    <t>备注</t>
    <phoneticPr fontId="39" type="noConversion"/>
  </si>
  <si>
    <t xml:space="preserve">2022年  </t>
    <phoneticPr fontId="39" type="noConversion"/>
  </si>
  <si>
    <r>
      <t>2022</t>
    </r>
    <r>
      <rPr>
        <b/>
        <sz val="10"/>
        <rFont val="宋体"/>
        <family val="3"/>
        <charset val="134"/>
      </rPr>
      <t>年</t>
    </r>
    <phoneticPr fontId="39" type="noConversion"/>
  </si>
  <si>
    <r>
      <t>2023</t>
    </r>
    <r>
      <rPr>
        <b/>
        <sz val="10"/>
        <rFont val="宋体"/>
        <family val="3"/>
        <charset val="134"/>
      </rPr>
      <t>年</t>
    </r>
    <phoneticPr fontId="39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</si>
  <si>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</si>
  <si>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</si>
  <si>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rPr>
        <b/>
        <sz val="10"/>
        <rFont val="CorpoS"/>
        <family val="1"/>
      </rPr>
      <t>2024年</t>
    </r>
    <r>
      <rPr>
        <sz val="11"/>
        <color theme="1"/>
        <rFont val="宋体"/>
        <family val="2"/>
        <charset val="134"/>
        <scheme val="minor"/>
      </rPr>
      <t/>
    </r>
  </si>
  <si>
    <r>
      <t xml:space="preserve">X5000-S座椅项目可行性分析            </t>
    </r>
    <r>
      <rPr>
        <sz val="10"/>
        <color theme="1"/>
        <rFont val="微软雅黑"/>
        <family val="2"/>
        <charset val="134"/>
      </rPr>
      <t>单位：元</t>
    </r>
    <phoneticPr fontId="39" type="noConversion"/>
  </si>
  <si>
    <t>陕重汽</t>
    <phoneticPr fontId="39" type="noConversion"/>
  </si>
  <si>
    <t xml:space="preserve">X5000-S座椅项目研发费用预算表 </t>
    <phoneticPr fontId="39" type="noConversion"/>
  </si>
  <si>
    <t>14套模具</t>
    <phoneticPr fontId="36" type="noConversion"/>
  </si>
  <si>
    <t>司机座椅总成</t>
    <phoneticPr fontId="36" type="noConversion"/>
  </si>
  <si>
    <t>副司机座椅总成</t>
    <phoneticPr fontId="36" type="noConversion"/>
  </si>
  <si>
    <t>同X5000（只是面料不同）</t>
    <phoneticPr fontId="36" type="noConversion"/>
  </si>
  <si>
    <t>坐垫翻折，三点式安全带，需要重新开底座（考虑旋转和滑轨）</t>
    <phoneticPr fontId="36" type="noConversion"/>
  </si>
  <si>
    <t>4  年</t>
    <phoneticPr fontId="39" type="noConversion"/>
  </si>
  <si>
    <t>供应商年降：    4  年5%</t>
    <phoneticPr fontId="39" type="noConversion"/>
  </si>
  <si>
    <t>材料成本年降汇总表5%</t>
    <phoneticPr fontId="39" type="noConversion"/>
  </si>
  <si>
    <t>合计</t>
    <phoneticPr fontId="39" type="noConversion"/>
  </si>
  <si>
    <t>成本预估根据工艺BOM计算。供应商年度降价5%。</t>
    <phoneticPr fontId="39" type="noConversion"/>
  </si>
  <si>
    <t>DZ16251510101</t>
    <phoneticPr fontId="36" type="noConversion"/>
  </si>
  <si>
    <t>DZ16251510102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</si>
</sst>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6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0" fontId="29" fillId="0" borderId="0"/>
    <xf numFmtId="9" fontId="38" fillId="0" borderId="0" applyFont="0" applyFill="0" applyBorder="0" applyAlignment="0" applyProtection="0">
      <alignment vertical="center"/>
    </xf>
    <xf numFmtId="0" fontId="32" fillId="0" borderId="0"/>
    <xf numFmtId="0" fontId="31" fillId="0" borderId="0">
      <alignment vertical="center"/>
    </xf>
    <xf numFmtId="0" fontId="30" fillId="0" borderId="0"/>
    <xf numFmtId="1" fontId="33" fillId="0" borderId="1" applyBorder="0"/>
    <xf numFmtId="43" fontId="34" fillId="0" borderId="0" applyFont="0" applyFill="0" applyBorder="0" applyAlignment="0" applyProtection="0">
      <alignment vertical="center"/>
    </xf>
    <xf numFmtId="0" fontId="30" fillId="0" borderId="0"/>
    <xf numFmtId="0" fontId="41" fillId="0" borderId="1" applyNumberFormat="0" applyFill="0" applyBorder="0" applyAlignment="0" applyProtection="0">
      <alignment vertical="center"/>
    </xf>
  </cellStyleXfs>
  <cellXfs count="3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43" fontId="3" fillId="2" borderId="1" xfId="1" applyFont="1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43" fontId="5" fillId="2" borderId="1" xfId="1" applyFont="1" applyFill="1" applyBorder="1">
      <alignment vertical="center"/>
    </xf>
    <xf numFmtId="43" fontId="5" fillId="0" borderId="1" xfId="1" applyFont="1" applyBorder="1">
      <alignment vertical="center"/>
    </xf>
    <xf numFmtId="43" fontId="3" fillId="0" borderId="0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7" fillId="0" borderId="0" xfId="0" applyFont="1" applyAlignment="1">
      <alignment vertical="center" wrapText="1"/>
    </xf>
    <xf numFmtId="178" fontId="3" fillId="0" borderId="0" xfId="1" applyNumberFormat="1" applyFont="1">
      <alignment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178" fontId="6" fillId="3" borderId="1" xfId="0" applyNumberFormat="1" applyFont="1" applyFill="1" applyBorder="1" applyAlignment="1">
      <alignment horizontal="center" wrapText="1" readingOrder="1"/>
    </xf>
    <xf numFmtId="43" fontId="3" fillId="0" borderId="0" xfId="1" applyFont="1">
      <alignment vertical="center"/>
    </xf>
    <xf numFmtId="178" fontId="8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10" fillId="5" borderId="1" xfId="4" applyNumberFormat="1" applyFont="1" applyFill="1" applyBorder="1" applyAlignment="1">
      <alignment horizontal="center" vertical="center" wrapText="1"/>
    </xf>
    <xf numFmtId="43" fontId="10" fillId="5" borderId="1" xfId="1" applyFont="1" applyFill="1" applyBorder="1" applyAlignment="1">
      <alignment horizontal="center" vertical="center" wrapText="1"/>
    </xf>
    <xf numFmtId="0" fontId="10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1" fillId="0" borderId="1" xfId="4" applyNumberFormat="1" applyFont="1" applyFill="1" applyBorder="1" applyAlignment="1">
      <alignment horizontal="left" vertical="center"/>
    </xf>
    <xf numFmtId="43" fontId="11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3" fillId="4" borderId="1" xfId="2" applyNumberFormat="1" applyFont="1" applyFill="1" applyBorder="1" applyAlignment="1" applyProtection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1" fillId="0" borderId="4" xfId="4" applyNumberFormat="1" applyFont="1" applyFill="1" applyBorder="1" applyAlignment="1">
      <alignment horizontal="center" vertical="center"/>
    </xf>
    <xf numFmtId="177" fontId="11" fillId="0" borderId="4" xfId="4" applyNumberFormat="1" applyFont="1" applyFill="1" applyBorder="1" applyAlignment="1">
      <alignment horizontal="left" vertical="center" wrapText="1"/>
    </xf>
    <xf numFmtId="0" fontId="14" fillId="4" borderId="1" xfId="2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readingOrder="1"/>
    </xf>
    <xf numFmtId="43" fontId="5" fillId="0" borderId="1" xfId="0" applyNumberFormat="1" applyFont="1" applyBorder="1">
      <alignment vertical="center"/>
    </xf>
    <xf numFmtId="43" fontId="5" fillId="0" borderId="1" xfId="1" applyNumberFormat="1" applyFont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7" fillId="0" borderId="0" xfId="0" applyFont="1" applyFill="1">
      <alignment vertical="center"/>
    </xf>
    <xf numFmtId="43" fontId="17" fillId="0" borderId="0" xfId="1" applyFont="1" applyFill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8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>
      <alignment vertical="center"/>
    </xf>
    <xf numFmtId="0" fontId="19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/>
    </xf>
    <xf numFmtId="0" fontId="19" fillId="0" borderId="1" xfId="0" applyFont="1" applyFill="1" applyBorder="1">
      <alignment vertical="center"/>
    </xf>
    <xf numFmtId="9" fontId="17" fillId="0" borderId="1" xfId="3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7" fillId="0" borderId="1" xfId="1" applyFont="1" applyFill="1" applyBorder="1">
      <alignment vertical="center"/>
    </xf>
    <xf numFmtId="0" fontId="16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43" fontId="17" fillId="0" borderId="1" xfId="0" applyNumberFormat="1" applyFont="1" applyFill="1" applyBorder="1">
      <alignment vertical="center"/>
    </xf>
    <xf numFmtId="43" fontId="16" fillId="0" borderId="1" xfId="1" applyFont="1" applyFill="1" applyBorder="1">
      <alignment vertical="center"/>
    </xf>
    <xf numFmtId="43" fontId="17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7" fillId="0" borderId="0" xfId="0" applyNumberFormat="1" applyFont="1" applyFill="1">
      <alignment vertical="center"/>
    </xf>
    <xf numFmtId="0" fontId="20" fillId="0" borderId="0" xfId="0" applyFont="1" applyFill="1">
      <alignment vertical="center"/>
    </xf>
    <xf numFmtId="179" fontId="17" fillId="0" borderId="0" xfId="0" applyNumberFormat="1" applyFont="1" applyFill="1">
      <alignment vertical="center"/>
    </xf>
    <xf numFmtId="1" fontId="11" fillId="4" borderId="0" xfId="2" applyNumberFormat="1" applyFont="1" applyFill="1" applyProtection="1"/>
    <xf numFmtId="0" fontId="11" fillId="4" borderId="0" xfId="2" applyFont="1" applyFill="1" applyProtection="1"/>
    <xf numFmtId="0" fontId="21" fillId="4" borderId="0" xfId="2" applyFont="1" applyFill="1" applyAlignment="1" applyProtection="1">
      <alignment horizontal="centerContinuous"/>
    </xf>
    <xf numFmtId="0" fontId="11" fillId="4" borderId="0" xfId="2" applyFont="1" applyFill="1" applyAlignment="1">
      <alignment horizontal="centerContinuous"/>
    </xf>
    <xf numFmtId="0" fontId="11" fillId="4" borderId="0" xfId="2" applyFont="1" applyFill="1" applyAlignment="1" applyProtection="1">
      <alignment horizontal="centerContinuous"/>
    </xf>
    <xf numFmtId="9" fontId="11" fillId="4" borderId="0" xfId="2" applyNumberFormat="1" applyFont="1" applyFill="1" applyProtection="1"/>
    <xf numFmtId="0" fontId="11" fillId="4" borderId="5" xfId="2" applyFont="1" applyFill="1" applyBorder="1" applyAlignment="1" applyProtection="1">
      <alignment horizontal="center"/>
    </xf>
    <xf numFmtId="0" fontId="13" fillId="4" borderId="1" xfId="2" applyFont="1" applyFill="1" applyBorder="1" applyAlignment="1" applyProtection="1">
      <alignment horizontal="center"/>
    </xf>
    <xf numFmtId="0" fontId="13" fillId="4" borderId="2" xfId="2" applyFont="1" applyFill="1" applyBorder="1" applyAlignment="1" applyProtection="1">
      <alignment horizontal="center"/>
    </xf>
    <xf numFmtId="1" fontId="13" fillId="4" borderId="2" xfId="7" applyFont="1" applyFill="1" applyBorder="1"/>
    <xf numFmtId="1" fontId="11" fillId="4" borderId="2" xfId="7" applyFont="1" applyFill="1" applyBorder="1"/>
    <xf numFmtId="0" fontId="11" fillId="4" borderId="6" xfId="2" applyFont="1" applyFill="1" applyBorder="1" applyProtection="1"/>
    <xf numFmtId="0" fontId="11" fillId="4" borderId="1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left"/>
    </xf>
    <xf numFmtId="0" fontId="11" fillId="6" borderId="1" xfId="2" applyFont="1" applyFill="1" applyBorder="1" applyProtection="1"/>
    <xf numFmtId="178" fontId="11" fillId="6" borderId="1" xfId="1" applyNumberFormat="1" applyFont="1" applyFill="1" applyBorder="1" applyAlignment="1" applyProtection="1"/>
    <xf numFmtId="0" fontId="11" fillId="4" borderId="1" xfId="2" applyFont="1" applyFill="1" applyBorder="1" applyProtection="1"/>
    <xf numFmtId="178" fontId="11" fillId="4" borderId="1" xfId="1" applyNumberFormat="1" applyFont="1" applyFill="1" applyBorder="1" applyAlignment="1" applyProtection="1"/>
    <xf numFmtId="0" fontId="11" fillId="4" borderId="1" xfId="2" applyNumberFormat="1" applyFont="1" applyFill="1" applyBorder="1" applyAlignment="1" applyProtection="1">
      <alignment horizontal="left"/>
    </xf>
    <xf numFmtId="1" fontId="11" fillId="4" borderId="1" xfId="2" applyNumberFormat="1" applyFont="1" applyFill="1" applyBorder="1" applyProtection="1"/>
    <xf numFmtId="1" fontId="11" fillId="4" borderId="1" xfId="2" applyNumberFormat="1" applyFont="1" applyFill="1" applyBorder="1" applyAlignment="1" applyProtection="1">
      <alignment horizontal="left"/>
    </xf>
    <xf numFmtId="0" fontId="11" fillId="4" borderId="9" xfId="2" applyFont="1" applyFill="1" applyBorder="1" applyProtection="1"/>
    <xf numFmtId="0" fontId="11" fillId="4" borderId="10" xfId="2" applyFont="1" applyFill="1" applyBorder="1" applyProtection="1"/>
    <xf numFmtId="0" fontId="11" fillId="4" borderId="11" xfId="2" applyFont="1" applyFill="1" applyBorder="1" applyProtection="1"/>
    <xf numFmtId="0" fontId="11" fillId="4" borderId="0" xfId="2" applyFont="1" applyFill="1" applyBorder="1" applyProtection="1"/>
    <xf numFmtId="176" fontId="11" fillId="4" borderId="0" xfId="2" applyNumberFormat="1" applyFont="1" applyFill="1" applyBorder="1" applyProtection="1"/>
    <xf numFmtId="10" fontId="11" fillId="4" borderId="0" xfId="2" applyNumberFormat="1" applyFont="1" applyFill="1" applyBorder="1" applyProtection="1"/>
    <xf numFmtId="1" fontId="11" fillId="4" borderId="0" xfId="2" applyNumberFormat="1" applyFont="1" applyFill="1" applyBorder="1" applyProtection="1"/>
    <xf numFmtId="0" fontId="11" fillId="4" borderId="12" xfId="2" applyFont="1" applyFill="1" applyBorder="1" applyProtection="1"/>
    <xf numFmtId="0" fontId="11" fillId="4" borderId="8" xfId="2" applyFont="1" applyFill="1" applyBorder="1" applyProtection="1"/>
    <xf numFmtId="2" fontId="11" fillId="4" borderId="8" xfId="2" applyNumberFormat="1" applyFont="1" applyFill="1" applyBorder="1" applyProtection="1"/>
    <xf numFmtId="0" fontId="11" fillId="4" borderId="3" xfId="2" applyFont="1" applyFill="1" applyBorder="1"/>
    <xf numFmtId="1" fontId="11" fillId="4" borderId="6" xfId="7" applyFont="1" applyFill="1" applyBorder="1" applyAlignment="1">
      <alignment horizontal="center"/>
    </xf>
    <xf numFmtId="0" fontId="11" fillId="4" borderId="13" xfId="2" applyFont="1" applyFill="1" applyBorder="1" applyProtection="1"/>
    <xf numFmtId="0" fontId="11" fillId="4" borderId="14" xfId="2" applyFont="1" applyFill="1" applyBorder="1" applyProtection="1"/>
    <xf numFmtId="0" fontId="11" fillId="4" borderId="15" xfId="2" applyFont="1" applyFill="1" applyBorder="1" applyProtection="1"/>
    <xf numFmtId="0" fontId="16" fillId="0" borderId="0" xfId="0" applyFont="1">
      <alignment vertical="center"/>
    </xf>
    <xf numFmtId="0" fontId="17" fillId="0" borderId="0" xfId="0" applyFont="1" applyBorder="1">
      <alignment vertical="center"/>
    </xf>
    <xf numFmtId="0" fontId="17" fillId="0" borderId="0" xfId="0" applyFont="1">
      <alignment vertical="center"/>
    </xf>
    <xf numFmtId="43" fontId="17" fillId="0" borderId="0" xfId="1" applyFont="1">
      <alignment vertical="center"/>
    </xf>
    <xf numFmtId="43" fontId="23" fillId="0" borderId="1" xfId="1" applyFont="1" applyFill="1" applyBorder="1" applyAlignment="1">
      <alignment horizontal="center" vertical="center" wrapText="1"/>
    </xf>
    <xf numFmtId="178" fontId="17" fillId="0" borderId="1" xfId="1" applyNumberFormat="1" applyFont="1" applyFill="1" applyBorder="1" applyAlignment="1">
      <alignment horizontal="center" vertical="center"/>
    </xf>
    <xf numFmtId="178" fontId="16" fillId="0" borderId="1" xfId="1" applyNumberFormat="1" applyFont="1" applyFill="1" applyBorder="1" applyAlignment="1">
      <alignment horizontal="center" vertical="center"/>
    </xf>
    <xf numFmtId="0" fontId="17" fillId="3" borderId="1" xfId="0" applyFont="1" applyFill="1" applyBorder="1">
      <alignment vertical="center"/>
    </xf>
    <xf numFmtId="0" fontId="19" fillId="6" borderId="1" xfId="0" applyFont="1" applyFill="1" applyBorder="1">
      <alignment vertical="center"/>
    </xf>
    <xf numFmtId="178" fontId="16" fillId="6" borderId="1" xfId="1" applyNumberFormat="1" applyFont="1" applyFill="1" applyBorder="1" applyAlignment="1">
      <alignment horizontal="center" vertical="center"/>
    </xf>
    <xf numFmtId="0" fontId="24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10" fontId="16" fillId="0" borderId="1" xfId="3" applyNumberFormat="1" applyFont="1" applyBorder="1" applyAlignment="1">
      <alignment vertical="center"/>
    </xf>
    <xf numFmtId="178" fontId="16" fillId="0" borderId="1" xfId="1" applyNumberFormat="1" applyFont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24" fillId="6" borderId="1" xfId="0" applyFont="1" applyFill="1" applyBorder="1">
      <alignment vertical="center"/>
    </xf>
    <xf numFmtId="178" fontId="17" fillId="0" borderId="1" xfId="1" applyNumberFormat="1" applyFont="1" applyBorder="1" applyAlignment="1">
      <alignment horizontal="center" vertical="center"/>
    </xf>
    <xf numFmtId="10" fontId="17" fillId="0" borderId="1" xfId="3" applyNumberFormat="1" applyFont="1" applyBorder="1">
      <alignment vertical="center"/>
    </xf>
    <xf numFmtId="10" fontId="17" fillId="0" borderId="0" xfId="3" applyNumberFormat="1" applyFont="1" applyBorder="1">
      <alignment vertical="center"/>
    </xf>
    <xf numFmtId="43" fontId="17" fillId="0" borderId="0" xfId="1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10" fontId="17" fillId="0" borderId="1" xfId="3" applyNumberFormat="1" applyFont="1" applyFill="1" applyBorder="1" applyAlignment="1">
      <alignment horizontal="center" vertical="center"/>
    </xf>
    <xf numFmtId="10" fontId="17" fillId="0" borderId="1" xfId="3" applyNumberFormat="1" applyFont="1" applyFill="1" applyBorder="1">
      <alignment vertical="center"/>
    </xf>
    <xf numFmtId="0" fontId="19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43" fontId="17" fillId="0" borderId="1" xfId="1" applyFont="1" applyBorder="1">
      <alignment vertical="center"/>
    </xf>
    <xf numFmtId="178" fontId="17" fillId="0" borderId="1" xfId="1" applyNumberFormat="1" applyFont="1" applyBorder="1">
      <alignment vertical="center"/>
    </xf>
    <xf numFmtId="43" fontId="17" fillId="0" borderId="0" xfId="0" applyNumberFormat="1" applyFont="1" applyFill="1" applyBorder="1">
      <alignment vertical="center"/>
    </xf>
    <xf numFmtId="0" fontId="16" fillId="0" borderId="1" xfId="0" applyFont="1" applyBorder="1">
      <alignment vertical="center"/>
    </xf>
    <xf numFmtId="0" fontId="24" fillId="0" borderId="1" xfId="0" applyFont="1" applyBorder="1">
      <alignment vertical="center"/>
    </xf>
    <xf numFmtId="0" fontId="17" fillId="0" borderId="5" xfId="0" applyFont="1" applyBorder="1">
      <alignment vertical="center"/>
    </xf>
    <xf numFmtId="0" fontId="25" fillId="0" borderId="0" xfId="0" applyFont="1">
      <alignment vertical="center"/>
    </xf>
    <xf numFmtId="0" fontId="26" fillId="0" borderId="1" xfId="0" applyFont="1" applyBorder="1" applyAlignment="1">
      <alignment horizontal="center" vertical="center" wrapText="1" readingOrder="1"/>
    </xf>
    <xf numFmtId="0" fontId="25" fillId="0" borderId="0" xfId="0" applyFont="1" applyFill="1">
      <alignment vertical="center"/>
    </xf>
    <xf numFmtId="0" fontId="8" fillId="0" borderId="1" xfId="0" applyFont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left" vertical="center" wrapText="1" readingOrder="1"/>
    </xf>
    <xf numFmtId="0" fontId="27" fillId="0" borderId="1" xfId="0" applyFont="1" applyFill="1" applyBorder="1" applyAlignment="1">
      <alignment horizontal="left" vertical="center" wrapText="1" readingOrder="1"/>
    </xf>
    <xf numFmtId="0" fontId="27" fillId="0" borderId="1" xfId="0" applyFont="1" applyBorder="1" applyAlignment="1">
      <alignment horizontal="center" vertical="center" wrapText="1" readingOrder="1"/>
    </xf>
    <xf numFmtId="0" fontId="27" fillId="0" borderId="0" xfId="0" applyFont="1" applyFill="1" applyBorder="1" applyAlignment="1">
      <alignment horizontal="left" vertical="center" wrapText="1" readingOrder="1"/>
    </xf>
    <xf numFmtId="0" fontId="2" fillId="0" borderId="0" xfId="0" applyFont="1" applyFill="1">
      <alignment vertical="center"/>
    </xf>
    <xf numFmtId="10" fontId="2" fillId="0" borderId="0" xfId="3" applyNumberFormat="1" applyFont="1" applyFill="1" applyAlignment="1">
      <alignment horizontal="center" vertical="center"/>
    </xf>
    <xf numFmtId="10" fontId="28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43" fontId="2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0" fontId="3" fillId="0" borderId="0" xfId="0" applyNumberFormat="1" applyFont="1">
      <alignment vertical="center"/>
    </xf>
    <xf numFmtId="43" fontId="3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8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43" fontId="17" fillId="7" borderId="0" xfId="0" applyNumberFormat="1" applyFont="1" applyFill="1">
      <alignment vertical="center"/>
    </xf>
    <xf numFmtId="0" fontId="17" fillId="7" borderId="0" xfId="0" applyFont="1" applyFill="1">
      <alignment vertical="center"/>
    </xf>
    <xf numFmtId="0" fontId="20" fillId="7" borderId="0" xfId="0" applyFont="1" applyFill="1">
      <alignment vertical="center"/>
    </xf>
    <xf numFmtId="0" fontId="15" fillId="7" borderId="0" xfId="0" applyFont="1" applyFill="1">
      <alignment vertical="center"/>
    </xf>
    <xf numFmtId="2" fontId="3" fillId="0" borderId="1" xfId="0" applyNumberFormat="1" applyFont="1" applyBorder="1" applyAlignment="1">
      <alignment horizontal="center" vertical="center"/>
    </xf>
    <xf numFmtId="43" fontId="42" fillId="8" borderId="1" xfId="1" applyFont="1" applyFill="1" applyBorder="1" applyAlignment="1" applyProtection="1">
      <alignment horizontal="center" vertical="center"/>
    </xf>
    <xf numFmtId="43" fontId="11" fillId="8" borderId="1" xfId="1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5" fillId="0" borderId="1" xfId="1" applyFont="1" applyFill="1" applyBorder="1">
      <alignment vertical="center"/>
    </xf>
    <xf numFmtId="43" fontId="3" fillId="0" borderId="1" xfId="0" applyNumberFormat="1" applyFont="1" applyBorder="1">
      <alignment vertical="center"/>
    </xf>
    <xf numFmtId="9" fontId="0" fillId="0" borderId="1" xfId="3" applyFont="1" applyFill="1" applyBorder="1" applyAlignment="1">
      <alignment horizontal="center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 wrapText="1" readingOrder="1"/>
    </xf>
    <xf numFmtId="0" fontId="8" fillId="9" borderId="1" xfId="0" applyFont="1" applyFill="1" applyBorder="1" applyAlignment="1">
      <alignment horizontal="center" vertical="center" wrapText="1" readingOrder="1"/>
    </xf>
    <xf numFmtId="0" fontId="47" fillId="0" borderId="16" xfId="0" applyFont="1" applyBorder="1" applyAlignment="1">
      <alignment horizontal="center" vertical="center" wrapText="1" readingOrder="1"/>
    </xf>
    <xf numFmtId="9" fontId="17" fillId="0" borderId="7" xfId="3" applyFont="1" applyFill="1" applyBorder="1">
      <alignment vertical="center"/>
    </xf>
    <xf numFmtId="178" fontId="17" fillId="7" borderId="1" xfId="1" applyNumberFormat="1" applyFont="1" applyFill="1" applyBorder="1" applyAlignment="1">
      <alignment horizontal="center" vertical="center"/>
    </xf>
    <xf numFmtId="0" fontId="28" fillId="3" borderId="1" xfId="0" applyFont="1" applyFill="1" applyBorder="1">
      <alignment vertical="center"/>
    </xf>
    <xf numFmtId="43" fontId="17" fillId="0" borderId="7" xfId="1" applyFont="1" applyFill="1" applyBorder="1">
      <alignment vertical="center"/>
    </xf>
    <xf numFmtId="0" fontId="17" fillId="0" borderId="0" xfId="0" applyFont="1" applyFill="1" applyBorder="1">
      <alignment vertical="center"/>
    </xf>
    <xf numFmtId="43" fontId="42" fillId="8" borderId="4" xfId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43" fontId="28" fillId="0" borderId="0" xfId="1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43" fontId="0" fillId="2" borderId="0" xfId="1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43" fontId="42" fillId="8" borderId="0" xfId="1" applyFont="1" applyFill="1" applyBorder="1" applyAlignment="1" applyProtection="1">
      <alignment horizontal="center" vertical="center"/>
    </xf>
    <xf numFmtId="0" fontId="28" fillId="0" borderId="0" xfId="0" applyFont="1" applyBorder="1">
      <alignment vertical="center"/>
    </xf>
    <xf numFmtId="43" fontId="11" fillId="8" borderId="0" xfId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 wrapText="1"/>
    </xf>
    <xf numFmtId="43" fontId="42" fillId="7" borderId="0" xfId="1" applyFont="1" applyFill="1" applyBorder="1" applyAlignment="1" applyProtection="1">
      <alignment horizontal="center" vertical="center"/>
    </xf>
    <xf numFmtId="43" fontId="0" fillId="0" borderId="0" xfId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3" fontId="18" fillId="0" borderId="6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1" xfId="0" applyBorder="1" applyAlignment="1"/>
    <xf numFmtId="43" fontId="0" fillId="0" borderId="1" xfId="1" applyFont="1" applyBorder="1" applyAlignment="1"/>
    <xf numFmtId="10" fontId="0" fillId="0" borderId="1" xfId="0" applyNumberFormat="1" applyBorder="1" applyAlignment="1"/>
    <xf numFmtId="43" fontId="50" fillId="0" borderId="1" xfId="1" applyNumberFormat="1" applyFont="1" applyFill="1" applyBorder="1" applyAlignment="1">
      <alignment vertical="center"/>
    </xf>
    <xf numFmtId="0" fontId="50" fillId="0" borderId="1" xfId="0" applyFont="1" applyBorder="1" applyAlignment="1"/>
    <xf numFmtId="43" fontId="50" fillId="7" borderId="1" xfId="1" applyNumberFormat="1" applyFont="1" applyFill="1" applyBorder="1" applyAlignment="1">
      <alignment vertical="center"/>
    </xf>
    <xf numFmtId="43" fontId="50" fillId="7" borderId="1" xfId="1" applyFont="1" applyFill="1" applyBorder="1" applyAlignment="1"/>
    <xf numFmtId="0" fontId="50" fillId="7" borderId="1" xfId="0" applyFont="1" applyFill="1" applyBorder="1" applyAlignment="1"/>
    <xf numFmtId="43" fontId="50" fillId="7" borderId="1" xfId="1" applyNumberFormat="1" applyFont="1" applyFill="1" applyBorder="1" applyAlignment="1"/>
    <xf numFmtId="43" fontId="50" fillId="0" borderId="1" xfId="1" applyFont="1" applyBorder="1" applyAlignment="1"/>
    <xf numFmtId="49" fontId="49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49" fillId="0" borderId="1" xfId="0" applyNumberFormat="1" applyFont="1" applyFill="1" applyBorder="1" applyAlignment="1">
      <alignment horizontal="left" vertical="center"/>
    </xf>
    <xf numFmtId="0" fontId="49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NumberFormat="1" applyBorder="1" applyAlignment="1">
      <alignment horizontal="center"/>
    </xf>
    <xf numFmtId="0" fontId="49" fillId="0" borderId="1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9" fontId="0" fillId="0" borderId="1" xfId="1" applyNumberFormat="1" applyFont="1" applyBorder="1" applyAlignment="1"/>
    <xf numFmtId="0" fontId="42" fillId="0" borderId="1" xfId="0" applyFont="1" applyBorder="1">
      <alignment vertical="center"/>
    </xf>
    <xf numFmtId="0" fontId="42" fillId="0" borderId="1" xfId="0" applyFont="1" applyBorder="1" applyAlignment="1">
      <alignment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 readingOrder="1"/>
    </xf>
    <xf numFmtId="43" fontId="17" fillId="0" borderId="0" xfId="1" applyFont="1" applyAlignment="1">
      <alignment vertical="center" wrapText="1"/>
    </xf>
    <xf numFmtId="43" fontId="0" fillId="0" borderId="1" xfId="1" applyFont="1" applyBorder="1" applyAlignment="1">
      <alignment horizontal="right"/>
    </xf>
    <xf numFmtId="10" fontId="0" fillId="0" borderId="1" xfId="0" applyNumberFormat="1" applyBorder="1" applyAlignment="1">
      <alignment horizontal="right"/>
    </xf>
    <xf numFmtId="2" fontId="0" fillId="0" borderId="1" xfId="1" applyNumberFormat="1" applyFont="1" applyBorder="1" applyAlignment="1">
      <alignment horizontal="right"/>
    </xf>
    <xf numFmtId="49" fontId="28" fillId="0" borderId="1" xfId="0" applyNumberFormat="1" applyFont="1" applyBorder="1" applyAlignment="1">
      <alignment horizontal="left"/>
    </xf>
    <xf numFmtId="0" fontId="51" fillId="0" borderId="1" xfId="0" applyFont="1" applyBorder="1">
      <alignment vertic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center" vertical="center" wrapText="1" readingOrder="1"/>
    </xf>
    <xf numFmtId="0" fontId="22" fillId="0" borderId="8" xfId="0" applyFont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3" fillId="4" borderId="1" xfId="2" applyFont="1" applyFill="1" applyBorder="1" applyAlignment="1" applyProtection="1">
      <alignment horizontal="center"/>
    </xf>
    <xf numFmtId="0" fontId="17" fillId="0" borderId="1" xfId="0" applyFont="1" applyFill="1" applyBorder="1" applyAlignment="1">
      <alignment horizontal="center" vertical="center"/>
    </xf>
    <xf numFmtId="43" fontId="18" fillId="0" borderId="5" xfId="1" applyFont="1" applyFill="1" applyBorder="1" applyAlignment="1">
      <alignment horizontal="center" vertical="center" wrapText="1"/>
    </xf>
    <xf numFmtId="43" fontId="18" fillId="0" borderId="7" xfId="1" applyFont="1" applyFill="1" applyBorder="1" applyAlignment="1">
      <alignment horizontal="center" vertical="center" wrapText="1"/>
    </xf>
    <xf numFmtId="43" fontId="18" fillId="0" borderId="6" xfId="1" applyFont="1" applyFill="1" applyBorder="1" applyAlignment="1">
      <alignment horizontal="center" vertical="center" wrapText="1"/>
    </xf>
    <xf numFmtId="43" fontId="17" fillId="0" borderId="4" xfId="1" applyFont="1" applyFill="1" applyBorder="1" applyAlignment="1">
      <alignment horizontal="center" vertical="center"/>
    </xf>
    <xf numFmtId="43" fontId="17" fillId="0" borderId="2" xfId="1" applyFont="1" applyFill="1" applyBorder="1" applyAlignment="1">
      <alignment horizontal="center" vertical="center"/>
    </xf>
    <xf numFmtId="43" fontId="17" fillId="0" borderId="3" xfId="1" applyFont="1" applyFill="1" applyBorder="1" applyAlignment="1">
      <alignment horizontal="center" vertical="center"/>
    </xf>
    <xf numFmtId="43" fontId="17" fillId="2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9" fillId="4" borderId="8" xfId="2" applyNumberFormat="1" applyFont="1" applyFill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4" xfId="0" applyNumberFormat="1" applyFont="1" applyBorder="1" applyAlignment="1">
      <alignment horizontal="center" vertical="center"/>
    </xf>
    <xf numFmtId="43" fontId="3" fillId="0" borderId="2" xfId="0" applyNumberFormat="1" applyFont="1" applyBorder="1" applyAlignment="1">
      <alignment horizontal="center" vertical="center"/>
    </xf>
    <xf numFmtId="43" fontId="3" fillId="0" borderId="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3" fontId="3" fillId="0" borderId="5" xfId="0" applyNumberFormat="1" applyFont="1" applyBorder="1" applyAlignment="1">
      <alignment horizontal="center" vertical="center"/>
    </xf>
    <xf numFmtId="43" fontId="3" fillId="0" borderId="7" xfId="0" applyNumberFormat="1" applyFont="1" applyBorder="1" applyAlignment="1">
      <alignment horizontal="center" vertical="center"/>
    </xf>
    <xf numFmtId="43" fontId="3" fillId="0" borderId="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7" sqref="C17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39" customFormat="1" ht="35.25" customHeight="1">
      <c r="A2" s="140" t="s">
        <v>0</v>
      </c>
      <c r="B2" s="140" t="s">
        <v>1</v>
      </c>
      <c r="C2" s="140" t="s">
        <v>2</v>
      </c>
      <c r="D2" s="141"/>
    </row>
    <row r="3" spans="1:4" s="139" customFormat="1" ht="33.75" customHeight="1">
      <c r="A3" s="142">
        <v>1</v>
      </c>
      <c r="B3" s="142" t="s">
        <v>3</v>
      </c>
      <c r="C3" s="143" t="s">
        <v>4</v>
      </c>
      <c r="D3" s="141"/>
    </row>
    <row r="4" spans="1:4" s="139" customFormat="1" ht="33.75" customHeight="1">
      <c r="A4" s="142">
        <v>2</v>
      </c>
      <c r="B4" s="142" t="s">
        <v>5</v>
      </c>
      <c r="C4" s="143" t="s">
        <v>6</v>
      </c>
    </row>
    <row r="5" spans="1:4" s="139" customFormat="1" ht="33.75" customHeight="1">
      <c r="A5" s="142">
        <v>3</v>
      </c>
      <c r="B5" s="248" t="s">
        <v>7</v>
      </c>
      <c r="C5" s="144" t="s">
        <v>287</v>
      </c>
    </row>
    <row r="6" spans="1:4" s="139" customFormat="1" ht="33.75" customHeight="1">
      <c r="A6" s="142">
        <v>4</v>
      </c>
      <c r="B6" s="249"/>
      <c r="C6" s="143" t="s">
        <v>8</v>
      </c>
    </row>
    <row r="7" spans="1:4" s="139" customFormat="1" ht="33.75" customHeight="1">
      <c r="A7" s="142">
        <v>5</v>
      </c>
      <c r="B7" s="145" t="s">
        <v>9</v>
      </c>
      <c r="C7" s="143" t="s">
        <v>251</v>
      </c>
    </row>
    <row r="8" spans="1:4" s="139" customFormat="1" ht="33.75" customHeight="1">
      <c r="A8" s="142">
        <v>6</v>
      </c>
      <c r="B8" s="248" t="s">
        <v>10</v>
      </c>
      <c r="C8" s="143" t="s">
        <v>11</v>
      </c>
    </row>
    <row r="9" spans="1:4" s="139" customFormat="1" ht="33.75" customHeight="1">
      <c r="A9" s="142">
        <v>7</v>
      </c>
      <c r="B9" s="249"/>
      <c r="C9" s="143" t="s">
        <v>12</v>
      </c>
    </row>
    <row r="10" spans="1:4" s="139" customFormat="1" ht="33.75" customHeight="1">
      <c r="A10" s="142">
        <v>8</v>
      </c>
      <c r="B10" s="249"/>
      <c r="C10" s="144" t="s">
        <v>13</v>
      </c>
    </row>
    <row r="11" spans="1:4" s="139" customFormat="1" ht="33.75" customHeight="1">
      <c r="A11" s="142">
        <v>9</v>
      </c>
      <c r="B11" s="249"/>
      <c r="C11" s="143" t="s">
        <v>14</v>
      </c>
    </row>
    <row r="12" spans="1:4" s="139" customFormat="1" ht="33.75" customHeight="1">
      <c r="A12" s="142">
        <v>10</v>
      </c>
      <c r="B12" s="145" t="s">
        <v>15</v>
      </c>
      <c r="C12" s="143" t="s">
        <v>16</v>
      </c>
    </row>
    <row r="13" spans="1:4" ht="33.75" customHeight="1"/>
    <row r="14" spans="1:4" ht="33.75" customHeight="1"/>
    <row r="15" spans="1:4" ht="33.75" customHeight="1">
      <c r="C15" s="146"/>
    </row>
  </sheetData>
  <mergeCells count="2">
    <mergeCell ref="B5:B6"/>
    <mergeCell ref="B8:B11"/>
  </mergeCells>
  <phoneticPr fontId="39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80" zoomScaleNormal="80" workbookViewId="0">
      <selection activeCell="E6" sqref="E6"/>
    </sheetView>
  </sheetViews>
  <sheetFormatPr defaultColWidth="9" defaultRowHeight="16.5"/>
  <cols>
    <col min="1" max="1" width="14" style="6" customWidth="1"/>
    <col min="2" max="2" width="14.125" style="6" customWidth="1"/>
    <col min="3" max="8" width="18.25" style="6" customWidth="1"/>
    <col min="9" max="9" width="11.625" style="6" customWidth="1"/>
    <col min="10" max="10" width="9.25" style="6" customWidth="1"/>
    <col min="11" max="11" width="9.125" style="6" customWidth="1"/>
    <col min="12" max="16384" width="9" style="6"/>
  </cols>
  <sheetData>
    <row r="1" spans="1:12" ht="29.25" customHeight="1">
      <c r="A1" s="16" t="s">
        <v>192</v>
      </c>
      <c r="E1" s="17"/>
      <c r="F1" s="17"/>
      <c r="G1" s="17"/>
      <c r="H1" s="17"/>
      <c r="I1" s="17"/>
    </row>
    <row r="2" spans="1:12" ht="24" customHeight="1">
      <c r="A2" s="18" t="s">
        <v>193</v>
      </c>
      <c r="E2" s="17"/>
      <c r="F2" s="17"/>
      <c r="G2" s="17"/>
      <c r="H2" s="17"/>
      <c r="I2" s="17"/>
    </row>
    <row r="3" spans="1:12">
      <c r="C3" s="6" t="s">
        <v>194</v>
      </c>
      <c r="D3" s="9" t="s">
        <v>283</v>
      </c>
      <c r="E3" s="165">
        <v>0.05</v>
      </c>
    </row>
    <row r="5" spans="1:12" ht="45" customHeight="1">
      <c r="A5" s="280" t="s">
        <v>195</v>
      </c>
      <c r="B5" s="8" t="s">
        <v>145</v>
      </c>
      <c r="C5" s="239" t="s">
        <v>279</v>
      </c>
      <c r="D5" s="239" t="s">
        <v>280</v>
      </c>
      <c r="E5" s="210"/>
      <c r="F5" s="210"/>
      <c r="G5" s="15"/>
      <c r="H5" s="15"/>
      <c r="I5" s="279" t="s">
        <v>19</v>
      </c>
    </row>
    <row r="6" spans="1:12" ht="31.5" customHeight="1">
      <c r="A6" s="280"/>
      <c r="B6" s="8" t="s">
        <v>146</v>
      </c>
      <c r="C6" s="239" t="s">
        <v>288</v>
      </c>
      <c r="D6" s="239" t="s">
        <v>289</v>
      </c>
      <c r="E6" s="210"/>
      <c r="F6" s="210"/>
      <c r="G6" s="15"/>
      <c r="H6" s="15"/>
      <c r="I6" s="279"/>
      <c r="K6" s="6">
        <v>100</v>
      </c>
    </row>
    <row r="7" spans="1:12" ht="16.5" customHeight="1">
      <c r="A7" s="280"/>
      <c r="B7" s="21" t="s">
        <v>196</v>
      </c>
      <c r="C7" s="240" t="s">
        <v>281</v>
      </c>
      <c r="D7" s="240" t="s">
        <v>282</v>
      </c>
      <c r="E7" s="211"/>
      <c r="F7" s="212"/>
      <c r="G7" s="20"/>
      <c r="H7" s="20"/>
      <c r="I7" s="279"/>
      <c r="K7" s="6">
        <f>K6*(1-$E$3)</f>
        <v>95</v>
      </c>
      <c r="L7" s="6">
        <f>K7/$K$6</f>
        <v>0.95</v>
      </c>
    </row>
    <row r="8" spans="1:12" ht="33">
      <c r="A8" s="280"/>
      <c r="B8" s="21" t="s">
        <v>197</v>
      </c>
      <c r="C8" s="240">
        <f>2000/1.13</f>
        <v>1769.911504424779</v>
      </c>
      <c r="D8" s="240">
        <f>650/1.13</f>
        <v>575.22123893805315</v>
      </c>
      <c r="E8" s="213"/>
      <c r="F8" s="213"/>
      <c r="G8" s="20"/>
      <c r="H8" s="20"/>
      <c r="I8" s="279"/>
      <c r="K8" s="6">
        <f>K7*(1-$E$3)</f>
        <v>90.25</v>
      </c>
      <c r="L8" s="6">
        <f t="shared" ref="L8:L10" si="0">K8/$K$6</f>
        <v>0.90249999999999997</v>
      </c>
    </row>
    <row r="9" spans="1:12" ht="18.75">
      <c r="A9" s="280" t="s">
        <v>198</v>
      </c>
      <c r="B9" s="179" t="s">
        <v>260</v>
      </c>
      <c r="C9" s="241">
        <v>5000</v>
      </c>
      <c r="D9" s="241">
        <v>5000</v>
      </c>
      <c r="E9" s="186"/>
      <c r="F9" s="186"/>
      <c r="G9" s="187"/>
      <c r="H9" s="188"/>
      <c r="I9" s="26">
        <f>SUM(C9:H9)</f>
        <v>10000</v>
      </c>
      <c r="K9" s="6">
        <f t="shared" ref="K9:K10" si="1">K8*(1-$E$3)</f>
        <v>85.737499999999997</v>
      </c>
      <c r="L9" s="6">
        <f t="shared" si="0"/>
        <v>0.857375</v>
      </c>
    </row>
    <row r="10" spans="1:12" ht="18.75">
      <c r="A10" s="280"/>
      <c r="B10" s="209" t="s">
        <v>187</v>
      </c>
      <c r="C10" s="241">
        <v>10000</v>
      </c>
      <c r="D10" s="241">
        <v>10000</v>
      </c>
      <c r="E10" s="186"/>
      <c r="F10" s="186"/>
      <c r="G10" s="187"/>
      <c r="H10" s="188"/>
      <c r="I10" s="26">
        <f t="shared" ref="I10:I14" si="2">SUM(C10:H10)</f>
        <v>20000</v>
      </c>
      <c r="K10" s="6">
        <f t="shared" si="1"/>
        <v>81.450624999999988</v>
      </c>
      <c r="L10" s="6">
        <f t="shared" si="0"/>
        <v>0.81450624999999988</v>
      </c>
    </row>
    <row r="11" spans="1:12" ht="18.75">
      <c r="A11" s="280"/>
      <c r="B11" s="209" t="s">
        <v>188</v>
      </c>
      <c r="C11" s="241">
        <v>30000</v>
      </c>
      <c r="D11" s="241">
        <v>30000</v>
      </c>
      <c r="E11" s="186"/>
      <c r="F11" s="186"/>
      <c r="G11" s="187"/>
      <c r="H11" s="188"/>
      <c r="I11" s="26">
        <f t="shared" si="2"/>
        <v>60000</v>
      </c>
    </row>
    <row r="12" spans="1:12" ht="18.75">
      <c r="A12" s="280"/>
      <c r="B12" s="209" t="s">
        <v>189</v>
      </c>
      <c r="C12" s="241">
        <v>50000</v>
      </c>
      <c r="D12" s="241">
        <v>50000</v>
      </c>
      <c r="E12" s="186"/>
      <c r="F12" s="186"/>
      <c r="G12" s="187"/>
      <c r="H12" s="188"/>
      <c r="I12" s="26">
        <f t="shared" si="2"/>
        <v>100000</v>
      </c>
    </row>
    <row r="13" spans="1:12" ht="18.75">
      <c r="A13" s="280"/>
      <c r="B13" s="209" t="s">
        <v>238</v>
      </c>
      <c r="C13" s="186"/>
      <c r="D13" s="186"/>
      <c r="E13" s="186"/>
      <c r="F13" s="186"/>
      <c r="G13" s="187"/>
      <c r="H13" s="188"/>
      <c r="I13" s="26">
        <f t="shared" si="2"/>
        <v>0</v>
      </c>
    </row>
    <row r="14" spans="1:12" ht="17.25">
      <c r="A14" s="280"/>
      <c r="B14" s="179"/>
      <c r="C14" s="23"/>
      <c r="D14" s="23"/>
      <c r="E14" s="23"/>
      <c r="F14" s="23"/>
      <c r="G14" s="23"/>
      <c r="H14" s="23"/>
      <c r="I14" s="26">
        <f t="shared" si="2"/>
        <v>0</v>
      </c>
    </row>
    <row r="15" spans="1:12" ht="17.25">
      <c r="A15" s="279" t="s">
        <v>19</v>
      </c>
      <c r="B15" s="279"/>
      <c r="C15" s="24">
        <f t="shared" ref="C15:I15" si="3">SUM(C9:C14)</f>
        <v>95000</v>
      </c>
      <c r="D15" s="24">
        <f t="shared" si="3"/>
        <v>95000</v>
      </c>
      <c r="E15" s="24">
        <f t="shared" si="3"/>
        <v>0</v>
      </c>
      <c r="F15" s="24">
        <f t="shared" si="3"/>
        <v>0</v>
      </c>
      <c r="G15" s="24">
        <f t="shared" si="3"/>
        <v>0</v>
      </c>
      <c r="H15" s="24">
        <f t="shared" si="3"/>
        <v>0</v>
      </c>
      <c r="I15" s="24">
        <f t="shared" si="3"/>
        <v>190000</v>
      </c>
    </row>
    <row r="16" spans="1:12">
      <c r="A16" s="25"/>
      <c r="B16" s="25"/>
      <c r="C16" s="25"/>
    </row>
  </sheetData>
  <mergeCells count="4">
    <mergeCell ref="A15:B15"/>
    <mergeCell ref="A5:A8"/>
    <mergeCell ref="A9:A14"/>
    <mergeCell ref="I5:I8"/>
  </mergeCells>
  <phoneticPr fontId="39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5"/>
  <sheetViews>
    <sheetView workbookViewId="0">
      <pane xSplit="3" ySplit="5" topLeftCell="D24" activePane="bottomRight" state="frozen"/>
      <selection pane="topRight"/>
      <selection pane="bottomLeft"/>
      <selection pane="bottomRight" activeCell="E42" sqref="E42"/>
    </sheetView>
  </sheetViews>
  <sheetFormatPr defaultColWidth="9" defaultRowHeight="16.5"/>
  <cols>
    <col min="1" max="1" width="8.375" style="6" customWidth="1"/>
    <col min="2" max="2" width="8.875" style="6" customWidth="1"/>
    <col min="3" max="3" width="14" style="6" customWidth="1"/>
    <col min="4" max="4" width="16.625" style="6" customWidth="1"/>
    <col min="5" max="5" width="15.75" style="6" customWidth="1"/>
    <col min="6" max="6" width="12.125" style="6" customWidth="1"/>
    <col min="7" max="9" width="14.375" style="6" customWidth="1"/>
    <col min="10" max="10" width="17.375" style="6" customWidth="1"/>
    <col min="11" max="11" width="16" style="6" customWidth="1"/>
    <col min="12" max="16384" width="9" style="6"/>
  </cols>
  <sheetData>
    <row r="1" spans="1:12" s="5" customFormat="1" ht="28.5" customHeight="1">
      <c r="A1" s="289" t="s">
        <v>7</v>
      </c>
      <c r="B1" s="289"/>
      <c r="C1" s="7"/>
      <c r="K1" s="14"/>
    </row>
    <row r="2" spans="1:12">
      <c r="A2" s="290" t="s">
        <v>199</v>
      </c>
      <c r="B2" s="290"/>
      <c r="C2" s="291"/>
      <c r="D2" s="291"/>
      <c r="E2" s="292" t="s">
        <v>284</v>
      </c>
      <c r="F2" s="293"/>
      <c r="G2" s="293"/>
      <c r="H2" s="293"/>
      <c r="I2" s="293"/>
      <c r="J2" s="294"/>
    </row>
    <row r="3" spans="1:12">
      <c r="A3" s="304" t="s">
        <v>17</v>
      </c>
      <c r="B3" s="304" t="s">
        <v>200</v>
      </c>
      <c r="C3" s="8" t="s">
        <v>201</v>
      </c>
      <c r="D3" s="295"/>
      <c r="E3" s="295"/>
      <c r="F3" s="8" t="s">
        <v>202</v>
      </c>
      <c r="G3" s="281"/>
      <c r="H3" s="282"/>
      <c r="I3" s="283"/>
      <c r="J3" s="296" t="s">
        <v>155</v>
      </c>
    </row>
    <row r="4" spans="1:12">
      <c r="A4" s="304"/>
      <c r="B4" s="304"/>
      <c r="C4" s="8" t="s">
        <v>145</v>
      </c>
      <c r="D4" s="161" t="str">
        <f>销量!C5</f>
        <v>司机座椅总成</v>
      </c>
      <c r="E4" s="161" t="str">
        <f>销量!D5</f>
        <v>副司机座椅总成</v>
      </c>
      <c r="F4" s="161">
        <f>销量!E5</f>
        <v>0</v>
      </c>
      <c r="G4" s="161">
        <f>销量!F5</f>
        <v>0</v>
      </c>
      <c r="H4" s="161">
        <f>销量!G5</f>
        <v>0</v>
      </c>
      <c r="I4" s="161">
        <f>销量!H5</f>
        <v>0</v>
      </c>
      <c r="J4" s="297"/>
    </row>
    <row r="5" spans="1:12">
      <c r="A5" s="304"/>
      <c r="B5" s="304"/>
      <c r="C5" s="8" t="s">
        <v>146</v>
      </c>
      <c r="D5" s="161" t="str">
        <f>销量!C6</f>
        <v>DZ16251510101</v>
      </c>
      <c r="E5" s="161" t="str">
        <f>销量!D6</f>
        <v>DZ16251510102</v>
      </c>
      <c r="F5" s="161">
        <f>销量!E6</f>
        <v>0</v>
      </c>
      <c r="G5" s="161">
        <f>销量!F6</f>
        <v>0</v>
      </c>
      <c r="H5" s="161">
        <f>销量!G6</f>
        <v>0</v>
      </c>
      <c r="I5" s="161">
        <f>销量!H6</f>
        <v>0</v>
      </c>
      <c r="J5" s="298"/>
    </row>
    <row r="6" spans="1:12" ht="16.5" customHeight="1">
      <c r="A6" s="11">
        <v>1</v>
      </c>
      <c r="B6" s="299" t="s">
        <v>244</v>
      </c>
      <c r="C6" s="300"/>
      <c r="D6" s="217">
        <v>1026</v>
      </c>
      <c r="E6" s="217">
        <v>477</v>
      </c>
      <c r="F6" s="217"/>
      <c r="G6" s="217"/>
      <c r="H6" s="12"/>
      <c r="I6" s="12"/>
      <c r="J6" s="181"/>
    </row>
    <row r="7" spans="1:12" ht="16.5" customHeight="1">
      <c r="A7" s="11">
        <v>2</v>
      </c>
      <c r="B7" s="299"/>
      <c r="C7" s="300"/>
      <c r="D7" s="10"/>
      <c r="E7" s="10"/>
      <c r="F7" s="217"/>
      <c r="G7" s="10"/>
      <c r="H7" s="10"/>
      <c r="I7" s="10"/>
      <c r="J7" s="15"/>
    </row>
    <row r="8" spans="1:12" ht="16.5" customHeight="1">
      <c r="A8" s="11">
        <v>3</v>
      </c>
      <c r="B8" s="299"/>
      <c r="C8" s="300"/>
      <c r="D8" s="12"/>
      <c r="E8" s="10"/>
      <c r="F8" s="12"/>
      <c r="G8" s="10"/>
      <c r="H8" s="12"/>
      <c r="I8" s="12"/>
      <c r="J8" s="15"/>
    </row>
    <row r="9" spans="1:12">
      <c r="A9" s="11">
        <v>4</v>
      </c>
      <c r="B9" s="299"/>
      <c r="C9" s="300"/>
      <c r="D9" s="12"/>
      <c r="E9" s="10"/>
      <c r="F9" s="12"/>
      <c r="G9" s="10"/>
      <c r="H9" s="10"/>
      <c r="I9" s="10"/>
      <c r="J9" s="15"/>
    </row>
    <row r="10" spans="1:12" ht="16.5" customHeight="1">
      <c r="A10" s="11">
        <v>5</v>
      </c>
      <c r="B10" s="299"/>
      <c r="C10" s="300"/>
      <c r="D10" s="12"/>
      <c r="E10" s="12"/>
      <c r="F10" s="12"/>
      <c r="G10" s="10"/>
      <c r="H10" s="10"/>
      <c r="I10" s="10"/>
      <c r="J10" s="15"/>
      <c r="K10" s="305"/>
      <c r="L10" s="306"/>
    </row>
    <row r="11" spans="1:12" ht="16.5" customHeight="1">
      <c r="A11" s="11">
        <v>6</v>
      </c>
      <c r="B11" s="299"/>
      <c r="C11" s="300"/>
      <c r="D11" s="12"/>
      <c r="E11" s="10"/>
      <c r="F11" s="12"/>
      <c r="G11" s="10"/>
      <c r="H11" s="10"/>
      <c r="I11" s="10"/>
      <c r="J11" s="15"/>
      <c r="K11" s="305"/>
      <c r="L11" s="306"/>
    </row>
    <row r="12" spans="1:12" ht="16.5" customHeight="1">
      <c r="A12" s="11">
        <v>7</v>
      </c>
      <c r="B12" s="299"/>
      <c r="C12" s="300"/>
      <c r="D12" s="12"/>
      <c r="E12" s="10"/>
      <c r="F12" s="12"/>
      <c r="G12" s="10"/>
      <c r="H12" s="10"/>
      <c r="I12" s="10"/>
      <c r="J12" s="15"/>
      <c r="K12" s="305"/>
      <c r="L12" s="306"/>
    </row>
    <row r="13" spans="1:12" ht="16.5" customHeight="1">
      <c r="A13" s="11">
        <v>8</v>
      </c>
      <c r="B13" s="299"/>
      <c r="C13" s="300"/>
      <c r="D13" s="12"/>
      <c r="E13" s="10"/>
      <c r="F13" s="12"/>
      <c r="G13" s="10"/>
      <c r="H13" s="10"/>
      <c r="I13" s="10"/>
      <c r="J13" s="15"/>
      <c r="K13" s="305"/>
      <c r="L13" s="306"/>
    </row>
    <row r="14" spans="1:12" ht="16.5" customHeight="1">
      <c r="A14" s="11">
        <v>9</v>
      </c>
      <c r="B14" s="299"/>
      <c r="C14" s="300"/>
      <c r="D14" s="12"/>
      <c r="E14" s="10"/>
      <c r="F14" s="12"/>
      <c r="G14" s="10"/>
      <c r="H14" s="10"/>
      <c r="I14" s="10"/>
      <c r="J14" s="15"/>
      <c r="K14" s="305"/>
      <c r="L14" s="306"/>
    </row>
    <row r="15" spans="1:12" ht="16.5" customHeight="1">
      <c r="A15" s="11">
        <v>10</v>
      </c>
      <c r="B15" s="299"/>
      <c r="C15" s="300"/>
      <c r="D15" s="12"/>
      <c r="E15" s="10"/>
      <c r="F15" s="12"/>
      <c r="G15" s="10"/>
      <c r="H15" s="10"/>
      <c r="I15" s="10"/>
      <c r="J15" s="15"/>
      <c r="K15" s="305"/>
      <c r="L15" s="306"/>
    </row>
    <row r="16" spans="1:12" ht="16.5" customHeight="1">
      <c r="A16" s="11">
        <v>11</v>
      </c>
      <c r="B16" s="299"/>
      <c r="C16" s="300"/>
      <c r="D16" s="12"/>
      <c r="E16" s="10"/>
      <c r="F16" s="12"/>
      <c r="G16" s="10"/>
      <c r="H16" s="10"/>
      <c r="I16" s="10"/>
      <c r="J16" s="15"/>
      <c r="K16" s="305"/>
      <c r="L16" s="306"/>
    </row>
    <row r="17" spans="1:12" ht="16.5" customHeight="1">
      <c r="A17" s="11">
        <v>12</v>
      </c>
      <c r="B17" s="299"/>
      <c r="C17" s="300"/>
      <c r="D17" s="12"/>
      <c r="E17" s="10"/>
      <c r="F17" s="12"/>
      <c r="G17" s="10"/>
      <c r="H17" s="10"/>
      <c r="I17" s="10"/>
      <c r="J17" s="15"/>
      <c r="K17" s="305"/>
      <c r="L17" s="306"/>
    </row>
    <row r="18" spans="1:12" ht="16.5" customHeight="1">
      <c r="A18" s="11">
        <v>13</v>
      </c>
      <c r="B18" s="299"/>
      <c r="C18" s="300"/>
      <c r="D18" s="12"/>
      <c r="E18" s="10"/>
      <c r="F18" s="12"/>
      <c r="G18" s="10"/>
      <c r="H18" s="10"/>
      <c r="I18" s="10"/>
      <c r="J18" s="15"/>
      <c r="K18" s="305"/>
      <c r="L18" s="306"/>
    </row>
    <row r="19" spans="1:12" ht="16.5" customHeight="1">
      <c r="A19" s="11">
        <v>14</v>
      </c>
      <c r="B19" s="299"/>
      <c r="C19" s="300"/>
      <c r="D19" s="12"/>
      <c r="E19" s="10"/>
      <c r="F19" s="12"/>
      <c r="G19" s="10"/>
      <c r="H19" s="10"/>
      <c r="I19" s="10"/>
      <c r="J19" s="15"/>
      <c r="K19" s="305"/>
      <c r="L19" s="306"/>
    </row>
    <row r="20" spans="1:12" ht="16.5" customHeight="1">
      <c r="A20" s="11">
        <v>15</v>
      </c>
      <c r="B20" s="299"/>
      <c r="C20" s="300"/>
      <c r="D20" s="12"/>
      <c r="E20" s="12"/>
      <c r="F20" s="12"/>
      <c r="G20" s="12"/>
      <c r="H20" s="10"/>
      <c r="I20" s="10"/>
      <c r="J20" s="15"/>
      <c r="K20" s="305"/>
      <c r="L20" s="306"/>
    </row>
    <row r="21" spans="1:12" ht="16.5" customHeight="1">
      <c r="A21" s="11">
        <v>16</v>
      </c>
      <c r="B21" s="299"/>
      <c r="C21" s="300"/>
      <c r="D21" s="10"/>
      <c r="E21" s="12"/>
      <c r="F21" s="10"/>
      <c r="G21" s="12"/>
      <c r="H21" s="10"/>
      <c r="I21" s="10"/>
      <c r="J21" s="15"/>
      <c r="K21" s="305"/>
      <c r="L21" s="306"/>
    </row>
    <row r="22" spans="1:12" ht="16.5" customHeight="1">
      <c r="A22" s="11">
        <v>17</v>
      </c>
      <c r="B22" s="299"/>
      <c r="C22" s="300"/>
      <c r="D22" s="10"/>
      <c r="E22" s="12"/>
      <c r="F22" s="10"/>
      <c r="G22" s="12"/>
      <c r="H22" s="10"/>
      <c r="I22" s="10"/>
      <c r="J22" s="15"/>
      <c r="K22" s="305"/>
      <c r="L22" s="306"/>
    </row>
    <row r="23" spans="1:12" ht="16.5" customHeight="1">
      <c r="A23" s="11">
        <v>18</v>
      </c>
      <c r="B23" s="299"/>
      <c r="C23" s="300"/>
      <c r="D23" s="10"/>
      <c r="E23" s="12"/>
      <c r="F23" s="10"/>
      <c r="G23" s="12"/>
      <c r="H23" s="10"/>
      <c r="I23" s="10"/>
      <c r="J23" s="15"/>
      <c r="K23" s="305"/>
      <c r="L23" s="306"/>
    </row>
    <row r="24" spans="1:12" ht="16.5" customHeight="1">
      <c r="A24" s="11">
        <v>19</v>
      </c>
      <c r="B24" s="299"/>
      <c r="C24" s="300"/>
      <c r="D24" s="10"/>
      <c r="E24" s="12"/>
      <c r="F24" s="10"/>
      <c r="G24" s="12"/>
      <c r="H24" s="10"/>
      <c r="I24" s="10"/>
      <c r="J24" s="15"/>
      <c r="K24" s="305"/>
      <c r="L24" s="306"/>
    </row>
    <row r="25" spans="1:12">
      <c r="A25" s="11">
        <v>20</v>
      </c>
      <c r="B25" s="299"/>
      <c r="C25" s="300"/>
      <c r="D25" s="10"/>
      <c r="E25" s="12"/>
      <c r="F25" s="10"/>
      <c r="G25" s="12"/>
      <c r="H25" s="10"/>
      <c r="I25" s="10"/>
      <c r="J25" s="15"/>
      <c r="K25" s="305"/>
      <c r="L25" s="306"/>
    </row>
    <row r="26" spans="1:12">
      <c r="A26" s="11">
        <v>21</v>
      </c>
      <c r="B26" s="299"/>
      <c r="C26" s="300"/>
      <c r="D26" s="10"/>
      <c r="E26" s="12"/>
      <c r="F26" s="10"/>
      <c r="G26" s="12"/>
      <c r="H26" s="10"/>
      <c r="I26" s="10"/>
      <c r="J26" s="15"/>
      <c r="K26" s="305"/>
      <c r="L26" s="306"/>
    </row>
    <row r="27" spans="1:12">
      <c r="A27" s="11">
        <v>22</v>
      </c>
      <c r="B27" s="299"/>
      <c r="C27" s="300"/>
      <c r="D27" s="10"/>
      <c r="E27" s="12"/>
      <c r="F27" s="10"/>
      <c r="G27" s="12"/>
      <c r="H27" s="10"/>
      <c r="I27" s="10"/>
      <c r="J27" s="15"/>
      <c r="K27" s="305"/>
      <c r="L27" s="306"/>
    </row>
    <row r="28" spans="1:12">
      <c r="A28" s="11">
        <v>23</v>
      </c>
      <c r="B28" s="299"/>
      <c r="C28" s="300"/>
      <c r="D28" s="10"/>
      <c r="E28" s="12"/>
      <c r="F28" s="10"/>
      <c r="G28" s="12"/>
      <c r="H28" s="10"/>
      <c r="I28" s="10"/>
      <c r="J28" s="15"/>
    </row>
    <row r="29" spans="1:12">
      <c r="A29" s="11">
        <v>24</v>
      </c>
      <c r="B29" s="299"/>
      <c r="C29" s="300"/>
      <c r="D29" s="10"/>
      <c r="E29" s="12"/>
      <c r="F29" s="10"/>
      <c r="G29" s="12"/>
      <c r="H29" s="10"/>
      <c r="I29" s="10"/>
      <c r="J29" s="15"/>
    </row>
    <row r="30" spans="1:12">
      <c r="A30" s="11">
        <v>25</v>
      </c>
      <c r="B30" s="299"/>
      <c r="C30" s="300"/>
      <c r="D30" s="12"/>
      <c r="E30" s="12"/>
      <c r="F30" s="12"/>
      <c r="G30" s="12"/>
      <c r="H30" s="10"/>
      <c r="I30" s="10"/>
      <c r="J30" s="15"/>
    </row>
    <row r="31" spans="1:12">
      <c r="A31" s="11">
        <v>26</v>
      </c>
      <c r="B31" s="299"/>
      <c r="C31" s="300"/>
      <c r="D31" s="12"/>
      <c r="E31" s="12"/>
      <c r="F31" s="12"/>
      <c r="G31" s="12"/>
      <c r="H31" s="10"/>
      <c r="I31" s="10"/>
      <c r="J31" s="15"/>
    </row>
    <row r="32" spans="1:12">
      <c r="A32" s="11">
        <v>27</v>
      </c>
      <c r="B32" s="299"/>
      <c r="C32" s="300"/>
      <c r="D32" s="10"/>
      <c r="E32" s="10"/>
      <c r="F32" s="10"/>
      <c r="G32" s="10"/>
      <c r="H32" s="10"/>
      <c r="I32" s="10"/>
      <c r="J32" s="15"/>
    </row>
    <row r="33" spans="1:10" ht="31.5" customHeight="1">
      <c r="A33" s="301" t="s">
        <v>203</v>
      </c>
      <c r="B33" s="302"/>
      <c r="C33" s="303"/>
      <c r="D33" s="13">
        <f t="shared" ref="D33:I33" si="0">SUM(D6:D32)</f>
        <v>1026</v>
      </c>
      <c r="E33" s="13">
        <f t="shared" si="0"/>
        <v>477</v>
      </c>
      <c r="F33" s="13">
        <f t="shared" si="0"/>
        <v>0</v>
      </c>
      <c r="G33" s="13">
        <f t="shared" si="0"/>
        <v>0</v>
      </c>
      <c r="H33" s="13">
        <f t="shared" si="0"/>
        <v>0</v>
      </c>
      <c r="I33" s="13">
        <f t="shared" si="0"/>
        <v>0</v>
      </c>
      <c r="J33" s="15"/>
    </row>
    <row r="34" spans="1:10">
      <c r="D34" s="166"/>
      <c r="E34" s="166"/>
    </row>
    <row r="37" spans="1:10" ht="27.75" customHeight="1">
      <c r="D37" s="280" t="s">
        <v>285</v>
      </c>
      <c r="E37" s="280"/>
      <c r="F37" s="280"/>
      <c r="G37" s="280"/>
      <c r="H37" s="280"/>
      <c r="I37" s="280"/>
      <c r="J37" s="280"/>
    </row>
    <row r="38" spans="1:10">
      <c r="D38" s="284" t="s">
        <v>236</v>
      </c>
      <c r="E38" s="286" t="s">
        <v>237</v>
      </c>
      <c r="F38" s="287"/>
      <c r="G38" s="287"/>
      <c r="H38" s="287"/>
      <c r="I38" s="287"/>
      <c r="J38" s="288"/>
    </row>
    <row r="39" spans="1:10">
      <c r="D39" s="285"/>
      <c r="E39" s="170" t="s">
        <v>252</v>
      </c>
      <c r="F39" s="170" t="s">
        <v>253</v>
      </c>
      <c r="G39" s="170" t="s">
        <v>254</v>
      </c>
      <c r="H39" s="170" t="s">
        <v>255</v>
      </c>
      <c r="I39" s="179" t="s">
        <v>256</v>
      </c>
      <c r="J39" s="170"/>
    </row>
    <row r="40" spans="1:10" ht="28.5">
      <c r="D40" s="161" t="s">
        <v>245</v>
      </c>
      <c r="E40" s="175">
        <f>D33</f>
        <v>1026</v>
      </c>
      <c r="F40" s="175">
        <f t="shared" ref="F40:I41" si="1">E40*(1-0.05)</f>
        <v>974.69999999999993</v>
      </c>
      <c r="G40" s="175">
        <f t="shared" si="1"/>
        <v>925.96499999999992</v>
      </c>
      <c r="H40" s="175">
        <f t="shared" si="1"/>
        <v>879.66674999999987</v>
      </c>
      <c r="I40" s="175">
        <f t="shared" si="1"/>
        <v>835.6834124999998</v>
      </c>
      <c r="J40" s="175"/>
    </row>
    <row r="41" spans="1:10">
      <c r="D41" s="247" t="s">
        <v>246</v>
      </c>
      <c r="E41" s="182">
        <f>E33</f>
        <v>477</v>
      </c>
      <c r="F41" s="175">
        <f t="shared" si="1"/>
        <v>453.15</v>
      </c>
      <c r="G41" s="175">
        <f t="shared" si="1"/>
        <v>430.49249999999995</v>
      </c>
      <c r="H41" s="175">
        <f t="shared" si="1"/>
        <v>408.96787499999994</v>
      </c>
      <c r="I41" s="175">
        <f t="shared" si="1"/>
        <v>388.5194812499999</v>
      </c>
      <c r="J41" s="175"/>
    </row>
    <row r="42" spans="1:10">
      <c r="D42" s="247" t="s">
        <v>247</v>
      </c>
      <c r="E42" s="182">
        <f>F33</f>
        <v>0</v>
      </c>
      <c r="F42" s="175">
        <f>E42*(1-0.01)</f>
        <v>0</v>
      </c>
      <c r="G42" s="175">
        <f t="shared" ref="G42:I42" si="2">F42*(1-0.01)</f>
        <v>0</v>
      </c>
      <c r="H42" s="175">
        <f t="shared" si="2"/>
        <v>0</v>
      </c>
      <c r="I42" s="175">
        <f t="shared" si="2"/>
        <v>0</v>
      </c>
      <c r="J42" s="175"/>
    </row>
    <row r="43" spans="1:10">
      <c r="D43" s="247" t="s">
        <v>248</v>
      </c>
      <c r="E43" s="182">
        <f>G33</f>
        <v>0</v>
      </c>
      <c r="F43" s="175">
        <f>E43*(1-0.01)</f>
        <v>0</v>
      </c>
      <c r="G43" s="175">
        <f t="shared" ref="G43:I43" si="3">F43*(1-0.01)</f>
        <v>0</v>
      </c>
      <c r="H43" s="175">
        <f t="shared" si="3"/>
        <v>0</v>
      </c>
      <c r="I43" s="175">
        <f t="shared" si="3"/>
        <v>0</v>
      </c>
      <c r="J43" s="175"/>
    </row>
    <row r="44" spans="1:10">
      <c r="D44" s="247" t="s">
        <v>249</v>
      </c>
      <c r="E44" s="182">
        <f>H33</f>
        <v>0</v>
      </c>
      <c r="F44" s="175">
        <f t="shared" ref="F44:G45" si="4">E44*(1-0.05)</f>
        <v>0</v>
      </c>
      <c r="G44" s="175">
        <f t="shared" si="4"/>
        <v>0</v>
      </c>
      <c r="H44" s="175"/>
      <c r="I44" s="175"/>
      <c r="J44" s="175"/>
    </row>
    <row r="45" spans="1:10">
      <c r="D45" s="247" t="s">
        <v>250</v>
      </c>
      <c r="E45" s="182">
        <f>I33</f>
        <v>0</v>
      </c>
      <c r="F45" s="175">
        <f t="shared" si="4"/>
        <v>0</v>
      </c>
      <c r="G45" s="175">
        <f t="shared" si="4"/>
        <v>0</v>
      </c>
      <c r="H45" s="175"/>
      <c r="I45" s="175"/>
      <c r="J45" s="175"/>
    </row>
  </sheetData>
  <mergeCells count="57">
    <mergeCell ref="K25:L25"/>
    <mergeCell ref="K26:L26"/>
    <mergeCell ref="K27:L27"/>
    <mergeCell ref="B23:C23"/>
    <mergeCell ref="K20:L20"/>
    <mergeCell ref="K21:L21"/>
    <mergeCell ref="K22:L22"/>
    <mergeCell ref="K23:L23"/>
    <mergeCell ref="K24:L24"/>
    <mergeCell ref="B20:C20"/>
    <mergeCell ref="K15:L15"/>
    <mergeCell ref="K16:L16"/>
    <mergeCell ref="K17:L17"/>
    <mergeCell ref="K18:L18"/>
    <mergeCell ref="K19:L19"/>
    <mergeCell ref="K10:L10"/>
    <mergeCell ref="K11:L11"/>
    <mergeCell ref="K12:L12"/>
    <mergeCell ref="K13:L13"/>
    <mergeCell ref="K14:L14"/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4:C24"/>
    <mergeCell ref="B25:C25"/>
    <mergeCell ref="B16:C16"/>
    <mergeCell ref="B17:C17"/>
    <mergeCell ref="B11:C11"/>
    <mergeCell ref="B12:C12"/>
    <mergeCell ref="B13:C13"/>
    <mergeCell ref="B14:C14"/>
    <mergeCell ref="B15:C15"/>
    <mergeCell ref="G3:I3"/>
    <mergeCell ref="D37:J37"/>
    <mergeCell ref="D38:D39"/>
    <mergeCell ref="E38:J38"/>
    <mergeCell ref="A1:B1"/>
    <mergeCell ref="A2:D2"/>
    <mergeCell ref="E2:J2"/>
    <mergeCell ref="D3:E3"/>
    <mergeCell ref="J3:J5"/>
    <mergeCell ref="B6:C6"/>
    <mergeCell ref="B7:C7"/>
    <mergeCell ref="B8:C8"/>
    <mergeCell ref="B9:C9"/>
    <mergeCell ref="B10:C10"/>
    <mergeCell ref="B18:C18"/>
    <mergeCell ref="B19:C19"/>
  </mergeCells>
  <phoneticPr fontId="39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xSplit="2" ySplit="1" topLeftCell="C2" activePane="bottomRight" state="frozen"/>
      <selection pane="topRight"/>
      <selection pane="bottomLeft"/>
      <selection pane="bottomRight" activeCell="E21" sqref="E21"/>
    </sheetView>
  </sheetViews>
  <sheetFormatPr defaultColWidth="9" defaultRowHeight="13.5"/>
  <cols>
    <col min="1" max="1" width="9" style="4"/>
    <col min="2" max="2" width="29.625" style="4" customWidth="1"/>
    <col min="3" max="3" width="25.5" style="4" customWidth="1"/>
    <col min="4" max="4" width="18.625" style="4" customWidth="1"/>
    <col min="5" max="5" width="22" style="4" customWidth="1"/>
    <col min="6" max="16384" width="9" style="4"/>
  </cols>
  <sheetData>
    <row r="1" spans="1:6" ht="27" customHeight="1">
      <c r="A1" s="1" t="s">
        <v>17</v>
      </c>
      <c r="B1" s="1" t="s">
        <v>204</v>
      </c>
      <c r="C1" s="1" t="s">
        <v>205</v>
      </c>
      <c r="D1" s="1" t="s">
        <v>206</v>
      </c>
      <c r="E1" s="1" t="s">
        <v>207</v>
      </c>
    </row>
    <row r="2" spans="1:6" ht="19.5" customHeight="1">
      <c r="A2" s="1">
        <v>1</v>
      </c>
      <c r="B2" s="1" t="s">
        <v>208</v>
      </c>
      <c r="C2" s="163"/>
      <c r="D2" s="1"/>
      <c r="E2" s="1"/>
    </row>
    <row r="3" spans="1:6" ht="19.5" customHeight="1">
      <c r="A3" s="1">
        <v>2</v>
      </c>
      <c r="B3" s="1" t="s">
        <v>209</v>
      </c>
      <c r="C3" s="163" t="s">
        <v>239</v>
      </c>
      <c r="D3" s="1"/>
      <c r="E3" s="1"/>
    </row>
    <row r="4" spans="1:6" ht="19.5" customHeight="1">
      <c r="A4" s="1">
        <v>3</v>
      </c>
      <c r="B4" s="1" t="s">
        <v>210</v>
      </c>
      <c r="C4" s="163" t="s">
        <v>240</v>
      </c>
      <c r="D4" s="1"/>
      <c r="E4" s="1"/>
    </row>
    <row r="5" spans="1:6" ht="19.5" customHeight="1">
      <c r="A5" s="1">
        <v>4</v>
      </c>
      <c r="B5" s="1" t="s">
        <v>211</v>
      </c>
      <c r="C5" s="163"/>
      <c r="D5" s="1"/>
      <c r="E5" s="1"/>
    </row>
    <row r="6" spans="1:6" ht="35.25" customHeight="1">
      <c r="A6" s="1">
        <v>5</v>
      </c>
      <c r="B6" s="1" t="s">
        <v>212</v>
      </c>
      <c r="C6" s="163"/>
      <c r="D6" s="1"/>
      <c r="E6" s="1"/>
    </row>
    <row r="7" spans="1:6" ht="37.5" customHeight="1">
      <c r="A7" s="1">
        <v>6</v>
      </c>
      <c r="B7" s="1" t="s">
        <v>213</v>
      </c>
      <c r="C7" s="163"/>
      <c r="D7" s="1"/>
      <c r="E7" s="1"/>
    </row>
    <row r="8" spans="1:6" ht="42.75" customHeight="1">
      <c r="A8" s="1">
        <v>7</v>
      </c>
      <c r="B8" s="1" t="s">
        <v>214</v>
      </c>
      <c r="C8" s="163" t="s">
        <v>241</v>
      </c>
      <c r="D8" s="1"/>
      <c r="E8" s="1"/>
    </row>
    <row r="9" spans="1:6" ht="39" customHeight="1">
      <c r="A9" s="1">
        <v>8</v>
      </c>
      <c r="B9" s="1" t="s">
        <v>215</v>
      </c>
      <c r="C9" s="163" t="s">
        <v>242</v>
      </c>
      <c r="D9" s="1"/>
      <c r="E9" s="1"/>
    </row>
    <row r="10" spans="1:6" ht="36" customHeight="1">
      <c r="A10" s="1">
        <v>9</v>
      </c>
      <c r="B10" s="1" t="s">
        <v>216</v>
      </c>
      <c r="C10" s="163" t="s">
        <v>243</v>
      </c>
      <c r="D10" s="1"/>
      <c r="E10" s="1"/>
    </row>
    <row r="11" spans="1:6" ht="35.25" customHeight="1">
      <c r="A11" s="1">
        <v>10</v>
      </c>
      <c r="B11" s="1" t="s">
        <v>217</v>
      </c>
      <c r="C11" s="163"/>
      <c r="D11" s="1"/>
      <c r="E11" s="1"/>
      <c r="F11" s="164" t="s">
        <v>235</v>
      </c>
    </row>
    <row r="12" spans="1:6" ht="19.5" customHeight="1">
      <c r="A12" s="1">
        <v>11</v>
      </c>
      <c r="B12" s="1" t="s">
        <v>218</v>
      </c>
      <c r="C12" s="163"/>
      <c r="D12" s="1"/>
      <c r="E12" s="1"/>
    </row>
    <row r="13" spans="1:6" ht="19.5" customHeight="1">
      <c r="A13" s="1">
        <v>12</v>
      </c>
      <c r="B13" s="1"/>
      <c r="C13" s="1"/>
      <c r="D13" s="1"/>
      <c r="E13" s="1"/>
    </row>
  </sheetData>
  <phoneticPr fontId="39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78"/>
  <sheetViews>
    <sheetView workbookViewId="0">
      <selection activeCell="D21" sqref="D21"/>
    </sheetView>
  </sheetViews>
  <sheetFormatPr defaultColWidth="9" defaultRowHeight="13.5"/>
  <cols>
    <col min="1" max="2" width="9" style="67"/>
    <col min="3" max="5" width="15.75" style="67" customWidth="1"/>
    <col min="6" max="8" width="11.125" style="67" customWidth="1"/>
    <col min="9" max="9" width="12.875" style="150" customWidth="1"/>
    <col min="10" max="16384" width="9" style="67"/>
  </cols>
  <sheetData>
    <row r="1" spans="1:12" s="147" customFormat="1" ht="18.75" customHeight="1">
      <c r="G1" s="312" t="s">
        <v>219</v>
      </c>
      <c r="H1" s="312"/>
      <c r="I1" s="148"/>
    </row>
    <row r="2" spans="1:12" ht="39" customHeight="1">
      <c r="A2" s="313" t="s">
        <v>220</v>
      </c>
      <c r="B2" s="313"/>
      <c r="C2" s="307" t="s">
        <v>221</v>
      </c>
      <c r="D2" s="314"/>
      <c r="E2" s="314"/>
      <c r="F2" s="314"/>
      <c r="G2" s="314"/>
      <c r="H2" s="308"/>
      <c r="I2" s="149" t="s">
        <v>228</v>
      </c>
      <c r="K2" s="169"/>
      <c r="L2" s="169"/>
    </row>
    <row r="3" spans="1:12" ht="34.5" customHeight="1">
      <c r="A3" s="313"/>
      <c r="B3" s="313"/>
      <c r="C3" s="158" t="s">
        <v>230</v>
      </c>
      <c r="D3" s="158" t="s">
        <v>231</v>
      </c>
      <c r="E3" s="158" t="s">
        <v>229</v>
      </c>
      <c r="F3" s="159" t="s">
        <v>234</v>
      </c>
      <c r="G3" s="159" t="s">
        <v>233</v>
      </c>
      <c r="H3" s="159" t="s">
        <v>232</v>
      </c>
      <c r="I3" s="162">
        <f>销量!C8</f>
        <v>1769.911504424779</v>
      </c>
    </row>
    <row r="4" spans="1:12" ht="24" customHeight="1">
      <c r="A4" s="309" t="s">
        <v>222</v>
      </c>
      <c r="B4" s="309"/>
      <c r="C4" s="3"/>
      <c r="D4" s="151"/>
      <c r="E4" s="152">
        <f>$I$3*F4</f>
        <v>99.504400659213019</v>
      </c>
      <c r="F4" s="184">
        <v>5.6219986372455351E-2</v>
      </c>
      <c r="G4" s="152"/>
      <c r="H4" s="153">
        <v>4.48E-2</v>
      </c>
      <c r="I4" s="150">
        <v>4.3099999999999999E-2</v>
      </c>
      <c r="J4" s="167"/>
      <c r="K4" s="68"/>
      <c r="L4" s="68"/>
    </row>
    <row r="5" spans="1:12" ht="24" customHeight="1">
      <c r="A5" s="309" t="s">
        <v>223</v>
      </c>
      <c r="B5" s="154" t="s">
        <v>224</v>
      </c>
      <c r="C5" s="3"/>
      <c r="D5" s="151"/>
      <c r="E5" s="152">
        <f t="shared" ref="E5:E6" si="0">$I$3*F5</f>
        <v>79.646017699115049</v>
      </c>
      <c r="F5" s="153">
        <v>4.4999999999999998E-2</v>
      </c>
      <c r="G5" s="153"/>
      <c r="H5" s="153">
        <v>4.0399999999999998E-2</v>
      </c>
      <c r="J5" s="168"/>
      <c r="K5" s="68"/>
      <c r="L5" s="68"/>
    </row>
    <row r="6" spans="1:12" ht="24" customHeight="1">
      <c r="A6" s="309"/>
      <c r="B6" s="154" t="s">
        <v>225</v>
      </c>
      <c r="C6" s="3"/>
      <c r="D6" s="151"/>
      <c r="E6" s="152">
        <f t="shared" si="0"/>
        <v>26.683167435533818</v>
      </c>
      <c r="F6" s="184">
        <v>1.5075989601076605E-2</v>
      </c>
      <c r="G6" s="152"/>
      <c r="H6" s="153">
        <v>1.66E-2</v>
      </c>
      <c r="I6" s="150">
        <v>2.1700000000000001E-2</v>
      </c>
      <c r="J6" s="167"/>
      <c r="K6" s="68"/>
      <c r="L6" s="68"/>
    </row>
    <row r="7" spans="1:12" ht="24" customHeight="1">
      <c r="A7" s="307" t="s">
        <v>226</v>
      </c>
      <c r="B7" s="308"/>
      <c r="C7" s="155"/>
      <c r="D7" s="156"/>
      <c r="E7" s="152">
        <f>$I$3*F7</f>
        <v>205.83358579386189</v>
      </c>
      <c r="F7" s="183">
        <f>SUM(F4:F6)</f>
        <v>0.11629597597353196</v>
      </c>
      <c r="G7" s="152"/>
      <c r="H7" s="157">
        <f>SUM(H4:H6)</f>
        <v>0.1018</v>
      </c>
      <c r="I7" s="150">
        <f>SUM(I4:I6)</f>
        <v>6.4799999999999996E-2</v>
      </c>
      <c r="J7" s="167"/>
      <c r="K7" s="68"/>
      <c r="L7" s="68"/>
    </row>
    <row r="8" spans="1:12" ht="24" customHeight="1">
      <c r="A8" s="309" t="s">
        <v>49</v>
      </c>
      <c r="B8" s="309"/>
      <c r="C8" s="3"/>
      <c r="D8" s="151"/>
      <c r="E8" s="152">
        <f>$I$3*F8</f>
        <v>53.097345132743364</v>
      </c>
      <c r="F8" s="185">
        <v>0.03</v>
      </c>
      <c r="G8" s="152"/>
      <c r="H8" s="153">
        <f>1.97%+0.75%</f>
        <v>2.7199999999999998E-2</v>
      </c>
      <c r="J8" s="168"/>
      <c r="K8" s="68"/>
      <c r="L8" s="68"/>
    </row>
    <row r="9" spans="1:12" ht="24" customHeight="1">
      <c r="A9" s="310" t="s">
        <v>227</v>
      </c>
      <c r="B9" s="154" t="s">
        <v>224</v>
      </c>
      <c r="C9" s="3"/>
      <c r="D9" s="151"/>
      <c r="E9" s="152">
        <f>$I$3*F9</f>
        <v>12.389380530973453</v>
      </c>
      <c r="F9" s="153">
        <v>7.0000000000000001E-3</v>
      </c>
      <c r="G9" s="152"/>
      <c r="H9" s="153">
        <v>5.3E-3</v>
      </c>
      <c r="J9" s="150"/>
      <c r="K9" s="68"/>
      <c r="L9" s="68"/>
    </row>
    <row r="10" spans="1:12" ht="24" customHeight="1">
      <c r="A10" s="311"/>
      <c r="B10" s="154" t="s">
        <v>225</v>
      </c>
      <c r="C10" s="3"/>
      <c r="D10" s="151"/>
      <c r="E10" s="152">
        <f>$I$3*I10</f>
        <v>70.796460176991147</v>
      </c>
      <c r="F10" s="150">
        <f>2.8%+1.2%</f>
        <v>3.9999999999999994E-2</v>
      </c>
      <c r="G10" s="152"/>
      <c r="H10" s="153">
        <v>3.4099999999999998E-2</v>
      </c>
      <c r="I10" s="150">
        <f>2.8%+1.2%</f>
        <v>3.9999999999999994E-2</v>
      </c>
      <c r="J10" s="150"/>
      <c r="K10" s="68"/>
      <c r="L10" s="68"/>
    </row>
    <row r="11" spans="1:12" ht="24" customHeight="1">
      <c r="A11" s="309" t="s">
        <v>52</v>
      </c>
      <c r="B11" s="309"/>
      <c r="C11" s="3"/>
      <c r="D11" s="151"/>
      <c r="E11" s="152">
        <f t="shared" ref="E11" si="1">$I$3*F11</f>
        <v>70.796460176991161</v>
      </c>
      <c r="F11" s="153">
        <v>0.04</v>
      </c>
      <c r="G11" s="152"/>
      <c r="H11" s="153">
        <v>1.0999999999999999E-2</v>
      </c>
      <c r="I11" s="150">
        <v>0.03</v>
      </c>
      <c r="J11" s="150"/>
      <c r="K11" s="68"/>
      <c r="L11" s="68"/>
    </row>
    <row r="15" spans="1:12">
      <c r="A15" s="147"/>
      <c r="B15" s="147"/>
      <c r="C15" s="147"/>
      <c r="D15" s="147"/>
      <c r="E15" s="147"/>
      <c r="F15" s="147"/>
      <c r="G15" s="312" t="s">
        <v>219</v>
      </c>
      <c r="H15" s="312"/>
      <c r="I15" s="148"/>
    </row>
    <row r="16" spans="1:12">
      <c r="A16" s="313" t="s">
        <v>220</v>
      </c>
      <c r="B16" s="313"/>
      <c r="C16" s="307" t="s">
        <v>221</v>
      </c>
      <c r="D16" s="314"/>
      <c r="E16" s="314"/>
      <c r="F16" s="314"/>
      <c r="G16" s="314"/>
      <c r="H16" s="308"/>
      <c r="I16" s="149" t="s">
        <v>228</v>
      </c>
    </row>
    <row r="17" spans="1:9" ht="27">
      <c r="A17" s="313"/>
      <c r="B17" s="313"/>
      <c r="C17" s="158" t="s">
        <v>230</v>
      </c>
      <c r="D17" s="158" t="s">
        <v>231</v>
      </c>
      <c r="E17" s="158" t="s">
        <v>229</v>
      </c>
      <c r="F17" s="159" t="s">
        <v>234</v>
      </c>
      <c r="G17" s="159" t="s">
        <v>233</v>
      </c>
      <c r="H17" s="159" t="s">
        <v>232</v>
      </c>
      <c r="I17" s="162">
        <f>销量!D8</f>
        <v>575.22123893805315</v>
      </c>
    </row>
    <row r="18" spans="1:9">
      <c r="A18" s="309" t="s">
        <v>222</v>
      </c>
      <c r="B18" s="309"/>
      <c r="C18" s="3"/>
      <c r="D18" s="151"/>
      <c r="E18" s="152">
        <f>$I$17*F18</f>
        <v>32.338930214244229</v>
      </c>
      <c r="F18" s="184">
        <v>5.6219986372455351E-2</v>
      </c>
      <c r="G18" s="152"/>
      <c r="H18" s="153">
        <v>4.48E-2</v>
      </c>
      <c r="I18" s="150">
        <v>4.3099999999999999E-2</v>
      </c>
    </row>
    <row r="19" spans="1:9">
      <c r="A19" s="309" t="s">
        <v>223</v>
      </c>
      <c r="B19" s="180" t="s">
        <v>224</v>
      </c>
      <c r="C19" s="3"/>
      <c r="D19" s="151"/>
      <c r="E19" s="152">
        <f t="shared" ref="E19:E25" si="2">$I$17*F19</f>
        <v>25.884955752212392</v>
      </c>
      <c r="F19" s="153">
        <v>4.4999999999999998E-2</v>
      </c>
      <c r="G19" s="152"/>
      <c r="H19" s="153">
        <v>4.0399999999999998E-2</v>
      </c>
    </row>
    <row r="20" spans="1:9">
      <c r="A20" s="309"/>
      <c r="B20" s="180" t="s">
        <v>225</v>
      </c>
      <c r="C20" s="3"/>
      <c r="D20" s="151"/>
      <c r="E20" s="152">
        <f t="shared" si="2"/>
        <v>8.6720294165484901</v>
      </c>
      <c r="F20" s="184">
        <v>1.5075989601076605E-2</v>
      </c>
      <c r="G20" s="152"/>
      <c r="H20" s="153">
        <v>1.66E-2</v>
      </c>
      <c r="I20" s="150">
        <v>2.1700000000000001E-2</v>
      </c>
    </row>
    <row r="21" spans="1:9">
      <c r="A21" s="307" t="s">
        <v>226</v>
      </c>
      <c r="B21" s="308"/>
      <c r="C21" s="155"/>
      <c r="D21" s="156"/>
      <c r="E21" s="152">
        <f t="shared" si="2"/>
        <v>66.895915383005118</v>
      </c>
      <c r="F21" s="183">
        <f>SUM(F18:F20)</f>
        <v>0.11629597597353196</v>
      </c>
      <c r="G21" s="152"/>
      <c r="H21" s="157">
        <f>SUM(H18:H20)</f>
        <v>0.1018</v>
      </c>
      <c r="I21" s="150">
        <f>SUM(I18:I20)</f>
        <v>6.4799999999999996E-2</v>
      </c>
    </row>
    <row r="22" spans="1:9">
      <c r="A22" s="309" t="s">
        <v>49</v>
      </c>
      <c r="B22" s="309"/>
      <c r="C22" s="3"/>
      <c r="D22" s="151"/>
      <c r="E22" s="152">
        <f t="shared" si="2"/>
        <v>17.256637168141594</v>
      </c>
      <c r="F22" s="185">
        <v>0.03</v>
      </c>
      <c r="G22" s="152"/>
      <c r="H22" s="153">
        <f>1.97%+0.75%</f>
        <v>2.7199999999999998E-2</v>
      </c>
    </row>
    <row r="23" spans="1:9">
      <c r="A23" s="310" t="s">
        <v>227</v>
      </c>
      <c r="B23" s="180" t="s">
        <v>224</v>
      </c>
      <c r="C23" s="3"/>
      <c r="D23" s="151"/>
      <c r="E23" s="152">
        <f t="shared" si="2"/>
        <v>4.0265486725663724</v>
      </c>
      <c r="F23" s="153">
        <v>7.0000000000000001E-3</v>
      </c>
      <c r="G23" s="152"/>
      <c r="H23" s="153">
        <v>5.3E-3</v>
      </c>
    </row>
    <row r="24" spans="1:9">
      <c r="A24" s="311"/>
      <c r="B24" s="180" t="s">
        <v>225</v>
      </c>
      <c r="C24" s="3"/>
      <c r="D24" s="151"/>
      <c r="E24" s="152">
        <f>$I$17*I24</f>
        <v>23.008849557522122</v>
      </c>
      <c r="F24" s="150">
        <f>2.8%+1.2%</f>
        <v>3.9999999999999994E-2</v>
      </c>
      <c r="G24" s="152"/>
      <c r="H24" s="153">
        <v>3.4099999999999998E-2</v>
      </c>
      <c r="I24" s="150">
        <f>2.8%+1.2%</f>
        <v>3.9999999999999994E-2</v>
      </c>
    </row>
    <row r="25" spans="1:9">
      <c r="A25" s="309" t="s">
        <v>52</v>
      </c>
      <c r="B25" s="309"/>
      <c r="C25" s="3"/>
      <c r="D25" s="151"/>
      <c r="E25" s="152">
        <f t="shared" si="2"/>
        <v>23.008849557522126</v>
      </c>
      <c r="F25" s="153">
        <v>0.04</v>
      </c>
      <c r="G25" s="152"/>
      <c r="H25" s="153">
        <v>1.0999999999999999E-2</v>
      </c>
      <c r="I25" s="150">
        <v>0.03</v>
      </c>
    </row>
    <row r="29" spans="1:9">
      <c r="A29" s="147"/>
      <c r="B29" s="147"/>
      <c r="C29" s="147"/>
      <c r="D29" s="147"/>
      <c r="E29" s="147"/>
      <c r="F29" s="147"/>
      <c r="G29" s="312" t="s">
        <v>219</v>
      </c>
      <c r="H29" s="312"/>
      <c r="I29" s="148"/>
    </row>
    <row r="30" spans="1:9">
      <c r="A30" s="313" t="s">
        <v>220</v>
      </c>
      <c r="B30" s="313"/>
      <c r="C30" s="307" t="s">
        <v>221</v>
      </c>
      <c r="D30" s="314"/>
      <c r="E30" s="314"/>
      <c r="F30" s="314"/>
      <c r="G30" s="314"/>
      <c r="H30" s="308"/>
      <c r="I30" s="149" t="s">
        <v>228</v>
      </c>
    </row>
    <row r="31" spans="1:9" ht="27">
      <c r="A31" s="313"/>
      <c r="B31" s="313"/>
      <c r="C31" s="158" t="s">
        <v>230</v>
      </c>
      <c r="D31" s="158" t="s">
        <v>231</v>
      </c>
      <c r="E31" s="158" t="s">
        <v>229</v>
      </c>
      <c r="F31" s="159" t="s">
        <v>234</v>
      </c>
      <c r="G31" s="159" t="s">
        <v>233</v>
      </c>
      <c r="H31" s="159" t="s">
        <v>232</v>
      </c>
      <c r="I31" s="162">
        <f>销量!E8</f>
        <v>0</v>
      </c>
    </row>
    <row r="32" spans="1:9">
      <c r="A32" s="309" t="s">
        <v>222</v>
      </c>
      <c r="B32" s="309"/>
      <c r="C32" s="3"/>
      <c r="D32" s="151"/>
      <c r="E32" s="152">
        <f>$I$31*F32</f>
        <v>0</v>
      </c>
      <c r="F32" s="184">
        <v>5.6219986372455351E-2</v>
      </c>
      <c r="G32" s="152"/>
      <c r="H32" s="153">
        <v>4.48E-2</v>
      </c>
      <c r="I32" s="150">
        <v>4.3099999999999999E-2</v>
      </c>
    </row>
    <row r="33" spans="1:9">
      <c r="A33" s="309" t="s">
        <v>223</v>
      </c>
      <c r="B33" s="180" t="s">
        <v>224</v>
      </c>
      <c r="C33" s="3"/>
      <c r="D33" s="151"/>
      <c r="E33" s="152">
        <f t="shared" ref="E33:E39" si="3">$I$31*F33</f>
        <v>0</v>
      </c>
      <c r="F33" s="153">
        <v>4.4999999999999998E-2</v>
      </c>
      <c r="G33" s="152"/>
      <c r="H33" s="153">
        <v>4.0399999999999998E-2</v>
      </c>
    </row>
    <row r="34" spans="1:9">
      <c r="A34" s="309"/>
      <c r="B34" s="180" t="s">
        <v>225</v>
      </c>
      <c r="C34" s="3"/>
      <c r="D34" s="151"/>
      <c r="E34" s="152">
        <f t="shared" si="3"/>
        <v>0</v>
      </c>
      <c r="F34" s="184">
        <v>1.5075989601076605E-2</v>
      </c>
      <c r="G34" s="152"/>
      <c r="H34" s="153">
        <v>1.66E-2</v>
      </c>
      <c r="I34" s="150">
        <v>2.1700000000000001E-2</v>
      </c>
    </row>
    <row r="35" spans="1:9">
      <c r="A35" s="307" t="s">
        <v>226</v>
      </c>
      <c r="B35" s="308"/>
      <c r="C35" s="155"/>
      <c r="D35" s="156"/>
      <c r="E35" s="152">
        <f t="shared" si="3"/>
        <v>0</v>
      </c>
      <c r="F35" s="183">
        <f>SUM(F32:F34)</f>
        <v>0.11629597597353196</v>
      </c>
      <c r="G35" s="157"/>
      <c r="H35" s="157">
        <f>SUM(H32:H34)</f>
        <v>0.1018</v>
      </c>
      <c r="I35" s="150">
        <f>SUM(I32:I34)</f>
        <v>6.4799999999999996E-2</v>
      </c>
    </row>
    <row r="36" spans="1:9">
      <c r="A36" s="309" t="s">
        <v>49</v>
      </c>
      <c r="B36" s="309"/>
      <c r="C36" s="3"/>
      <c r="D36" s="151"/>
      <c r="E36" s="152">
        <f t="shared" si="3"/>
        <v>0</v>
      </c>
      <c r="F36" s="185">
        <v>0.03</v>
      </c>
      <c r="G36" s="152"/>
      <c r="H36" s="153">
        <f>1.97%+0.75%</f>
        <v>2.7199999999999998E-2</v>
      </c>
    </row>
    <row r="37" spans="1:9">
      <c r="A37" s="310" t="s">
        <v>227</v>
      </c>
      <c r="B37" s="180" t="s">
        <v>224</v>
      </c>
      <c r="C37" s="3"/>
      <c r="D37" s="151"/>
      <c r="E37" s="152">
        <f t="shared" si="3"/>
        <v>0</v>
      </c>
      <c r="F37" s="153">
        <v>7.0000000000000001E-3</v>
      </c>
      <c r="G37" s="152"/>
      <c r="H37" s="153">
        <v>5.3E-3</v>
      </c>
    </row>
    <row r="38" spans="1:9">
      <c r="A38" s="311"/>
      <c r="B38" s="180" t="s">
        <v>225</v>
      </c>
      <c r="C38" s="3"/>
      <c r="D38" s="151"/>
      <c r="E38" s="152">
        <f>$I$31*I38</f>
        <v>0</v>
      </c>
      <c r="F38" s="150">
        <f>2.8%+1.2%</f>
        <v>3.9999999999999994E-2</v>
      </c>
      <c r="G38" s="152"/>
      <c r="H38" s="153">
        <v>3.4099999999999998E-2</v>
      </c>
      <c r="I38" s="150">
        <f>2.8%+1.2%</f>
        <v>3.9999999999999994E-2</v>
      </c>
    </row>
    <row r="39" spans="1:9">
      <c r="A39" s="309" t="s">
        <v>52</v>
      </c>
      <c r="B39" s="309"/>
      <c r="C39" s="3"/>
      <c r="D39" s="151"/>
      <c r="E39" s="152">
        <f t="shared" si="3"/>
        <v>0</v>
      </c>
      <c r="F39" s="153">
        <v>0.04</v>
      </c>
      <c r="G39" s="152"/>
      <c r="H39" s="153">
        <v>1.0999999999999999E-2</v>
      </c>
      <c r="I39" s="150">
        <v>0.03</v>
      </c>
    </row>
    <row r="42" spans="1:9">
      <c r="A42" s="147"/>
      <c r="B42" s="147"/>
      <c r="C42" s="147"/>
      <c r="D42" s="147"/>
      <c r="E42" s="147"/>
      <c r="F42" s="147"/>
      <c r="G42" s="312" t="s">
        <v>219</v>
      </c>
      <c r="H42" s="312"/>
      <c r="I42" s="148"/>
    </row>
    <row r="43" spans="1:9">
      <c r="A43" s="313" t="s">
        <v>220</v>
      </c>
      <c r="B43" s="313"/>
      <c r="C43" s="307" t="s">
        <v>221</v>
      </c>
      <c r="D43" s="314"/>
      <c r="E43" s="314"/>
      <c r="F43" s="314"/>
      <c r="G43" s="314"/>
      <c r="H43" s="308"/>
      <c r="I43" s="149" t="s">
        <v>228</v>
      </c>
    </row>
    <row r="44" spans="1:9" ht="27">
      <c r="A44" s="313"/>
      <c r="B44" s="313"/>
      <c r="C44" s="158" t="s">
        <v>230</v>
      </c>
      <c r="D44" s="158" t="s">
        <v>231</v>
      </c>
      <c r="E44" s="158" t="s">
        <v>229</v>
      </c>
      <c r="F44" s="159" t="s">
        <v>234</v>
      </c>
      <c r="G44" s="159" t="s">
        <v>233</v>
      </c>
      <c r="H44" s="159" t="s">
        <v>232</v>
      </c>
      <c r="I44" s="162">
        <f>销量!F8</f>
        <v>0</v>
      </c>
    </row>
    <row r="45" spans="1:9">
      <c r="A45" s="309" t="s">
        <v>222</v>
      </c>
      <c r="B45" s="309"/>
      <c r="C45" s="3"/>
      <c r="D45" s="151"/>
      <c r="E45" s="152">
        <f>$I$44*F45</f>
        <v>0</v>
      </c>
      <c r="F45" s="184">
        <v>5.6219986372455351E-2</v>
      </c>
      <c r="G45" s="152"/>
      <c r="H45" s="153">
        <v>4.48E-2</v>
      </c>
      <c r="I45" s="150">
        <v>4.3099999999999999E-2</v>
      </c>
    </row>
    <row r="46" spans="1:9">
      <c r="A46" s="309" t="s">
        <v>223</v>
      </c>
      <c r="B46" s="180" t="s">
        <v>224</v>
      </c>
      <c r="C46" s="3"/>
      <c r="D46" s="151"/>
      <c r="E46" s="152">
        <f t="shared" ref="E46:E52" si="4">$I$44*F46</f>
        <v>0</v>
      </c>
      <c r="F46" s="153">
        <v>4.4999999999999998E-2</v>
      </c>
      <c r="G46" s="152"/>
      <c r="H46" s="153">
        <v>4.0399999999999998E-2</v>
      </c>
    </row>
    <row r="47" spans="1:9">
      <c r="A47" s="309"/>
      <c r="B47" s="180" t="s">
        <v>225</v>
      </c>
      <c r="C47" s="3"/>
      <c r="D47" s="151"/>
      <c r="E47" s="152">
        <f t="shared" si="4"/>
        <v>0</v>
      </c>
      <c r="F47" s="184">
        <v>1.5075989601076605E-2</v>
      </c>
      <c r="G47" s="152"/>
      <c r="H47" s="153">
        <v>1.66E-2</v>
      </c>
      <c r="I47" s="150">
        <v>2.1700000000000001E-2</v>
      </c>
    </row>
    <row r="48" spans="1:9">
      <c r="A48" s="307" t="s">
        <v>226</v>
      </c>
      <c r="B48" s="308"/>
      <c r="C48" s="155"/>
      <c r="D48" s="156"/>
      <c r="E48" s="152">
        <f t="shared" si="4"/>
        <v>0</v>
      </c>
      <c r="F48" s="183">
        <f>SUM(F45:F47)</f>
        <v>0.11629597597353196</v>
      </c>
      <c r="G48" s="157"/>
      <c r="H48" s="157">
        <f>SUM(H45:H47)</f>
        <v>0.1018</v>
      </c>
      <c r="I48" s="150">
        <f>SUM(I45:I47)</f>
        <v>6.4799999999999996E-2</v>
      </c>
    </row>
    <row r="49" spans="1:9">
      <c r="A49" s="309" t="s">
        <v>49</v>
      </c>
      <c r="B49" s="309"/>
      <c r="C49" s="3"/>
      <c r="D49" s="151"/>
      <c r="E49" s="152">
        <f t="shared" si="4"/>
        <v>0</v>
      </c>
      <c r="F49" s="185">
        <v>0.03</v>
      </c>
      <c r="G49" s="152"/>
      <c r="H49" s="153">
        <f>1.97%+0.75%</f>
        <v>2.7199999999999998E-2</v>
      </c>
    </row>
    <row r="50" spans="1:9">
      <c r="A50" s="310" t="s">
        <v>227</v>
      </c>
      <c r="B50" s="180" t="s">
        <v>224</v>
      </c>
      <c r="C50" s="3"/>
      <c r="D50" s="151"/>
      <c r="E50" s="152">
        <f t="shared" si="4"/>
        <v>0</v>
      </c>
      <c r="F50" s="153">
        <v>7.0000000000000001E-3</v>
      </c>
      <c r="G50" s="152"/>
      <c r="H50" s="153">
        <v>5.3E-3</v>
      </c>
    </row>
    <row r="51" spans="1:9">
      <c r="A51" s="311"/>
      <c r="B51" s="180" t="s">
        <v>225</v>
      </c>
      <c r="C51" s="3"/>
      <c r="D51" s="151"/>
      <c r="E51" s="152">
        <f>$I$44*I51</f>
        <v>0</v>
      </c>
      <c r="F51" s="150">
        <f>2.8%+1.2%</f>
        <v>3.9999999999999994E-2</v>
      </c>
      <c r="G51" s="152"/>
      <c r="H51" s="153">
        <v>3.4099999999999998E-2</v>
      </c>
      <c r="I51" s="150">
        <f>2.8%+1.2%</f>
        <v>3.9999999999999994E-2</v>
      </c>
    </row>
    <row r="52" spans="1:9">
      <c r="A52" s="309" t="s">
        <v>52</v>
      </c>
      <c r="B52" s="309"/>
      <c r="C52" s="3"/>
      <c r="D52" s="151"/>
      <c r="E52" s="152">
        <f t="shared" si="4"/>
        <v>0</v>
      </c>
      <c r="F52" s="153">
        <v>0.04</v>
      </c>
      <c r="G52" s="152"/>
      <c r="H52" s="153">
        <v>1.0999999999999999E-2</v>
      </c>
      <c r="I52" s="150">
        <v>0.03</v>
      </c>
    </row>
    <row r="55" spans="1:9">
      <c r="A55" s="147"/>
      <c r="B55" s="147"/>
      <c r="C55" s="147"/>
      <c r="D55" s="147"/>
      <c r="E55" s="147"/>
      <c r="F55" s="147"/>
      <c r="G55" s="312" t="s">
        <v>219</v>
      </c>
      <c r="H55" s="312"/>
      <c r="I55" s="148"/>
    </row>
    <row r="56" spans="1:9">
      <c r="A56" s="313" t="s">
        <v>220</v>
      </c>
      <c r="B56" s="313"/>
      <c r="C56" s="307" t="s">
        <v>221</v>
      </c>
      <c r="D56" s="314"/>
      <c r="E56" s="314"/>
      <c r="F56" s="314"/>
      <c r="G56" s="314"/>
      <c r="H56" s="308"/>
      <c r="I56" s="149" t="s">
        <v>228</v>
      </c>
    </row>
    <row r="57" spans="1:9" ht="27">
      <c r="A57" s="313"/>
      <c r="B57" s="313"/>
      <c r="C57" s="158" t="s">
        <v>230</v>
      </c>
      <c r="D57" s="158" t="s">
        <v>231</v>
      </c>
      <c r="E57" s="158" t="s">
        <v>229</v>
      </c>
      <c r="F57" s="159" t="s">
        <v>234</v>
      </c>
      <c r="G57" s="159" t="s">
        <v>233</v>
      </c>
      <c r="H57" s="159" t="s">
        <v>232</v>
      </c>
      <c r="I57" s="162">
        <f>销量!G8</f>
        <v>0</v>
      </c>
    </row>
    <row r="58" spans="1:9">
      <c r="A58" s="309" t="s">
        <v>222</v>
      </c>
      <c r="B58" s="309"/>
      <c r="C58" s="3"/>
      <c r="D58" s="151"/>
      <c r="E58" s="152">
        <f>$I$57*F58</f>
        <v>0</v>
      </c>
      <c r="F58" s="184">
        <v>5.6219986372455351E-2</v>
      </c>
      <c r="G58" s="152"/>
      <c r="H58" s="153">
        <v>4.48E-2</v>
      </c>
      <c r="I58" s="150">
        <v>4.3099999999999999E-2</v>
      </c>
    </row>
    <row r="59" spans="1:9">
      <c r="A59" s="309" t="s">
        <v>223</v>
      </c>
      <c r="B59" s="180" t="s">
        <v>224</v>
      </c>
      <c r="C59" s="3"/>
      <c r="D59" s="151"/>
      <c r="E59" s="152">
        <f t="shared" ref="E59:E65" si="5">$I$57*F59</f>
        <v>0</v>
      </c>
      <c r="F59" s="153">
        <v>4.4999999999999998E-2</v>
      </c>
      <c r="G59" s="152"/>
      <c r="H59" s="153">
        <v>4.0399999999999998E-2</v>
      </c>
    </row>
    <row r="60" spans="1:9">
      <c r="A60" s="309"/>
      <c r="B60" s="180" t="s">
        <v>225</v>
      </c>
      <c r="C60" s="3"/>
      <c r="D60" s="151"/>
      <c r="E60" s="152">
        <f t="shared" si="5"/>
        <v>0</v>
      </c>
      <c r="F60" s="184">
        <v>1.5075989601076605E-2</v>
      </c>
      <c r="G60" s="152"/>
      <c r="H60" s="153">
        <v>1.66E-2</v>
      </c>
      <c r="I60" s="150">
        <v>2.1700000000000001E-2</v>
      </c>
    </row>
    <row r="61" spans="1:9">
      <c r="A61" s="307" t="s">
        <v>226</v>
      </c>
      <c r="B61" s="308"/>
      <c r="C61" s="155"/>
      <c r="D61" s="156"/>
      <c r="E61" s="152">
        <f t="shared" si="5"/>
        <v>0</v>
      </c>
      <c r="F61" s="183">
        <f>SUM(F58:F60)</f>
        <v>0.11629597597353196</v>
      </c>
      <c r="G61" s="157"/>
      <c r="H61" s="157">
        <f>SUM(H58:H60)</f>
        <v>0.1018</v>
      </c>
      <c r="I61" s="150">
        <f>SUM(I58:I60)</f>
        <v>6.4799999999999996E-2</v>
      </c>
    </row>
    <row r="62" spans="1:9">
      <c r="A62" s="309" t="s">
        <v>49</v>
      </c>
      <c r="B62" s="309"/>
      <c r="C62" s="3"/>
      <c r="D62" s="151"/>
      <c r="E62" s="152">
        <f t="shared" si="5"/>
        <v>0</v>
      </c>
      <c r="F62" s="185">
        <v>0.03</v>
      </c>
      <c r="G62" s="152"/>
      <c r="H62" s="153">
        <f>1.97%+0.75%</f>
        <v>2.7199999999999998E-2</v>
      </c>
    </row>
    <row r="63" spans="1:9">
      <c r="A63" s="310" t="s">
        <v>227</v>
      </c>
      <c r="B63" s="180" t="s">
        <v>224</v>
      </c>
      <c r="C63" s="3"/>
      <c r="D63" s="151"/>
      <c r="E63" s="152">
        <f t="shared" si="5"/>
        <v>0</v>
      </c>
      <c r="F63" s="153">
        <v>7.0000000000000001E-3</v>
      </c>
      <c r="G63" s="152"/>
      <c r="H63" s="153">
        <v>5.3E-3</v>
      </c>
    </row>
    <row r="64" spans="1:9">
      <c r="A64" s="311"/>
      <c r="B64" s="180" t="s">
        <v>225</v>
      </c>
      <c r="C64" s="3"/>
      <c r="D64" s="151"/>
      <c r="E64" s="152">
        <f>$I$57*I64</f>
        <v>0</v>
      </c>
      <c r="F64" s="150">
        <f>2.8%+1.2%</f>
        <v>3.9999999999999994E-2</v>
      </c>
      <c r="G64" s="152"/>
      <c r="H64" s="153">
        <v>3.4099999999999998E-2</v>
      </c>
      <c r="I64" s="150">
        <f>2.8%+1.2%</f>
        <v>3.9999999999999994E-2</v>
      </c>
    </row>
    <row r="65" spans="1:9">
      <c r="A65" s="309" t="s">
        <v>52</v>
      </c>
      <c r="B65" s="309"/>
      <c r="C65" s="3"/>
      <c r="D65" s="151"/>
      <c r="E65" s="152">
        <f t="shared" si="5"/>
        <v>0</v>
      </c>
      <c r="F65" s="153">
        <v>0.04</v>
      </c>
      <c r="G65" s="152"/>
      <c r="H65" s="153">
        <v>1.0999999999999999E-2</v>
      </c>
      <c r="I65" s="150">
        <v>0.03</v>
      </c>
    </row>
    <row r="68" spans="1:9">
      <c r="A68" s="147"/>
      <c r="B68" s="147"/>
      <c r="C68" s="147"/>
      <c r="D68" s="147"/>
      <c r="E68" s="147"/>
      <c r="F68" s="147"/>
      <c r="G68" s="312" t="s">
        <v>219</v>
      </c>
      <c r="H68" s="312"/>
      <c r="I68" s="148"/>
    </row>
    <row r="69" spans="1:9">
      <c r="A69" s="313" t="s">
        <v>220</v>
      </c>
      <c r="B69" s="313"/>
      <c r="C69" s="307" t="s">
        <v>221</v>
      </c>
      <c r="D69" s="314"/>
      <c r="E69" s="314"/>
      <c r="F69" s="314"/>
      <c r="G69" s="314"/>
      <c r="H69" s="308"/>
      <c r="I69" s="149" t="s">
        <v>228</v>
      </c>
    </row>
    <row r="70" spans="1:9" ht="27">
      <c r="A70" s="313"/>
      <c r="B70" s="313"/>
      <c r="C70" s="158" t="s">
        <v>230</v>
      </c>
      <c r="D70" s="158" t="s">
        <v>231</v>
      </c>
      <c r="E70" s="158" t="s">
        <v>229</v>
      </c>
      <c r="F70" s="159" t="s">
        <v>234</v>
      </c>
      <c r="G70" s="159" t="s">
        <v>233</v>
      </c>
      <c r="H70" s="159" t="s">
        <v>232</v>
      </c>
      <c r="I70" s="162">
        <f>销量!H8</f>
        <v>0</v>
      </c>
    </row>
    <row r="71" spans="1:9">
      <c r="A71" s="309" t="s">
        <v>222</v>
      </c>
      <c r="B71" s="309"/>
      <c r="C71" s="3"/>
      <c r="D71" s="151"/>
      <c r="E71" s="152">
        <f>$I$70*F71</f>
        <v>0</v>
      </c>
      <c r="F71" s="184">
        <v>5.6219986372455351E-2</v>
      </c>
      <c r="G71" s="152"/>
      <c r="H71" s="153">
        <v>4.48E-2</v>
      </c>
      <c r="I71" s="150">
        <v>4.3099999999999999E-2</v>
      </c>
    </row>
    <row r="72" spans="1:9">
      <c r="A72" s="309" t="s">
        <v>223</v>
      </c>
      <c r="B72" s="180" t="s">
        <v>224</v>
      </c>
      <c r="C72" s="3"/>
      <c r="D72" s="151"/>
      <c r="E72" s="152">
        <f t="shared" ref="E72:E78" si="6">$I$70*F72</f>
        <v>0</v>
      </c>
      <c r="F72" s="153">
        <v>4.4999999999999998E-2</v>
      </c>
      <c r="G72" s="152"/>
      <c r="H72" s="153">
        <v>4.0399999999999998E-2</v>
      </c>
    </row>
    <row r="73" spans="1:9">
      <c r="A73" s="309"/>
      <c r="B73" s="180" t="s">
        <v>225</v>
      </c>
      <c r="C73" s="3"/>
      <c r="D73" s="151"/>
      <c r="E73" s="152">
        <f t="shared" si="6"/>
        <v>0</v>
      </c>
      <c r="F73" s="184">
        <v>1.5075989601076605E-2</v>
      </c>
      <c r="G73" s="152"/>
      <c r="H73" s="153">
        <v>1.66E-2</v>
      </c>
      <c r="I73" s="150">
        <v>2.1700000000000001E-2</v>
      </c>
    </row>
    <row r="74" spans="1:9">
      <c r="A74" s="307" t="s">
        <v>226</v>
      </c>
      <c r="B74" s="308"/>
      <c r="C74" s="155"/>
      <c r="D74" s="156"/>
      <c r="E74" s="152">
        <f t="shared" si="6"/>
        <v>0</v>
      </c>
      <c r="F74" s="183">
        <f>SUM(F71:F73)</f>
        <v>0.11629597597353196</v>
      </c>
      <c r="G74" s="157"/>
      <c r="H74" s="157">
        <f>SUM(H71:H73)</f>
        <v>0.1018</v>
      </c>
      <c r="I74" s="150">
        <f>SUM(I71:I73)</f>
        <v>6.4799999999999996E-2</v>
      </c>
    </row>
    <row r="75" spans="1:9">
      <c r="A75" s="309" t="s">
        <v>49</v>
      </c>
      <c r="B75" s="309"/>
      <c r="C75" s="3"/>
      <c r="D75" s="151"/>
      <c r="E75" s="152">
        <f t="shared" si="6"/>
        <v>0</v>
      </c>
      <c r="F75" s="185">
        <v>0.03</v>
      </c>
      <c r="G75" s="152"/>
      <c r="H75" s="153">
        <f>1.97%+0.75%</f>
        <v>2.7199999999999998E-2</v>
      </c>
    </row>
    <row r="76" spans="1:9">
      <c r="A76" s="310" t="s">
        <v>227</v>
      </c>
      <c r="B76" s="180" t="s">
        <v>224</v>
      </c>
      <c r="C76" s="3"/>
      <c r="D76" s="151"/>
      <c r="E76" s="152">
        <f t="shared" si="6"/>
        <v>0</v>
      </c>
      <c r="F76" s="153">
        <v>7.0000000000000001E-3</v>
      </c>
      <c r="G76" s="152"/>
      <c r="H76" s="153">
        <v>5.3E-3</v>
      </c>
    </row>
    <row r="77" spans="1:9">
      <c r="A77" s="311"/>
      <c r="B77" s="180" t="s">
        <v>225</v>
      </c>
      <c r="C77" s="3"/>
      <c r="D77" s="151"/>
      <c r="E77" s="152">
        <f>$I$70*I77</f>
        <v>0</v>
      </c>
      <c r="F77" s="150">
        <f>2.8%+1.2%</f>
        <v>3.9999999999999994E-2</v>
      </c>
      <c r="G77" s="152"/>
      <c r="H77" s="153">
        <v>3.4099999999999998E-2</v>
      </c>
      <c r="I77" s="150">
        <f>2.8%+1.2%</f>
        <v>3.9999999999999994E-2</v>
      </c>
    </row>
    <row r="78" spans="1:9">
      <c r="A78" s="309" t="s">
        <v>52</v>
      </c>
      <c r="B78" s="309"/>
      <c r="C78" s="3"/>
      <c r="D78" s="151"/>
      <c r="E78" s="152">
        <f t="shared" si="6"/>
        <v>0</v>
      </c>
      <c r="F78" s="153">
        <v>0.04</v>
      </c>
      <c r="G78" s="152"/>
      <c r="H78" s="153">
        <v>1.0999999999999999E-2</v>
      </c>
      <c r="I78" s="150">
        <v>0.03</v>
      </c>
    </row>
  </sheetData>
  <mergeCells count="54">
    <mergeCell ref="G1:H1"/>
    <mergeCell ref="A4:B4"/>
    <mergeCell ref="A7:B7"/>
    <mergeCell ref="A8:B8"/>
    <mergeCell ref="A11:B11"/>
    <mergeCell ref="A5:A6"/>
    <mergeCell ref="A9:A10"/>
    <mergeCell ref="A2:B3"/>
    <mergeCell ref="C2:H2"/>
    <mergeCell ref="G15:H15"/>
    <mergeCell ref="A16:B17"/>
    <mergeCell ref="C16:H16"/>
    <mergeCell ref="A18:B18"/>
    <mergeCell ref="A19:A20"/>
    <mergeCell ref="A21:B21"/>
    <mergeCell ref="A22:B22"/>
    <mergeCell ref="A23:A24"/>
    <mergeCell ref="A25:B25"/>
    <mergeCell ref="G29:H29"/>
    <mergeCell ref="A30:B31"/>
    <mergeCell ref="C30:H30"/>
    <mergeCell ref="A32:B32"/>
    <mergeCell ref="A33:A34"/>
    <mergeCell ref="A35:B35"/>
    <mergeCell ref="A36:B36"/>
    <mergeCell ref="A37:A38"/>
    <mergeCell ref="A39:B39"/>
    <mergeCell ref="G42:H42"/>
    <mergeCell ref="A43:B44"/>
    <mergeCell ref="C43:H43"/>
    <mergeCell ref="A45:B45"/>
    <mergeCell ref="A46:A47"/>
    <mergeCell ref="A48:B48"/>
    <mergeCell ref="A49:B49"/>
    <mergeCell ref="A50:A51"/>
    <mergeCell ref="A52:B52"/>
    <mergeCell ref="G55:H55"/>
    <mergeCell ref="A56:B57"/>
    <mergeCell ref="C56:H56"/>
    <mergeCell ref="A58:B58"/>
    <mergeCell ref="A59:A60"/>
    <mergeCell ref="A61:B61"/>
    <mergeCell ref="A62:B62"/>
    <mergeCell ref="A63:A64"/>
    <mergeCell ref="A65:B65"/>
    <mergeCell ref="A74:B74"/>
    <mergeCell ref="A75:B75"/>
    <mergeCell ref="A76:A77"/>
    <mergeCell ref="A78:B78"/>
    <mergeCell ref="G68:H68"/>
    <mergeCell ref="A69:B70"/>
    <mergeCell ref="C69:H69"/>
    <mergeCell ref="A71:B71"/>
    <mergeCell ref="A72:A73"/>
  </mergeCells>
  <phoneticPr fontId="39" type="noConversion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workbookViewId="0">
      <selection activeCell="E17" sqref="E17"/>
    </sheetView>
  </sheetViews>
  <sheetFormatPr defaultRowHeight="13.5"/>
  <cols>
    <col min="2" max="2" width="23.875" style="232" bestFit="1" customWidth="1"/>
    <col min="3" max="3" width="16.75" style="235" bestFit="1" customWidth="1"/>
    <col min="4" max="5" width="11.625" bestFit="1" customWidth="1"/>
    <col min="6" max="6" width="12.75" bestFit="1" customWidth="1"/>
  </cols>
  <sheetData>
    <row r="2" spans="2:8" ht="18.75">
      <c r="B2" s="315" t="s">
        <v>261</v>
      </c>
      <c r="C2" s="315"/>
      <c r="D2" s="315"/>
      <c r="E2" s="315"/>
      <c r="F2" s="315"/>
      <c r="G2" s="315"/>
      <c r="H2" s="315"/>
    </row>
    <row r="3" spans="2:8">
      <c r="B3" s="228" t="s">
        <v>262</v>
      </c>
      <c r="C3" s="233" t="s">
        <v>263</v>
      </c>
      <c r="D3" s="214" t="s">
        <v>264</v>
      </c>
      <c r="E3" s="214" t="s">
        <v>265</v>
      </c>
      <c r="F3" s="214" t="s">
        <v>266</v>
      </c>
      <c r="G3" s="215" t="s">
        <v>267</v>
      </c>
      <c r="H3" s="214" t="s">
        <v>268</v>
      </c>
    </row>
    <row r="4" spans="2:8">
      <c r="B4" s="229" t="str">
        <f>销量!C6</f>
        <v>DZ16251510101</v>
      </c>
      <c r="C4" s="227" t="str">
        <f>销量!C5</f>
        <v>司机座椅总成</v>
      </c>
      <c r="D4" s="243">
        <v>1026</v>
      </c>
      <c r="E4" s="245">
        <f>销量!C8</f>
        <v>1769.911504424779</v>
      </c>
      <c r="F4" s="243">
        <f>E4-D4</f>
        <v>743.91150442477897</v>
      </c>
      <c r="G4" s="244">
        <f>F4/E4</f>
        <v>0.42031000000000007</v>
      </c>
      <c r="H4" s="216"/>
    </row>
    <row r="5" spans="2:8">
      <c r="B5" s="230" t="str">
        <f>销量!D6</f>
        <v>DZ16251510102</v>
      </c>
      <c r="C5" s="226" t="str">
        <f>销量!D5</f>
        <v>副司机座椅总成</v>
      </c>
      <c r="D5" s="243">
        <v>477</v>
      </c>
      <c r="E5" s="245">
        <f>销量!D8</f>
        <v>575.22123893805315</v>
      </c>
      <c r="F5" s="243">
        <f>E5-D5</f>
        <v>98.221238938053148</v>
      </c>
      <c r="G5" s="244">
        <f>F5/E5</f>
        <v>0.17075384615384623</v>
      </c>
      <c r="H5" s="216"/>
    </row>
    <row r="6" spans="2:8">
      <c r="B6" s="230">
        <f>销量!E6</f>
        <v>0</v>
      </c>
      <c r="C6" s="226">
        <f>销量!E5</f>
        <v>0</v>
      </c>
      <c r="D6" s="217"/>
      <c r="E6" s="236">
        <f>销量!E8</f>
        <v>0</v>
      </c>
      <c r="F6" s="217">
        <f t="shared" ref="F6:F9" si="0">E6-D6</f>
        <v>0</v>
      </c>
      <c r="G6" s="218" t="e">
        <f t="shared" ref="G6:G9" si="1">F6/E6</f>
        <v>#DIV/0!</v>
      </c>
      <c r="H6" s="220"/>
    </row>
    <row r="7" spans="2:8">
      <c r="B7" s="246" t="s">
        <v>286</v>
      </c>
      <c r="C7" s="226"/>
      <c r="D7" s="217">
        <f>SUM(D4:D6)</f>
        <v>1503</v>
      </c>
      <c r="E7" s="217">
        <f>SUM(E4:E6)</f>
        <v>2345.1327433628321</v>
      </c>
      <c r="F7" s="217">
        <f t="shared" si="0"/>
        <v>842.13274336283212</v>
      </c>
      <c r="G7" s="218">
        <f t="shared" si="1"/>
        <v>0.35909811320754725</v>
      </c>
      <c r="H7" s="223"/>
    </row>
    <row r="8" spans="2:8" hidden="1">
      <c r="B8" s="231">
        <f>销量!G6</f>
        <v>0</v>
      </c>
      <c r="C8" s="234">
        <f>销量!G5</f>
        <v>0</v>
      </c>
      <c r="D8" s="221"/>
      <c r="E8" s="222">
        <f>销量!G8</f>
        <v>0</v>
      </c>
      <c r="F8" s="217">
        <f t="shared" si="0"/>
        <v>0</v>
      </c>
      <c r="G8" s="218" t="e">
        <f t="shared" si="1"/>
        <v>#DIV/0!</v>
      </c>
      <c r="H8" s="223"/>
    </row>
    <row r="9" spans="2:8" hidden="1">
      <c r="B9" s="231">
        <f>销量!H6</f>
        <v>0</v>
      </c>
      <c r="C9" s="234">
        <f>销量!H5</f>
        <v>0</v>
      </c>
      <c r="D9" s="221"/>
      <c r="E9" s="222">
        <f>销量!H8</f>
        <v>0</v>
      </c>
      <c r="F9" s="217">
        <f t="shared" si="0"/>
        <v>0</v>
      </c>
      <c r="G9" s="218" t="e">
        <f t="shared" si="1"/>
        <v>#DIV/0!</v>
      </c>
      <c r="H9" s="223"/>
    </row>
    <row r="10" spans="2:8" hidden="1">
      <c r="B10" s="231"/>
      <c r="C10" s="234"/>
      <c r="D10" s="221"/>
      <c r="E10" s="222"/>
      <c r="F10" s="217"/>
      <c r="G10" s="218"/>
      <c r="H10" s="223"/>
    </row>
    <row r="11" spans="2:8" hidden="1">
      <c r="B11" s="231"/>
      <c r="C11" s="234"/>
      <c r="D11" s="224"/>
      <c r="E11" s="222"/>
      <c r="F11" s="217"/>
      <c r="G11" s="218"/>
      <c r="H11" s="223"/>
    </row>
    <row r="12" spans="2:8" hidden="1">
      <c r="B12" s="231"/>
      <c r="C12" s="234"/>
      <c r="D12" s="219"/>
      <c r="E12" s="225"/>
      <c r="F12" s="217"/>
      <c r="G12" s="218"/>
      <c r="H12" s="220"/>
    </row>
    <row r="13" spans="2:8" hidden="1">
      <c r="B13" s="231"/>
      <c r="C13" s="234"/>
      <c r="D13" s="219"/>
      <c r="E13" s="225"/>
      <c r="F13" s="217"/>
      <c r="G13" s="218"/>
      <c r="H13" s="220"/>
    </row>
  </sheetData>
  <mergeCells count="1">
    <mergeCell ref="B2:H2"/>
  </mergeCells>
  <phoneticPr fontId="3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8"/>
  <sheetViews>
    <sheetView tabSelected="1" workbookViewId="0">
      <pane xSplit="3" ySplit="6" topLeftCell="D7" activePane="bottomRight" state="frozen"/>
      <selection pane="topRight"/>
      <selection pane="bottomLeft"/>
      <selection pane="bottomRight" activeCell="F68" sqref="F68"/>
    </sheetView>
  </sheetViews>
  <sheetFormatPr defaultColWidth="9" defaultRowHeight="16.5"/>
  <cols>
    <col min="1" max="1" width="5.125" style="110" customWidth="1"/>
    <col min="2" max="2" width="35.75" style="110" customWidth="1"/>
    <col min="3" max="3" width="14.5" style="111" customWidth="1"/>
    <col min="4" max="4" width="13" style="111" customWidth="1"/>
    <col min="5" max="6" width="16" style="111" customWidth="1"/>
    <col min="7" max="7" width="16.5" style="111" customWidth="1"/>
    <col min="8" max="8" width="15.5" style="110" customWidth="1"/>
    <col min="9" max="34" width="9" style="110"/>
    <col min="35" max="35" width="4.375" style="110" customWidth="1"/>
    <col min="36" max="36" width="13.875" style="110" customWidth="1"/>
    <col min="37" max="16384" width="9" style="110"/>
  </cols>
  <sheetData>
    <row r="1" spans="1:37" ht="27" customHeight="1">
      <c r="A1" s="250" t="s">
        <v>275</v>
      </c>
      <c r="B1" s="250"/>
      <c r="C1" s="250"/>
      <c r="D1" s="250"/>
      <c r="E1" s="250"/>
      <c r="F1" s="250"/>
      <c r="G1" s="250"/>
    </row>
    <row r="2" spans="1:37" ht="15.75" customHeight="1">
      <c r="A2" s="251" t="s">
        <v>17</v>
      </c>
      <c r="B2" s="112" t="s">
        <v>1</v>
      </c>
      <c r="C2" s="112" t="s">
        <v>270</v>
      </c>
      <c r="D2" s="112" t="s">
        <v>271</v>
      </c>
      <c r="E2" s="112" t="s">
        <v>272</v>
      </c>
      <c r="F2" s="112" t="s">
        <v>273</v>
      </c>
      <c r="G2" s="52" t="s">
        <v>19</v>
      </c>
      <c r="AK2" s="110" t="s">
        <v>20</v>
      </c>
    </row>
    <row r="3" spans="1:37" s="49" customFormat="1" ht="15.75" customHeight="1">
      <c r="A3" s="252"/>
      <c r="B3" s="54" t="s">
        <v>3</v>
      </c>
      <c r="C3" s="113">
        <f>'2022年'!G6</f>
        <v>10000</v>
      </c>
      <c r="D3" s="113">
        <f>'2023年'!G6</f>
        <v>20000</v>
      </c>
      <c r="E3" s="113">
        <f>'2024年'!G6</f>
        <v>60000</v>
      </c>
      <c r="F3" s="113">
        <f>'2025年'!G6</f>
        <v>100000</v>
      </c>
      <c r="G3" s="190">
        <f t="shared" ref="G3:G11" si="0">SUM(C3:F3)</f>
        <v>190000</v>
      </c>
      <c r="H3" s="69"/>
      <c r="AI3" s="53" t="s">
        <v>17</v>
      </c>
      <c r="AJ3" s="54" t="s">
        <v>3</v>
      </c>
      <c r="AK3" s="49" t="s">
        <v>21</v>
      </c>
    </row>
    <row r="4" spans="1:37" s="49" customFormat="1" ht="15.75" customHeight="1">
      <c r="A4" s="62">
        <v>1</v>
      </c>
      <c r="B4" s="54" t="s">
        <v>22</v>
      </c>
      <c r="C4" s="113">
        <f>'2022年'!G7</f>
        <v>11725663.71681416</v>
      </c>
      <c r="D4" s="113">
        <f>'2023年'!G7</f>
        <v>23451327.433628321</v>
      </c>
      <c r="E4" s="113">
        <f>'2024年'!G7</f>
        <v>70353982.300884962</v>
      </c>
      <c r="F4" s="113">
        <f>'2025年'!G7</f>
        <v>117256637.16814162</v>
      </c>
      <c r="G4" s="113">
        <f t="shared" si="0"/>
        <v>222787610.61946905</v>
      </c>
      <c r="H4" s="69"/>
      <c r="AI4" s="53" t="s">
        <v>23</v>
      </c>
      <c r="AJ4" s="54" t="s">
        <v>22</v>
      </c>
      <c r="AK4" s="49" t="s">
        <v>21</v>
      </c>
    </row>
    <row r="5" spans="1:37" s="49" customFormat="1" ht="15.75" customHeight="1">
      <c r="A5" s="62">
        <v>2</v>
      </c>
      <c r="B5" s="51" t="s">
        <v>24</v>
      </c>
      <c r="C5" s="113">
        <f>'2022年'!G8</f>
        <v>0</v>
      </c>
      <c r="D5" s="113">
        <f>'2023年'!G8</f>
        <v>1172566.3716814171</v>
      </c>
      <c r="E5" s="113">
        <f>'2024年'!G8</f>
        <v>6859513.2743362859</v>
      </c>
      <c r="F5" s="113">
        <f>'2025年'!G8</f>
        <v>16723727.876106197</v>
      </c>
      <c r="G5" s="113">
        <f t="shared" si="0"/>
        <v>24755807.522123899</v>
      </c>
      <c r="H5" s="69"/>
      <c r="AI5" s="53" t="s">
        <v>25</v>
      </c>
      <c r="AJ5" s="51" t="s">
        <v>26</v>
      </c>
      <c r="AK5" s="49" t="s">
        <v>21</v>
      </c>
    </row>
    <row r="6" spans="1:37" s="49" customFormat="1" ht="15.75" customHeight="1">
      <c r="A6" s="62">
        <v>3</v>
      </c>
      <c r="B6" s="54" t="s">
        <v>27</v>
      </c>
      <c r="C6" s="114">
        <f>+C4-C5</f>
        <v>11725663.71681416</v>
      </c>
      <c r="D6" s="114">
        <f>'2023年'!G9</f>
        <v>22278761.061946906</v>
      </c>
      <c r="E6" s="114">
        <f>'2024年'!G9</f>
        <v>63494469.026548676</v>
      </c>
      <c r="F6" s="113">
        <f>'2025年'!G9</f>
        <v>100532909.2920354</v>
      </c>
      <c r="G6" s="113">
        <f t="shared" si="0"/>
        <v>198031803.09734514</v>
      </c>
      <c r="H6" s="69"/>
      <c r="AI6" s="53" t="s">
        <v>28</v>
      </c>
      <c r="AJ6" s="54" t="s">
        <v>27</v>
      </c>
      <c r="AK6" s="49" t="s">
        <v>29</v>
      </c>
    </row>
    <row r="7" spans="1:37" s="49" customFormat="1" ht="15.75" customHeight="1">
      <c r="A7" s="62">
        <v>4</v>
      </c>
      <c r="B7" s="53" t="s">
        <v>30</v>
      </c>
      <c r="C7" s="113">
        <f>'2022年'!G10</f>
        <v>7515000</v>
      </c>
      <c r="D7" s="113">
        <f>'2023年'!G10</f>
        <v>14278500</v>
      </c>
      <c r="E7" s="113">
        <f>'2024年'!G10</f>
        <v>40693724.999999993</v>
      </c>
      <c r="F7" s="113">
        <f>'2025年'!G10</f>
        <v>64431731.249999985</v>
      </c>
      <c r="G7" s="113">
        <f t="shared" si="0"/>
        <v>126918956.24999997</v>
      </c>
      <c r="H7" s="69"/>
      <c r="AI7" s="53" t="s">
        <v>31</v>
      </c>
      <c r="AJ7" s="53" t="s">
        <v>30</v>
      </c>
      <c r="AK7" s="49" t="s">
        <v>32</v>
      </c>
    </row>
    <row r="8" spans="1:37" s="49" customFormat="1" ht="15.75" customHeight="1">
      <c r="A8" s="62">
        <v>5</v>
      </c>
      <c r="B8" s="53" t="s">
        <v>33</v>
      </c>
      <c r="C8" s="113">
        <f>'2022年'!G11</f>
        <v>659216.65436728625</v>
      </c>
      <c r="D8" s="113">
        <f>'2023年'!G11</f>
        <v>1318433.3087345725</v>
      </c>
      <c r="E8" s="113">
        <f>'2024年'!G11</f>
        <v>3955299.9262037175</v>
      </c>
      <c r="F8" s="113">
        <f>'2025年'!G11</f>
        <v>6592166.5436728615</v>
      </c>
      <c r="G8" s="113">
        <f t="shared" si="0"/>
        <v>12525116.432978438</v>
      </c>
      <c r="H8" s="69"/>
      <c r="AI8" s="53" t="s">
        <v>34</v>
      </c>
      <c r="AJ8" s="53" t="s">
        <v>33</v>
      </c>
    </row>
    <row r="9" spans="1:37" s="49" customFormat="1" ht="15.75" customHeight="1">
      <c r="A9" s="62">
        <v>6</v>
      </c>
      <c r="B9" s="53" t="s">
        <v>35</v>
      </c>
      <c r="C9" s="113">
        <f>'2022年'!G12</f>
        <v>176775.98426041153</v>
      </c>
      <c r="D9" s="113">
        <f>'2023年'!G12</f>
        <v>353551.96852082305</v>
      </c>
      <c r="E9" s="113">
        <f>'2024年'!G12</f>
        <v>1060655.9055624693</v>
      </c>
      <c r="F9" s="113">
        <f>'2025年'!G12</f>
        <v>1767759.8426041154</v>
      </c>
      <c r="G9" s="113">
        <f t="shared" si="0"/>
        <v>3358743.7009478193</v>
      </c>
      <c r="H9" s="69"/>
      <c r="AI9" s="53" t="s">
        <v>36</v>
      </c>
      <c r="AJ9" s="53" t="s">
        <v>35</v>
      </c>
    </row>
    <row r="10" spans="1:37" s="49" customFormat="1" ht="15.75" customHeight="1">
      <c r="A10" s="62">
        <v>7</v>
      </c>
      <c r="B10" s="115" t="s">
        <v>37</v>
      </c>
      <c r="C10" s="113">
        <f>'2022年'!G13</f>
        <v>469026.54867256636</v>
      </c>
      <c r="D10" s="113">
        <f>'2023年'!G13</f>
        <v>938053.09734513273</v>
      </c>
      <c r="E10" s="113">
        <f>'2024年'!G13</f>
        <v>2814159.2920353981</v>
      </c>
      <c r="F10" s="113">
        <f>'2025年'!G13</f>
        <v>4690265.4867256638</v>
      </c>
      <c r="G10" s="113">
        <f t="shared" si="0"/>
        <v>8911504.4247787613</v>
      </c>
      <c r="H10" s="69"/>
      <c r="AI10" s="53" t="s">
        <v>38</v>
      </c>
      <c r="AJ10" s="53" t="s">
        <v>37</v>
      </c>
      <c r="AK10" s="49" t="s">
        <v>21</v>
      </c>
    </row>
    <row r="11" spans="1:37" s="49" customFormat="1" ht="15.75" customHeight="1">
      <c r="A11" s="62">
        <v>8</v>
      </c>
      <c r="B11" s="116" t="s">
        <v>39</v>
      </c>
      <c r="C11" s="117">
        <f>'2022年'!G14</f>
        <v>1305019.1873002641</v>
      </c>
      <c r="D11" s="117">
        <f>'2023年'!G14</f>
        <v>2610038.3746005283</v>
      </c>
      <c r="E11" s="117">
        <f>'2024年'!G14</f>
        <v>7830115.1238015844</v>
      </c>
      <c r="F11" s="113">
        <f>'2025年'!G14</f>
        <v>13050191.873002641</v>
      </c>
      <c r="G11" s="117">
        <f t="shared" si="0"/>
        <v>24795364.558705017</v>
      </c>
      <c r="H11" s="69"/>
      <c r="AI11" s="53" t="s">
        <v>40</v>
      </c>
      <c r="AJ11" s="56" t="s">
        <v>39</v>
      </c>
    </row>
    <row r="12" spans="1:37" s="49" customFormat="1" ht="15.75" customHeight="1">
      <c r="A12" s="62">
        <v>9</v>
      </c>
      <c r="B12" s="118" t="s">
        <v>41</v>
      </c>
      <c r="C12" s="113">
        <f>'2022年'!G15</f>
        <v>2905644.5295138974</v>
      </c>
      <c r="D12" s="113">
        <f>'2023年'!G15</f>
        <v>5390222.6873463774</v>
      </c>
      <c r="E12" s="113">
        <f>'2024年'!G15</f>
        <v>14970628.902747096</v>
      </c>
      <c r="F12" s="113">
        <f>'2025年'!G15</f>
        <v>23050986.169032779</v>
      </c>
      <c r="G12" s="113">
        <f>G6-G7-G11</f>
        <v>46317482.288640156</v>
      </c>
      <c r="H12" s="69"/>
      <c r="J12" s="110"/>
      <c r="K12" s="110"/>
      <c r="L12" s="110"/>
      <c r="M12" s="110"/>
      <c r="N12" s="110"/>
      <c r="O12" s="110"/>
      <c r="AI12" s="53" t="s">
        <v>42</v>
      </c>
      <c r="AJ12" s="56" t="s">
        <v>41</v>
      </c>
    </row>
    <row r="13" spans="1:37" ht="15.75" customHeight="1">
      <c r="A13" s="62">
        <v>10</v>
      </c>
      <c r="B13" s="119" t="s">
        <v>43</v>
      </c>
      <c r="C13" s="120">
        <f>+C12/C6</f>
        <v>0.24780213723401537</v>
      </c>
      <c r="D13" s="120">
        <f>'2023年'!G16</f>
        <v>0.24194445428803993</v>
      </c>
      <c r="E13" s="120">
        <f>'2024年'!G16</f>
        <v>0.23577847223964485</v>
      </c>
      <c r="F13" s="120">
        <f>'2025年'!G16</f>
        <v>0.22928796482028163</v>
      </c>
      <c r="G13" s="120">
        <f>+G12/G6</f>
        <v>0.2338891105580258</v>
      </c>
      <c r="H13" s="69"/>
      <c r="AI13" s="119" t="s">
        <v>44</v>
      </c>
      <c r="AJ13" s="119" t="s">
        <v>43</v>
      </c>
    </row>
    <row r="14" spans="1:37" ht="15.75" customHeight="1">
      <c r="A14" s="62">
        <v>11</v>
      </c>
      <c r="B14" s="119" t="s">
        <v>45</v>
      </c>
      <c r="C14" s="113">
        <f>'2022年'!G17</f>
        <v>747579.8672566372</v>
      </c>
      <c r="D14" s="113">
        <f>'2023年'!G17</f>
        <v>1275234.7345132744</v>
      </c>
      <c r="E14" s="113">
        <f>'2024年'!G17</f>
        <v>3385854.2035398232</v>
      </c>
      <c r="F14" s="113">
        <f>'2025年'!G17</f>
        <v>5496473.672566372</v>
      </c>
      <c r="G14" s="113">
        <f>SUM(C14:F14)</f>
        <v>10905142.477876108</v>
      </c>
      <c r="H14" s="69"/>
      <c r="AI14" s="119" t="s">
        <v>46</v>
      </c>
      <c r="AJ14" s="119" t="s">
        <v>45</v>
      </c>
    </row>
    <row r="15" spans="1:37" ht="15.75" hidden="1" customHeight="1">
      <c r="A15" s="160"/>
      <c r="B15" s="119"/>
      <c r="C15" s="113"/>
      <c r="D15" s="113"/>
      <c r="E15" s="113"/>
      <c r="F15" s="113">
        <f>'2025年'!G18</f>
        <v>219925</v>
      </c>
      <c r="G15" s="113"/>
      <c r="H15" s="69"/>
      <c r="AI15" s="119"/>
      <c r="AJ15" s="119"/>
    </row>
    <row r="16" spans="1:37" ht="15.75" customHeight="1">
      <c r="A16" s="62">
        <v>12</v>
      </c>
      <c r="B16" s="119" t="s">
        <v>47</v>
      </c>
      <c r="C16" s="121">
        <f>'2022年'!G19</f>
        <v>82079.646017699124</v>
      </c>
      <c r="D16" s="121">
        <f>'2023年'!G19</f>
        <v>164159.29203539825</v>
      </c>
      <c r="E16" s="121">
        <f>'2024年'!G19</f>
        <v>492477.87610619474</v>
      </c>
      <c r="F16" s="113">
        <f>'2025年'!G19</f>
        <v>820796.46017699118</v>
      </c>
      <c r="G16" s="113">
        <f>SUM(C16:F16)</f>
        <v>1559513.2743362833</v>
      </c>
      <c r="H16" s="69"/>
      <c r="P16" s="69"/>
      <c r="AI16" s="119" t="s">
        <v>48</v>
      </c>
      <c r="AJ16" s="119" t="s">
        <v>47</v>
      </c>
      <c r="AK16" s="110" t="s">
        <v>21</v>
      </c>
    </row>
    <row r="17" spans="1:37" ht="15.75" customHeight="1">
      <c r="A17" s="62">
        <v>13</v>
      </c>
      <c r="B17" s="119" t="s">
        <v>49</v>
      </c>
      <c r="C17" s="121">
        <f>'2022年'!G20</f>
        <v>351769.91150442482</v>
      </c>
      <c r="D17" s="121">
        <f>'2023年'!G20</f>
        <v>703539.82300884963</v>
      </c>
      <c r="E17" s="121">
        <f>'2024年'!G20</f>
        <v>2110619.4690265488</v>
      </c>
      <c r="F17" s="113">
        <f>'2025年'!G20</f>
        <v>3517699.1150442478</v>
      </c>
      <c r="G17" s="113">
        <f>SUM(C17:F17)</f>
        <v>6683628.3185840715</v>
      </c>
      <c r="H17" s="69"/>
      <c r="AI17" s="119" t="s">
        <v>50</v>
      </c>
      <c r="AJ17" s="119" t="s">
        <v>49</v>
      </c>
    </row>
    <row r="18" spans="1:37" s="48" customFormat="1" ht="15.75" customHeight="1">
      <c r="A18" s="62">
        <v>14</v>
      </c>
      <c r="B18" s="61" t="s">
        <v>51</v>
      </c>
      <c r="C18" s="122">
        <f>'2022年'!G21</f>
        <v>25275</v>
      </c>
      <c r="D18" s="122">
        <f>'2023年'!G21</f>
        <v>25275</v>
      </c>
      <c r="E18" s="122">
        <f>'2024年'!G21</f>
        <v>25275</v>
      </c>
      <c r="F18" s="113">
        <f>'2025年'!G21</f>
        <v>25275</v>
      </c>
      <c r="G18" s="113">
        <f>SUM(C18:F18)</f>
        <v>101100</v>
      </c>
      <c r="H18" s="69"/>
      <c r="AI18" s="61"/>
      <c r="AJ18" s="61"/>
    </row>
    <row r="19" spans="1:37" s="49" customFormat="1" ht="15.75" customHeight="1">
      <c r="A19" s="62">
        <v>15</v>
      </c>
      <c r="B19" s="53" t="s">
        <v>52</v>
      </c>
      <c r="C19" s="121">
        <f>'2022年'!G22</f>
        <v>469026.54867256642</v>
      </c>
      <c r="D19" s="121">
        <f>'2023年'!G22</f>
        <v>938053.09734513285</v>
      </c>
      <c r="E19" s="121">
        <f>'2024年'!G22</f>
        <v>2814159.2920353985</v>
      </c>
      <c r="F19" s="113">
        <f>'2025年'!G22</f>
        <v>4690265.4867256638</v>
      </c>
      <c r="G19" s="113">
        <f>SUM(C19:F19)</f>
        <v>8911504.4247787613</v>
      </c>
      <c r="H19" s="69"/>
      <c r="AI19" s="53" t="s">
        <v>53</v>
      </c>
      <c r="AJ19" s="53" t="s">
        <v>52</v>
      </c>
    </row>
    <row r="20" spans="1:37" s="108" customFormat="1" ht="15.75" customHeight="1">
      <c r="A20" s="62">
        <v>16</v>
      </c>
      <c r="B20" s="123" t="s">
        <v>54</v>
      </c>
      <c r="C20" s="117">
        <f t="shared" ref="C20" si="1">+C19+C18+C17+C16+C14</f>
        <v>1675730.9734513275</v>
      </c>
      <c r="D20" s="117">
        <f>'2023年'!G23</f>
        <v>3106261.9469026551</v>
      </c>
      <c r="E20" s="117">
        <f>'2024年'!G23</f>
        <v>8828385.8407079652</v>
      </c>
      <c r="F20" s="113">
        <f>'2025年'!G23</f>
        <v>14550509.734513275</v>
      </c>
      <c r="G20" s="117">
        <f>SUM(C20:F20)</f>
        <v>28160888.495575223</v>
      </c>
      <c r="H20" s="69"/>
      <c r="AI20" s="136" t="s">
        <v>55</v>
      </c>
      <c r="AJ20" s="137" t="s">
        <v>54</v>
      </c>
    </row>
    <row r="21" spans="1:37" ht="15.75" customHeight="1">
      <c r="A21" s="62">
        <v>17</v>
      </c>
      <c r="B21" s="119" t="s">
        <v>56</v>
      </c>
      <c r="C21" s="124">
        <f>+C12-C20</f>
        <v>1229913.5560625698</v>
      </c>
      <c r="D21" s="124">
        <f>'2023年'!G24</f>
        <v>2283960.7404437223</v>
      </c>
      <c r="E21" s="124">
        <f>'2024年'!G24</f>
        <v>6142243.0620391313</v>
      </c>
      <c r="F21" s="113">
        <f>'2025年'!G24</f>
        <v>8500476.4345195033</v>
      </c>
      <c r="G21" s="124">
        <f>+G12-G20</f>
        <v>18156593.793064933</v>
      </c>
      <c r="H21" s="69"/>
      <c r="AI21" s="119" t="s">
        <v>57</v>
      </c>
      <c r="AJ21" s="119" t="s">
        <v>56</v>
      </c>
    </row>
    <row r="22" spans="1:37" ht="15.75" customHeight="1">
      <c r="A22" s="62">
        <v>18</v>
      </c>
      <c r="B22" s="119" t="s">
        <v>58</v>
      </c>
      <c r="C22" s="124">
        <f>IF(C21&lt;0,0,C21*0.15)</f>
        <v>184487.03340938548</v>
      </c>
      <c r="D22" s="124">
        <f>'2023年'!G25</f>
        <v>342594.11106655834</v>
      </c>
      <c r="E22" s="124">
        <f>'2024年'!G25</f>
        <v>921336.45930586965</v>
      </c>
      <c r="F22" s="113">
        <f>'2025年'!G25</f>
        <v>1275071.4651779255</v>
      </c>
      <c r="G22" s="124">
        <f>IF(G21&lt;0,0,G21*0.25)</f>
        <v>4539148.4482662333</v>
      </c>
      <c r="H22" s="69"/>
      <c r="AI22" s="119" t="s">
        <v>59</v>
      </c>
      <c r="AJ22" s="119" t="s">
        <v>58</v>
      </c>
    </row>
    <row r="23" spans="1:37" ht="15.75" customHeight="1">
      <c r="A23" s="62">
        <v>19</v>
      </c>
      <c r="B23" s="119" t="s">
        <v>60</v>
      </c>
      <c r="C23" s="124">
        <f>C21-C22</f>
        <v>1045426.5226531844</v>
      </c>
      <c r="D23" s="124">
        <f>'2023年'!G26</f>
        <v>1941366.6293771639</v>
      </c>
      <c r="E23" s="124">
        <f>'2024年'!G26</f>
        <v>5220906.6027332619</v>
      </c>
      <c r="F23" s="113">
        <f>'2025年'!G26</f>
        <v>7225404.969341578</v>
      </c>
      <c r="G23" s="190">
        <f>G21-G22</f>
        <v>13617445.344798699</v>
      </c>
      <c r="H23" s="69"/>
      <c r="AI23" s="119" t="s">
        <v>61</v>
      </c>
      <c r="AJ23" s="119" t="s">
        <v>60</v>
      </c>
    </row>
    <row r="24" spans="1:37" ht="15.75" customHeight="1">
      <c r="A24" s="62">
        <v>20</v>
      </c>
      <c r="B24" s="119" t="s">
        <v>62</v>
      </c>
      <c r="C24" s="125">
        <f>(C23/C4)*100%</f>
        <v>8.9157129856460238E-2</v>
      </c>
      <c r="D24" s="125">
        <f>'2023年'!G27</f>
        <v>8.2782803441365849E-2</v>
      </c>
      <c r="E24" s="125">
        <f>'2024年'!G27</f>
        <v>7.420911271809541E-2</v>
      </c>
      <c r="F24" s="125">
        <f>'2025年'!G27</f>
        <v>6.1620434832875333E-2</v>
      </c>
      <c r="G24" s="125">
        <f>(G23/G4)*100%</f>
        <v>6.1122992014389387E-2</v>
      </c>
      <c r="H24" s="69"/>
      <c r="AI24" s="138" t="s">
        <v>63</v>
      </c>
      <c r="AJ24" s="138" t="s">
        <v>64</v>
      </c>
    </row>
    <row r="25" spans="1:37" s="109" customFormat="1" ht="15.75" hidden="1" customHeight="1">
      <c r="C25" s="126"/>
      <c r="D25" s="126"/>
      <c r="E25" s="126"/>
      <c r="F25" s="126"/>
      <c r="G25" s="126"/>
      <c r="H25" s="135"/>
    </row>
    <row r="26" spans="1:37" s="109" customFormat="1" ht="15.75" hidden="1" customHeight="1">
      <c r="A26" s="109" t="s">
        <v>65</v>
      </c>
      <c r="C26" s="127"/>
      <c r="D26" s="127"/>
      <c r="E26" s="127"/>
      <c r="F26" s="127"/>
      <c r="G26" s="127"/>
      <c r="H26" s="135"/>
      <c r="AI26" s="109" t="s">
        <v>65</v>
      </c>
    </row>
    <row r="27" spans="1:37" ht="15.75" hidden="1" customHeight="1">
      <c r="A27" s="119" t="s">
        <v>17</v>
      </c>
      <c r="B27" s="128" t="s">
        <v>1</v>
      </c>
      <c r="C27" s="112" t="s">
        <v>66</v>
      </c>
      <c r="D27" s="112" t="s">
        <v>18</v>
      </c>
      <c r="E27" s="112" t="s">
        <v>67</v>
      </c>
      <c r="F27" s="112" t="s">
        <v>274</v>
      </c>
      <c r="G27" s="52" t="s">
        <v>19</v>
      </c>
      <c r="AK27" s="110" t="s">
        <v>20</v>
      </c>
    </row>
    <row r="28" spans="1:37" s="49" customFormat="1" ht="15.75" hidden="1" customHeight="1">
      <c r="A28" s="53" t="s">
        <v>68</v>
      </c>
      <c r="B28" s="56" t="s">
        <v>69</v>
      </c>
      <c r="C28" s="60"/>
      <c r="D28" s="60"/>
      <c r="E28" s="60"/>
      <c r="F28" s="60"/>
      <c r="G28" s="60"/>
      <c r="H28" s="69"/>
      <c r="AI28" s="53" t="s">
        <v>70</v>
      </c>
      <c r="AJ28" s="56" t="s">
        <v>69</v>
      </c>
    </row>
    <row r="29" spans="1:37" s="49" customFormat="1" ht="15.75" hidden="1" customHeight="1">
      <c r="A29" s="53" t="s">
        <v>23</v>
      </c>
      <c r="B29" s="53" t="s">
        <v>71</v>
      </c>
      <c r="C29" s="55">
        <f>+C6/C3</f>
        <v>1172.5663716814161</v>
      </c>
      <c r="D29" s="55">
        <f t="shared" ref="D29:E29" si="2">+D6/D3</f>
        <v>1113.9380530973453</v>
      </c>
      <c r="E29" s="55">
        <f t="shared" si="2"/>
        <v>1058.2411504424779</v>
      </c>
      <c r="F29" s="55">
        <f t="shared" ref="F29" si="3">+F6/F3</f>
        <v>1005.329092920354</v>
      </c>
      <c r="G29" s="55">
        <f>+G6/G3</f>
        <v>1042.272647880764</v>
      </c>
      <c r="H29" s="69"/>
      <c r="AI29" s="53" t="s">
        <v>23</v>
      </c>
      <c r="AJ29" s="53" t="s">
        <v>71</v>
      </c>
    </row>
    <row r="30" spans="1:37" s="49" customFormat="1" ht="15.75" hidden="1" customHeight="1">
      <c r="A30" s="53" t="s">
        <v>25</v>
      </c>
      <c r="B30" s="53" t="s">
        <v>72</v>
      </c>
      <c r="C30" s="55">
        <f>+C7/C3</f>
        <v>751.5</v>
      </c>
      <c r="D30" s="55">
        <f t="shared" ref="D30:E30" si="4">+D7/D3</f>
        <v>713.92499999999995</v>
      </c>
      <c r="E30" s="55">
        <f t="shared" si="4"/>
        <v>678.22874999999988</v>
      </c>
      <c r="F30" s="55">
        <f t="shared" ref="F30" si="5">+F7/F3</f>
        <v>644.31731249999984</v>
      </c>
      <c r="G30" s="55">
        <f>+G7/G3</f>
        <v>667.99450657894727</v>
      </c>
      <c r="H30" s="69"/>
      <c r="AI30" s="53" t="s">
        <v>25</v>
      </c>
      <c r="AJ30" s="53" t="s">
        <v>72</v>
      </c>
    </row>
    <row r="31" spans="1:37" s="49" customFormat="1" ht="15.75" hidden="1" customHeight="1">
      <c r="A31" s="53" t="s">
        <v>73</v>
      </c>
      <c r="B31" s="53" t="s">
        <v>74</v>
      </c>
      <c r="C31" s="60">
        <f t="shared" ref="C31:G31" si="6">C29-C30</f>
        <v>421.06637168141606</v>
      </c>
      <c r="D31" s="60">
        <f t="shared" si="6"/>
        <v>400.01305309734539</v>
      </c>
      <c r="E31" s="60">
        <f t="shared" si="6"/>
        <v>380.012400442478</v>
      </c>
      <c r="F31" s="60">
        <f t="shared" ref="F31" si="7">F29-F30</f>
        <v>361.01178042035417</v>
      </c>
      <c r="G31" s="60">
        <f t="shared" si="6"/>
        <v>374.27814130181673</v>
      </c>
      <c r="H31" s="69"/>
      <c r="AI31" s="53" t="s">
        <v>73</v>
      </c>
      <c r="AJ31" s="53" t="s">
        <v>74</v>
      </c>
    </row>
    <row r="32" spans="1:37" s="49" customFormat="1" ht="15.75" hidden="1" customHeight="1">
      <c r="A32" s="53">
        <v>3.1</v>
      </c>
      <c r="B32" s="53" t="s">
        <v>75</v>
      </c>
      <c r="C32" s="129">
        <f t="shared" ref="C32:G32" si="8">C31/C29</f>
        <v>0.35909811320754725</v>
      </c>
      <c r="D32" s="129">
        <f t="shared" si="8"/>
        <v>0.35909811320754731</v>
      </c>
      <c r="E32" s="129">
        <f t="shared" si="8"/>
        <v>0.35909811320754731</v>
      </c>
      <c r="F32" s="129">
        <f t="shared" ref="F32" si="9">F31/F29</f>
        <v>0.35909811320754736</v>
      </c>
      <c r="G32" s="129">
        <f t="shared" si="8"/>
        <v>0.35909811320754736</v>
      </c>
      <c r="H32" s="69"/>
      <c r="AI32" s="53"/>
      <c r="AJ32" s="53"/>
    </row>
    <row r="33" spans="1:36" s="49" customFormat="1" ht="15.75" hidden="1" customHeight="1">
      <c r="A33" s="53" t="s">
        <v>70</v>
      </c>
      <c r="B33" s="56" t="s">
        <v>9</v>
      </c>
      <c r="C33" s="60"/>
      <c r="D33" s="60"/>
      <c r="E33" s="60"/>
      <c r="F33" s="60"/>
      <c r="G33" s="60"/>
      <c r="H33" s="69"/>
      <c r="AI33" s="53" t="s">
        <v>76</v>
      </c>
      <c r="AJ33" s="56" t="s">
        <v>9</v>
      </c>
    </row>
    <row r="34" spans="1:36" s="49" customFormat="1" ht="15.75" hidden="1" customHeight="1">
      <c r="A34" s="53" t="s">
        <v>23</v>
      </c>
      <c r="B34" s="61" t="s">
        <v>77</v>
      </c>
      <c r="C34" s="55">
        <f>+C8/C3</f>
        <v>65.921665436728631</v>
      </c>
      <c r="D34" s="55">
        <f t="shared" ref="D34:E34" si="10">+D8/D3</f>
        <v>65.921665436728631</v>
      </c>
      <c r="E34" s="55">
        <f t="shared" si="10"/>
        <v>65.921665436728631</v>
      </c>
      <c r="F34" s="55">
        <f t="shared" ref="F34" si="11">+F8/F3</f>
        <v>65.921665436728617</v>
      </c>
      <c r="G34" s="55">
        <f>+G8/G3</f>
        <v>65.921665436728617</v>
      </c>
      <c r="H34" s="69"/>
      <c r="AI34" s="53" t="s">
        <v>73</v>
      </c>
      <c r="AJ34" s="53" t="s">
        <v>77</v>
      </c>
    </row>
    <row r="35" spans="1:36" s="49" customFormat="1" ht="15.75" hidden="1" customHeight="1">
      <c r="A35" s="53" t="s">
        <v>25</v>
      </c>
      <c r="B35" s="61" t="s">
        <v>78</v>
      </c>
      <c r="C35" s="55">
        <f>+C9/C3</f>
        <v>17.677598426041154</v>
      </c>
      <c r="D35" s="55">
        <f t="shared" ref="D35:E35" si="12">+D9/D3</f>
        <v>17.677598426041154</v>
      </c>
      <c r="E35" s="55">
        <f t="shared" si="12"/>
        <v>17.677598426041154</v>
      </c>
      <c r="F35" s="55">
        <f t="shared" ref="F35" si="13">+F9/F3</f>
        <v>17.677598426041154</v>
      </c>
      <c r="G35" s="55">
        <f>+G9/G3</f>
        <v>17.677598426041154</v>
      </c>
      <c r="H35" s="69"/>
      <c r="AI35" s="53" t="s">
        <v>28</v>
      </c>
      <c r="AJ35" s="53" t="s">
        <v>78</v>
      </c>
    </row>
    <row r="36" spans="1:36" s="49" customFormat="1" ht="15.75" hidden="1" customHeight="1">
      <c r="A36" s="53" t="s">
        <v>73</v>
      </c>
      <c r="B36" s="61" t="s">
        <v>79</v>
      </c>
      <c r="C36" s="55">
        <f>+C10/C3</f>
        <v>46.902654867256636</v>
      </c>
      <c r="D36" s="55">
        <f t="shared" ref="D36:E36" si="14">+D10/D3</f>
        <v>46.902654867256636</v>
      </c>
      <c r="E36" s="55">
        <f t="shared" si="14"/>
        <v>46.902654867256636</v>
      </c>
      <c r="F36" s="55">
        <f t="shared" ref="F36" si="15">+F10/F3</f>
        <v>46.902654867256636</v>
      </c>
      <c r="G36" s="55">
        <f>+G10/G3</f>
        <v>46.902654867256636</v>
      </c>
      <c r="H36" s="69"/>
      <c r="AI36" s="53" t="s">
        <v>34</v>
      </c>
      <c r="AJ36" s="53" t="s">
        <v>79</v>
      </c>
    </row>
    <row r="37" spans="1:36" s="49" customFormat="1" ht="15.75" hidden="1" customHeight="1">
      <c r="A37" s="53" t="s">
        <v>80</v>
      </c>
      <c r="B37" s="118" t="s">
        <v>81</v>
      </c>
      <c r="C37" s="55"/>
      <c r="D37" s="55"/>
      <c r="E37" s="55"/>
      <c r="F37" s="55"/>
      <c r="G37" s="55"/>
      <c r="H37" s="69"/>
      <c r="AI37" s="53" t="s">
        <v>80</v>
      </c>
      <c r="AJ37" s="56" t="s">
        <v>81</v>
      </c>
    </row>
    <row r="38" spans="1:36" s="49" customFormat="1" hidden="1">
      <c r="A38" s="53" t="s">
        <v>23</v>
      </c>
      <c r="B38" s="61" t="s">
        <v>82</v>
      </c>
      <c r="C38" s="55">
        <f>+C12/C3</f>
        <v>290.56445295138974</v>
      </c>
      <c r="D38" s="55">
        <f t="shared" ref="D38:F38" si="16">+D12/D3</f>
        <v>269.51113436731885</v>
      </c>
      <c r="E38" s="55">
        <f t="shared" si="16"/>
        <v>249.51048171245162</v>
      </c>
      <c r="F38" s="55">
        <f t="shared" si="16"/>
        <v>230.5098616903278</v>
      </c>
      <c r="G38" s="55">
        <f>+G12/G3</f>
        <v>243.7762225717903</v>
      </c>
      <c r="H38" s="69"/>
      <c r="AI38" s="53" t="s">
        <v>23</v>
      </c>
      <c r="AJ38" s="53" t="s">
        <v>83</v>
      </c>
    </row>
    <row r="39" spans="1:36" s="49" customFormat="1" ht="15.75" customHeight="1">
      <c r="A39" s="53" t="s">
        <v>25</v>
      </c>
      <c r="B39" s="61" t="s">
        <v>84</v>
      </c>
      <c r="C39" s="113">
        <f t="shared" ref="C39:F39" si="17">+C20/C38</f>
        <v>5767.1575322796643</v>
      </c>
      <c r="D39" s="113">
        <f t="shared" si="17"/>
        <v>11525.542179155784</v>
      </c>
      <c r="E39" s="113">
        <f t="shared" si="17"/>
        <v>35382.825523467342</v>
      </c>
      <c r="F39" s="113">
        <f t="shared" si="17"/>
        <v>63123.155026055945</v>
      </c>
      <c r="G39" s="190">
        <f t="shared" ref="G39" si="18">+G20/G38</f>
        <v>115519.42268398244</v>
      </c>
      <c r="H39" s="69"/>
      <c r="AI39" s="53" t="s">
        <v>25</v>
      </c>
      <c r="AJ39" s="53" t="s">
        <v>84</v>
      </c>
    </row>
    <row r="40" spans="1:36" s="49" customFormat="1" ht="15.75" hidden="1" customHeight="1">
      <c r="A40" s="53" t="s">
        <v>85</v>
      </c>
      <c r="B40" s="56" t="s">
        <v>86</v>
      </c>
      <c r="C40" s="60"/>
      <c r="D40" s="60"/>
      <c r="E40" s="60"/>
      <c r="F40" s="60"/>
      <c r="G40" s="60"/>
      <c r="H40" s="69"/>
      <c r="AI40" s="53" t="s">
        <v>85</v>
      </c>
      <c r="AJ40" s="56" t="s">
        <v>86</v>
      </c>
    </row>
    <row r="41" spans="1:36" s="49" customFormat="1" ht="15.75" hidden="1" customHeight="1">
      <c r="A41" s="53" t="s">
        <v>23</v>
      </c>
      <c r="B41" s="53" t="s">
        <v>87</v>
      </c>
      <c r="C41" s="60">
        <f>+C14/C3</f>
        <v>74.757986725663713</v>
      </c>
      <c r="D41" s="60">
        <f t="shared" ref="D41:E41" si="19">+D14/D3</f>
        <v>63.761736725663717</v>
      </c>
      <c r="E41" s="60">
        <f t="shared" si="19"/>
        <v>56.430903392330386</v>
      </c>
      <c r="F41" s="60">
        <f t="shared" ref="F41" si="20">+F14/F3</f>
        <v>54.96473672566372</v>
      </c>
      <c r="G41" s="60">
        <f>+G14/G3</f>
        <v>57.39548672566373</v>
      </c>
      <c r="H41" s="69"/>
      <c r="AI41" s="53" t="s">
        <v>23</v>
      </c>
      <c r="AJ41" s="53" t="s">
        <v>87</v>
      </c>
    </row>
    <row r="42" spans="1:36" s="49" customFormat="1" ht="15.75" hidden="1" customHeight="1">
      <c r="A42" s="53" t="s">
        <v>25</v>
      </c>
      <c r="B42" s="53" t="s">
        <v>88</v>
      </c>
      <c r="C42" s="60">
        <f>+C16/C3</f>
        <v>8.2079646017699126</v>
      </c>
      <c r="D42" s="60">
        <f t="shared" ref="D42:E42" si="21">+D16/D3</f>
        <v>8.2079646017699126</v>
      </c>
      <c r="E42" s="60">
        <f t="shared" si="21"/>
        <v>8.2079646017699126</v>
      </c>
      <c r="F42" s="60">
        <f t="shared" ref="F42" si="22">+F16/F3</f>
        <v>8.2079646017699126</v>
      </c>
      <c r="G42" s="60">
        <f>+G16/G3</f>
        <v>8.2079646017699126</v>
      </c>
      <c r="H42" s="69"/>
      <c r="AI42" s="53" t="s">
        <v>25</v>
      </c>
      <c r="AJ42" s="53" t="s">
        <v>88</v>
      </c>
    </row>
    <row r="43" spans="1:36" s="49" customFormat="1" ht="15.75" hidden="1" customHeight="1">
      <c r="A43" s="53" t="s">
        <v>73</v>
      </c>
      <c r="B43" s="53" t="s">
        <v>89</v>
      </c>
      <c r="C43" s="60">
        <f>+C17/C3</f>
        <v>35.176991150442483</v>
      </c>
      <c r="D43" s="60">
        <f t="shared" ref="D43:E43" si="23">+D17/D3</f>
        <v>35.176991150442483</v>
      </c>
      <c r="E43" s="60">
        <f t="shared" si="23"/>
        <v>35.176991150442483</v>
      </c>
      <c r="F43" s="60">
        <f t="shared" ref="F43" si="24">+F17/F3</f>
        <v>35.176991150442475</v>
      </c>
      <c r="G43" s="60">
        <f>+G17/G3</f>
        <v>35.176991150442483</v>
      </c>
      <c r="H43" s="69"/>
      <c r="AI43" s="53" t="s">
        <v>73</v>
      </c>
      <c r="AJ43" s="53" t="s">
        <v>89</v>
      </c>
    </row>
    <row r="44" spans="1:36" s="49" customFormat="1" ht="15.75" hidden="1" customHeight="1">
      <c r="A44" s="53" t="s">
        <v>28</v>
      </c>
      <c r="B44" s="53" t="s">
        <v>90</v>
      </c>
      <c r="C44" s="60"/>
      <c r="D44" s="60"/>
      <c r="E44" s="60"/>
      <c r="F44" s="60"/>
      <c r="G44" s="60"/>
      <c r="H44" s="69"/>
      <c r="AI44" s="53" t="s">
        <v>28</v>
      </c>
      <c r="AJ44" s="53" t="s">
        <v>91</v>
      </c>
    </row>
    <row r="45" spans="1:36" s="49" customFormat="1" ht="15.75" hidden="1" customHeight="1">
      <c r="A45" s="53" t="s">
        <v>31</v>
      </c>
      <c r="B45" s="53" t="s">
        <v>92</v>
      </c>
      <c r="C45" s="60"/>
      <c r="D45" s="60"/>
      <c r="E45" s="60"/>
      <c r="F45" s="60"/>
      <c r="G45" s="60"/>
      <c r="H45" s="69"/>
      <c r="AI45" s="53" t="s">
        <v>31</v>
      </c>
      <c r="AJ45" s="53" t="s">
        <v>92</v>
      </c>
    </row>
    <row r="46" spans="1:36" s="49" customFormat="1" ht="15.75" hidden="1" customHeight="1">
      <c r="A46" s="53" t="s">
        <v>93</v>
      </c>
      <c r="B46" s="56" t="s">
        <v>94</v>
      </c>
      <c r="C46" s="60"/>
      <c r="D46" s="60"/>
      <c r="E46" s="60"/>
      <c r="F46" s="60"/>
      <c r="G46" s="60"/>
      <c r="H46" s="69"/>
      <c r="AI46" s="53" t="s">
        <v>93</v>
      </c>
      <c r="AJ46" s="56" t="s">
        <v>94</v>
      </c>
    </row>
    <row r="47" spans="1:36" s="49" customFormat="1" ht="15.75" hidden="1" customHeight="1">
      <c r="A47" s="53" t="s">
        <v>23</v>
      </c>
      <c r="B47" s="53" t="s">
        <v>95</v>
      </c>
      <c r="C47" s="130">
        <f>+(C10+C16)/C6</f>
        <v>4.6999999999999993E-2</v>
      </c>
      <c r="D47" s="130">
        <f t="shared" ref="D47:E47" si="25">+(D10+D16)/D6</f>
        <v>4.9473684210526309E-2</v>
      </c>
      <c r="E47" s="130">
        <f t="shared" si="25"/>
        <v>5.2077562326869803E-2</v>
      </c>
      <c r="F47" s="130">
        <f t="shared" ref="F47" si="26">+(F10+F16)/F6</f>
        <v>5.4818486659862956E-2</v>
      </c>
      <c r="G47" s="130">
        <f>+(G10+G16)/G6</f>
        <v>5.2875434830878545E-2</v>
      </c>
      <c r="H47" s="69"/>
      <c r="AI47" s="53" t="s">
        <v>23</v>
      </c>
      <c r="AJ47" s="53" t="s">
        <v>95</v>
      </c>
    </row>
    <row r="48" spans="1:36" s="49" customFormat="1" ht="15.75" hidden="1" customHeight="1">
      <c r="A48" s="53" t="s">
        <v>25</v>
      </c>
      <c r="B48" s="53" t="s">
        <v>96</v>
      </c>
      <c r="C48" s="130">
        <f>+(C8+C9+C14)/C6</f>
        <v>0.13505184389806024</v>
      </c>
      <c r="D48" s="130">
        <f t="shared" ref="D48:E48" si="27">+(D8+D9+D14)/D6</f>
        <v>0.13228832624820641</v>
      </c>
      <c r="E48" s="130">
        <f t="shared" si="27"/>
        <v>0.13232349469357713</v>
      </c>
      <c r="F48" s="130">
        <f t="shared" ref="F48" si="28">+(F8+F9+F14)/F6</f>
        <v>0.13782949440558073</v>
      </c>
      <c r="G48" s="130">
        <f>+(G8+G9+G14)/G6</f>
        <v>0.13527626468478843</v>
      </c>
      <c r="H48" s="69"/>
      <c r="AI48" s="53" t="s">
        <v>25</v>
      </c>
      <c r="AJ48" s="53" t="s">
        <v>96</v>
      </c>
    </row>
    <row r="49" spans="1:36" s="49" customFormat="1" ht="15.75" hidden="1" customHeight="1">
      <c r="A49" s="53" t="s">
        <v>73</v>
      </c>
      <c r="B49" s="53" t="s">
        <v>97</v>
      </c>
      <c r="C49" s="130">
        <f>+C17/C6</f>
        <v>0.03</v>
      </c>
      <c r="D49" s="130">
        <f t="shared" ref="D49:E49" si="29">+D17/D6</f>
        <v>3.1578947368421054E-2</v>
      </c>
      <c r="E49" s="130">
        <f t="shared" si="29"/>
        <v>3.3240997229916899E-2</v>
      </c>
      <c r="F49" s="130">
        <f t="shared" ref="F49" si="30">+F17/F6</f>
        <v>3.4990523399912522E-2</v>
      </c>
      <c r="G49" s="130">
        <f>+G17/G6</f>
        <v>3.3750277551624602E-2</v>
      </c>
      <c r="H49" s="69"/>
      <c r="AI49" s="53" t="s">
        <v>73</v>
      </c>
      <c r="AJ49" s="53" t="s">
        <v>97</v>
      </c>
    </row>
    <row r="50" spans="1:36" s="49" customFormat="1" ht="15.75" hidden="1" customHeight="1">
      <c r="A50" s="53" t="s">
        <v>28</v>
      </c>
      <c r="B50" s="53" t="s">
        <v>98</v>
      </c>
      <c r="C50" s="130">
        <f>+C18/C6</f>
        <v>2.1555283018867923E-3</v>
      </c>
      <c r="D50" s="130">
        <f t="shared" ref="D50:E50" si="31">+D18/D6</f>
        <v>1.134488579940417E-3</v>
      </c>
      <c r="E50" s="130">
        <f t="shared" si="31"/>
        <v>3.9806616840014635E-4</v>
      </c>
      <c r="F50" s="130">
        <f t="shared" ref="F50" si="32">+F18/F6</f>
        <v>2.5141021162114507E-4</v>
      </c>
      <c r="G50" s="130">
        <f>+G18/G6</f>
        <v>5.1052405936183375E-4</v>
      </c>
      <c r="H50" s="69"/>
      <c r="AI50" s="53" t="s">
        <v>28</v>
      </c>
      <c r="AJ50" s="53" t="s">
        <v>98</v>
      </c>
    </row>
    <row r="51" spans="1:36" s="49" customFormat="1" ht="15.75" hidden="1" customHeight="1">
      <c r="A51" s="53" t="s">
        <v>31</v>
      </c>
      <c r="B51" s="53" t="s">
        <v>99</v>
      </c>
      <c r="C51" s="130">
        <f>+C19/C6</f>
        <v>0.04</v>
      </c>
      <c r="D51" s="130">
        <f t="shared" ref="D51:E51" si="33">+D19/D6</f>
        <v>4.2105263157894736E-2</v>
      </c>
      <c r="E51" s="130">
        <f t="shared" si="33"/>
        <v>4.4321329639889197E-2</v>
      </c>
      <c r="F51" s="130">
        <f t="shared" ref="F51" si="34">+F19/F6</f>
        <v>4.6654031199883365E-2</v>
      </c>
      <c r="G51" s="130">
        <f>+G19/G6</f>
        <v>4.5000370068832798E-2</v>
      </c>
      <c r="H51" s="69"/>
      <c r="AI51" s="53" t="s">
        <v>31</v>
      </c>
      <c r="AJ51" s="53" t="s">
        <v>99</v>
      </c>
    </row>
    <row r="52" spans="1:36" s="49" customFormat="1" ht="15.75" hidden="1" customHeight="1">
      <c r="A52" s="53" t="s">
        <v>34</v>
      </c>
      <c r="B52" s="53" t="s">
        <v>100</v>
      </c>
      <c r="C52" s="130">
        <f>+C23/C6</f>
        <v>8.9157129856460238E-2</v>
      </c>
      <c r="D52" s="130">
        <f t="shared" ref="D52:E52" si="35">+D23/D6</f>
        <v>8.7139793096174575E-2</v>
      </c>
      <c r="E52" s="130">
        <f t="shared" si="35"/>
        <v>8.2226163676560021E-2</v>
      </c>
      <c r="F52" s="130">
        <f t="shared" ref="F52" si="36">+F23/F6</f>
        <v>7.1871042231083648E-2</v>
      </c>
      <c r="G52" s="130">
        <f>+G23/G6</f>
        <v>6.8763931509045875E-2</v>
      </c>
      <c r="H52" s="69"/>
      <c r="AI52" s="53" t="s">
        <v>34</v>
      </c>
      <c r="AJ52" s="53" t="s">
        <v>101</v>
      </c>
    </row>
    <row r="53" spans="1:36" s="49" customFormat="1" ht="15.75" hidden="1" customHeight="1">
      <c r="A53" s="53" t="s">
        <v>102</v>
      </c>
      <c r="B53" s="56" t="s">
        <v>103</v>
      </c>
      <c r="C53" s="60">
        <f>+C21/C3</f>
        <v>122.99135560625699</v>
      </c>
      <c r="D53" s="60">
        <f t="shared" ref="D53:E53" si="37">+D21/D3</f>
        <v>114.19803702218611</v>
      </c>
      <c r="E53" s="60">
        <f t="shared" si="37"/>
        <v>102.37071770065219</v>
      </c>
      <c r="F53" s="60">
        <f t="shared" ref="F53" si="38">+F21/F3</f>
        <v>85.004764345195028</v>
      </c>
      <c r="G53" s="60">
        <f>+G21/G3</f>
        <v>95.561019963499646</v>
      </c>
      <c r="H53" s="69"/>
      <c r="AI53" s="53" t="s">
        <v>102</v>
      </c>
      <c r="AJ53" s="56" t="s">
        <v>103</v>
      </c>
    </row>
    <row r="54" spans="1:36" s="49" customFormat="1" ht="15.75" hidden="1" customHeight="1">
      <c r="A54" s="53" t="s">
        <v>104</v>
      </c>
      <c r="B54" s="131" t="s">
        <v>105</v>
      </c>
      <c r="C54" s="60"/>
      <c r="D54" s="60"/>
      <c r="E54" s="60"/>
      <c r="F54" s="60"/>
      <c r="G54" s="60"/>
      <c r="H54" s="69"/>
      <c r="AI54" s="53"/>
      <c r="AJ54" s="56"/>
    </row>
    <row r="55" spans="1:36" s="49" customFormat="1" ht="15.75" hidden="1" customHeight="1">
      <c r="A55" s="53" t="s">
        <v>23</v>
      </c>
      <c r="B55" s="53" t="s">
        <v>106</v>
      </c>
      <c r="C55" s="60">
        <f>C56+C57</f>
        <v>1027100</v>
      </c>
      <c r="D55" s="60"/>
      <c r="E55" s="60"/>
      <c r="F55" s="60"/>
      <c r="G55" s="60"/>
      <c r="H55" s="69"/>
    </row>
    <row r="56" spans="1:36" s="49" customFormat="1" ht="15.75" hidden="1" customHeight="1">
      <c r="A56" s="53">
        <v>1.1000000000000001</v>
      </c>
      <c r="B56" s="132" t="s">
        <v>107</v>
      </c>
      <c r="C56" s="60">
        <f>项目投资!B27</f>
        <v>101100</v>
      </c>
      <c r="D56" s="60"/>
      <c r="E56" s="60"/>
      <c r="F56" s="60"/>
      <c r="G56" s="60"/>
      <c r="H56" s="69"/>
    </row>
    <row r="57" spans="1:36" s="49" customFormat="1" ht="15.75" hidden="1" customHeight="1">
      <c r="A57" s="53">
        <v>1.2</v>
      </c>
      <c r="B57" s="53" t="s">
        <v>108</v>
      </c>
      <c r="C57" s="60">
        <f>项目投资!B26</f>
        <v>926000</v>
      </c>
      <c r="D57" s="60"/>
      <c r="E57" s="60"/>
      <c r="F57" s="60"/>
      <c r="G57" s="60"/>
      <c r="H57" s="69"/>
    </row>
    <row r="58" spans="1:36" ht="15.75" hidden="1" customHeight="1">
      <c r="A58" s="119" t="s">
        <v>25</v>
      </c>
      <c r="B58" s="119" t="s">
        <v>109</v>
      </c>
      <c r="C58" s="133">
        <f t="shared" ref="C58:F58" si="39">C59+C60</f>
        <v>1265351.5226531844</v>
      </c>
      <c r="D58" s="133">
        <f t="shared" si="39"/>
        <v>2161291.6293771639</v>
      </c>
      <c r="E58" s="133">
        <f t="shared" si="39"/>
        <v>5440831.6027332619</v>
      </c>
      <c r="F58" s="133">
        <f t="shared" si="39"/>
        <v>7445329.969341578</v>
      </c>
      <c r="G58" s="133">
        <f t="shared" ref="G58" si="40">G59+G60</f>
        <v>14497145.344798699</v>
      </c>
      <c r="H58" s="69"/>
    </row>
    <row r="59" spans="1:36" ht="15.75" hidden="1" customHeight="1">
      <c r="A59" s="119" t="s">
        <v>73</v>
      </c>
      <c r="B59" s="119" t="s">
        <v>110</v>
      </c>
      <c r="C59" s="133">
        <f t="shared" ref="C59:F59" si="41">C23</f>
        <v>1045426.5226531844</v>
      </c>
      <c r="D59" s="133">
        <f t="shared" si="41"/>
        <v>1941366.6293771639</v>
      </c>
      <c r="E59" s="133">
        <f t="shared" si="41"/>
        <v>5220906.6027332619</v>
      </c>
      <c r="F59" s="133">
        <f t="shared" si="41"/>
        <v>7225404.969341578</v>
      </c>
      <c r="G59" s="133">
        <f t="shared" ref="G59" si="42">G23</f>
        <v>13617445.344798699</v>
      </c>
      <c r="H59" s="69"/>
    </row>
    <row r="60" spans="1:36" ht="15.75" hidden="1" customHeight="1">
      <c r="A60" s="119" t="s">
        <v>28</v>
      </c>
      <c r="B60" s="119" t="s">
        <v>111</v>
      </c>
      <c r="C60" s="133">
        <f>'2022年'!G18</f>
        <v>219925</v>
      </c>
      <c r="D60" s="133">
        <f>'2023年'!G18</f>
        <v>219925</v>
      </c>
      <c r="E60" s="133">
        <f>'2024年'!G18</f>
        <v>219925</v>
      </c>
      <c r="F60" s="133">
        <f>'2025年'!G18</f>
        <v>219925</v>
      </c>
      <c r="G60" s="133">
        <f>项目投资!I26</f>
        <v>879700</v>
      </c>
      <c r="H60" s="69"/>
    </row>
    <row r="61" spans="1:36" ht="15.75" hidden="1" customHeight="1">
      <c r="A61" s="119" t="s">
        <v>31</v>
      </c>
      <c r="B61" s="119" t="s">
        <v>112</v>
      </c>
      <c r="C61" s="134"/>
      <c r="D61" s="134"/>
      <c r="E61" s="134"/>
      <c r="F61" s="134"/>
      <c r="G61" s="133"/>
      <c r="H61" s="69"/>
    </row>
    <row r="63" spans="1:36">
      <c r="B63" s="193"/>
    </row>
    <row r="68" spans="6:6">
      <c r="F68" s="242"/>
    </row>
  </sheetData>
  <mergeCells count="2">
    <mergeCell ref="A1:G1"/>
    <mergeCell ref="A2:A3"/>
  </mergeCells>
  <phoneticPr fontId="39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3" customWidth="1"/>
    <col min="2" max="2" width="28.5" style="73" customWidth="1"/>
    <col min="3" max="4" width="9.125" style="73"/>
    <col min="5" max="5" width="13.875" style="73" customWidth="1"/>
    <col min="6" max="12" width="16.125" style="73" customWidth="1"/>
    <col min="13" max="13" width="10.625" style="73" customWidth="1"/>
    <col min="14" max="254" width="9.125" style="73"/>
    <col min="255" max="255" width="8" style="73" customWidth="1"/>
    <col min="256" max="256" width="28.5" style="73" customWidth="1"/>
    <col min="257" max="268" width="9.125" style="73"/>
    <col min="269" max="269" width="10.625" style="73" customWidth="1"/>
    <col min="270" max="510" width="9.125" style="73"/>
    <col min="511" max="511" width="8" style="73" customWidth="1"/>
    <col min="512" max="512" width="28.5" style="73" customWidth="1"/>
    <col min="513" max="524" width="9.125" style="73"/>
    <col min="525" max="525" width="10.625" style="73" customWidth="1"/>
    <col min="526" max="766" width="9.125" style="73"/>
    <col min="767" max="767" width="8" style="73" customWidth="1"/>
    <col min="768" max="768" width="28.5" style="73" customWidth="1"/>
    <col min="769" max="780" width="9.125" style="73"/>
    <col min="781" max="781" width="10.625" style="73" customWidth="1"/>
    <col min="782" max="1022" width="9.125" style="73"/>
    <col min="1023" max="1023" width="8" style="73" customWidth="1"/>
    <col min="1024" max="1024" width="28.5" style="73" customWidth="1"/>
    <col min="1025" max="1036" width="9.125" style="73"/>
    <col min="1037" max="1037" width="10.625" style="73" customWidth="1"/>
    <col min="1038" max="1278" width="9.125" style="73"/>
    <col min="1279" max="1279" width="8" style="73" customWidth="1"/>
    <col min="1280" max="1280" width="28.5" style="73" customWidth="1"/>
    <col min="1281" max="1292" width="9.125" style="73"/>
    <col min="1293" max="1293" width="10.625" style="73" customWidth="1"/>
    <col min="1294" max="1534" width="9.125" style="73"/>
    <col min="1535" max="1535" width="8" style="73" customWidth="1"/>
    <col min="1536" max="1536" width="28.5" style="73" customWidth="1"/>
    <col min="1537" max="1548" width="9.125" style="73"/>
    <col min="1549" max="1549" width="10.625" style="73" customWidth="1"/>
    <col min="1550" max="1790" width="9.125" style="73"/>
    <col min="1791" max="1791" width="8" style="73" customWidth="1"/>
    <col min="1792" max="1792" width="28.5" style="73" customWidth="1"/>
    <col min="1793" max="1804" width="9.125" style="73"/>
    <col min="1805" max="1805" width="10.625" style="73" customWidth="1"/>
    <col min="1806" max="2046" width="9.125" style="73"/>
    <col min="2047" max="2047" width="8" style="73" customWidth="1"/>
    <col min="2048" max="2048" width="28.5" style="73" customWidth="1"/>
    <col min="2049" max="2060" width="9.125" style="73"/>
    <col min="2061" max="2061" width="10.625" style="73" customWidth="1"/>
    <col min="2062" max="2302" width="9.125" style="73"/>
    <col min="2303" max="2303" width="8" style="73" customWidth="1"/>
    <col min="2304" max="2304" width="28.5" style="73" customWidth="1"/>
    <col min="2305" max="2316" width="9.125" style="73"/>
    <col min="2317" max="2317" width="10.625" style="73" customWidth="1"/>
    <col min="2318" max="2558" width="9.125" style="73"/>
    <col min="2559" max="2559" width="8" style="73" customWidth="1"/>
    <col min="2560" max="2560" width="28.5" style="73" customWidth="1"/>
    <col min="2561" max="2572" width="9.125" style="73"/>
    <col min="2573" max="2573" width="10.625" style="73" customWidth="1"/>
    <col min="2574" max="2814" width="9.125" style="73"/>
    <col min="2815" max="2815" width="8" style="73" customWidth="1"/>
    <col min="2816" max="2816" width="28.5" style="73" customWidth="1"/>
    <col min="2817" max="2828" width="9.125" style="73"/>
    <col min="2829" max="2829" width="10.625" style="73" customWidth="1"/>
    <col min="2830" max="3070" width="9.125" style="73"/>
    <col min="3071" max="3071" width="8" style="73" customWidth="1"/>
    <col min="3072" max="3072" width="28.5" style="73" customWidth="1"/>
    <col min="3073" max="3084" width="9.125" style="73"/>
    <col min="3085" max="3085" width="10.625" style="73" customWidth="1"/>
    <col min="3086" max="3326" width="9.125" style="73"/>
    <col min="3327" max="3327" width="8" style="73" customWidth="1"/>
    <col min="3328" max="3328" width="28.5" style="73" customWidth="1"/>
    <col min="3329" max="3340" width="9.125" style="73"/>
    <col min="3341" max="3341" width="10.625" style="73" customWidth="1"/>
    <col min="3342" max="3582" width="9.125" style="73"/>
    <col min="3583" max="3583" width="8" style="73" customWidth="1"/>
    <col min="3584" max="3584" width="28.5" style="73" customWidth="1"/>
    <col min="3585" max="3596" width="9.125" style="73"/>
    <col min="3597" max="3597" width="10.625" style="73" customWidth="1"/>
    <col min="3598" max="3838" width="9.125" style="73"/>
    <col min="3839" max="3839" width="8" style="73" customWidth="1"/>
    <col min="3840" max="3840" width="28.5" style="73" customWidth="1"/>
    <col min="3841" max="3852" width="9.125" style="73"/>
    <col min="3853" max="3853" width="10.625" style="73" customWidth="1"/>
    <col min="3854" max="4094" width="9.125" style="73"/>
    <col min="4095" max="4095" width="8" style="73" customWidth="1"/>
    <col min="4096" max="4096" width="28.5" style="73" customWidth="1"/>
    <col min="4097" max="4108" width="9.125" style="73"/>
    <col min="4109" max="4109" width="10.625" style="73" customWidth="1"/>
    <col min="4110" max="4350" width="9.125" style="73"/>
    <col min="4351" max="4351" width="8" style="73" customWidth="1"/>
    <col min="4352" max="4352" width="28.5" style="73" customWidth="1"/>
    <col min="4353" max="4364" width="9.125" style="73"/>
    <col min="4365" max="4365" width="10.625" style="73" customWidth="1"/>
    <col min="4366" max="4606" width="9.125" style="73"/>
    <col min="4607" max="4607" width="8" style="73" customWidth="1"/>
    <col min="4608" max="4608" width="28.5" style="73" customWidth="1"/>
    <col min="4609" max="4620" width="9.125" style="73"/>
    <col min="4621" max="4621" width="10.625" style="73" customWidth="1"/>
    <col min="4622" max="4862" width="9.125" style="73"/>
    <col min="4863" max="4863" width="8" style="73" customWidth="1"/>
    <col min="4864" max="4864" width="28.5" style="73" customWidth="1"/>
    <col min="4865" max="4876" width="9.125" style="73"/>
    <col min="4877" max="4877" width="10.625" style="73" customWidth="1"/>
    <col min="4878" max="5118" width="9.125" style="73"/>
    <col min="5119" max="5119" width="8" style="73" customWidth="1"/>
    <col min="5120" max="5120" width="28.5" style="73" customWidth="1"/>
    <col min="5121" max="5132" width="9.125" style="73"/>
    <col min="5133" max="5133" width="10.625" style="73" customWidth="1"/>
    <col min="5134" max="5374" width="9.125" style="73"/>
    <col min="5375" max="5375" width="8" style="73" customWidth="1"/>
    <col min="5376" max="5376" width="28.5" style="73" customWidth="1"/>
    <col min="5377" max="5388" width="9.125" style="73"/>
    <col min="5389" max="5389" width="10.625" style="73" customWidth="1"/>
    <col min="5390" max="5630" width="9.125" style="73"/>
    <col min="5631" max="5631" width="8" style="73" customWidth="1"/>
    <col min="5632" max="5632" width="28.5" style="73" customWidth="1"/>
    <col min="5633" max="5644" width="9.125" style="73"/>
    <col min="5645" max="5645" width="10.625" style="73" customWidth="1"/>
    <col min="5646" max="5886" width="9.125" style="73"/>
    <col min="5887" max="5887" width="8" style="73" customWidth="1"/>
    <col min="5888" max="5888" width="28.5" style="73" customWidth="1"/>
    <col min="5889" max="5900" width="9.125" style="73"/>
    <col min="5901" max="5901" width="10.625" style="73" customWidth="1"/>
    <col min="5902" max="6142" width="9.125" style="73"/>
    <col min="6143" max="6143" width="8" style="73" customWidth="1"/>
    <col min="6144" max="6144" width="28.5" style="73" customWidth="1"/>
    <col min="6145" max="6156" width="9.125" style="73"/>
    <col min="6157" max="6157" width="10.625" style="73" customWidth="1"/>
    <col min="6158" max="6398" width="9.125" style="73"/>
    <col min="6399" max="6399" width="8" style="73" customWidth="1"/>
    <col min="6400" max="6400" width="28.5" style="73" customWidth="1"/>
    <col min="6401" max="6412" width="9.125" style="73"/>
    <col min="6413" max="6413" width="10.625" style="73" customWidth="1"/>
    <col min="6414" max="6654" width="9.125" style="73"/>
    <col min="6655" max="6655" width="8" style="73" customWidth="1"/>
    <col min="6656" max="6656" width="28.5" style="73" customWidth="1"/>
    <col min="6657" max="6668" width="9.125" style="73"/>
    <col min="6669" max="6669" width="10.625" style="73" customWidth="1"/>
    <col min="6670" max="6910" width="9.125" style="73"/>
    <col min="6911" max="6911" width="8" style="73" customWidth="1"/>
    <col min="6912" max="6912" width="28.5" style="73" customWidth="1"/>
    <col min="6913" max="6924" width="9.125" style="73"/>
    <col min="6925" max="6925" width="10.625" style="73" customWidth="1"/>
    <col min="6926" max="7166" width="9.125" style="73"/>
    <col min="7167" max="7167" width="8" style="73" customWidth="1"/>
    <col min="7168" max="7168" width="28.5" style="73" customWidth="1"/>
    <col min="7169" max="7180" width="9.125" style="73"/>
    <col min="7181" max="7181" width="10.625" style="73" customWidth="1"/>
    <col min="7182" max="7422" width="9.125" style="73"/>
    <col min="7423" max="7423" width="8" style="73" customWidth="1"/>
    <col min="7424" max="7424" width="28.5" style="73" customWidth="1"/>
    <col min="7425" max="7436" width="9.125" style="73"/>
    <col min="7437" max="7437" width="10.625" style="73" customWidth="1"/>
    <col min="7438" max="7678" width="9.125" style="73"/>
    <col min="7679" max="7679" width="8" style="73" customWidth="1"/>
    <col min="7680" max="7680" width="28.5" style="73" customWidth="1"/>
    <col min="7681" max="7692" width="9.125" style="73"/>
    <col min="7693" max="7693" width="10.625" style="73" customWidth="1"/>
    <col min="7694" max="7934" width="9.125" style="73"/>
    <col min="7935" max="7935" width="8" style="73" customWidth="1"/>
    <col min="7936" max="7936" width="28.5" style="73" customWidth="1"/>
    <col min="7937" max="7948" width="9.125" style="73"/>
    <col min="7949" max="7949" width="10.625" style="73" customWidth="1"/>
    <col min="7950" max="8190" width="9.125" style="73"/>
    <col min="8191" max="8191" width="8" style="73" customWidth="1"/>
    <col min="8192" max="8192" width="28.5" style="73" customWidth="1"/>
    <col min="8193" max="8204" width="9.125" style="73"/>
    <col min="8205" max="8205" width="10.625" style="73" customWidth="1"/>
    <col min="8206" max="8446" width="9.125" style="73"/>
    <col min="8447" max="8447" width="8" style="73" customWidth="1"/>
    <col min="8448" max="8448" width="28.5" style="73" customWidth="1"/>
    <col min="8449" max="8460" width="9.125" style="73"/>
    <col min="8461" max="8461" width="10.625" style="73" customWidth="1"/>
    <col min="8462" max="8702" width="9.125" style="73"/>
    <col min="8703" max="8703" width="8" style="73" customWidth="1"/>
    <col min="8704" max="8704" width="28.5" style="73" customWidth="1"/>
    <col min="8705" max="8716" width="9.125" style="73"/>
    <col min="8717" max="8717" width="10.625" style="73" customWidth="1"/>
    <col min="8718" max="8958" width="9.125" style="73"/>
    <col min="8959" max="8959" width="8" style="73" customWidth="1"/>
    <col min="8960" max="8960" width="28.5" style="73" customWidth="1"/>
    <col min="8961" max="8972" width="9.125" style="73"/>
    <col min="8973" max="8973" width="10.625" style="73" customWidth="1"/>
    <col min="8974" max="9214" width="9.125" style="73"/>
    <col min="9215" max="9215" width="8" style="73" customWidth="1"/>
    <col min="9216" max="9216" width="28.5" style="73" customWidth="1"/>
    <col min="9217" max="9228" width="9.125" style="73"/>
    <col min="9229" max="9229" width="10.625" style="73" customWidth="1"/>
    <col min="9230" max="9470" width="9.125" style="73"/>
    <col min="9471" max="9471" width="8" style="73" customWidth="1"/>
    <col min="9472" max="9472" width="28.5" style="73" customWidth="1"/>
    <col min="9473" max="9484" width="9.125" style="73"/>
    <col min="9485" max="9485" width="10.625" style="73" customWidth="1"/>
    <col min="9486" max="9726" width="9.125" style="73"/>
    <col min="9727" max="9727" width="8" style="73" customWidth="1"/>
    <col min="9728" max="9728" width="28.5" style="73" customWidth="1"/>
    <col min="9729" max="9740" width="9.125" style="73"/>
    <col min="9741" max="9741" width="10.625" style="73" customWidth="1"/>
    <col min="9742" max="9982" width="9.125" style="73"/>
    <col min="9983" max="9983" width="8" style="73" customWidth="1"/>
    <col min="9984" max="9984" width="28.5" style="73" customWidth="1"/>
    <col min="9985" max="9996" width="9.125" style="73"/>
    <col min="9997" max="9997" width="10.625" style="73" customWidth="1"/>
    <col min="9998" max="10238" width="9.125" style="73"/>
    <col min="10239" max="10239" width="8" style="73" customWidth="1"/>
    <col min="10240" max="10240" width="28.5" style="73" customWidth="1"/>
    <col min="10241" max="10252" width="9.125" style="73"/>
    <col min="10253" max="10253" width="10.625" style="73" customWidth="1"/>
    <col min="10254" max="10494" width="9.125" style="73"/>
    <col min="10495" max="10495" width="8" style="73" customWidth="1"/>
    <col min="10496" max="10496" width="28.5" style="73" customWidth="1"/>
    <col min="10497" max="10508" width="9.125" style="73"/>
    <col min="10509" max="10509" width="10.625" style="73" customWidth="1"/>
    <col min="10510" max="10750" width="9.125" style="73"/>
    <col min="10751" max="10751" width="8" style="73" customWidth="1"/>
    <col min="10752" max="10752" width="28.5" style="73" customWidth="1"/>
    <col min="10753" max="10764" width="9.125" style="73"/>
    <col min="10765" max="10765" width="10.625" style="73" customWidth="1"/>
    <col min="10766" max="11006" width="9.125" style="73"/>
    <col min="11007" max="11007" width="8" style="73" customWidth="1"/>
    <col min="11008" max="11008" width="28.5" style="73" customWidth="1"/>
    <col min="11009" max="11020" width="9.125" style="73"/>
    <col min="11021" max="11021" width="10.625" style="73" customWidth="1"/>
    <col min="11022" max="11262" width="9.125" style="73"/>
    <col min="11263" max="11263" width="8" style="73" customWidth="1"/>
    <col min="11264" max="11264" width="28.5" style="73" customWidth="1"/>
    <col min="11265" max="11276" width="9.125" style="73"/>
    <col min="11277" max="11277" width="10.625" style="73" customWidth="1"/>
    <col min="11278" max="11518" width="9.125" style="73"/>
    <col min="11519" max="11519" width="8" style="73" customWidth="1"/>
    <col min="11520" max="11520" width="28.5" style="73" customWidth="1"/>
    <col min="11521" max="11532" width="9.125" style="73"/>
    <col min="11533" max="11533" width="10.625" style="73" customWidth="1"/>
    <col min="11534" max="11774" width="9.125" style="73"/>
    <col min="11775" max="11775" width="8" style="73" customWidth="1"/>
    <col min="11776" max="11776" width="28.5" style="73" customWidth="1"/>
    <col min="11777" max="11788" width="9.125" style="73"/>
    <col min="11789" max="11789" width="10.625" style="73" customWidth="1"/>
    <col min="11790" max="12030" width="9.125" style="73"/>
    <col min="12031" max="12031" width="8" style="73" customWidth="1"/>
    <col min="12032" max="12032" width="28.5" style="73" customWidth="1"/>
    <col min="12033" max="12044" width="9.125" style="73"/>
    <col min="12045" max="12045" width="10.625" style="73" customWidth="1"/>
    <col min="12046" max="12286" width="9.125" style="73"/>
    <col min="12287" max="12287" width="8" style="73" customWidth="1"/>
    <col min="12288" max="12288" width="28.5" style="73" customWidth="1"/>
    <col min="12289" max="12300" width="9.125" style="73"/>
    <col min="12301" max="12301" width="10.625" style="73" customWidth="1"/>
    <col min="12302" max="12542" width="9.125" style="73"/>
    <col min="12543" max="12543" width="8" style="73" customWidth="1"/>
    <col min="12544" max="12544" width="28.5" style="73" customWidth="1"/>
    <col min="12545" max="12556" width="9.125" style="73"/>
    <col min="12557" max="12557" width="10.625" style="73" customWidth="1"/>
    <col min="12558" max="12798" width="9.125" style="73"/>
    <col min="12799" max="12799" width="8" style="73" customWidth="1"/>
    <col min="12800" max="12800" width="28.5" style="73" customWidth="1"/>
    <col min="12801" max="12812" width="9.125" style="73"/>
    <col min="12813" max="12813" width="10.625" style="73" customWidth="1"/>
    <col min="12814" max="13054" width="9.125" style="73"/>
    <col min="13055" max="13055" width="8" style="73" customWidth="1"/>
    <col min="13056" max="13056" width="28.5" style="73" customWidth="1"/>
    <col min="13057" max="13068" width="9.125" style="73"/>
    <col min="13069" max="13069" width="10.625" style="73" customWidth="1"/>
    <col min="13070" max="13310" width="9.125" style="73"/>
    <col min="13311" max="13311" width="8" style="73" customWidth="1"/>
    <col min="13312" max="13312" width="28.5" style="73" customWidth="1"/>
    <col min="13313" max="13324" width="9.125" style="73"/>
    <col min="13325" max="13325" width="10.625" style="73" customWidth="1"/>
    <col min="13326" max="13566" width="9.125" style="73"/>
    <col min="13567" max="13567" width="8" style="73" customWidth="1"/>
    <col min="13568" max="13568" width="28.5" style="73" customWidth="1"/>
    <col min="13569" max="13580" width="9.125" style="73"/>
    <col min="13581" max="13581" width="10.625" style="73" customWidth="1"/>
    <col min="13582" max="13822" width="9.125" style="73"/>
    <col min="13823" max="13823" width="8" style="73" customWidth="1"/>
    <col min="13824" max="13824" width="28.5" style="73" customWidth="1"/>
    <col min="13825" max="13836" width="9.125" style="73"/>
    <col min="13837" max="13837" width="10.625" style="73" customWidth="1"/>
    <col min="13838" max="14078" width="9.125" style="73"/>
    <col min="14079" max="14079" width="8" style="73" customWidth="1"/>
    <col min="14080" max="14080" width="28.5" style="73" customWidth="1"/>
    <col min="14081" max="14092" width="9.125" style="73"/>
    <col min="14093" max="14093" width="10.625" style="73" customWidth="1"/>
    <col min="14094" max="14334" width="9.125" style="73"/>
    <col min="14335" max="14335" width="8" style="73" customWidth="1"/>
    <col min="14336" max="14336" width="28.5" style="73" customWidth="1"/>
    <col min="14337" max="14348" width="9.125" style="73"/>
    <col min="14349" max="14349" width="10.625" style="73" customWidth="1"/>
    <col min="14350" max="14590" width="9.125" style="73"/>
    <col min="14591" max="14591" width="8" style="73" customWidth="1"/>
    <col min="14592" max="14592" width="28.5" style="73" customWidth="1"/>
    <col min="14593" max="14604" width="9.125" style="73"/>
    <col min="14605" max="14605" width="10.625" style="73" customWidth="1"/>
    <col min="14606" max="14846" width="9.125" style="73"/>
    <col min="14847" max="14847" width="8" style="73" customWidth="1"/>
    <col min="14848" max="14848" width="28.5" style="73" customWidth="1"/>
    <col min="14849" max="14860" width="9.125" style="73"/>
    <col min="14861" max="14861" width="10.625" style="73" customWidth="1"/>
    <col min="14862" max="15102" width="9.125" style="73"/>
    <col min="15103" max="15103" width="8" style="73" customWidth="1"/>
    <col min="15104" max="15104" width="28.5" style="73" customWidth="1"/>
    <col min="15105" max="15116" width="9.125" style="73"/>
    <col min="15117" max="15117" width="10.625" style="73" customWidth="1"/>
    <col min="15118" max="15358" width="9.125" style="73"/>
    <col min="15359" max="15359" width="8" style="73" customWidth="1"/>
    <col min="15360" max="15360" width="28.5" style="73" customWidth="1"/>
    <col min="15361" max="15372" width="9.125" style="73"/>
    <col min="15373" max="15373" width="10.625" style="73" customWidth="1"/>
    <col min="15374" max="15614" width="9.125" style="73"/>
    <col min="15615" max="15615" width="8" style="73" customWidth="1"/>
    <col min="15616" max="15616" width="28.5" style="73" customWidth="1"/>
    <col min="15617" max="15628" width="9.125" style="73"/>
    <col min="15629" max="15629" width="10.625" style="73" customWidth="1"/>
    <col min="15630" max="15870" width="9.125" style="73"/>
    <col min="15871" max="15871" width="8" style="73" customWidth="1"/>
    <col min="15872" max="15872" width="28.5" style="73" customWidth="1"/>
    <col min="15873" max="15884" width="9.125" style="73"/>
    <col min="15885" max="15885" width="10.625" style="73" customWidth="1"/>
    <col min="15886" max="16126" width="9.125" style="73"/>
    <col min="16127" max="16127" width="8" style="73" customWidth="1"/>
    <col min="16128" max="16128" width="28.5" style="73" customWidth="1"/>
    <col min="16129" max="16140" width="9.125" style="73"/>
    <col min="16141" max="16141" width="10.625" style="73" customWidth="1"/>
    <col min="16142" max="16384" width="9.125" style="73"/>
  </cols>
  <sheetData>
    <row r="1" spans="1:13" ht="18.75">
      <c r="A1" s="74" t="s">
        <v>113</v>
      </c>
      <c r="B1" s="75"/>
      <c r="C1" s="76"/>
      <c r="D1" s="76"/>
      <c r="E1" s="75"/>
      <c r="F1" s="76"/>
      <c r="G1" s="76"/>
      <c r="H1" s="75"/>
      <c r="I1" s="76"/>
      <c r="J1" s="76"/>
      <c r="K1" s="76"/>
      <c r="L1" s="76"/>
      <c r="M1" s="76"/>
    </row>
    <row r="2" spans="1:13" ht="12">
      <c r="A2" s="73" t="s">
        <v>114</v>
      </c>
      <c r="B2" s="77"/>
    </row>
    <row r="3" spans="1:13" ht="16.899999999999999" customHeight="1">
      <c r="A3" s="78" t="s">
        <v>17</v>
      </c>
      <c r="B3" s="78" t="s">
        <v>115</v>
      </c>
      <c r="C3" s="253" t="s">
        <v>116</v>
      </c>
      <c r="D3" s="253"/>
      <c r="E3" s="253"/>
      <c r="F3" s="80"/>
      <c r="G3" s="81"/>
      <c r="H3" s="82"/>
      <c r="I3" s="82"/>
      <c r="J3" s="82" t="s">
        <v>117</v>
      </c>
      <c r="K3" s="82"/>
      <c r="L3" s="82"/>
      <c r="M3" s="103"/>
    </row>
    <row r="4" spans="1:13" ht="16.149999999999999" customHeight="1">
      <c r="A4" s="83"/>
      <c r="B4" s="83" t="s">
        <v>118</v>
      </c>
      <c r="C4" s="79">
        <v>2017</v>
      </c>
      <c r="D4" s="79">
        <f t="shared" ref="D4:L4" si="0">C4+1</f>
        <v>2018</v>
      </c>
      <c r="E4" s="79">
        <f t="shared" si="0"/>
        <v>2019</v>
      </c>
      <c r="F4" s="79">
        <f t="shared" si="0"/>
        <v>2020</v>
      </c>
      <c r="G4" s="79">
        <f t="shared" si="0"/>
        <v>2021</v>
      </c>
      <c r="H4" s="84">
        <f t="shared" si="0"/>
        <v>2022</v>
      </c>
      <c r="I4" s="84">
        <f t="shared" si="0"/>
        <v>2023</v>
      </c>
      <c r="J4" s="84">
        <f t="shared" si="0"/>
        <v>2024</v>
      </c>
      <c r="K4" s="84">
        <f t="shared" si="0"/>
        <v>2025</v>
      </c>
      <c r="L4" s="84">
        <f t="shared" si="0"/>
        <v>2026</v>
      </c>
      <c r="M4" s="104" t="s">
        <v>119</v>
      </c>
    </row>
    <row r="5" spans="1:13" ht="15.6" customHeight="1">
      <c r="A5" s="85">
        <v>1</v>
      </c>
      <c r="B5" s="86" t="s">
        <v>120</v>
      </c>
      <c r="C5" s="87">
        <f>SUM(C6:C9)</f>
        <v>0</v>
      </c>
      <c r="D5" s="87">
        <f t="shared" ref="D5:L5" si="1">SUM(D6:D9)</f>
        <v>0</v>
      </c>
      <c r="E5" s="87" t="e">
        <f t="shared" si="1"/>
        <v>#REF!</v>
      </c>
      <c r="F5" s="87">
        <f t="shared" si="1"/>
        <v>11725663.71681416</v>
      </c>
      <c r="G5" s="87">
        <f t="shared" si="1"/>
        <v>23451327.433628321</v>
      </c>
      <c r="H5" s="87">
        <f t="shared" si="1"/>
        <v>70353982.300884962</v>
      </c>
      <c r="I5" s="87" t="e">
        <f t="shared" si="1"/>
        <v>#REF!</v>
      </c>
      <c r="J5" s="87" t="e">
        <f t="shared" si="1"/>
        <v>#REF!</v>
      </c>
      <c r="K5" s="87" t="e">
        <f t="shared" si="1"/>
        <v>#REF!</v>
      </c>
      <c r="L5" s="87">
        <f t="shared" si="1"/>
        <v>222787610.61946905</v>
      </c>
      <c r="M5" s="91" t="e">
        <f t="shared" ref="M5:M17" si="2">SUM(C5:L5)</f>
        <v>#REF!</v>
      </c>
    </row>
    <row r="6" spans="1:13" ht="15.6" customHeight="1">
      <c r="A6" s="85">
        <v>1.1000000000000001</v>
      </c>
      <c r="B6" s="88" t="s">
        <v>121</v>
      </c>
      <c r="C6" s="89"/>
      <c r="D6" s="89"/>
      <c r="E6" s="89" t="e">
        <f>损益表!#REF!</f>
        <v>#REF!</v>
      </c>
      <c r="F6" s="89">
        <f>损益表!C4</f>
        <v>11725663.71681416</v>
      </c>
      <c r="G6" s="89">
        <f>损益表!D4</f>
        <v>23451327.433628321</v>
      </c>
      <c r="H6" s="89">
        <f>损益表!E4</f>
        <v>70353982.300884962</v>
      </c>
      <c r="I6" s="89" t="e">
        <f>损益表!#REF!</f>
        <v>#REF!</v>
      </c>
      <c r="J6" s="89" t="e">
        <f>损益表!#REF!</f>
        <v>#REF!</v>
      </c>
      <c r="K6" s="89" t="e">
        <f>损益表!#REF!</f>
        <v>#REF!</v>
      </c>
      <c r="L6" s="89">
        <f>损益表!G4</f>
        <v>222787610.61946905</v>
      </c>
      <c r="M6" s="91" t="e">
        <f t="shared" si="2"/>
        <v>#REF!</v>
      </c>
    </row>
    <row r="7" spans="1:13" ht="15.6" customHeight="1">
      <c r="A7" s="85">
        <v>1.2</v>
      </c>
      <c r="B7" s="88" t="s">
        <v>122</v>
      </c>
      <c r="C7" s="89"/>
      <c r="D7" s="89"/>
      <c r="E7" s="89">
        <f>[1]折、摊!G18</f>
        <v>0</v>
      </c>
      <c r="F7" s="89">
        <f>[1]折、摊!H18</f>
        <v>0</v>
      </c>
      <c r="G7" s="89">
        <f>[1]折、摊!I18</f>
        <v>0</v>
      </c>
      <c r="H7" s="89">
        <f>[1]折、摊!J18</f>
        <v>0</v>
      </c>
      <c r="I7" s="89">
        <f>[1]折、摊!K18</f>
        <v>0</v>
      </c>
      <c r="J7" s="89">
        <f>[1]折、摊!L18</f>
        <v>0</v>
      </c>
      <c r="K7" s="89">
        <f>[1]折、摊!M18</f>
        <v>0</v>
      </c>
      <c r="L7" s="89">
        <f>[1]折、摊!N18</f>
        <v>0</v>
      </c>
      <c r="M7" s="91">
        <f t="shared" si="2"/>
        <v>0</v>
      </c>
    </row>
    <row r="8" spans="1:13" ht="15.6" customHeight="1">
      <c r="A8" s="85">
        <v>1.3</v>
      </c>
      <c r="B8" s="88" t="s">
        <v>123</v>
      </c>
      <c r="C8" s="89" t="s">
        <v>124</v>
      </c>
      <c r="D8" s="89" t="s">
        <v>124</v>
      </c>
      <c r="E8" s="89" t="s">
        <v>124</v>
      </c>
      <c r="F8" s="89" t="s">
        <v>124</v>
      </c>
      <c r="G8" s="89" t="s">
        <v>124</v>
      </c>
      <c r="H8" s="89" t="s">
        <v>124</v>
      </c>
      <c r="I8" s="89" t="s">
        <v>124</v>
      </c>
      <c r="J8" s="89" t="s">
        <v>124</v>
      </c>
      <c r="K8" s="89" t="s">
        <v>124</v>
      </c>
      <c r="L8" s="89"/>
      <c r="M8" s="91">
        <f t="shared" si="2"/>
        <v>0</v>
      </c>
    </row>
    <row r="9" spans="1:13" s="72" customFormat="1" ht="15.6" customHeight="1">
      <c r="A9" s="90">
        <v>1.4</v>
      </c>
      <c r="B9" s="91" t="s">
        <v>125</v>
      </c>
      <c r="C9" s="89" t="s">
        <v>124</v>
      </c>
      <c r="D9" s="89" t="s">
        <v>124</v>
      </c>
      <c r="E9" s="89" t="s">
        <v>124</v>
      </c>
      <c r="F9" s="89" t="s">
        <v>124</v>
      </c>
      <c r="G9" s="89" t="s">
        <v>124</v>
      </c>
      <c r="H9" s="89" t="s">
        <v>124</v>
      </c>
      <c r="I9" s="89" t="s">
        <v>124</v>
      </c>
      <c r="J9" s="89" t="s">
        <v>124</v>
      </c>
      <c r="K9" s="89" t="s">
        <v>124</v>
      </c>
      <c r="L9" s="89" t="s">
        <v>124</v>
      </c>
      <c r="M9" s="91">
        <f t="shared" si="2"/>
        <v>0</v>
      </c>
    </row>
    <row r="10" spans="1:13" ht="15.6" customHeight="1">
      <c r="A10" s="90">
        <v>2</v>
      </c>
      <c r="B10" s="86" t="s">
        <v>126</v>
      </c>
      <c r="C10" s="87">
        <f t="shared" ref="C10:L10" si="3">SUM(C11:C16)</f>
        <v>0</v>
      </c>
      <c r="D10" s="87">
        <f t="shared" si="3"/>
        <v>0</v>
      </c>
      <c r="E10" s="87">
        <f t="shared" si="3"/>
        <v>0</v>
      </c>
      <c r="F10" s="87">
        <f t="shared" si="3"/>
        <v>0</v>
      </c>
      <c r="G10" s="87">
        <f t="shared" si="3"/>
        <v>0</v>
      </c>
      <c r="H10" s="87">
        <f t="shared" si="3"/>
        <v>0</v>
      </c>
      <c r="I10" s="87">
        <f t="shared" si="3"/>
        <v>0</v>
      </c>
      <c r="J10" s="87">
        <f t="shared" si="3"/>
        <v>0</v>
      </c>
      <c r="K10" s="87">
        <f t="shared" si="3"/>
        <v>0</v>
      </c>
      <c r="L10" s="87">
        <f t="shared" si="3"/>
        <v>0</v>
      </c>
      <c r="M10" s="91">
        <f t="shared" si="2"/>
        <v>0</v>
      </c>
    </row>
    <row r="11" spans="1:13" ht="15" customHeight="1">
      <c r="A11" s="85">
        <v>2.1</v>
      </c>
      <c r="B11" s="85" t="s">
        <v>127</v>
      </c>
      <c r="C11" s="89">
        <f>([1]计划!C6-[1]计划!C7)</f>
        <v>0</v>
      </c>
      <c r="D11" s="89">
        <f>([1]计划!D6-[1]计划!D7)</f>
        <v>0</v>
      </c>
      <c r="E11" s="89">
        <f>([1]计划!E6-[1]计划!E7)</f>
        <v>0</v>
      </c>
      <c r="F11" s="89">
        <f>([1]计划!F6-[1]计划!F7)</f>
        <v>0</v>
      </c>
      <c r="G11" s="89">
        <f>([1]计划!G6-[1]计划!G7)</f>
        <v>0</v>
      </c>
      <c r="H11" s="89">
        <f>([1]计划!H6-[1]计划!H7)</f>
        <v>0</v>
      </c>
      <c r="I11" s="89">
        <f>([1]计划!I6-[1]计划!I7)</f>
        <v>0</v>
      </c>
      <c r="J11" s="89">
        <f>([1]计划!J6-[1]计划!J7)</f>
        <v>0</v>
      </c>
      <c r="K11" s="89">
        <f>([1]计划!K6-[1]计划!K7)</f>
        <v>0</v>
      </c>
      <c r="L11" s="89">
        <f>([1]计划!L6-[1]计划!L7)</f>
        <v>0</v>
      </c>
      <c r="M11" s="91">
        <f t="shared" si="2"/>
        <v>0</v>
      </c>
    </row>
    <row r="12" spans="1:13" s="72" customFormat="1" ht="15" customHeight="1">
      <c r="A12" s="85">
        <v>2.2000000000000002</v>
      </c>
      <c r="B12" s="91" t="s">
        <v>128</v>
      </c>
      <c r="C12" s="89">
        <f>[1]计划!C8</f>
        <v>0</v>
      </c>
      <c r="D12" s="89">
        <f>[1]计划!D8</f>
        <v>0</v>
      </c>
      <c r="E12" s="89">
        <f>[1]计划!E8</f>
        <v>0</v>
      </c>
      <c r="F12" s="89">
        <f>[1]计划!F8</f>
        <v>0</v>
      </c>
      <c r="G12" s="89">
        <f>[1]计划!G8</f>
        <v>0</v>
      </c>
      <c r="H12" s="89">
        <f>[1]计划!H8</f>
        <v>0</v>
      </c>
      <c r="I12" s="89">
        <f>[1]计划!I8</f>
        <v>0</v>
      </c>
      <c r="J12" s="89">
        <f>[1]计划!J8</f>
        <v>0</v>
      </c>
      <c r="K12" s="89">
        <f>[1]计划!K8</f>
        <v>0</v>
      </c>
      <c r="L12" s="89">
        <f>[1]计划!L8</f>
        <v>0</v>
      </c>
      <c r="M12" s="91">
        <f t="shared" si="2"/>
        <v>0</v>
      </c>
    </row>
    <row r="13" spans="1:13" ht="15" customHeight="1">
      <c r="A13" s="85">
        <v>2.2999999999999998</v>
      </c>
      <c r="B13" s="88" t="s">
        <v>129</v>
      </c>
      <c r="C13" s="89">
        <f>[1]总成本!C22</f>
        <v>0</v>
      </c>
      <c r="D13" s="89">
        <f>[1]总成本!D22</f>
        <v>0</v>
      </c>
      <c r="E13" s="89">
        <f>[1]总成本!E22</f>
        <v>0</v>
      </c>
      <c r="F13" s="89">
        <f>[1]总成本!F22</f>
        <v>0</v>
      </c>
      <c r="G13" s="89">
        <f>[1]总成本!G22</f>
        <v>0</v>
      </c>
      <c r="H13" s="89">
        <f>[1]总成本!H22</f>
        <v>0</v>
      </c>
      <c r="I13" s="89">
        <f>[1]总成本!I22</f>
        <v>0</v>
      </c>
      <c r="J13" s="89">
        <f>[1]总成本!J22</f>
        <v>0</v>
      </c>
      <c r="K13" s="89">
        <f>[1]总成本!K22</f>
        <v>0</v>
      </c>
      <c r="L13" s="89">
        <f>[1]总成本!L22</f>
        <v>0</v>
      </c>
      <c r="M13" s="91">
        <f t="shared" si="2"/>
        <v>0</v>
      </c>
    </row>
    <row r="14" spans="1:13" ht="15" customHeight="1">
      <c r="A14" s="85">
        <v>2.4</v>
      </c>
      <c r="B14" s="88" t="s">
        <v>130</v>
      </c>
      <c r="C14" s="89">
        <f>[1]价格!D15</f>
        <v>0</v>
      </c>
      <c r="D14" s="89">
        <f>[1]价格!E15</f>
        <v>0</v>
      </c>
      <c r="E14" s="89">
        <f>[1]价格!F15</f>
        <v>0</v>
      </c>
      <c r="F14" s="89">
        <f>[1]价格!G15</f>
        <v>0</v>
      </c>
      <c r="G14" s="89">
        <f>[1]价格!H15</f>
        <v>0</v>
      </c>
      <c r="H14" s="89">
        <f>[1]价格!I15</f>
        <v>0</v>
      </c>
      <c r="I14" s="89">
        <f>[1]价格!J15</f>
        <v>0</v>
      </c>
      <c r="J14" s="89">
        <f>[1]价格!K15</f>
        <v>0</v>
      </c>
      <c r="K14" s="89">
        <f>[1]价格!L15</f>
        <v>0</v>
      </c>
      <c r="L14" s="89">
        <f>[1]价格!M15</f>
        <v>0</v>
      </c>
      <c r="M14" s="91">
        <f t="shared" si="2"/>
        <v>0</v>
      </c>
    </row>
    <row r="15" spans="1:13" ht="15" customHeight="1">
      <c r="A15" s="85">
        <v>2.5</v>
      </c>
      <c r="B15" s="88" t="s">
        <v>58</v>
      </c>
      <c r="C15" s="89">
        <f>[1]利润!C13</f>
        <v>0</v>
      </c>
      <c r="D15" s="89">
        <f>[1]利润!D13</f>
        <v>0</v>
      </c>
      <c r="E15" s="89">
        <f>[1]利润!E13</f>
        <v>0</v>
      </c>
      <c r="F15" s="89">
        <f>[1]利润!F13</f>
        <v>0</v>
      </c>
      <c r="G15" s="89">
        <f>[1]利润!G13</f>
        <v>0</v>
      </c>
      <c r="H15" s="89">
        <f>[1]利润!H13</f>
        <v>0</v>
      </c>
      <c r="I15" s="89">
        <f>[1]利润!I13</f>
        <v>0</v>
      </c>
      <c r="J15" s="89">
        <f>[1]利润!J13</f>
        <v>0</v>
      </c>
      <c r="K15" s="89">
        <f>[1]利润!K13</f>
        <v>0</v>
      </c>
      <c r="L15" s="89">
        <f>[1]利润!L13</f>
        <v>0</v>
      </c>
      <c r="M15" s="91">
        <f t="shared" si="2"/>
        <v>0</v>
      </c>
    </row>
    <row r="16" spans="1:13" ht="15" customHeight="1">
      <c r="A16" s="85">
        <v>2.6</v>
      </c>
      <c r="B16" s="88" t="s">
        <v>131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1">
        <f t="shared" si="2"/>
        <v>0</v>
      </c>
    </row>
    <row r="17" spans="1:18" ht="12">
      <c r="A17" s="85">
        <v>3</v>
      </c>
      <c r="B17" s="86" t="s">
        <v>132</v>
      </c>
      <c r="C17" s="87">
        <f t="shared" ref="C17:L17" si="4">C5-C10</f>
        <v>0</v>
      </c>
      <c r="D17" s="87">
        <f t="shared" si="4"/>
        <v>0</v>
      </c>
      <c r="E17" s="87" t="e">
        <f t="shared" si="4"/>
        <v>#REF!</v>
      </c>
      <c r="F17" s="87">
        <f t="shared" si="4"/>
        <v>11725663.71681416</v>
      </c>
      <c r="G17" s="87">
        <f t="shared" si="4"/>
        <v>23451327.433628321</v>
      </c>
      <c r="H17" s="87">
        <f t="shared" si="4"/>
        <v>70353982.300884962</v>
      </c>
      <c r="I17" s="87" t="e">
        <f t="shared" si="4"/>
        <v>#REF!</v>
      </c>
      <c r="J17" s="87" t="e">
        <f t="shared" si="4"/>
        <v>#REF!</v>
      </c>
      <c r="K17" s="87" t="e">
        <f t="shared" si="4"/>
        <v>#REF!</v>
      </c>
      <c r="L17" s="87">
        <f t="shared" si="4"/>
        <v>222787610.61946905</v>
      </c>
      <c r="M17" s="91" t="e">
        <f t="shared" si="2"/>
        <v>#REF!</v>
      </c>
    </row>
    <row r="18" spans="1:18" ht="12">
      <c r="A18" s="92">
        <v>4</v>
      </c>
      <c r="B18" s="88" t="s">
        <v>133</v>
      </c>
      <c r="C18" s="89">
        <f>C17</f>
        <v>0</v>
      </c>
      <c r="D18" s="89">
        <f t="shared" ref="D18:L18" si="5">C18+D17</f>
        <v>0</v>
      </c>
      <c r="E18" s="89" t="e">
        <f t="shared" si="5"/>
        <v>#REF!</v>
      </c>
      <c r="F18" s="89" t="e">
        <f t="shared" si="5"/>
        <v>#REF!</v>
      </c>
      <c r="G18" s="89" t="e">
        <f t="shared" si="5"/>
        <v>#REF!</v>
      </c>
      <c r="H18" s="89" t="e">
        <f t="shared" si="5"/>
        <v>#REF!</v>
      </c>
      <c r="I18" s="89" t="e">
        <f t="shared" si="5"/>
        <v>#REF!</v>
      </c>
      <c r="J18" s="89" t="e">
        <f t="shared" si="5"/>
        <v>#REF!</v>
      </c>
      <c r="K18" s="89" t="e">
        <f t="shared" si="5"/>
        <v>#REF!</v>
      </c>
      <c r="L18" s="89" t="e">
        <f t="shared" si="5"/>
        <v>#REF!</v>
      </c>
      <c r="M18" s="88" t="s">
        <v>124</v>
      </c>
    </row>
    <row r="19" spans="1:18" s="72" customFormat="1" ht="12">
      <c r="A19" s="92">
        <v>5</v>
      </c>
      <c r="B19" s="88" t="s">
        <v>134</v>
      </c>
      <c r="C19" s="89">
        <f t="shared" ref="C19:L19" si="6">C17+C15</f>
        <v>0</v>
      </c>
      <c r="D19" s="89">
        <f t="shared" si="6"/>
        <v>0</v>
      </c>
      <c r="E19" s="89" t="e">
        <f t="shared" si="6"/>
        <v>#REF!</v>
      </c>
      <c r="F19" s="89">
        <f t="shared" si="6"/>
        <v>11725663.71681416</v>
      </c>
      <c r="G19" s="89">
        <f t="shared" si="6"/>
        <v>23451327.433628321</v>
      </c>
      <c r="H19" s="89">
        <f t="shared" si="6"/>
        <v>70353982.300884962</v>
      </c>
      <c r="I19" s="89" t="e">
        <f t="shared" si="6"/>
        <v>#REF!</v>
      </c>
      <c r="J19" s="89" t="e">
        <f t="shared" si="6"/>
        <v>#REF!</v>
      </c>
      <c r="K19" s="89" t="e">
        <f t="shared" si="6"/>
        <v>#REF!</v>
      </c>
      <c r="L19" s="89">
        <f t="shared" si="6"/>
        <v>222787610.61946905</v>
      </c>
      <c r="M19" s="91" t="e">
        <f>SUM(C19:L19)</f>
        <v>#REF!</v>
      </c>
    </row>
    <row r="20" spans="1:18" s="72" customFormat="1" ht="12">
      <c r="A20" s="85">
        <v>6</v>
      </c>
      <c r="B20" s="88" t="s">
        <v>135</v>
      </c>
      <c r="C20" s="89">
        <f>C19</f>
        <v>0</v>
      </c>
      <c r="D20" s="89">
        <f t="shared" ref="D20:L20" si="7">C20+D19</f>
        <v>0</v>
      </c>
      <c r="E20" s="89" t="e">
        <f t="shared" si="7"/>
        <v>#REF!</v>
      </c>
      <c r="F20" s="89" t="e">
        <f t="shared" si="7"/>
        <v>#REF!</v>
      </c>
      <c r="G20" s="89" t="e">
        <f t="shared" si="7"/>
        <v>#REF!</v>
      </c>
      <c r="H20" s="89" t="e">
        <f t="shared" si="7"/>
        <v>#REF!</v>
      </c>
      <c r="I20" s="89" t="e">
        <f t="shared" si="7"/>
        <v>#REF!</v>
      </c>
      <c r="J20" s="89" t="e">
        <f t="shared" si="7"/>
        <v>#REF!</v>
      </c>
      <c r="K20" s="89" t="e">
        <f t="shared" si="7"/>
        <v>#REF!</v>
      </c>
      <c r="L20" s="89" t="e">
        <f t="shared" si="7"/>
        <v>#REF!</v>
      </c>
      <c r="M20" s="88" t="s">
        <v>124</v>
      </c>
    </row>
    <row r="21" spans="1:18" ht="12">
      <c r="A21" s="93"/>
      <c r="B21" s="94" t="s">
        <v>136</v>
      </c>
      <c r="C21" s="94"/>
      <c r="D21" s="94"/>
      <c r="E21" s="94" t="s">
        <v>137</v>
      </c>
      <c r="F21" s="94"/>
      <c r="G21" s="94"/>
      <c r="H21" s="94"/>
      <c r="I21" s="94" t="s">
        <v>138</v>
      </c>
      <c r="J21" s="94"/>
      <c r="K21" s="94"/>
      <c r="L21" s="94"/>
      <c r="M21" s="105"/>
    </row>
    <row r="22" spans="1:18" ht="12">
      <c r="A22" s="95"/>
      <c r="B22" s="96" t="s">
        <v>139</v>
      </c>
      <c r="C22" s="96"/>
      <c r="D22" s="97" t="s">
        <v>140</v>
      </c>
      <c r="E22" s="98" t="e">
        <f>IRR(C17:L17,0.15)</f>
        <v>#VALUE!</v>
      </c>
      <c r="F22" s="96"/>
      <c r="G22" s="96"/>
      <c r="H22" s="96"/>
      <c r="I22" s="98" t="e">
        <f>IRR(C19:L19,0.15)</f>
        <v>#VALUE!</v>
      </c>
      <c r="J22" s="96"/>
      <c r="K22" s="96"/>
      <c r="L22" s="96"/>
      <c r="M22" s="106"/>
    </row>
    <row r="23" spans="1:18" ht="12">
      <c r="A23" s="95"/>
      <c r="B23" s="96" t="s">
        <v>141</v>
      </c>
      <c r="C23" s="96"/>
      <c r="D23" s="96"/>
      <c r="E23" s="99" t="e">
        <f>NPV(0.12,C17:L17)</f>
        <v>#REF!</v>
      </c>
      <c r="F23" s="96"/>
      <c r="G23" s="96"/>
      <c r="H23" s="96"/>
      <c r="I23" s="99" t="e">
        <f>NPV(0.12,C19:L19)</f>
        <v>#REF!</v>
      </c>
      <c r="J23" s="96"/>
      <c r="K23" s="96"/>
      <c r="L23" s="96"/>
      <c r="M23" s="106"/>
      <c r="R23" s="73">
        <f>30.9-29.82</f>
        <v>1.0799999999999983</v>
      </c>
    </row>
    <row r="24" spans="1:18" ht="12">
      <c r="A24" s="100"/>
      <c r="B24" s="101" t="s">
        <v>142</v>
      </c>
      <c r="C24" s="101"/>
      <c r="D24" s="101"/>
      <c r="E24" s="102" t="e">
        <f>6-H18/I17</f>
        <v>#REF!</v>
      </c>
      <c r="F24" s="101"/>
      <c r="G24" s="101"/>
      <c r="H24" s="101"/>
      <c r="I24" s="102" t="e">
        <f>6-H20/I19</f>
        <v>#REF!</v>
      </c>
      <c r="J24" s="101"/>
      <c r="K24" s="101"/>
      <c r="L24" s="101"/>
      <c r="M24" s="107"/>
    </row>
  </sheetData>
  <mergeCells count="1">
    <mergeCell ref="C3:E3"/>
  </mergeCells>
  <phoneticPr fontId="39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20" activePane="bottomRight" state="frozen"/>
      <selection pane="topRight"/>
      <selection pane="bottomLeft"/>
      <selection pane="bottomRight" activeCell="G25" sqref="G25"/>
    </sheetView>
  </sheetViews>
  <sheetFormatPr defaultColWidth="9" defaultRowHeight="16.5"/>
  <cols>
    <col min="1" max="1" width="5.125" style="49" customWidth="1"/>
    <col min="2" max="2" width="17.5" style="49" customWidth="1"/>
    <col min="3" max="4" width="13.25" style="50" customWidth="1"/>
    <col min="5" max="5" width="12.875" style="50" bestFit="1" customWidth="1"/>
    <col min="6" max="6" width="12.875" style="50" customWidth="1"/>
    <col min="7" max="7" width="18.75" style="50" customWidth="1"/>
    <col min="8" max="8" width="12.375" style="49" customWidth="1"/>
    <col min="9" max="9" width="10.125" style="49" customWidth="1"/>
    <col min="10" max="16" width="9" style="49" customWidth="1"/>
    <col min="17" max="33" width="9" style="49"/>
    <col min="34" max="34" width="4.375" style="49" customWidth="1"/>
    <col min="35" max="35" width="13.875" style="49" customWidth="1"/>
    <col min="36" max="16384" width="9" style="49"/>
  </cols>
  <sheetData>
    <row r="1" spans="1:36">
      <c r="A1" s="254" t="s">
        <v>143</v>
      </c>
      <c r="B1" s="254"/>
      <c r="C1" s="258" t="s">
        <v>269</v>
      </c>
      <c r="D1" s="259"/>
      <c r="E1" s="259"/>
      <c r="F1" s="259"/>
      <c r="G1" s="260"/>
    </row>
    <row r="2" spans="1:36">
      <c r="A2" s="254" t="s">
        <v>144</v>
      </c>
      <c r="B2" s="254"/>
      <c r="C2" s="261" t="s">
        <v>276</v>
      </c>
      <c r="D2" s="261"/>
      <c r="E2" s="261"/>
      <c r="F2" s="261"/>
      <c r="G2" s="261"/>
    </row>
    <row r="3" spans="1:36">
      <c r="A3" s="254" t="s">
        <v>145</v>
      </c>
      <c r="B3" s="254"/>
      <c r="C3" s="161" t="str">
        <f>销量!C5</f>
        <v>司机座椅总成</v>
      </c>
      <c r="D3" s="161" t="str">
        <f>销量!D5</f>
        <v>副司机座椅总成</v>
      </c>
      <c r="E3" s="161">
        <f>销量!E5</f>
        <v>0</v>
      </c>
      <c r="F3" s="161">
        <f>销量!F5</f>
        <v>0</v>
      </c>
      <c r="G3" s="255" t="s">
        <v>19</v>
      </c>
    </row>
    <row r="4" spans="1:36" ht="39" customHeight="1">
      <c r="A4" s="254" t="s">
        <v>146</v>
      </c>
      <c r="B4" s="254"/>
      <c r="C4" s="161" t="str">
        <f>销量!C6</f>
        <v>DZ16251510101</v>
      </c>
      <c r="D4" s="161" t="str">
        <f>销量!D6</f>
        <v>DZ16251510102</v>
      </c>
      <c r="E4" s="161">
        <f>销量!E6</f>
        <v>0</v>
      </c>
      <c r="F4" s="161">
        <f>销量!F6</f>
        <v>0</v>
      </c>
      <c r="G4" s="256"/>
    </row>
    <row r="5" spans="1:36">
      <c r="A5" s="254" t="s">
        <v>147</v>
      </c>
      <c r="B5" s="254"/>
      <c r="C5" s="52"/>
      <c r="D5" s="52"/>
      <c r="E5" s="52"/>
      <c r="F5" s="208"/>
      <c r="G5" s="257"/>
      <c r="AJ5" s="49" t="s">
        <v>20</v>
      </c>
    </row>
    <row r="6" spans="1:36" ht="17.25">
      <c r="A6" s="53" t="s">
        <v>17</v>
      </c>
      <c r="B6" s="54" t="s">
        <v>148</v>
      </c>
      <c r="C6" s="23">
        <f>销量!C9</f>
        <v>5000</v>
      </c>
      <c r="D6" s="23">
        <f>销量!D9</f>
        <v>5000</v>
      </c>
      <c r="E6" s="23">
        <f>销量!E9</f>
        <v>0</v>
      </c>
      <c r="F6" s="23">
        <f>销量!F9</f>
        <v>0</v>
      </c>
      <c r="G6" s="55">
        <f t="shared" ref="G6:G15" si="0">SUM(C6:F6)</f>
        <v>10000</v>
      </c>
      <c r="R6" s="54" t="s">
        <v>3</v>
      </c>
      <c r="AH6" s="53" t="s">
        <v>17</v>
      </c>
      <c r="AI6" s="54" t="s">
        <v>3</v>
      </c>
      <c r="AJ6" s="49" t="s">
        <v>21</v>
      </c>
    </row>
    <row r="7" spans="1:36">
      <c r="A7" s="51">
        <v>1</v>
      </c>
      <c r="B7" s="54" t="s">
        <v>22</v>
      </c>
      <c r="C7" s="55">
        <f>C6*销量!C8</f>
        <v>8849557.5221238956</v>
      </c>
      <c r="D7" s="55">
        <f>D6*销量!D8</f>
        <v>2876106.1946902657</v>
      </c>
      <c r="E7" s="55">
        <f>E6*销量!E8</f>
        <v>0</v>
      </c>
      <c r="F7" s="55">
        <f>F6*销量!F8</f>
        <v>0</v>
      </c>
      <c r="G7" s="55">
        <f t="shared" si="0"/>
        <v>11725663.71681416</v>
      </c>
      <c r="H7" s="50"/>
      <c r="R7" s="54" t="s">
        <v>22</v>
      </c>
      <c r="AH7" s="53" t="s">
        <v>23</v>
      </c>
      <c r="AI7" s="54" t="s">
        <v>22</v>
      </c>
      <c r="AJ7" s="49" t="s">
        <v>21</v>
      </c>
    </row>
    <row r="8" spans="1:36">
      <c r="A8" s="51">
        <v>2</v>
      </c>
      <c r="B8" s="51" t="s">
        <v>24</v>
      </c>
      <c r="C8" s="55"/>
      <c r="D8" s="55"/>
      <c r="E8" s="55"/>
      <c r="F8" s="55"/>
      <c r="G8" s="55">
        <f t="shared" si="0"/>
        <v>0</v>
      </c>
      <c r="H8" s="69"/>
      <c r="R8" s="51" t="s">
        <v>26</v>
      </c>
      <c r="AH8" s="53" t="s">
        <v>25</v>
      </c>
      <c r="AI8" s="51" t="s">
        <v>26</v>
      </c>
      <c r="AJ8" s="49" t="s">
        <v>21</v>
      </c>
    </row>
    <row r="9" spans="1:36">
      <c r="A9" s="51">
        <v>3</v>
      </c>
      <c r="B9" s="54" t="s">
        <v>27</v>
      </c>
      <c r="C9" s="55">
        <f>+C7-C8</f>
        <v>8849557.5221238956</v>
      </c>
      <c r="D9" s="55">
        <f t="shared" ref="D9:E9" si="1">+D7-D8</f>
        <v>2876106.1946902657</v>
      </c>
      <c r="E9" s="55">
        <f t="shared" si="1"/>
        <v>0</v>
      </c>
      <c r="F9" s="55">
        <f>+F7-F8</f>
        <v>0</v>
      </c>
      <c r="G9" s="55">
        <f t="shared" si="0"/>
        <v>11725663.71681416</v>
      </c>
      <c r="R9" s="54" t="s">
        <v>27</v>
      </c>
      <c r="AH9" s="53" t="s">
        <v>28</v>
      </c>
      <c r="AI9" s="54" t="s">
        <v>27</v>
      </c>
      <c r="AJ9" s="49" t="s">
        <v>29</v>
      </c>
    </row>
    <row r="10" spans="1:36">
      <c r="A10" s="51">
        <v>4</v>
      </c>
      <c r="B10" s="53" t="s">
        <v>30</v>
      </c>
      <c r="C10" s="55">
        <f>C6*材料成本!E40</f>
        <v>5130000</v>
      </c>
      <c r="D10" s="55">
        <f>D6*材料成本!E41</f>
        <v>2385000</v>
      </c>
      <c r="E10" s="55">
        <f>E6*材料成本!E42</f>
        <v>0</v>
      </c>
      <c r="F10" s="55">
        <f>F6*材料成本!E43</f>
        <v>0</v>
      </c>
      <c r="G10" s="55">
        <f t="shared" si="0"/>
        <v>7515000</v>
      </c>
      <c r="R10" s="53" t="s">
        <v>30</v>
      </c>
      <c r="AH10" s="53" t="s">
        <v>31</v>
      </c>
      <c r="AI10" s="53" t="s">
        <v>30</v>
      </c>
      <c r="AJ10" s="49" t="s">
        <v>32</v>
      </c>
    </row>
    <row r="11" spans="1:36">
      <c r="A11" s="51">
        <v>5</v>
      </c>
      <c r="B11" s="53" t="s">
        <v>33</v>
      </c>
      <c r="C11" s="55">
        <f>+C6*C36</f>
        <v>497522.00329606509</v>
      </c>
      <c r="D11" s="55">
        <f t="shared" ref="D11:E11" si="2">+D6*D36</f>
        <v>161694.65107122113</v>
      </c>
      <c r="E11" s="55">
        <f t="shared" si="2"/>
        <v>0</v>
      </c>
      <c r="F11" s="55">
        <f>+F6*F36</f>
        <v>0</v>
      </c>
      <c r="G11" s="55">
        <f t="shared" si="0"/>
        <v>659216.65436728625</v>
      </c>
      <c r="R11" s="53" t="s">
        <v>33</v>
      </c>
      <c r="AH11" s="53" t="s">
        <v>34</v>
      </c>
      <c r="AI11" s="53" t="s">
        <v>33</v>
      </c>
    </row>
    <row r="12" spans="1:36">
      <c r="A12" s="51">
        <v>6</v>
      </c>
      <c r="B12" s="53" t="s">
        <v>35</v>
      </c>
      <c r="C12" s="55">
        <f>+C6*C37</f>
        <v>133415.83717766908</v>
      </c>
      <c r="D12" s="55">
        <f t="shared" ref="D12:E12" si="3">+D6*D37</f>
        <v>43360.147082742449</v>
      </c>
      <c r="E12" s="55">
        <f t="shared" si="3"/>
        <v>0</v>
      </c>
      <c r="F12" s="55">
        <f>+F6*F37</f>
        <v>0</v>
      </c>
      <c r="G12" s="55">
        <f t="shared" si="0"/>
        <v>176775.98426041153</v>
      </c>
      <c r="R12" s="53" t="s">
        <v>35</v>
      </c>
      <c r="AH12" s="53" t="s">
        <v>36</v>
      </c>
      <c r="AI12" s="53" t="s">
        <v>35</v>
      </c>
    </row>
    <row r="13" spans="1:36">
      <c r="A13" s="51">
        <v>7</v>
      </c>
      <c r="B13" s="53" t="s">
        <v>37</v>
      </c>
      <c r="C13" s="55">
        <f>+C6*C38</f>
        <v>353982.30088495574</v>
      </c>
      <c r="D13" s="55">
        <f t="shared" ref="D13:E13" si="4">+D6*D38</f>
        <v>115044.24778761061</v>
      </c>
      <c r="E13" s="55">
        <f t="shared" si="4"/>
        <v>0</v>
      </c>
      <c r="F13" s="55">
        <f>+F6*F38</f>
        <v>0</v>
      </c>
      <c r="G13" s="55">
        <f t="shared" si="0"/>
        <v>469026.54867256636</v>
      </c>
      <c r="R13" s="53" t="s">
        <v>37</v>
      </c>
      <c r="AH13" s="53" t="s">
        <v>38</v>
      </c>
      <c r="AI13" s="53" t="s">
        <v>37</v>
      </c>
      <c r="AJ13" s="49" t="s">
        <v>21</v>
      </c>
    </row>
    <row r="14" spans="1:36">
      <c r="A14" s="51">
        <v>8</v>
      </c>
      <c r="B14" s="56" t="s">
        <v>39</v>
      </c>
      <c r="C14" s="55">
        <f>SUM(C11:C13)</f>
        <v>984920.14135868987</v>
      </c>
      <c r="D14" s="55">
        <f t="shared" ref="D14:E14" si="5">SUM(D11:D13)</f>
        <v>320099.04594157421</v>
      </c>
      <c r="E14" s="55">
        <f t="shared" si="5"/>
        <v>0</v>
      </c>
      <c r="F14" s="55">
        <f>SUM(F11:F13)</f>
        <v>0</v>
      </c>
      <c r="G14" s="55">
        <f t="shared" si="0"/>
        <v>1305019.1873002641</v>
      </c>
      <c r="R14" s="56" t="s">
        <v>39</v>
      </c>
      <c r="AH14" s="53" t="s">
        <v>40</v>
      </c>
      <c r="AI14" s="56" t="s">
        <v>39</v>
      </c>
    </row>
    <row r="15" spans="1:36">
      <c r="A15" s="51">
        <v>9</v>
      </c>
      <c r="B15" s="56" t="s">
        <v>41</v>
      </c>
      <c r="C15" s="55">
        <f>+C9-C10-C14</f>
        <v>2734637.3807652057</v>
      </c>
      <c r="D15" s="55">
        <f t="shared" ref="D15:E15" si="6">+D9-D10-D14</f>
        <v>171007.14874869148</v>
      </c>
      <c r="E15" s="55">
        <f t="shared" si="6"/>
        <v>0</v>
      </c>
      <c r="F15" s="55">
        <f>+F9-F10-F14</f>
        <v>0</v>
      </c>
      <c r="G15" s="55">
        <f t="shared" si="0"/>
        <v>2905644.5295138974</v>
      </c>
      <c r="R15" s="56" t="s">
        <v>41</v>
      </c>
      <c r="AH15" s="53" t="s">
        <v>42</v>
      </c>
      <c r="AI15" s="56" t="s">
        <v>41</v>
      </c>
    </row>
    <row r="16" spans="1:36">
      <c r="A16" s="51">
        <v>10</v>
      </c>
      <c r="B16" s="53" t="s">
        <v>43</v>
      </c>
      <c r="C16" s="57">
        <f>+C15/C9</f>
        <v>0.30901402402646816</v>
      </c>
      <c r="D16" s="57">
        <f t="shared" ref="D16:E16" si="7">+D15/D9</f>
        <v>5.9457870180314266E-2</v>
      </c>
      <c r="E16" s="57" t="e">
        <f t="shared" si="7"/>
        <v>#DIV/0!</v>
      </c>
      <c r="F16" s="57" t="e">
        <f>+F15/F9</f>
        <v>#DIV/0!</v>
      </c>
      <c r="G16" s="57">
        <f t="shared" ref="G16" si="8">+G15/G9</f>
        <v>0.24780213723401537</v>
      </c>
      <c r="R16" s="53" t="s">
        <v>43</v>
      </c>
      <c r="AH16" s="53" t="s">
        <v>44</v>
      </c>
      <c r="AI16" s="53" t="s">
        <v>43</v>
      </c>
    </row>
    <row r="17" spans="1:36">
      <c r="A17" s="51">
        <v>11</v>
      </c>
      <c r="B17" s="53" t="s">
        <v>45</v>
      </c>
      <c r="C17" s="55">
        <f>C6*C43+C18</f>
        <v>508192.58849557524</v>
      </c>
      <c r="D17" s="55">
        <f t="shared" ref="D17:E17" si="9">D6*D43+D18</f>
        <v>239387.27876106196</v>
      </c>
      <c r="E17" s="55">
        <f t="shared" si="9"/>
        <v>0</v>
      </c>
      <c r="F17" s="55">
        <f>F6*F43+F18</f>
        <v>0</v>
      </c>
      <c r="G17" s="55">
        <f>SUM(C17:F17)</f>
        <v>747579.8672566372</v>
      </c>
      <c r="H17" s="171"/>
      <c r="I17" s="172"/>
      <c r="J17" s="172"/>
      <c r="R17" s="53" t="s">
        <v>45</v>
      </c>
      <c r="AH17" s="53" t="s">
        <v>46</v>
      </c>
      <c r="AI17" s="53" t="s">
        <v>45</v>
      </c>
    </row>
    <row r="18" spans="1:36" s="47" customFormat="1">
      <c r="A18" s="51">
        <v>12</v>
      </c>
      <c r="B18" s="58" t="s">
        <v>149</v>
      </c>
      <c r="C18" s="59">
        <f>$G$18/$G$6*C6</f>
        <v>109962.5</v>
      </c>
      <c r="D18" s="59">
        <f>$G$18/$G$6*D6</f>
        <v>109962.5</v>
      </c>
      <c r="E18" s="59">
        <f>$G$18/$G$6*E6</f>
        <v>0</v>
      </c>
      <c r="F18" s="59">
        <f>$G$18/$G$6*F6</f>
        <v>0</v>
      </c>
      <c r="G18" s="59">
        <f>项目投资!D26</f>
        <v>219925</v>
      </c>
      <c r="H18" s="173" t="s">
        <v>150</v>
      </c>
      <c r="I18" s="173"/>
      <c r="J18" s="173"/>
    </row>
    <row r="19" spans="1:36">
      <c r="A19" s="51">
        <v>13</v>
      </c>
      <c r="B19" s="53" t="s">
        <v>47</v>
      </c>
      <c r="C19" s="55">
        <f>C6*C44</f>
        <v>61946.902654867263</v>
      </c>
      <c r="D19" s="55">
        <f t="shared" ref="D19:E19" si="10">D6*D44</f>
        <v>20132.743362831861</v>
      </c>
      <c r="E19" s="55">
        <f t="shared" si="10"/>
        <v>0</v>
      </c>
      <c r="F19" s="55">
        <f>F6*F44</f>
        <v>0</v>
      </c>
      <c r="G19" s="55">
        <f>SUM(C19:F19)</f>
        <v>82079.646017699124</v>
      </c>
      <c r="H19" s="174"/>
      <c r="I19" s="172"/>
      <c r="J19" s="172"/>
      <c r="R19" s="53" t="s">
        <v>47</v>
      </c>
      <c r="AH19" s="53" t="s">
        <v>48</v>
      </c>
      <c r="AI19" s="53" t="s">
        <v>47</v>
      </c>
      <c r="AJ19" s="49" t="s">
        <v>21</v>
      </c>
    </row>
    <row r="20" spans="1:36">
      <c r="A20" s="51">
        <v>14</v>
      </c>
      <c r="B20" s="53" t="s">
        <v>49</v>
      </c>
      <c r="C20" s="55">
        <f>C6*C45</f>
        <v>265486.72566371685</v>
      </c>
      <c r="D20" s="55">
        <f t="shared" ref="D20:E20" si="11">D6*D45</f>
        <v>86283.185840707971</v>
      </c>
      <c r="E20" s="55">
        <f t="shared" si="11"/>
        <v>0</v>
      </c>
      <c r="F20" s="55">
        <f>F6*F45</f>
        <v>0</v>
      </c>
      <c r="G20" s="55">
        <f>SUM(C20:F20)</f>
        <v>351769.91150442482</v>
      </c>
      <c r="R20" s="53" t="s">
        <v>49</v>
      </c>
      <c r="AH20" s="53" t="s">
        <v>50</v>
      </c>
      <c r="AI20" s="53" t="s">
        <v>49</v>
      </c>
    </row>
    <row r="21" spans="1:36">
      <c r="A21" s="51">
        <v>15</v>
      </c>
      <c r="B21" s="53" t="s">
        <v>51</v>
      </c>
      <c r="C21" s="60">
        <f>$G$21/$G$6*C6</f>
        <v>12637.5</v>
      </c>
      <c r="D21" s="60">
        <f>$G$21/$G$6*D6</f>
        <v>12637.5</v>
      </c>
      <c r="E21" s="60">
        <f>$G$21/$G$6*E6</f>
        <v>0</v>
      </c>
      <c r="F21" s="60">
        <f>$G$21/$G$6*F6</f>
        <v>0</v>
      </c>
      <c r="G21" s="55">
        <f>项目投资!D27</f>
        <v>25275</v>
      </c>
      <c r="R21" s="53" t="s">
        <v>51</v>
      </c>
      <c r="AH21" s="53"/>
      <c r="AI21" s="53"/>
    </row>
    <row r="22" spans="1:36">
      <c r="A22" s="51">
        <v>16</v>
      </c>
      <c r="B22" s="53" t="s">
        <v>52</v>
      </c>
      <c r="C22" s="55">
        <f>C6*C47</f>
        <v>353982.3008849558</v>
      </c>
      <c r="D22" s="55">
        <f t="shared" ref="D22:F22" si="12">D6*D47</f>
        <v>115044.24778761063</v>
      </c>
      <c r="E22" s="55">
        <f t="shared" si="12"/>
        <v>0</v>
      </c>
      <c r="F22" s="55">
        <f t="shared" si="12"/>
        <v>0</v>
      </c>
      <c r="G22" s="55">
        <f>SUM(C22:F22)</f>
        <v>469026.54867256642</v>
      </c>
      <c r="R22" s="53" t="s">
        <v>52</v>
      </c>
      <c r="AH22" s="53" t="s">
        <v>53</v>
      </c>
      <c r="AI22" s="53" t="s">
        <v>52</v>
      </c>
    </row>
    <row r="23" spans="1:36">
      <c r="A23" s="51">
        <v>17</v>
      </c>
      <c r="B23" s="56" t="s">
        <v>54</v>
      </c>
      <c r="C23" s="60">
        <f>+C22+C21+C20+C19+C17</f>
        <v>1202246.0176991152</v>
      </c>
      <c r="D23" s="60">
        <f t="shared" ref="D23:F23" si="13">+D22+D21+D20+D19+D17</f>
        <v>473484.95575221244</v>
      </c>
      <c r="E23" s="60">
        <f t="shared" si="13"/>
        <v>0</v>
      </c>
      <c r="F23" s="60">
        <f t="shared" si="13"/>
        <v>0</v>
      </c>
      <c r="G23" s="60">
        <f t="shared" ref="G23" si="14">+G22+G21+G20+G19+G17</f>
        <v>1675730.9734513275</v>
      </c>
      <c r="R23" s="56" t="s">
        <v>54</v>
      </c>
      <c r="AH23" s="53" t="s">
        <v>55</v>
      </c>
      <c r="AI23" s="56" t="s">
        <v>54</v>
      </c>
    </row>
    <row r="24" spans="1:36">
      <c r="A24" s="51">
        <v>18</v>
      </c>
      <c r="B24" s="61" t="s">
        <v>56</v>
      </c>
      <c r="C24" s="60">
        <f>+C15-C23</f>
        <v>1532391.3630660905</v>
      </c>
      <c r="D24" s="60">
        <f t="shared" ref="D24:F24" si="15">+D15-D23</f>
        <v>-302477.80700352095</v>
      </c>
      <c r="E24" s="60">
        <f t="shared" si="15"/>
        <v>0</v>
      </c>
      <c r="F24" s="60">
        <f t="shared" si="15"/>
        <v>0</v>
      </c>
      <c r="G24" s="60">
        <f t="shared" ref="G24" si="16">+G15-G23</f>
        <v>1229913.5560625698</v>
      </c>
      <c r="I24" s="71"/>
      <c r="R24" s="53" t="s">
        <v>56</v>
      </c>
      <c r="AH24" s="53" t="s">
        <v>57</v>
      </c>
      <c r="AI24" s="53" t="s">
        <v>56</v>
      </c>
    </row>
    <row r="25" spans="1:36">
      <c r="A25" s="51">
        <v>19</v>
      </c>
      <c r="B25" s="53" t="s">
        <v>257</v>
      </c>
      <c r="C25" s="60">
        <f>IF(C24&lt;0,0,C24*0.15)</f>
        <v>229858.70445991357</v>
      </c>
      <c r="D25" s="60">
        <f>IF(D24&lt;0,0,D24*0.15)</f>
        <v>0</v>
      </c>
      <c r="E25" s="60">
        <f>IF(E24&lt;0,0,E24*0.15)</f>
        <v>0</v>
      </c>
      <c r="F25" s="60">
        <f>IF(F24&lt;0,0,F24*0.15)</f>
        <v>0</v>
      </c>
      <c r="G25" s="60">
        <f>IF(G24&lt;0,0,G24*0.15)</f>
        <v>184487.03340938548</v>
      </c>
      <c r="H25" s="67"/>
      <c r="I25" s="67"/>
      <c r="J25" s="67"/>
      <c r="R25" s="53" t="s">
        <v>58</v>
      </c>
      <c r="AH25" s="53" t="s">
        <v>59</v>
      </c>
      <c r="AI25" s="53" t="s">
        <v>58</v>
      </c>
    </row>
    <row r="26" spans="1:36">
      <c r="A26" s="51">
        <v>20</v>
      </c>
      <c r="B26" s="53" t="s">
        <v>60</v>
      </c>
      <c r="C26" s="60">
        <f t="shared" ref="C26:F26" si="17">C24-C25</f>
        <v>1302532.658606177</v>
      </c>
      <c r="D26" s="60">
        <f t="shared" si="17"/>
        <v>-302477.80700352095</v>
      </c>
      <c r="E26" s="60">
        <f t="shared" si="17"/>
        <v>0</v>
      </c>
      <c r="F26" s="60">
        <f t="shared" si="17"/>
        <v>0</v>
      </c>
      <c r="G26" s="55">
        <f>G24-G25</f>
        <v>1045426.5226531844</v>
      </c>
      <c r="H26" s="67"/>
      <c r="I26" s="67"/>
      <c r="J26" s="67"/>
      <c r="R26" s="53" t="s">
        <v>60</v>
      </c>
      <c r="AH26" s="53" t="s">
        <v>61</v>
      </c>
      <c r="AI26" s="53" t="s">
        <v>60</v>
      </c>
    </row>
    <row r="27" spans="1:36">
      <c r="A27" s="51">
        <v>21</v>
      </c>
      <c r="B27" s="53" t="s">
        <v>64</v>
      </c>
      <c r="C27" s="130">
        <f t="shared" ref="C27:G27" si="18">C26/C7</f>
        <v>0.14718619042249798</v>
      </c>
      <c r="D27" s="130">
        <f t="shared" ref="D27:F27" si="19">D26/D7</f>
        <v>-0.10516920674276266</v>
      </c>
      <c r="E27" s="130" t="e">
        <f t="shared" si="19"/>
        <v>#DIV/0!</v>
      </c>
      <c r="F27" s="130" t="e">
        <f t="shared" si="19"/>
        <v>#DIV/0!</v>
      </c>
      <c r="G27" s="130">
        <f t="shared" si="18"/>
        <v>8.9157129856460238E-2</v>
      </c>
      <c r="H27" s="67"/>
      <c r="I27" s="67"/>
      <c r="J27" s="67"/>
      <c r="R27" s="53" t="s">
        <v>64</v>
      </c>
      <c r="AH27" s="53" t="s">
        <v>63</v>
      </c>
      <c r="AI27" s="53" t="s">
        <v>64</v>
      </c>
    </row>
    <row r="28" spans="1:36">
      <c r="H28" s="67"/>
      <c r="I28" s="67"/>
      <c r="J28" s="67"/>
      <c r="R28" s="53"/>
    </row>
    <row r="29" spans="1:36">
      <c r="A29" s="49" t="s">
        <v>65</v>
      </c>
      <c r="G29" s="50" t="s">
        <v>151</v>
      </c>
      <c r="H29" s="67"/>
      <c r="I29" s="67"/>
      <c r="J29" s="67"/>
      <c r="R29" s="53"/>
      <c r="AH29" s="49" t="s">
        <v>65</v>
      </c>
    </row>
    <row r="30" spans="1:36">
      <c r="A30" s="53" t="s">
        <v>68</v>
      </c>
      <c r="B30" s="56" t="s">
        <v>69</v>
      </c>
      <c r="C30" s="60"/>
      <c r="D30" s="60"/>
      <c r="E30" s="60"/>
      <c r="F30" s="60"/>
      <c r="G30" s="60"/>
      <c r="H30" s="67"/>
      <c r="I30" s="67"/>
      <c r="J30" s="67"/>
      <c r="L30" s="67"/>
      <c r="R30" s="56" t="s">
        <v>69</v>
      </c>
      <c r="AH30" s="53" t="s">
        <v>70</v>
      </c>
      <c r="AI30" s="56" t="s">
        <v>69</v>
      </c>
    </row>
    <row r="31" spans="1:36">
      <c r="A31" s="62">
        <v>1</v>
      </c>
      <c r="B31" s="58" t="s">
        <v>71</v>
      </c>
      <c r="C31" s="63">
        <f>销量!C8</f>
        <v>1769.911504424779</v>
      </c>
      <c r="D31" s="63">
        <f>销量!D8</f>
        <v>575.22123893805315</v>
      </c>
      <c r="E31" s="63">
        <f>销量!E8</f>
        <v>0</v>
      </c>
      <c r="F31" s="63">
        <f>销量!F8</f>
        <v>0</v>
      </c>
      <c r="G31" s="60"/>
      <c r="H31" s="67"/>
      <c r="I31" s="67"/>
      <c r="J31" s="67"/>
      <c r="L31" s="67"/>
      <c r="R31" s="53" t="s">
        <v>71</v>
      </c>
      <c r="AH31" s="53" t="s">
        <v>23</v>
      </c>
      <c r="AI31" s="53" t="s">
        <v>71</v>
      </c>
    </row>
    <row r="32" spans="1:36">
      <c r="A32" s="62">
        <v>2</v>
      </c>
      <c r="B32" s="53" t="s">
        <v>152</v>
      </c>
      <c r="C32" s="55">
        <f>C31*1</f>
        <v>1769.911504424779</v>
      </c>
      <c r="D32" s="55">
        <f t="shared" ref="D32:F32" si="20">D31*1</f>
        <v>575.22123893805315</v>
      </c>
      <c r="E32" s="55">
        <f t="shared" si="20"/>
        <v>0</v>
      </c>
      <c r="F32" s="55">
        <f t="shared" si="20"/>
        <v>0</v>
      </c>
      <c r="G32" s="60"/>
      <c r="H32" s="67"/>
      <c r="I32" s="67"/>
      <c r="J32" s="67"/>
      <c r="K32" s="67"/>
      <c r="L32" s="67"/>
      <c r="M32" s="67"/>
      <c r="N32" s="67"/>
      <c r="AH32" s="53"/>
      <c r="AI32" s="53"/>
    </row>
    <row r="33" spans="1:35">
      <c r="A33" s="62">
        <v>3</v>
      </c>
      <c r="B33" s="58" t="s">
        <v>72</v>
      </c>
      <c r="C33" s="55">
        <f>材料成本!E40</f>
        <v>1026</v>
      </c>
      <c r="D33" s="55">
        <f>材料成本!E41</f>
        <v>477</v>
      </c>
      <c r="E33" s="55">
        <f>材料成本!E42</f>
        <v>0</v>
      </c>
      <c r="F33" s="55">
        <f>材料成本!E43</f>
        <v>0</v>
      </c>
      <c r="G33" s="60"/>
      <c r="I33" s="67"/>
      <c r="J33" s="67"/>
      <c r="K33" s="67"/>
      <c r="L33" s="67"/>
      <c r="M33" s="67"/>
      <c r="N33" s="67"/>
      <c r="R33" s="53" t="s">
        <v>72</v>
      </c>
      <c r="AH33" s="53" t="s">
        <v>25</v>
      </c>
      <c r="AI33" s="53" t="s">
        <v>72</v>
      </c>
    </row>
    <row r="34" spans="1:35" ht="17.25" customHeight="1">
      <c r="A34" s="62">
        <v>4</v>
      </c>
      <c r="B34" s="53" t="s">
        <v>74</v>
      </c>
      <c r="C34" s="64">
        <f>C32-C33</f>
        <v>743.91150442477897</v>
      </c>
      <c r="D34" s="64">
        <f t="shared" ref="D34:F34" si="21">D32-D33</f>
        <v>98.221238938053148</v>
      </c>
      <c r="E34" s="64">
        <f t="shared" si="21"/>
        <v>0</v>
      </c>
      <c r="F34" s="64">
        <f t="shared" si="21"/>
        <v>0</v>
      </c>
      <c r="G34" s="60"/>
      <c r="I34" s="67"/>
      <c r="J34" s="67"/>
      <c r="K34" s="67"/>
      <c r="L34" s="67"/>
      <c r="M34" s="67"/>
      <c r="N34" s="67"/>
      <c r="R34" s="53" t="s">
        <v>74</v>
      </c>
      <c r="AH34" s="53" t="s">
        <v>73</v>
      </c>
      <c r="AI34" s="53" t="s">
        <v>74</v>
      </c>
    </row>
    <row r="35" spans="1:35">
      <c r="A35" s="53" t="s">
        <v>70</v>
      </c>
      <c r="B35" s="56" t="s">
        <v>9</v>
      </c>
      <c r="C35" s="60"/>
      <c r="D35" s="60"/>
      <c r="E35" s="60"/>
      <c r="F35" s="60"/>
      <c r="G35" s="60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56" t="s">
        <v>9</v>
      </c>
      <c r="AH35" s="53" t="s">
        <v>76</v>
      </c>
      <c r="AI35" s="56" t="s">
        <v>9</v>
      </c>
    </row>
    <row r="36" spans="1:35">
      <c r="A36" s="62">
        <v>1</v>
      </c>
      <c r="B36" s="53" t="s">
        <v>77</v>
      </c>
      <c r="C36" s="59">
        <f>标准成本!E4</f>
        <v>99.504400659213019</v>
      </c>
      <c r="D36" s="59">
        <f>标准成本!E18</f>
        <v>32.338930214244229</v>
      </c>
      <c r="E36" s="59">
        <f>标准成本!E32</f>
        <v>0</v>
      </c>
      <c r="F36" s="59">
        <f>标准成本!E45</f>
        <v>0</v>
      </c>
      <c r="G36" s="63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53" t="s">
        <v>77</v>
      </c>
      <c r="AH36" s="53" t="s">
        <v>73</v>
      </c>
      <c r="AI36" s="53" t="s">
        <v>77</v>
      </c>
    </row>
    <row r="37" spans="1:35">
      <c r="A37" s="62">
        <v>2</v>
      </c>
      <c r="B37" s="53" t="s">
        <v>78</v>
      </c>
      <c r="C37" s="59">
        <f>标准成本!E6</f>
        <v>26.683167435533818</v>
      </c>
      <c r="D37" s="59">
        <f>标准成本!E20</f>
        <v>8.6720294165484901</v>
      </c>
      <c r="E37" s="59">
        <f>标准成本!E34</f>
        <v>0</v>
      </c>
      <c r="F37" s="59">
        <f>标准成本!E47</f>
        <v>0</v>
      </c>
      <c r="G37" s="63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53" t="s">
        <v>78</v>
      </c>
      <c r="AH37" s="53" t="s">
        <v>28</v>
      </c>
      <c r="AI37" s="53" t="s">
        <v>78</v>
      </c>
    </row>
    <row r="38" spans="1:35">
      <c r="A38" s="62">
        <v>3</v>
      </c>
      <c r="B38" s="53" t="s">
        <v>79</v>
      </c>
      <c r="C38" s="59">
        <f>标准成本!E10</f>
        <v>70.796460176991147</v>
      </c>
      <c r="D38" s="59">
        <f>标准成本!E24</f>
        <v>23.008849557522122</v>
      </c>
      <c r="E38" s="59">
        <f>标准成本!E38</f>
        <v>0</v>
      </c>
      <c r="F38" s="59">
        <f>标准成本!E51</f>
        <v>0</v>
      </c>
      <c r="G38" s="63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53" t="s">
        <v>79</v>
      </c>
      <c r="AH38" s="53" t="s">
        <v>34</v>
      </c>
      <c r="AI38" s="53" t="s">
        <v>79</v>
      </c>
    </row>
    <row r="39" spans="1:35">
      <c r="A39" s="53" t="s">
        <v>76</v>
      </c>
      <c r="B39" s="56" t="s">
        <v>81</v>
      </c>
      <c r="C39" s="60"/>
      <c r="D39" s="60"/>
      <c r="E39" s="60"/>
      <c r="F39" s="60"/>
      <c r="G39" s="60"/>
      <c r="R39" s="56" t="s">
        <v>81</v>
      </c>
      <c r="AH39" s="53" t="s">
        <v>80</v>
      </c>
      <c r="AI39" s="56" t="s">
        <v>81</v>
      </c>
    </row>
    <row r="40" spans="1:35">
      <c r="A40" s="62">
        <v>1</v>
      </c>
      <c r="B40" s="53" t="s">
        <v>83</v>
      </c>
      <c r="C40" s="60">
        <f>C34-C36-C37-C38</f>
        <v>546.92747615304097</v>
      </c>
      <c r="D40" s="60">
        <f t="shared" ref="D40:F40" si="22">D34-D36-D37-D38</f>
        <v>34.20142974973831</v>
      </c>
      <c r="E40" s="60">
        <f t="shared" si="22"/>
        <v>0</v>
      </c>
      <c r="F40" s="60">
        <f t="shared" si="22"/>
        <v>0</v>
      </c>
      <c r="G40" s="60"/>
      <c r="R40" s="53" t="s">
        <v>83</v>
      </c>
      <c r="AH40" s="53" t="s">
        <v>23</v>
      </c>
      <c r="AI40" s="53" t="s">
        <v>83</v>
      </c>
    </row>
    <row r="41" spans="1:35">
      <c r="A41" s="62">
        <v>2</v>
      </c>
      <c r="B41" s="53" t="s">
        <v>84</v>
      </c>
      <c r="C41" s="60"/>
      <c r="D41" s="60"/>
      <c r="E41" s="60"/>
      <c r="F41" s="60"/>
      <c r="G41" s="60"/>
      <c r="R41" s="53" t="s">
        <v>84</v>
      </c>
      <c r="AH41" s="53" t="s">
        <v>25</v>
      </c>
      <c r="AI41" s="53" t="s">
        <v>84</v>
      </c>
    </row>
    <row r="42" spans="1:35">
      <c r="A42" s="53" t="s">
        <v>80</v>
      </c>
      <c r="B42" s="56" t="s">
        <v>86</v>
      </c>
      <c r="C42" s="60"/>
      <c r="D42" s="60"/>
      <c r="E42" s="60"/>
      <c r="F42" s="60"/>
      <c r="G42" s="60"/>
      <c r="R42" s="56" t="s">
        <v>86</v>
      </c>
      <c r="AH42" s="53" t="s">
        <v>85</v>
      </c>
      <c r="AI42" s="56" t="s">
        <v>86</v>
      </c>
    </row>
    <row r="43" spans="1:35">
      <c r="A43" s="62">
        <v>1</v>
      </c>
      <c r="B43" s="61" t="s">
        <v>87</v>
      </c>
      <c r="C43" s="59">
        <f>标准成本!E5</f>
        <v>79.646017699115049</v>
      </c>
      <c r="D43" s="59">
        <f>标准成本!E19</f>
        <v>25.884955752212392</v>
      </c>
      <c r="E43" s="59">
        <f>标准成本!E33</f>
        <v>0</v>
      </c>
      <c r="F43" s="59">
        <f>标准成本!E46</f>
        <v>0</v>
      </c>
      <c r="G43" s="60"/>
      <c r="R43" s="53" t="s">
        <v>87</v>
      </c>
      <c r="AH43" s="53" t="s">
        <v>23</v>
      </c>
      <c r="AI43" s="53" t="s">
        <v>87</v>
      </c>
    </row>
    <row r="44" spans="1:35">
      <c r="A44" s="62">
        <v>2</v>
      </c>
      <c r="B44" s="61" t="s">
        <v>88</v>
      </c>
      <c r="C44" s="59">
        <f>标准成本!E9</f>
        <v>12.389380530973453</v>
      </c>
      <c r="D44" s="59">
        <f>标准成本!E23</f>
        <v>4.0265486725663724</v>
      </c>
      <c r="E44" s="59">
        <f>标准成本!E37</f>
        <v>0</v>
      </c>
      <c r="F44" s="59">
        <f>标准成本!E50</f>
        <v>0</v>
      </c>
      <c r="G44" s="60"/>
      <c r="R44" s="53" t="s">
        <v>88</v>
      </c>
      <c r="AH44" s="53" t="s">
        <v>25</v>
      </c>
      <c r="AI44" s="53" t="s">
        <v>88</v>
      </c>
    </row>
    <row r="45" spans="1:35">
      <c r="A45" s="62">
        <v>3</v>
      </c>
      <c r="B45" s="61" t="s">
        <v>89</v>
      </c>
      <c r="C45" s="65">
        <f>标准成本!E8</f>
        <v>53.097345132743364</v>
      </c>
      <c r="D45" s="65">
        <f>标准成本!E22</f>
        <v>17.256637168141594</v>
      </c>
      <c r="E45" s="65">
        <f>标准成本!E36</f>
        <v>0</v>
      </c>
      <c r="F45" s="65">
        <f>标准成本!E49</f>
        <v>0</v>
      </c>
      <c r="G45" s="60"/>
      <c r="R45" s="53" t="s">
        <v>89</v>
      </c>
      <c r="AH45" s="53" t="s">
        <v>73</v>
      </c>
      <c r="AI45" s="53" t="s">
        <v>89</v>
      </c>
    </row>
    <row r="46" spans="1:35" s="48" customFormat="1">
      <c r="A46" s="62">
        <v>4</v>
      </c>
      <c r="B46" s="61" t="s">
        <v>90</v>
      </c>
      <c r="C46" s="65">
        <f>C21/C6</f>
        <v>2.5274999999999999</v>
      </c>
      <c r="D46" s="65">
        <f t="shared" ref="D46:F46" si="23">D21/D6</f>
        <v>2.5274999999999999</v>
      </c>
      <c r="E46" s="65" t="e">
        <f t="shared" si="23"/>
        <v>#DIV/0!</v>
      </c>
      <c r="F46" s="65" t="e">
        <f t="shared" si="23"/>
        <v>#DIV/0!</v>
      </c>
      <c r="G46" s="65"/>
      <c r="R46" s="61" t="s">
        <v>92</v>
      </c>
      <c r="AH46" s="61" t="s">
        <v>31</v>
      </c>
      <c r="AI46" s="61" t="s">
        <v>92</v>
      </c>
    </row>
    <row r="47" spans="1:35" s="48" customFormat="1">
      <c r="A47" s="62">
        <v>5</v>
      </c>
      <c r="B47" s="61" t="s">
        <v>92</v>
      </c>
      <c r="C47" s="65">
        <f>标准成本!E11</f>
        <v>70.796460176991161</v>
      </c>
      <c r="D47" s="65">
        <f>标准成本!E25</f>
        <v>23.008849557522126</v>
      </c>
      <c r="E47" s="65">
        <f>标准成本!E39</f>
        <v>0</v>
      </c>
      <c r="F47" s="65">
        <f>标准成本!E52</f>
        <v>0</v>
      </c>
      <c r="G47" s="65"/>
      <c r="R47" s="61" t="s">
        <v>92</v>
      </c>
      <c r="AH47" s="61" t="s">
        <v>31</v>
      </c>
      <c r="AI47" s="61" t="s">
        <v>92</v>
      </c>
    </row>
    <row r="48" spans="1:35">
      <c r="A48" s="53" t="s">
        <v>85</v>
      </c>
      <c r="B48" s="56" t="s">
        <v>103</v>
      </c>
      <c r="C48" s="60">
        <f>C40-C43-C44-C45-C47-C46</f>
        <v>328.47077261321795</v>
      </c>
      <c r="D48" s="60">
        <f t="shared" ref="D48:F48" si="24">D40-D43-D44-D45-D47-D46</f>
        <v>-38.503061400704169</v>
      </c>
      <c r="E48" s="60" t="e">
        <f t="shared" si="24"/>
        <v>#DIV/0!</v>
      </c>
      <c r="F48" s="60" t="e">
        <f t="shared" si="24"/>
        <v>#DIV/0!</v>
      </c>
      <c r="G48" s="60"/>
      <c r="R48" s="56" t="s">
        <v>103</v>
      </c>
      <c r="AH48" s="53" t="s">
        <v>102</v>
      </c>
      <c r="AI48" s="56" t="s">
        <v>103</v>
      </c>
    </row>
    <row r="51" spans="2:12">
      <c r="C51" s="66"/>
      <c r="D51" s="66"/>
      <c r="E51" s="66"/>
      <c r="F51" s="66"/>
    </row>
    <row r="54" spans="2:12">
      <c r="B54" s="67"/>
      <c r="C54" s="68"/>
      <c r="D54" s="68"/>
      <c r="E54" s="68"/>
      <c r="F54" s="68"/>
      <c r="G54" s="68"/>
      <c r="H54" s="67"/>
      <c r="I54" s="67"/>
      <c r="J54" s="67"/>
      <c r="K54" s="67"/>
      <c r="L54" s="67"/>
    </row>
    <row r="55" spans="2:12">
      <c r="B55" s="67"/>
      <c r="C55" s="68"/>
      <c r="D55" s="68"/>
      <c r="E55" s="68"/>
      <c r="F55" s="68"/>
      <c r="G55" s="68"/>
      <c r="H55" s="67"/>
      <c r="I55" s="67"/>
      <c r="J55" s="67"/>
      <c r="K55" s="67"/>
      <c r="L55" s="67"/>
    </row>
    <row r="56" spans="2:12">
      <c r="B56" s="67"/>
      <c r="C56" s="68"/>
      <c r="D56" s="68"/>
      <c r="E56" s="68"/>
      <c r="F56" s="68"/>
      <c r="G56" s="68"/>
      <c r="H56" s="67"/>
      <c r="I56" s="67"/>
      <c r="J56" s="67"/>
      <c r="K56" s="67"/>
      <c r="L56" s="67"/>
    </row>
    <row r="57" spans="2:12">
      <c r="B57" s="67"/>
      <c r="C57" s="68"/>
      <c r="D57" s="68"/>
      <c r="E57" s="68"/>
      <c r="F57" s="68"/>
      <c r="G57" s="68"/>
      <c r="H57" s="67"/>
      <c r="I57" s="67"/>
      <c r="J57" s="67"/>
      <c r="K57" s="67"/>
      <c r="L57" s="67"/>
    </row>
    <row r="58" spans="2:12">
      <c r="B58" s="67"/>
      <c r="C58" s="68"/>
      <c r="D58" s="68"/>
      <c r="E58" s="68"/>
      <c r="F58" s="68"/>
      <c r="G58" s="68"/>
      <c r="H58" s="67"/>
      <c r="I58" s="67"/>
      <c r="J58" s="67"/>
      <c r="K58" s="67"/>
      <c r="L58" s="67"/>
    </row>
    <row r="59" spans="2:12">
      <c r="B59" s="67"/>
      <c r="C59" s="68"/>
      <c r="D59" s="68"/>
      <c r="E59" s="68"/>
      <c r="F59" s="68"/>
      <c r="G59" s="68"/>
      <c r="H59" s="67"/>
      <c r="I59" s="67"/>
      <c r="J59" s="67"/>
      <c r="K59" s="67"/>
      <c r="L59" s="67"/>
    </row>
    <row r="60" spans="2:12">
      <c r="B60" s="67"/>
      <c r="C60" s="68"/>
      <c r="D60" s="68"/>
      <c r="E60" s="68"/>
      <c r="F60" s="68"/>
      <c r="G60" s="68"/>
      <c r="H60" s="67"/>
      <c r="I60" s="67"/>
      <c r="J60" s="67"/>
      <c r="K60" s="67"/>
      <c r="L60" s="67"/>
    </row>
    <row r="61" spans="2:12">
      <c r="B61" s="67"/>
      <c r="C61" s="68"/>
      <c r="D61" s="68"/>
      <c r="E61" s="68"/>
      <c r="F61" s="68"/>
      <c r="G61" s="68"/>
      <c r="H61" s="67"/>
      <c r="I61" s="67"/>
      <c r="J61" s="67"/>
      <c r="K61" s="67"/>
      <c r="L61" s="67"/>
    </row>
    <row r="62" spans="2:12">
      <c r="B62" s="67"/>
      <c r="C62" s="68"/>
      <c r="D62" s="68"/>
      <c r="E62" s="68"/>
      <c r="F62" s="68"/>
      <c r="G62" s="68"/>
      <c r="H62" s="67"/>
      <c r="I62" s="67"/>
      <c r="J62" s="67"/>
      <c r="K62" s="67"/>
      <c r="L62" s="67"/>
    </row>
    <row r="63" spans="2:12">
      <c r="B63" s="67"/>
      <c r="C63" s="68"/>
      <c r="D63" s="68"/>
      <c r="E63" s="68"/>
      <c r="F63" s="68"/>
      <c r="G63" s="68"/>
      <c r="H63" s="67"/>
      <c r="I63" s="67"/>
      <c r="J63" s="67"/>
      <c r="K63" s="67"/>
      <c r="L63" s="67"/>
    </row>
    <row r="64" spans="2:12">
      <c r="B64" s="67"/>
      <c r="C64" s="68"/>
      <c r="D64" s="68"/>
      <c r="E64" s="68"/>
      <c r="F64" s="68"/>
      <c r="G64" s="68"/>
      <c r="H64" s="67"/>
      <c r="I64" s="67"/>
      <c r="J64" s="67"/>
      <c r="K64" s="67"/>
      <c r="L64" s="67"/>
    </row>
    <row r="65" spans="2:12">
      <c r="B65" s="67"/>
      <c r="C65" s="68"/>
      <c r="D65" s="68"/>
      <c r="E65" s="68"/>
      <c r="F65" s="68"/>
      <c r="G65" s="68"/>
      <c r="H65" s="67"/>
      <c r="I65" s="67"/>
      <c r="J65" s="67"/>
      <c r="K65" s="67"/>
      <c r="L65" s="67"/>
    </row>
    <row r="66" spans="2:12">
      <c r="B66" s="67"/>
      <c r="C66" s="68"/>
      <c r="D66" s="68"/>
      <c r="E66" s="68"/>
      <c r="F66" s="68"/>
      <c r="G66" s="68"/>
      <c r="H66" s="67"/>
      <c r="I66" s="67"/>
      <c r="J66" s="67"/>
      <c r="K66" s="67"/>
      <c r="L66" s="67"/>
    </row>
    <row r="67" spans="2:12">
      <c r="B67" s="67"/>
      <c r="C67" s="68"/>
      <c r="D67" s="68"/>
      <c r="E67" s="68"/>
      <c r="F67" s="68"/>
      <c r="G67" s="68"/>
      <c r="H67" s="67"/>
    </row>
    <row r="68" spans="2:12">
      <c r="B68" s="67"/>
      <c r="C68" s="68"/>
      <c r="D68" s="68"/>
      <c r="E68" s="68"/>
      <c r="F68" s="68"/>
      <c r="G68" s="68"/>
      <c r="H68" s="67"/>
    </row>
    <row r="69" spans="2:12">
      <c r="B69" s="67"/>
      <c r="C69" s="68"/>
      <c r="D69" s="68"/>
      <c r="E69" s="68"/>
      <c r="F69" s="68"/>
      <c r="G69" s="68"/>
      <c r="H69" s="67"/>
    </row>
    <row r="70" spans="2:12">
      <c r="B70" s="67"/>
      <c r="C70" s="68"/>
      <c r="D70" s="68"/>
      <c r="E70" s="68"/>
      <c r="F70" s="68"/>
      <c r="G70" s="68"/>
      <c r="H70" s="67"/>
    </row>
    <row r="71" spans="2:12">
      <c r="B71" s="67"/>
      <c r="C71" s="68"/>
      <c r="D71" s="68"/>
      <c r="E71" s="68"/>
      <c r="F71" s="68"/>
      <c r="G71" s="68"/>
      <c r="H71" s="67"/>
    </row>
    <row r="72" spans="2:12">
      <c r="B72" s="67"/>
      <c r="C72" s="68"/>
      <c r="D72" s="68"/>
      <c r="E72" s="68"/>
      <c r="F72" s="68"/>
      <c r="G72" s="68"/>
      <c r="H72" s="67"/>
    </row>
    <row r="73" spans="2:12">
      <c r="B73" s="67"/>
      <c r="C73" s="68"/>
      <c r="D73" s="68"/>
      <c r="E73" s="68"/>
      <c r="F73" s="68"/>
      <c r="G73" s="68"/>
      <c r="H73" s="67"/>
    </row>
    <row r="74" spans="2:12">
      <c r="B74" s="67"/>
      <c r="C74" s="68"/>
      <c r="D74" s="68"/>
      <c r="E74" s="68"/>
      <c r="F74" s="68"/>
      <c r="G74" s="68"/>
      <c r="H74" s="67"/>
    </row>
  </sheetData>
  <mergeCells count="8">
    <mergeCell ref="A4:B4"/>
    <mergeCell ref="A5:B5"/>
    <mergeCell ref="G3:G5"/>
    <mergeCell ref="A1:B1"/>
    <mergeCell ref="C1:G1"/>
    <mergeCell ref="A2:B2"/>
    <mergeCell ref="C2:G2"/>
    <mergeCell ref="A3:B3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20" activePane="bottomRight" state="frozen"/>
      <selection pane="topRight"/>
      <selection pane="bottomLeft"/>
      <selection pane="bottomRight" activeCell="G26" sqref="G26"/>
    </sheetView>
  </sheetViews>
  <sheetFormatPr defaultColWidth="9" defaultRowHeight="16.5"/>
  <cols>
    <col min="1" max="1" width="5.125" style="49" customWidth="1"/>
    <col min="2" max="2" width="17.5" style="49" customWidth="1"/>
    <col min="3" max="3" width="13.25" style="50" customWidth="1"/>
    <col min="4" max="4" width="16.75" style="50" customWidth="1"/>
    <col min="5" max="6" width="13.25" style="50" customWidth="1"/>
    <col min="7" max="7" width="18.75" style="50" customWidth="1"/>
    <col min="8" max="8" width="12.375" style="49" customWidth="1"/>
    <col min="9" max="9" width="10.125" style="49" customWidth="1"/>
    <col min="10" max="16" width="9" style="49" customWidth="1"/>
    <col min="17" max="33" width="9" style="49"/>
    <col min="34" max="34" width="4.375" style="49" customWidth="1"/>
    <col min="35" max="35" width="13.875" style="49" customWidth="1"/>
    <col min="36" max="16384" width="9" style="49"/>
  </cols>
  <sheetData>
    <row r="1" spans="1:36">
      <c r="A1" s="254" t="s">
        <v>143</v>
      </c>
      <c r="B1" s="254"/>
      <c r="C1" s="258" t="s">
        <v>258</v>
      </c>
      <c r="D1" s="259"/>
      <c r="E1" s="259"/>
      <c r="F1" s="259"/>
      <c r="G1" s="260"/>
    </row>
    <row r="2" spans="1:36">
      <c r="A2" s="254" t="s">
        <v>144</v>
      </c>
      <c r="B2" s="254"/>
      <c r="C2" s="261" t="str">
        <f>'2022年'!C2:G2</f>
        <v>陕重汽</v>
      </c>
      <c r="D2" s="261"/>
      <c r="E2" s="261"/>
      <c r="F2" s="261"/>
      <c r="G2" s="261"/>
    </row>
    <row r="3" spans="1:36">
      <c r="A3" s="254" t="s">
        <v>145</v>
      </c>
      <c r="B3" s="254"/>
      <c r="C3" s="161" t="str">
        <f>销量!C5</f>
        <v>司机座椅总成</v>
      </c>
      <c r="D3" s="161" t="str">
        <f>销量!D5</f>
        <v>副司机座椅总成</v>
      </c>
      <c r="E3" s="161">
        <f>销量!E5</f>
        <v>0</v>
      </c>
      <c r="F3" s="161">
        <f>销量!F5</f>
        <v>0</v>
      </c>
      <c r="G3" s="255" t="s">
        <v>19</v>
      </c>
    </row>
    <row r="4" spans="1:36">
      <c r="A4" s="254" t="s">
        <v>146</v>
      </c>
      <c r="B4" s="254"/>
      <c r="C4" s="161" t="str">
        <f>销量!C6</f>
        <v>DZ16251510101</v>
      </c>
      <c r="D4" s="161" t="str">
        <f>销量!D6</f>
        <v>DZ16251510102</v>
      </c>
      <c r="E4" s="161">
        <f>销量!E6</f>
        <v>0</v>
      </c>
      <c r="F4" s="161">
        <f>销量!F6</f>
        <v>0</v>
      </c>
      <c r="G4" s="256"/>
    </row>
    <row r="5" spans="1:36">
      <c r="A5" s="254" t="s">
        <v>147</v>
      </c>
      <c r="B5" s="254"/>
      <c r="C5" s="52"/>
      <c r="D5" s="52"/>
      <c r="E5" s="52"/>
      <c r="F5" s="208"/>
      <c r="G5" s="257"/>
      <c r="AJ5" s="49" t="s">
        <v>20</v>
      </c>
    </row>
    <row r="6" spans="1:36" ht="17.25">
      <c r="A6" s="53" t="s">
        <v>17</v>
      </c>
      <c r="B6" s="54" t="s">
        <v>148</v>
      </c>
      <c r="C6" s="23">
        <f>销量!C10</f>
        <v>10000</v>
      </c>
      <c r="D6" s="23">
        <f>销量!D10</f>
        <v>10000</v>
      </c>
      <c r="E6" s="23">
        <f>销量!E10</f>
        <v>0</v>
      </c>
      <c r="F6" s="23">
        <f>销量!F10</f>
        <v>0</v>
      </c>
      <c r="G6" s="55">
        <f t="shared" ref="G6:G15" si="0">SUM(C6:F6)</f>
        <v>20000</v>
      </c>
      <c r="R6" s="54" t="s">
        <v>3</v>
      </c>
      <c r="AH6" s="53" t="s">
        <v>17</v>
      </c>
      <c r="AI6" s="54" t="s">
        <v>3</v>
      </c>
      <c r="AJ6" s="49" t="s">
        <v>21</v>
      </c>
    </row>
    <row r="7" spans="1:36">
      <c r="A7" s="160">
        <v>1</v>
      </c>
      <c r="B7" s="54" t="s">
        <v>22</v>
      </c>
      <c r="C7" s="55">
        <f>C6*销量!C8</f>
        <v>17699115.044247791</v>
      </c>
      <c r="D7" s="55">
        <f>D6*销量!D8</f>
        <v>5752212.3893805314</v>
      </c>
      <c r="E7" s="55">
        <f>E6*销量!E8</f>
        <v>0</v>
      </c>
      <c r="F7" s="55">
        <f>F6*销量!F8</f>
        <v>0</v>
      </c>
      <c r="G7" s="55">
        <f t="shared" si="0"/>
        <v>23451327.433628321</v>
      </c>
      <c r="H7" s="50"/>
      <c r="R7" s="54" t="s">
        <v>22</v>
      </c>
      <c r="AH7" s="53" t="s">
        <v>23</v>
      </c>
      <c r="AI7" s="54" t="s">
        <v>22</v>
      </c>
      <c r="AJ7" s="49" t="s">
        <v>21</v>
      </c>
    </row>
    <row r="8" spans="1:36">
      <c r="A8" s="160">
        <v>2</v>
      </c>
      <c r="B8" s="160" t="s">
        <v>24</v>
      </c>
      <c r="C8" s="55">
        <f>C7*(1-销量!$L$7)</f>
        <v>884955.7522123903</v>
      </c>
      <c r="D8" s="55">
        <f>D7*(1-销量!$L$7)</f>
        <v>287610.6194690268</v>
      </c>
      <c r="E8" s="55">
        <f>E7*(1-销量!$L$7)</f>
        <v>0</v>
      </c>
      <c r="F8" s="55">
        <f>F7*(1-销量!$L$7)</f>
        <v>0</v>
      </c>
      <c r="G8" s="55">
        <f t="shared" si="0"/>
        <v>1172566.3716814171</v>
      </c>
      <c r="H8" s="69"/>
      <c r="R8" s="160" t="s">
        <v>26</v>
      </c>
      <c r="AH8" s="53" t="s">
        <v>25</v>
      </c>
      <c r="AI8" s="160" t="s">
        <v>26</v>
      </c>
      <c r="AJ8" s="49" t="s">
        <v>21</v>
      </c>
    </row>
    <row r="9" spans="1:36">
      <c r="A9" s="160">
        <v>3</v>
      </c>
      <c r="B9" s="54" t="s">
        <v>27</v>
      </c>
      <c r="C9" s="55">
        <f>+C7-C8</f>
        <v>16814159.292035401</v>
      </c>
      <c r="D9" s="55">
        <f t="shared" ref="D9:F9" si="1">+D7-D8</f>
        <v>5464601.7699115044</v>
      </c>
      <c r="E9" s="55">
        <f t="shared" si="1"/>
        <v>0</v>
      </c>
      <c r="F9" s="55">
        <f t="shared" si="1"/>
        <v>0</v>
      </c>
      <c r="G9" s="55">
        <f t="shared" si="0"/>
        <v>22278761.061946906</v>
      </c>
      <c r="R9" s="54" t="s">
        <v>27</v>
      </c>
      <c r="AH9" s="53" t="s">
        <v>28</v>
      </c>
      <c r="AI9" s="54" t="s">
        <v>27</v>
      </c>
      <c r="AJ9" s="49" t="s">
        <v>29</v>
      </c>
    </row>
    <row r="10" spans="1:36">
      <c r="A10" s="160">
        <v>4</v>
      </c>
      <c r="B10" s="53" t="s">
        <v>30</v>
      </c>
      <c r="C10" s="55">
        <f>C6*材料成本!F40</f>
        <v>9747000</v>
      </c>
      <c r="D10" s="55">
        <f>D6*材料成本!F41</f>
        <v>4531500</v>
      </c>
      <c r="E10" s="55">
        <f>E6*材料成本!F42</f>
        <v>0</v>
      </c>
      <c r="F10" s="55">
        <f>F6*材料成本!F43</f>
        <v>0</v>
      </c>
      <c r="G10" s="55">
        <f t="shared" si="0"/>
        <v>14278500</v>
      </c>
      <c r="R10" s="53" t="s">
        <v>30</v>
      </c>
      <c r="AH10" s="53" t="s">
        <v>31</v>
      </c>
      <c r="AI10" s="53" t="s">
        <v>30</v>
      </c>
      <c r="AJ10" s="49" t="s">
        <v>32</v>
      </c>
    </row>
    <row r="11" spans="1:36">
      <c r="A11" s="160">
        <v>5</v>
      </c>
      <c r="B11" s="53" t="s">
        <v>33</v>
      </c>
      <c r="C11" s="55">
        <f>+C6*C36</f>
        <v>995044.00659213017</v>
      </c>
      <c r="D11" s="55">
        <f>+D6*D36</f>
        <v>323389.30214244226</v>
      </c>
      <c r="E11" s="55">
        <f t="shared" ref="E11:F11" si="2">+E6*E36</f>
        <v>0</v>
      </c>
      <c r="F11" s="55">
        <f t="shared" si="2"/>
        <v>0</v>
      </c>
      <c r="G11" s="55">
        <f t="shared" si="0"/>
        <v>1318433.3087345725</v>
      </c>
      <c r="R11" s="53" t="s">
        <v>33</v>
      </c>
      <c r="AH11" s="53" t="s">
        <v>34</v>
      </c>
      <c r="AI11" s="53" t="s">
        <v>33</v>
      </c>
    </row>
    <row r="12" spans="1:36">
      <c r="A12" s="160">
        <v>6</v>
      </c>
      <c r="B12" s="53" t="s">
        <v>35</v>
      </c>
      <c r="C12" s="55">
        <f>+C6*C37</f>
        <v>266831.67435533815</v>
      </c>
      <c r="D12" s="55">
        <f t="shared" ref="D12:E12" si="3">+D6*D37</f>
        <v>86720.294165484898</v>
      </c>
      <c r="E12" s="55">
        <f t="shared" si="3"/>
        <v>0</v>
      </c>
      <c r="F12" s="55">
        <f t="shared" ref="F12" si="4">+F6*F37</f>
        <v>0</v>
      </c>
      <c r="G12" s="55">
        <f t="shared" si="0"/>
        <v>353551.96852082305</v>
      </c>
      <c r="R12" s="53" t="s">
        <v>35</v>
      </c>
      <c r="AH12" s="53" t="s">
        <v>36</v>
      </c>
      <c r="AI12" s="53" t="s">
        <v>35</v>
      </c>
    </row>
    <row r="13" spans="1:36">
      <c r="A13" s="160">
        <v>7</v>
      </c>
      <c r="B13" s="53" t="s">
        <v>37</v>
      </c>
      <c r="C13" s="55">
        <f>+C6*C38</f>
        <v>707964.60176991147</v>
      </c>
      <c r="D13" s="55">
        <f t="shared" ref="D13:E13" si="5">+D6*D38</f>
        <v>230088.49557522123</v>
      </c>
      <c r="E13" s="55">
        <f t="shared" si="5"/>
        <v>0</v>
      </c>
      <c r="F13" s="55">
        <f t="shared" ref="F13" si="6">+F6*F38</f>
        <v>0</v>
      </c>
      <c r="G13" s="55">
        <f t="shared" si="0"/>
        <v>938053.09734513273</v>
      </c>
      <c r="R13" s="53" t="s">
        <v>37</v>
      </c>
      <c r="AH13" s="53" t="s">
        <v>38</v>
      </c>
      <c r="AI13" s="53" t="s">
        <v>37</v>
      </c>
      <c r="AJ13" s="49" t="s">
        <v>21</v>
      </c>
    </row>
    <row r="14" spans="1:36">
      <c r="A14" s="160">
        <v>8</v>
      </c>
      <c r="B14" s="56" t="s">
        <v>39</v>
      </c>
      <c r="C14" s="55">
        <f>SUM(C11:C13)</f>
        <v>1969840.2827173797</v>
      </c>
      <c r="D14" s="55">
        <f t="shared" ref="D14:F14" si="7">SUM(D11:D13)</f>
        <v>640198.09188314842</v>
      </c>
      <c r="E14" s="55">
        <f t="shared" si="7"/>
        <v>0</v>
      </c>
      <c r="F14" s="55">
        <f t="shared" si="7"/>
        <v>0</v>
      </c>
      <c r="G14" s="55">
        <f t="shared" si="0"/>
        <v>2610038.3746005283</v>
      </c>
      <c r="R14" s="56" t="s">
        <v>39</v>
      </c>
      <c r="AH14" s="53" t="s">
        <v>40</v>
      </c>
      <c r="AI14" s="56" t="s">
        <v>39</v>
      </c>
    </row>
    <row r="15" spans="1:36">
      <c r="A15" s="160">
        <v>9</v>
      </c>
      <c r="B15" s="56" t="s">
        <v>41</v>
      </c>
      <c r="C15" s="55">
        <f>+C9-C10-C14</f>
        <v>5097319.0093180211</v>
      </c>
      <c r="D15" s="55">
        <f t="shared" ref="D15:F15" si="8">+D9-D10-D14</f>
        <v>292903.67802835593</v>
      </c>
      <c r="E15" s="55">
        <f t="shared" si="8"/>
        <v>0</v>
      </c>
      <c r="F15" s="55">
        <f t="shared" si="8"/>
        <v>0</v>
      </c>
      <c r="G15" s="55">
        <f t="shared" si="0"/>
        <v>5390222.6873463774</v>
      </c>
      <c r="R15" s="56" t="s">
        <v>41</v>
      </c>
      <c r="AH15" s="53" t="s">
        <v>42</v>
      </c>
      <c r="AI15" s="56" t="s">
        <v>41</v>
      </c>
    </row>
    <row r="16" spans="1:36">
      <c r="A16" s="160">
        <v>10</v>
      </c>
      <c r="B16" s="53" t="s">
        <v>43</v>
      </c>
      <c r="C16" s="57">
        <f>+C15/C9</f>
        <v>0.30315634108049277</v>
      </c>
      <c r="D16" s="57">
        <f t="shared" ref="D16:F16" si="9">+D15/D9</f>
        <v>5.360018723433882E-2</v>
      </c>
      <c r="E16" s="57" t="e">
        <f t="shared" si="9"/>
        <v>#DIV/0!</v>
      </c>
      <c r="F16" s="57" t="e">
        <f t="shared" si="9"/>
        <v>#DIV/0!</v>
      </c>
      <c r="G16" s="57">
        <f t="shared" ref="G16" si="10">+G15/G9</f>
        <v>0.24194445428803993</v>
      </c>
      <c r="R16" s="53" t="s">
        <v>43</v>
      </c>
      <c r="AH16" s="53" t="s">
        <v>44</v>
      </c>
      <c r="AI16" s="53" t="s">
        <v>43</v>
      </c>
    </row>
    <row r="17" spans="1:36">
      <c r="A17" s="160">
        <v>11</v>
      </c>
      <c r="B17" s="53" t="s">
        <v>45</v>
      </c>
      <c r="C17" s="55">
        <f>C6*C43+C18</f>
        <v>906422.67699115048</v>
      </c>
      <c r="D17" s="55">
        <f t="shared" ref="D17:F17" si="11">D6*D43+D18</f>
        <v>368812.05752212391</v>
      </c>
      <c r="E17" s="55">
        <f t="shared" si="11"/>
        <v>0</v>
      </c>
      <c r="F17" s="55">
        <f t="shared" si="11"/>
        <v>0</v>
      </c>
      <c r="G17" s="55">
        <f>SUM(C17:F17)</f>
        <v>1275234.7345132744</v>
      </c>
      <c r="H17" s="69"/>
      <c r="R17" s="53" t="s">
        <v>45</v>
      </c>
      <c r="AH17" s="53" t="s">
        <v>46</v>
      </c>
      <c r="AI17" s="53" t="s">
        <v>45</v>
      </c>
    </row>
    <row r="18" spans="1:36" s="47" customFormat="1">
      <c r="A18" s="160">
        <v>12</v>
      </c>
      <c r="B18" s="58" t="s">
        <v>149</v>
      </c>
      <c r="C18" s="59">
        <f>$G$18/$G$6*C6</f>
        <v>109962.5</v>
      </c>
      <c r="D18" s="59">
        <f>$G$18/$G$6*D6</f>
        <v>109962.5</v>
      </c>
      <c r="E18" s="59">
        <f>$G$18/$G$6*E6</f>
        <v>0</v>
      </c>
      <c r="F18" s="59">
        <f>$G$18/$G$6*F6</f>
        <v>0</v>
      </c>
      <c r="G18" s="59">
        <f>项目投资!D26</f>
        <v>219925</v>
      </c>
      <c r="H18" s="70" t="s">
        <v>150</v>
      </c>
      <c r="I18" s="70"/>
      <c r="J18" s="70"/>
    </row>
    <row r="19" spans="1:36">
      <c r="A19" s="160">
        <v>13</v>
      </c>
      <c r="B19" s="53" t="s">
        <v>47</v>
      </c>
      <c r="C19" s="55">
        <f>C6*C44</f>
        <v>123893.80530973453</v>
      </c>
      <c r="D19" s="55">
        <f t="shared" ref="D19:F19" si="12">D6*D44</f>
        <v>40265.486725663723</v>
      </c>
      <c r="E19" s="55">
        <f t="shared" si="12"/>
        <v>0</v>
      </c>
      <c r="F19" s="55">
        <f t="shared" si="12"/>
        <v>0</v>
      </c>
      <c r="G19" s="55">
        <f>SUM(C19:F19)</f>
        <v>164159.29203539825</v>
      </c>
      <c r="H19" s="47"/>
      <c r="R19" s="53" t="s">
        <v>47</v>
      </c>
      <c r="AH19" s="53" t="s">
        <v>48</v>
      </c>
      <c r="AI19" s="53" t="s">
        <v>47</v>
      </c>
      <c r="AJ19" s="49" t="s">
        <v>21</v>
      </c>
    </row>
    <row r="20" spans="1:36">
      <c r="A20" s="160">
        <v>14</v>
      </c>
      <c r="B20" s="53" t="s">
        <v>49</v>
      </c>
      <c r="C20" s="55">
        <f>C6*C45</f>
        <v>530973.45132743369</v>
      </c>
      <c r="D20" s="55">
        <f t="shared" ref="D20:F20" si="13">D6*D45</f>
        <v>172566.37168141594</v>
      </c>
      <c r="E20" s="55">
        <f t="shared" si="13"/>
        <v>0</v>
      </c>
      <c r="F20" s="55">
        <f t="shared" si="13"/>
        <v>0</v>
      </c>
      <c r="G20" s="55">
        <f>SUM(C20:F20)</f>
        <v>703539.82300884963</v>
      </c>
      <c r="R20" s="53" t="s">
        <v>49</v>
      </c>
      <c r="AH20" s="53" t="s">
        <v>50</v>
      </c>
      <c r="AI20" s="53" t="s">
        <v>49</v>
      </c>
    </row>
    <row r="21" spans="1:36">
      <c r="A21" s="160">
        <v>15</v>
      </c>
      <c r="B21" s="53" t="s">
        <v>51</v>
      </c>
      <c r="C21" s="60">
        <f>$G$21/$G$6*C6</f>
        <v>12637.5</v>
      </c>
      <c r="D21" s="60">
        <f>$G$21/$G$6*D6</f>
        <v>12637.5</v>
      </c>
      <c r="E21" s="60">
        <f>$G$21/$G$6*E6</f>
        <v>0</v>
      </c>
      <c r="F21" s="60">
        <f>$G$21/$G$6*F6</f>
        <v>0</v>
      </c>
      <c r="G21" s="55">
        <f>项目投资!D27</f>
        <v>25275</v>
      </c>
      <c r="R21" s="53" t="s">
        <v>51</v>
      </c>
      <c r="AH21" s="53"/>
      <c r="AI21" s="53"/>
    </row>
    <row r="22" spans="1:36">
      <c r="A22" s="160">
        <v>16</v>
      </c>
      <c r="B22" s="53" t="s">
        <v>52</v>
      </c>
      <c r="C22" s="55">
        <f>C6*C47</f>
        <v>707964.60176991159</v>
      </c>
      <c r="D22" s="55">
        <f t="shared" ref="D22:F22" si="14">D6*D47</f>
        <v>230088.49557522126</v>
      </c>
      <c r="E22" s="55">
        <f t="shared" si="14"/>
        <v>0</v>
      </c>
      <c r="F22" s="55">
        <f t="shared" si="14"/>
        <v>0</v>
      </c>
      <c r="G22" s="55">
        <f>SUM(C22:F22)</f>
        <v>938053.09734513285</v>
      </c>
      <c r="R22" s="53" t="s">
        <v>52</v>
      </c>
      <c r="AH22" s="53" t="s">
        <v>53</v>
      </c>
      <c r="AI22" s="53" t="s">
        <v>52</v>
      </c>
    </row>
    <row r="23" spans="1:36">
      <c r="A23" s="160">
        <v>17</v>
      </c>
      <c r="B23" s="56" t="s">
        <v>54</v>
      </c>
      <c r="C23" s="60">
        <f>+C22+C21+C20+C19+C17</f>
        <v>2281892.0353982304</v>
      </c>
      <c r="D23" s="60">
        <f t="shared" ref="D23:F23" si="15">+D22+D21+D20+D19+D17</f>
        <v>824369.91150442488</v>
      </c>
      <c r="E23" s="60">
        <f t="shared" si="15"/>
        <v>0</v>
      </c>
      <c r="F23" s="60">
        <f t="shared" si="15"/>
        <v>0</v>
      </c>
      <c r="G23" s="60">
        <f t="shared" ref="G23" si="16">+G22+G21+G20+G19+G17</f>
        <v>3106261.9469026551</v>
      </c>
      <c r="R23" s="56" t="s">
        <v>54</v>
      </c>
      <c r="AH23" s="53" t="s">
        <v>55</v>
      </c>
      <c r="AI23" s="56" t="s">
        <v>54</v>
      </c>
    </row>
    <row r="24" spans="1:36">
      <c r="A24" s="160">
        <v>18</v>
      </c>
      <c r="B24" s="61" t="s">
        <v>56</v>
      </c>
      <c r="C24" s="60">
        <f>+C15-C23</f>
        <v>2815426.9739197907</v>
      </c>
      <c r="D24" s="60">
        <f t="shared" ref="D24:F24" si="17">+D15-D23</f>
        <v>-531466.23347606894</v>
      </c>
      <c r="E24" s="60">
        <f t="shared" si="17"/>
        <v>0</v>
      </c>
      <c r="F24" s="60">
        <f t="shared" si="17"/>
        <v>0</v>
      </c>
      <c r="G24" s="60">
        <f t="shared" ref="G24" si="18">+G15-G23</f>
        <v>2283960.7404437223</v>
      </c>
      <c r="I24" s="71"/>
      <c r="R24" s="53" t="s">
        <v>56</v>
      </c>
      <c r="AH24" s="53" t="s">
        <v>57</v>
      </c>
      <c r="AI24" s="53" t="s">
        <v>56</v>
      </c>
    </row>
    <row r="25" spans="1:36">
      <c r="A25" s="160">
        <v>19</v>
      </c>
      <c r="B25" s="53" t="s">
        <v>257</v>
      </c>
      <c r="C25" s="60">
        <f t="shared" ref="C25:G25" si="19">IF(C24&lt;0,0,C24*0.15)</f>
        <v>422314.04608796857</v>
      </c>
      <c r="D25" s="60">
        <f t="shared" si="19"/>
        <v>0</v>
      </c>
      <c r="E25" s="60">
        <f t="shared" si="19"/>
        <v>0</v>
      </c>
      <c r="F25" s="60">
        <f t="shared" si="19"/>
        <v>0</v>
      </c>
      <c r="G25" s="60">
        <f t="shared" si="19"/>
        <v>342594.11106655834</v>
      </c>
      <c r="H25" s="67"/>
      <c r="I25" s="67"/>
      <c r="J25" s="67"/>
      <c r="R25" s="53" t="s">
        <v>58</v>
      </c>
      <c r="AH25" s="53" t="s">
        <v>59</v>
      </c>
      <c r="AI25" s="53" t="s">
        <v>58</v>
      </c>
    </row>
    <row r="26" spans="1:36">
      <c r="A26" s="160">
        <v>20</v>
      </c>
      <c r="B26" s="53" t="s">
        <v>60</v>
      </c>
      <c r="C26" s="60">
        <f t="shared" ref="C26:G26" si="20">C24-C25</f>
        <v>2393112.9278318221</v>
      </c>
      <c r="D26" s="60">
        <f t="shared" si="20"/>
        <v>-531466.23347606894</v>
      </c>
      <c r="E26" s="60">
        <f t="shared" si="20"/>
        <v>0</v>
      </c>
      <c r="F26" s="60">
        <f t="shared" si="20"/>
        <v>0</v>
      </c>
      <c r="G26" s="60">
        <f t="shared" si="20"/>
        <v>1941366.6293771639</v>
      </c>
      <c r="H26" s="67"/>
      <c r="I26" s="67"/>
      <c r="J26" s="67"/>
      <c r="R26" s="53" t="s">
        <v>60</v>
      </c>
      <c r="AH26" s="53" t="s">
        <v>61</v>
      </c>
      <c r="AI26" s="53" t="s">
        <v>60</v>
      </c>
    </row>
    <row r="27" spans="1:36">
      <c r="A27" s="160">
        <v>21</v>
      </c>
      <c r="B27" s="53" t="s">
        <v>64</v>
      </c>
      <c r="C27" s="130">
        <f t="shared" ref="C27:G27" si="21">C26/C7</f>
        <v>0.13521088042249793</v>
      </c>
      <c r="D27" s="130">
        <f t="shared" ref="D27:F27" si="22">D26/D7</f>
        <v>-9.239336058891659E-2</v>
      </c>
      <c r="E27" s="130" t="e">
        <f t="shared" si="22"/>
        <v>#DIV/0!</v>
      </c>
      <c r="F27" s="130" t="e">
        <f t="shared" si="22"/>
        <v>#DIV/0!</v>
      </c>
      <c r="G27" s="130">
        <f t="shared" si="21"/>
        <v>8.2782803441365849E-2</v>
      </c>
      <c r="H27" s="67"/>
      <c r="I27" s="67"/>
      <c r="J27" s="67"/>
      <c r="R27" s="53" t="s">
        <v>64</v>
      </c>
      <c r="AH27" s="53" t="s">
        <v>63</v>
      </c>
      <c r="AI27" s="53" t="s">
        <v>64</v>
      </c>
    </row>
    <row r="28" spans="1:36">
      <c r="H28" s="67"/>
      <c r="I28" s="67"/>
      <c r="J28" s="67"/>
      <c r="R28" s="53"/>
    </row>
    <row r="29" spans="1:36">
      <c r="A29" s="49" t="s">
        <v>65</v>
      </c>
      <c r="G29" s="50" t="s">
        <v>151</v>
      </c>
      <c r="H29" s="67"/>
      <c r="I29" s="67"/>
      <c r="J29" s="67"/>
      <c r="R29" s="53"/>
      <c r="AH29" s="49" t="s">
        <v>65</v>
      </c>
    </row>
    <row r="30" spans="1:36">
      <c r="A30" s="53" t="s">
        <v>68</v>
      </c>
      <c r="B30" s="56" t="s">
        <v>69</v>
      </c>
      <c r="C30" s="60"/>
      <c r="D30" s="60"/>
      <c r="E30" s="60"/>
      <c r="F30" s="60"/>
      <c r="G30" s="60"/>
      <c r="H30" s="67"/>
      <c r="I30" s="67"/>
      <c r="J30" s="67"/>
      <c r="L30" s="67"/>
      <c r="R30" s="56" t="s">
        <v>69</v>
      </c>
      <c r="AH30" s="53" t="s">
        <v>70</v>
      </c>
      <c r="AI30" s="56" t="s">
        <v>69</v>
      </c>
    </row>
    <row r="31" spans="1:36">
      <c r="A31" s="160">
        <v>1</v>
      </c>
      <c r="B31" s="58" t="s">
        <v>71</v>
      </c>
      <c r="C31" s="63">
        <f>销量!C8</f>
        <v>1769.911504424779</v>
      </c>
      <c r="D31" s="63">
        <f>销量!D8</f>
        <v>575.22123893805315</v>
      </c>
      <c r="E31" s="63">
        <f>销量!E8</f>
        <v>0</v>
      </c>
      <c r="F31" s="63">
        <f>销量!F8</f>
        <v>0</v>
      </c>
      <c r="G31" s="60"/>
      <c r="H31" s="67"/>
      <c r="I31" s="67"/>
      <c r="J31" s="67"/>
      <c r="L31" s="67"/>
      <c r="R31" s="53" t="s">
        <v>71</v>
      </c>
      <c r="AH31" s="53" t="s">
        <v>23</v>
      </c>
      <c r="AI31" s="53" t="s">
        <v>71</v>
      </c>
    </row>
    <row r="32" spans="1:36">
      <c r="A32" s="160">
        <v>2</v>
      </c>
      <c r="B32" s="53" t="s">
        <v>152</v>
      </c>
      <c r="C32" s="55">
        <f>C9/C6</f>
        <v>1681.4159292035401</v>
      </c>
      <c r="D32" s="55">
        <f t="shared" ref="D32:F32" si="23">D9/D6</f>
        <v>546.46017699115043</v>
      </c>
      <c r="E32" s="55" t="e">
        <f t="shared" si="23"/>
        <v>#DIV/0!</v>
      </c>
      <c r="F32" s="55" t="e">
        <f t="shared" si="23"/>
        <v>#DIV/0!</v>
      </c>
      <c r="G32" s="60"/>
      <c r="H32" s="67"/>
      <c r="I32" s="67"/>
      <c r="J32" s="67"/>
      <c r="K32" s="67"/>
      <c r="L32" s="67"/>
      <c r="M32" s="67"/>
      <c r="N32" s="67"/>
      <c r="AH32" s="53"/>
      <c r="AI32" s="53"/>
    </row>
    <row r="33" spans="1:35">
      <c r="A33" s="160">
        <v>3</v>
      </c>
      <c r="B33" s="58" t="s">
        <v>72</v>
      </c>
      <c r="C33" s="55">
        <f>材料成本!F40</f>
        <v>974.69999999999993</v>
      </c>
      <c r="D33" s="55">
        <f>材料成本!F41</f>
        <v>453.15</v>
      </c>
      <c r="E33" s="55">
        <f>材料成本!F42</f>
        <v>0</v>
      </c>
      <c r="F33" s="55">
        <f>材料成本!F43</f>
        <v>0</v>
      </c>
      <c r="G33" s="60"/>
      <c r="I33" s="67"/>
      <c r="J33" s="67"/>
      <c r="K33" s="67"/>
      <c r="L33" s="67"/>
      <c r="M33" s="67"/>
      <c r="N33" s="67"/>
      <c r="R33" s="53" t="s">
        <v>72</v>
      </c>
      <c r="AH33" s="53" t="s">
        <v>25</v>
      </c>
      <c r="AI33" s="53" t="s">
        <v>72</v>
      </c>
    </row>
    <row r="34" spans="1:35" ht="17.25" customHeight="1">
      <c r="A34" s="160">
        <v>4</v>
      </c>
      <c r="B34" s="53" t="s">
        <v>74</v>
      </c>
      <c r="C34" s="64">
        <f>C32-C33</f>
        <v>706.71592920354021</v>
      </c>
      <c r="D34" s="64">
        <f t="shared" ref="D34:F34" si="24">D32-D33</f>
        <v>93.310176991150456</v>
      </c>
      <c r="E34" s="64" t="e">
        <f t="shared" si="24"/>
        <v>#DIV/0!</v>
      </c>
      <c r="F34" s="64" t="e">
        <f t="shared" si="24"/>
        <v>#DIV/0!</v>
      </c>
      <c r="G34" s="60"/>
      <c r="I34" s="67"/>
      <c r="J34" s="67"/>
      <c r="K34" s="67"/>
      <c r="L34" s="67"/>
      <c r="M34" s="67"/>
      <c r="N34" s="67"/>
      <c r="R34" s="53" t="s">
        <v>74</v>
      </c>
      <c r="AH34" s="53" t="s">
        <v>73</v>
      </c>
      <c r="AI34" s="53" t="s">
        <v>74</v>
      </c>
    </row>
    <row r="35" spans="1:35">
      <c r="A35" s="53" t="s">
        <v>70</v>
      </c>
      <c r="B35" s="56" t="s">
        <v>9</v>
      </c>
      <c r="C35" s="60"/>
      <c r="D35" s="60"/>
      <c r="E35" s="60"/>
      <c r="F35" s="60"/>
      <c r="G35" s="60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56" t="s">
        <v>9</v>
      </c>
      <c r="AH35" s="53" t="s">
        <v>76</v>
      </c>
      <c r="AI35" s="56" t="s">
        <v>9</v>
      </c>
    </row>
    <row r="36" spans="1:35">
      <c r="A36" s="160">
        <v>1</v>
      </c>
      <c r="B36" s="53" t="s">
        <v>77</v>
      </c>
      <c r="C36" s="59">
        <f>'2022年'!C36</f>
        <v>99.504400659213019</v>
      </c>
      <c r="D36" s="59">
        <f>'2022年'!D36</f>
        <v>32.338930214244229</v>
      </c>
      <c r="E36" s="59">
        <f>'2022年'!E36</f>
        <v>0</v>
      </c>
      <c r="F36" s="59">
        <f>'2022年'!F36</f>
        <v>0</v>
      </c>
      <c r="G36" s="63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53" t="s">
        <v>77</v>
      </c>
      <c r="AH36" s="53" t="s">
        <v>73</v>
      </c>
      <c r="AI36" s="53" t="s">
        <v>77</v>
      </c>
    </row>
    <row r="37" spans="1:35">
      <c r="A37" s="160">
        <v>2</v>
      </c>
      <c r="B37" s="53" t="s">
        <v>78</v>
      </c>
      <c r="C37" s="59">
        <f>'2022年'!C37</f>
        <v>26.683167435533818</v>
      </c>
      <c r="D37" s="59">
        <f>'2022年'!D37</f>
        <v>8.6720294165484901</v>
      </c>
      <c r="E37" s="59">
        <f>'2022年'!E37</f>
        <v>0</v>
      </c>
      <c r="F37" s="59">
        <f>'2022年'!F37</f>
        <v>0</v>
      </c>
      <c r="G37" s="63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53" t="s">
        <v>78</v>
      </c>
      <c r="AH37" s="53" t="s">
        <v>28</v>
      </c>
      <c r="AI37" s="53" t="s">
        <v>78</v>
      </c>
    </row>
    <row r="38" spans="1:35">
      <c r="A38" s="160">
        <v>3</v>
      </c>
      <c r="B38" s="53" t="s">
        <v>79</v>
      </c>
      <c r="C38" s="59">
        <f>'2022年'!C38</f>
        <v>70.796460176991147</v>
      </c>
      <c r="D38" s="59">
        <f>'2022年'!D38</f>
        <v>23.008849557522122</v>
      </c>
      <c r="E38" s="59">
        <f>'2022年'!E38</f>
        <v>0</v>
      </c>
      <c r="F38" s="59">
        <f>'2022年'!F38</f>
        <v>0</v>
      </c>
      <c r="G38" s="63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53" t="s">
        <v>79</v>
      </c>
      <c r="AH38" s="53" t="s">
        <v>34</v>
      </c>
      <c r="AI38" s="53" t="s">
        <v>79</v>
      </c>
    </row>
    <row r="39" spans="1:35">
      <c r="A39" s="53" t="s">
        <v>76</v>
      </c>
      <c r="B39" s="56" t="s">
        <v>81</v>
      </c>
      <c r="C39" s="60"/>
      <c r="D39" s="60"/>
      <c r="E39" s="60"/>
      <c r="F39" s="60"/>
      <c r="G39" s="60"/>
      <c r="R39" s="56" t="s">
        <v>81</v>
      </c>
      <c r="AH39" s="53" t="s">
        <v>80</v>
      </c>
      <c r="AI39" s="56" t="s">
        <v>81</v>
      </c>
    </row>
    <row r="40" spans="1:35">
      <c r="A40" s="160">
        <v>1</v>
      </c>
      <c r="B40" s="53" t="s">
        <v>83</v>
      </c>
      <c r="C40" s="60">
        <f>C34-C36-C37-C38</f>
        <v>509.73190093180216</v>
      </c>
      <c r="D40" s="60">
        <f t="shared" ref="D40:F40" si="25">D34-D36-D37-D38</f>
        <v>29.290367802835615</v>
      </c>
      <c r="E40" s="60" t="e">
        <f t="shared" si="25"/>
        <v>#DIV/0!</v>
      </c>
      <c r="F40" s="60" t="e">
        <f t="shared" si="25"/>
        <v>#DIV/0!</v>
      </c>
      <c r="G40" s="60"/>
      <c r="R40" s="53" t="s">
        <v>83</v>
      </c>
      <c r="AH40" s="53" t="s">
        <v>23</v>
      </c>
      <c r="AI40" s="53" t="s">
        <v>83</v>
      </c>
    </row>
    <row r="41" spans="1:35">
      <c r="A41" s="160">
        <v>2</v>
      </c>
      <c r="B41" s="53" t="s">
        <v>84</v>
      </c>
      <c r="C41" s="60"/>
      <c r="D41" s="60"/>
      <c r="E41" s="60"/>
      <c r="F41" s="60"/>
      <c r="G41" s="60"/>
      <c r="R41" s="53" t="s">
        <v>84</v>
      </c>
      <c r="AH41" s="53" t="s">
        <v>25</v>
      </c>
      <c r="AI41" s="53" t="s">
        <v>84</v>
      </c>
    </row>
    <row r="42" spans="1:35">
      <c r="A42" s="53" t="s">
        <v>80</v>
      </c>
      <c r="B42" s="56" t="s">
        <v>86</v>
      </c>
      <c r="C42" s="60"/>
      <c r="D42" s="60"/>
      <c r="E42" s="60"/>
      <c r="F42" s="60"/>
      <c r="G42" s="60"/>
      <c r="R42" s="56" t="s">
        <v>86</v>
      </c>
      <c r="AH42" s="53" t="s">
        <v>85</v>
      </c>
      <c r="AI42" s="56" t="s">
        <v>86</v>
      </c>
    </row>
    <row r="43" spans="1:35">
      <c r="A43" s="160">
        <v>1</v>
      </c>
      <c r="B43" s="61" t="s">
        <v>87</v>
      </c>
      <c r="C43" s="59">
        <f>'2022年'!C43</f>
        <v>79.646017699115049</v>
      </c>
      <c r="D43" s="59">
        <f>'2022年'!D43</f>
        <v>25.884955752212392</v>
      </c>
      <c r="E43" s="59">
        <f>'2022年'!E43</f>
        <v>0</v>
      </c>
      <c r="F43" s="59">
        <f>'2022年'!F43</f>
        <v>0</v>
      </c>
      <c r="G43" s="60"/>
      <c r="R43" s="53" t="s">
        <v>87</v>
      </c>
      <c r="AH43" s="53" t="s">
        <v>23</v>
      </c>
      <c r="AI43" s="53" t="s">
        <v>87</v>
      </c>
    </row>
    <row r="44" spans="1:35">
      <c r="A44" s="160">
        <v>2</v>
      </c>
      <c r="B44" s="61" t="s">
        <v>88</v>
      </c>
      <c r="C44" s="59">
        <f>'2022年'!C44</f>
        <v>12.389380530973453</v>
      </c>
      <c r="D44" s="59">
        <f>'2022年'!D44</f>
        <v>4.0265486725663724</v>
      </c>
      <c r="E44" s="59">
        <f>'2022年'!E44</f>
        <v>0</v>
      </c>
      <c r="F44" s="59">
        <f>'2022年'!F44</f>
        <v>0</v>
      </c>
      <c r="G44" s="60"/>
      <c r="R44" s="53" t="s">
        <v>88</v>
      </c>
      <c r="AH44" s="53" t="s">
        <v>25</v>
      </c>
      <c r="AI44" s="53" t="s">
        <v>88</v>
      </c>
    </row>
    <row r="45" spans="1:35">
      <c r="A45" s="160">
        <v>3</v>
      </c>
      <c r="B45" s="61" t="s">
        <v>89</v>
      </c>
      <c r="C45" s="59">
        <f>'2022年'!C45</f>
        <v>53.097345132743364</v>
      </c>
      <c r="D45" s="59">
        <f>'2022年'!D45</f>
        <v>17.256637168141594</v>
      </c>
      <c r="E45" s="59">
        <f>'2022年'!E45</f>
        <v>0</v>
      </c>
      <c r="F45" s="59">
        <f>'2022年'!F45</f>
        <v>0</v>
      </c>
      <c r="G45" s="60"/>
      <c r="R45" s="53" t="s">
        <v>89</v>
      </c>
      <c r="AH45" s="53" t="s">
        <v>73</v>
      </c>
      <c r="AI45" s="53" t="s">
        <v>89</v>
      </c>
    </row>
    <row r="46" spans="1:35" s="48" customFormat="1">
      <c r="A46" s="160">
        <v>4</v>
      </c>
      <c r="B46" s="61" t="s">
        <v>90</v>
      </c>
      <c r="C46" s="65">
        <f>C21/C6</f>
        <v>1.2637499999999999</v>
      </c>
      <c r="D46" s="65">
        <f t="shared" ref="D46:F46" si="26">D21/D6</f>
        <v>1.2637499999999999</v>
      </c>
      <c r="E46" s="65" t="e">
        <f t="shared" si="26"/>
        <v>#DIV/0!</v>
      </c>
      <c r="F46" s="65" t="e">
        <f t="shared" si="26"/>
        <v>#DIV/0!</v>
      </c>
      <c r="G46" s="65"/>
      <c r="R46" s="61" t="s">
        <v>92</v>
      </c>
      <c r="AH46" s="61" t="s">
        <v>31</v>
      </c>
      <c r="AI46" s="61" t="s">
        <v>92</v>
      </c>
    </row>
    <row r="47" spans="1:35" s="48" customFormat="1">
      <c r="A47" s="160">
        <v>5</v>
      </c>
      <c r="B47" s="61" t="s">
        <v>92</v>
      </c>
      <c r="C47" s="65">
        <f>'2022年'!C47</f>
        <v>70.796460176991161</v>
      </c>
      <c r="D47" s="65">
        <f>'2022年'!D47</f>
        <v>23.008849557522126</v>
      </c>
      <c r="E47" s="65">
        <f>'2022年'!E47</f>
        <v>0</v>
      </c>
      <c r="F47" s="65">
        <f>'2022年'!F47</f>
        <v>0</v>
      </c>
      <c r="G47" s="65"/>
      <c r="R47" s="61" t="s">
        <v>92</v>
      </c>
      <c r="AH47" s="61" t="s">
        <v>31</v>
      </c>
      <c r="AI47" s="61" t="s">
        <v>92</v>
      </c>
    </row>
    <row r="48" spans="1:35">
      <c r="A48" s="53" t="s">
        <v>85</v>
      </c>
      <c r="B48" s="56" t="s">
        <v>103</v>
      </c>
      <c r="C48" s="60">
        <f>C40-C43-C44-C45-C47-C46</f>
        <v>292.53894739197915</v>
      </c>
      <c r="D48" s="60">
        <f t="shared" ref="D48:F48" si="27">D40-D43-D44-D45-D47-D46</f>
        <v>-42.150373347606873</v>
      </c>
      <c r="E48" s="60" t="e">
        <f t="shared" si="27"/>
        <v>#DIV/0!</v>
      </c>
      <c r="F48" s="60" t="e">
        <f t="shared" si="27"/>
        <v>#DIV/0!</v>
      </c>
      <c r="G48" s="60"/>
      <c r="R48" s="56" t="s">
        <v>103</v>
      </c>
      <c r="AH48" s="53" t="s">
        <v>102</v>
      </c>
      <c r="AI48" s="56" t="s">
        <v>103</v>
      </c>
    </row>
    <row r="51" spans="2:12">
      <c r="C51" s="66"/>
      <c r="D51" s="66"/>
      <c r="E51" s="66"/>
      <c r="F51" s="66"/>
    </row>
    <row r="54" spans="2:12">
      <c r="B54" s="67"/>
      <c r="C54" s="68"/>
      <c r="D54" s="68"/>
      <c r="E54" s="68"/>
      <c r="F54" s="68"/>
      <c r="G54" s="68"/>
      <c r="H54" s="67"/>
      <c r="I54" s="67"/>
      <c r="J54" s="67"/>
      <c r="K54" s="67"/>
      <c r="L54" s="67"/>
    </row>
    <row r="55" spans="2:12">
      <c r="B55" s="67"/>
      <c r="C55" s="68"/>
      <c r="D55" s="68"/>
      <c r="E55" s="68"/>
      <c r="F55" s="68"/>
      <c r="G55" s="68"/>
      <c r="H55" s="67"/>
      <c r="I55" s="67"/>
      <c r="J55" s="67"/>
      <c r="K55" s="67"/>
      <c r="L55" s="67"/>
    </row>
    <row r="56" spans="2:12">
      <c r="B56" s="67"/>
      <c r="C56" s="68"/>
      <c r="D56" s="68"/>
      <c r="E56" s="68"/>
      <c r="F56" s="68"/>
      <c r="G56" s="68"/>
      <c r="H56" s="67"/>
      <c r="I56" s="67"/>
      <c r="J56" s="67"/>
      <c r="K56" s="67"/>
      <c r="L56" s="67"/>
    </row>
    <row r="57" spans="2:12">
      <c r="B57" s="67"/>
      <c r="C57" s="68"/>
      <c r="D57" s="68"/>
      <c r="E57" s="68"/>
      <c r="F57" s="68"/>
      <c r="G57" s="68"/>
      <c r="H57" s="67"/>
      <c r="I57" s="67"/>
      <c r="J57" s="67"/>
      <c r="K57" s="67"/>
      <c r="L57" s="67"/>
    </row>
    <row r="58" spans="2:12">
      <c r="B58" s="67"/>
      <c r="C58" s="68"/>
      <c r="D58" s="68"/>
      <c r="E58" s="68"/>
      <c r="F58" s="68"/>
      <c r="G58" s="68"/>
      <c r="H58" s="67"/>
      <c r="I58" s="67"/>
      <c r="J58" s="67"/>
      <c r="K58" s="67"/>
      <c r="L58" s="67"/>
    </row>
    <row r="59" spans="2:12">
      <c r="B59" s="67"/>
      <c r="C59" s="68"/>
      <c r="D59" s="68"/>
      <c r="E59" s="68"/>
      <c r="F59" s="68"/>
      <c r="G59" s="68"/>
      <c r="H59" s="67"/>
      <c r="I59" s="67"/>
      <c r="J59" s="67"/>
      <c r="K59" s="67"/>
      <c r="L59" s="67"/>
    </row>
    <row r="60" spans="2:12">
      <c r="B60" s="67"/>
      <c r="C60" s="68"/>
      <c r="D60" s="68"/>
      <c r="E60" s="68"/>
      <c r="F60" s="68"/>
      <c r="G60" s="68"/>
      <c r="H60" s="67"/>
      <c r="I60" s="67"/>
      <c r="J60" s="67"/>
      <c r="K60" s="67"/>
      <c r="L60" s="67"/>
    </row>
    <row r="61" spans="2:12">
      <c r="B61" s="67"/>
      <c r="C61" s="68"/>
      <c r="D61" s="68"/>
      <c r="E61" s="68"/>
      <c r="F61" s="68"/>
      <c r="G61" s="68"/>
      <c r="H61" s="67"/>
      <c r="I61" s="67"/>
      <c r="J61" s="67"/>
      <c r="K61" s="67"/>
      <c r="L61" s="67"/>
    </row>
    <row r="62" spans="2:12">
      <c r="B62" s="67"/>
      <c r="C62" s="68"/>
      <c r="D62" s="68"/>
      <c r="E62" s="68"/>
      <c r="F62" s="68"/>
      <c r="G62" s="68"/>
      <c r="H62" s="67"/>
      <c r="I62" s="67"/>
      <c r="J62" s="67"/>
      <c r="K62" s="67"/>
      <c r="L62" s="67"/>
    </row>
    <row r="63" spans="2:12">
      <c r="B63" s="67"/>
      <c r="C63" s="68"/>
      <c r="D63" s="68"/>
      <c r="E63" s="68"/>
      <c r="F63" s="68"/>
      <c r="G63" s="68"/>
      <c r="H63" s="67"/>
      <c r="I63" s="67"/>
      <c r="J63" s="67"/>
      <c r="K63" s="67"/>
      <c r="L63" s="67"/>
    </row>
    <row r="64" spans="2:12">
      <c r="B64" s="67"/>
      <c r="C64" s="68"/>
      <c r="D64" s="68"/>
      <c r="E64" s="68"/>
      <c r="F64" s="68"/>
      <c r="G64" s="68"/>
      <c r="H64" s="67"/>
      <c r="I64" s="67"/>
      <c r="J64" s="67"/>
      <c r="K64" s="67"/>
      <c r="L64" s="67"/>
    </row>
    <row r="65" spans="2:12">
      <c r="B65" s="67"/>
      <c r="C65" s="68"/>
      <c r="D65" s="68"/>
      <c r="E65" s="68"/>
      <c r="F65" s="68"/>
      <c r="G65" s="68"/>
      <c r="H65" s="67"/>
      <c r="I65" s="67"/>
      <c r="J65" s="67"/>
      <c r="K65" s="67"/>
      <c r="L65" s="67"/>
    </row>
    <row r="66" spans="2:12">
      <c r="B66" s="67"/>
      <c r="C66" s="68"/>
      <c r="D66" s="68"/>
      <c r="E66" s="68"/>
      <c r="F66" s="68"/>
      <c r="G66" s="68"/>
      <c r="H66" s="67"/>
      <c r="I66" s="67"/>
      <c r="J66" s="67"/>
      <c r="K66" s="67"/>
      <c r="L66" s="67"/>
    </row>
    <row r="67" spans="2:12">
      <c r="B67" s="67"/>
      <c r="C67" s="68"/>
      <c r="D67" s="68"/>
      <c r="E67" s="68"/>
      <c r="F67" s="68"/>
      <c r="G67" s="68"/>
      <c r="H67" s="67"/>
    </row>
    <row r="68" spans="2:12">
      <c r="B68" s="67"/>
      <c r="C68" s="68"/>
      <c r="D68" s="68"/>
      <c r="E68" s="68"/>
      <c r="F68" s="68"/>
      <c r="G68" s="68"/>
      <c r="H68" s="67"/>
    </row>
    <row r="69" spans="2:12">
      <c r="B69" s="67"/>
      <c r="C69" s="68"/>
      <c r="D69" s="68"/>
      <c r="E69" s="68"/>
      <c r="F69" s="68"/>
      <c r="G69" s="68"/>
      <c r="H69" s="67"/>
    </row>
    <row r="70" spans="2:12">
      <c r="B70" s="67"/>
      <c r="C70" s="68"/>
      <c r="D70" s="68"/>
      <c r="E70" s="68"/>
      <c r="F70" s="68"/>
      <c r="G70" s="68"/>
      <c r="H70" s="67"/>
    </row>
    <row r="71" spans="2:12">
      <c r="B71" s="67"/>
      <c r="C71" s="68"/>
      <c r="D71" s="68"/>
      <c r="E71" s="68"/>
      <c r="F71" s="68"/>
      <c r="G71" s="68"/>
      <c r="H71" s="67"/>
    </row>
    <row r="72" spans="2:12">
      <c r="B72" s="67"/>
      <c r="C72" s="68"/>
      <c r="D72" s="68"/>
      <c r="E72" s="68"/>
      <c r="F72" s="68"/>
      <c r="G72" s="68"/>
      <c r="H72" s="67"/>
    </row>
    <row r="73" spans="2:12">
      <c r="B73" s="67"/>
      <c r="C73" s="68"/>
      <c r="D73" s="68"/>
      <c r="E73" s="68"/>
      <c r="F73" s="68"/>
      <c r="G73" s="68"/>
      <c r="H73" s="67"/>
    </row>
    <row r="74" spans="2:12">
      <c r="B74" s="67"/>
      <c r="C74" s="68"/>
      <c r="D74" s="68"/>
      <c r="E74" s="68"/>
      <c r="F74" s="68"/>
      <c r="G74" s="68"/>
      <c r="H74" s="67"/>
    </row>
  </sheetData>
  <mergeCells count="8">
    <mergeCell ref="A1:B1"/>
    <mergeCell ref="C1:G1"/>
    <mergeCell ref="A2:B2"/>
    <mergeCell ref="C2:G2"/>
    <mergeCell ref="A3:B3"/>
    <mergeCell ref="G3:G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8" activePane="bottomRight" state="frozen"/>
      <selection pane="topRight"/>
      <selection pane="bottomLeft"/>
      <selection pane="bottomRight" activeCell="H26" sqref="H26"/>
    </sheetView>
  </sheetViews>
  <sheetFormatPr defaultColWidth="9" defaultRowHeight="16.5"/>
  <cols>
    <col min="1" max="1" width="5.125" style="49" customWidth="1"/>
    <col min="2" max="2" width="17.5" style="49" customWidth="1"/>
    <col min="3" max="3" width="13.25" style="50" customWidth="1"/>
    <col min="4" max="4" width="20.25" style="50" bestFit="1" customWidth="1"/>
    <col min="5" max="6" width="13.25" style="50" customWidth="1"/>
    <col min="7" max="7" width="18.75" style="50" customWidth="1"/>
    <col min="8" max="8" width="12.375" style="49" customWidth="1"/>
    <col min="9" max="9" width="10.125" style="49" customWidth="1"/>
    <col min="10" max="16" width="9" style="49" customWidth="1"/>
    <col min="17" max="33" width="9" style="49"/>
    <col min="34" max="34" width="4.375" style="49" customWidth="1"/>
    <col min="35" max="35" width="13.875" style="49" customWidth="1"/>
    <col min="36" max="16384" width="9" style="49"/>
  </cols>
  <sheetData>
    <row r="1" spans="1:36">
      <c r="A1" s="254" t="s">
        <v>143</v>
      </c>
      <c r="B1" s="254"/>
      <c r="C1" s="258" t="s">
        <v>259</v>
      </c>
      <c r="D1" s="259"/>
      <c r="E1" s="259"/>
      <c r="F1" s="259"/>
      <c r="G1" s="260"/>
    </row>
    <row r="2" spans="1:36">
      <c r="A2" s="254" t="s">
        <v>144</v>
      </c>
      <c r="B2" s="254"/>
      <c r="C2" s="261" t="str">
        <f>'2022年'!C2:G2</f>
        <v>陕重汽</v>
      </c>
      <c r="D2" s="261"/>
      <c r="E2" s="261"/>
      <c r="F2" s="261"/>
      <c r="G2" s="261"/>
    </row>
    <row r="3" spans="1:36">
      <c r="A3" s="254" t="s">
        <v>145</v>
      </c>
      <c r="B3" s="254"/>
      <c r="C3" s="161" t="str">
        <f>销量!C5</f>
        <v>司机座椅总成</v>
      </c>
      <c r="D3" s="161" t="str">
        <f>销量!D5</f>
        <v>副司机座椅总成</v>
      </c>
      <c r="E3" s="161">
        <f>销量!E5</f>
        <v>0</v>
      </c>
      <c r="F3" s="161">
        <f>销量!F5</f>
        <v>0</v>
      </c>
      <c r="G3" s="255" t="s">
        <v>19</v>
      </c>
    </row>
    <row r="4" spans="1:36">
      <c r="A4" s="254" t="s">
        <v>146</v>
      </c>
      <c r="B4" s="254"/>
      <c r="C4" s="161" t="str">
        <f>销量!C6</f>
        <v>DZ16251510101</v>
      </c>
      <c r="D4" s="161" t="str">
        <f>销量!D6</f>
        <v>DZ16251510102</v>
      </c>
      <c r="E4" s="161">
        <f>销量!E6</f>
        <v>0</v>
      </c>
      <c r="F4" s="161">
        <f>销量!F6</f>
        <v>0</v>
      </c>
      <c r="G4" s="256"/>
    </row>
    <row r="5" spans="1:36">
      <c r="A5" s="254" t="s">
        <v>147</v>
      </c>
      <c r="B5" s="254"/>
      <c r="C5" s="52"/>
      <c r="D5" s="52"/>
      <c r="E5" s="52"/>
      <c r="F5" s="52"/>
      <c r="G5" s="257"/>
      <c r="AJ5" s="49" t="s">
        <v>20</v>
      </c>
    </row>
    <row r="6" spans="1:36" ht="17.25">
      <c r="A6" s="53" t="s">
        <v>17</v>
      </c>
      <c r="B6" s="54" t="s">
        <v>148</v>
      </c>
      <c r="C6" s="23">
        <f>销量!C11</f>
        <v>30000</v>
      </c>
      <c r="D6" s="23">
        <f>销量!D11</f>
        <v>30000</v>
      </c>
      <c r="E6" s="23">
        <f>销量!E11</f>
        <v>0</v>
      </c>
      <c r="F6" s="23">
        <f>销量!F11</f>
        <v>0</v>
      </c>
      <c r="G6" s="55">
        <f t="shared" ref="G6:G15" si="0">SUM(C6:F6)</f>
        <v>60000</v>
      </c>
      <c r="R6" s="54" t="s">
        <v>3</v>
      </c>
      <c r="AH6" s="53" t="s">
        <v>17</v>
      </c>
      <c r="AI6" s="54" t="s">
        <v>3</v>
      </c>
      <c r="AJ6" s="49" t="s">
        <v>21</v>
      </c>
    </row>
    <row r="7" spans="1:36">
      <c r="A7" s="160">
        <v>1</v>
      </c>
      <c r="B7" s="54" t="s">
        <v>22</v>
      </c>
      <c r="C7" s="55">
        <f>C6*销量!C8</f>
        <v>53097345.132743366</v>
      </c>
      <c r="D7" s="55">
        <f>D6*销量!D8</f>
        <v>17256637.168141596</v>
      </c>
      <c r="E7" s="55">
        <f>E6*销量!E8</f>
        <v>0</v>
      </c>
      <c r="F7" s="55">
        <f>F6*销量!F8</f>
        <v>0</v>
      </c>
      <c r="G7" s="55">
        <f t="shared" si="0"/>
        <v>70353982.300884962</v>
      </c>
      <c r="H7" s="50"/>
      <c r="R7" s="54" t="s">
        <v>22</v>
      </c>
      <c r="AH7" s="53" t="s">
        <v>23</v>
      </c>
      <c r="AI7" s="54" t="s">
        <v>22</v>
      </c>
      <c r="AJ7" s="49" t="s">
        <v>21</v>
      </c>
    </row>
    <row r="8" spans="1:36">
      <c r="A8" s="160">
        <v>2</v>
      </c>
      <c r="B8" s="160" t="s">
        <v>24</v>
      </c>
      <c r="C8" s="55">
        <f>C7*(1-销量!$L$8)</f>
        <v>5176991.1504424801</v>
      </c>
      <c r="D8" s="55">
        <f>D7*(1-销量!$L$8)</f>
        <v>1682522.1238938062</v>
      </c>
      <c r="E8" s="55">
        <f>E7*(1-销量!$L$8)</f>
        <v>0</v>
      </c>
      <c r="F8" s="55">
        <f>F7*(1-销量!$L$8)</f>
        <v>0</v>
      </c>
      <c r="G8" s="55">
        <f t="shared" si="0"/>
        <v>6859513.2743362859</v>
      </c>
      <c r="H8" s="69"/>
      <c r="R8" s="160" t="s">
        <v>26</v>
      </c>
      <c r="AH8" s="53" t="s">
        <v>25</v>
      </c>
      <c r="AI8" s="160" t="s">
        <v>26</v>
      </c>
      <c r="AJ8" s="49" t="s">
        <v>21</v>
      </c>
    </row>
    <row r="9" spans="1:36">
      <c r="A9" s="160">
        <v>3</v>
      </c>
      <c r="B9" s="54" t="s">
        <v>27</v>
      </c>
      <c r="C9" s="55">
        <f>+C7-C8</f>
        <v>47920353.982300885</v>
      </c>
      <c r="D9" s="55">
        <f t="shared" ref="D9:F9" si="1">+D7-D8</f>
        <v>15574115.044247789</v>
      </c>
      <c r="E9" s="55">
        <f t="shared" si="1"/>
        <v>0</v>
      </c>
      <c r="F9" s="55">
        <f t="shared" si="1"/>
        <v>0</v>
      </c>
      <c r="G9" s="55">
        <f t="shared" si="0"/>
        <v>63494469.026548676</v>
      </c>
      <c r="R9" s="54" t="s">
        <v>27</v>
      </c>
      <c r="AH9" s="53" t="s">
        <v>28</v>
      </c>
      <c r="AI9" s="54" t="s">
        <v>27</v>
      </c>
      <c r="AJ9" s="49" t="s">
        <v>29</v>
      </c>
    </row>
    <row r="10" spans="1:36">
      <c r="A10" s="160">
        <v>4</v>
      </c>
      <c r="B10" s="53" t="s">
        <v>30</v>
      </c>
      <c r="C10" s="55">
        <f>C6*材料成本!G40</f>
        <v>27778949.999999996</v>
      </c>
      <c r="D10" s="55">
        <f>D6*材料成本!G41</f>
        <v>12914774.999999998</v>
      </c>
      <c r="E10" s="55">
        <f>E6*材料成本!G42</f>
        <v>0</v>
      </c>
      <c r="F10" s="55">
        <f>F6*材料成本!G43</f>
        <v>0</v>
      </c>
      <c r="G10" s="55">
        <f t="shared" si="0"/>
        <v>40693724.999999993</v>
      </c>
      <c r="R10" s="53" t="s">
        <v>30</v>
      </c>
      <c r="AH10" s="53" t="s">
        <v>31</v>
      </c>
      <c r="AI10" s="53" t="s">
        <v>30</v>
      </c>
      <c r="AJ10" s="49" t="s">
        <v>32</v>
      </c>
    </row>
    <row r="11" spans="1:36">
      <c r="A11" s="160">
        <v>5</v>
      </c>
      <c r="B11" s="53" t="s">
        <v>33</v>
      </c>
      <c r="C11" s="55">
        <f>+C6*C36</f>
        <v>2985132.0197763904</v>
      </c>
      <c r="D11" s="55">
        <f t="shared" ref="D11:E11" si="2">+D6*D36</f>
        <v>970167.90642732685</v>
      </c>
      <c r="E11" s="55">
        <f t="shared" si="2"/>
        <v>0</v>
      </c>
      <c r="F11" s="55">
        <f t="shared" ref="F11" si="3">+F6*F36</f>
        <v>0</v>
      </c>
      <c r="G11" s="55">
        <f t="shared" si="0"/>
        <v>3955299.9262037175</v>
      </c>
      <c r="R11" s="53" t="s">
        <v>33</v>
      </c>
      <c r="AH11" s="53" t="s">
        <v>34</v>
      </c>
      <c r="AI11" s="53" t="s">
        <v>33</v>
      </c>
    </row>
    <row r="12" spans="1:36">
      <c r="A12" s="160">
        <v>6</v>
      </c>
      <c r="B12" s="53" t="s">
        <v>35</v>
      </c>
      <c r="C12" s="55">
        <f>+C6*C37</f>
        <v>800495.02306601452</v>
      </c>
      <c r="D12" s="55">
        <f t="shared" ref="D12:E12" si="4">+D6*D37</f>
        <v>260160.88249645469</v>
      </c>
      <c r="E12" s="55">
        <f t="shared" si="4"/>
        <v>0</v>
      </c>
      <c r="F12" s="55">
        <f t="shared" ref="F12" si="5">+F6*F37</f>
        <v>0</v>
      </c>
      <c r="G12" s="55">
        <f t="shared" si="0"/>
        <v>1060655.9055624693</v>
      </c>
      <c r="R12" s="53" t="s">
        <v>35</v>
      </c>
      <c r="AH12" s="53" t="s">
        <v>36</v>
      </c>
      <c r="AI12" s="53" t="s">
        <v>35</v>
      </c>
    </row>
    <row r="13" spans="1:36">
      <c r="A13" s="160">
        <v>7</v>
      </c>
      <c r="B13" s="53" t="s">
        <v>37</v>
      </c>
      <c r="C13" s="55">
        <f>+C6*C38</f>
        <v>2123893.8053097343</v>
      </c>
      <c r="D13" s="55">
        <f t="shared" ref="D13:E13" si="6">+D6*D38</f>
        <v>690265.48672566365</v>
      </c>
      <c r="E13" s="55">
        <f t="shared" si="6"/>
        <v>0</v>
      </c>
      <c r="F13" s="55">
        <f t="shared" ref="F13" si="7">+F6*F38</f>
        <v>0</v>
      </c>
      <c r="G13" s="55">
        <f t="shared" si="0"/>
        <v>2814159.2920353981</v>
      </c>
      <c r="R13" s="53" t="s">
        <v>37</v>
      </c>
      <c r="AH13" s="53" t="s">
        <v>38</v>
      </c>
      <c r="AI13" s="53" t="s">
        <v>37</v>
      </c>
      <c r="AJ13" s="49" t="s">
        <v>21</v>
      </c>
    </row>
    <row r="14" spans="1:36">
      <c r="A14" s="160">
        <v>8</v>
      </c>
      <c r="B14" s="56" t="s">
        <v>39</v>
      </c>
      <c r="C14" s="55">
        <f>SUM(C11:C13)</f>
        <v>5909520.8481521392</v>
      </c>
      <c r="D14" s="55">
        <f t="shared" ref="D14:F14" si="8">SUM(D11:D13)</f>
        <v>1920594.2756494451</v>
      </c>
      <c r="E14" s="55">
        <f t="shared" si="8"/>
        <v>0</v>
      </c>
      <c r="F14" s="55">
        <f t="shared" si="8"/>
        <v>0</v>
      </c>
      <c r="G14" s="55">
        <f t="shared" si="0"/>
        <v>7830115.1238015844</v>
      </c>
      <c r="R14" s="56" t="s">
        <v>39</v>
      </c>
      <c r="AH14" s="53" t="s">
        <v>40</v>
      </c>
      <c r="AI14" s="56" t="s">
        <v>39</v>
      </c>
    </row>
    <row r="15" spans="1:36">
      <c r="A15" s="160">
        <v>9</v>
      </c>
      <c r="B15" s="56" t="s">
        <v>41</v>
      </c>
      <c r="C15" s="55">
        <f>+C9-C10-C14</f>
        <v>14231883.13414875</v>
      </c>
      <c r="D15" s="55">
        <f t="shared" ref="D15:F15" si="9">+D9-D10-D14</f>
        <v>738745.76859834604</v>
      </c>
      <c r="E15" s="55">
        <f t="shared" si="9"/>
        <v>0</v>
      </c>
      <c r="F15" s="55">
        <f t="shared" si="9"/>
        <v>0</v>
      </c>
      <c r="G15" s="55">
        <f t="shared" si="0"/>
        <v>14970628.902747096</v>
      </c>
      <c r="R15" s="56" t="s">
        <v>41</v>
      </c>
      <c r="AH15" s="53" t="s">
        <v>42</v>
      </c>
      <c r="AI15" s="56" t="s">
        <v>41</v>
      </c>
    </row>
    <row r="16" spans="1:36">
      <c r="A16" s="160">
        <v>10</v>
      </c>
      <c r="B16" s="53" t="s">
        <v>43</v>
      </c>
      <c r="C16" s="57">
        <f>+C15/C9</f>
        <v>0.29699035903209764</v>
      </c>
      <c r="D16" s="57">
        <f t="shared" ref="D16:F16" si="10">+D15/D9</f>
        <v>4.7434205185943941E-2</v>
      </c>
      <c r="E16" s="57" t="e">
        <f t="shared" si="10"/>
        <v>#DIV/0!</v>
      </c>
      <c r="F16" s="57" t="e">
        <f t="shared" si="10"/>
        <v>#DIV/0!</v>
      </c>
      <c r="G16" s="57">
        <f t="shared" ref="G16" si="11">+G15/G9</f>
        <v>0.23577847223964485</v>
      </c>
      <c r="R16" s="53" t="s">
        <v>43</v>
      </c>
      <c r="AH16" s="53" t="s">
        <v>44</v>
      </c>
      <c r="AI16" s="53" t="s">
        <v>43</v>
      </c>
    </row>
    <row r="17" spans="1:36">
      <c r="A17" s="160">
        <v>11</v>
      </c>
      <c r="B17" s="53" t="s">
        <v>45</v>
      </c>
      <c r="C17" s="55">
        <f>C6*C43+C18</f>
        <v>2499343.0309734517</v>
      </c>
      <c r="D17" s="55">
        <f t="shared" ref="D17:F17" si="12">D6*D43+D18</f>
        <v>886511.17256637174</v>
      </c>
      <c r="E17" s="55">
        <f t="shared" si="12"/>
        <v>0</v>
      </c>
      <c r="F17" s="55">
        <f t="shared" si="12"/>
        <v>0</v>
      </c>
      <c r="G17" s="55">
        <f>SUM(C17:F17)</f>
        <v>3385854.2035398232</v>
      </c>
      <c r="H17" s="69"/>
      <c r="R17" s="53" t="s">
        <v>45</v>
      </c>
      <c r="AH17" s="53" t="s">
        <v>46</v>
      </c>
      <c r="AI17" s="53" t="s">
        <v>45</v>
      </c>
    </row>
    <row r="18" spans="1:36" s="47" customFormat="1">
      <c r="A18" s="160">
        <v>12</v>
      </c>
      <c r="B18" s="58" t="s">
        <v>149</v>
      </c>
      <c r="C18" s="59">
        <f>$G$18/$G$6*C6</f>
        <v>109962.5</v>
      </c>
      <c r="D18" s="59">
        <f>$G$18/$G$6*D6</f>
        <v>109962.5</v>
      </c>
      <c r="E18" s="59">
        <f>$G$18/$G$6*E6</f>
        <v>0</v>
      </c>
      <c r="F18" s="59">
        <f>$G$18/$G$6*F6</f>
        <v>0</v>
      </c>
      <c r="G18" s="59">
        <f>项目投资!D26</f>
        <v>219925</v>
      </c>
      <c r="H18" s="70" t="s">
        <v>150</v>
      </c>
      <c r="I18" s="70"/>
      <c r="J18" s="70"/>
    </row>
    <row r="19" spans="1:36">
      <c r="A19" s="160">
        <v>13</v>
      </c>
      <c r="B19" s="53" t="s">
        <v>47</v>
      </c>
      <c r="C19" s="55">
        <f>C6*C44</f>
        <v>371681.41592920356</v>
      </c>
      <c r="D19" s="55">
        <f t="shared" ref="D19:F19" si="13">D6*D44</f>
        <v>120796.46017699117</v>
      </c>
      <c r="E19" s="55">
        <f t="shared" si="13"/>
        <v>0</v>
      </c>
      <c r="F19" s="55">
        <f t="shared" si="13"/>
        <v>0</v>
      </c>
      <c r="G19" s="55">
        <f>SUM(C19:F19)</f>
        <v>492477.87610619474</v>
      </c>
      <c r="H19" s="47"/>
      <c r="R19" s="53" t="s">
        <v>47</v>
      </c>
      <c r="AH19" s="53" t="s">
        <v>48</v>
      </c>
      <c r="AI19" s="53" t="s">
        <v>47</v>
      </c>
      <c r="AJ19" s="49" t="s">
        <v>21</v>
      </c>
    </row>
    <row r="20" spans="1:36">
      <c r="A20" s="160">
        <v>14</v>
      </c>
      <c r="B20" s="53" t="s">
        <v>49</v>
      </c>
      <c r="C20" s="55">
        <f>C6*C45</f>
        <v>1592920.353982301</v>
      </c>
      <c r="D20" s="55">
        <f t="shared" ref="D20:F20" si="14">D6*D45</f>
        <v>517699.11504424782</v>
      </c>
      <c r="E20" s="55">
        <f t="shared" si="14"/>
        <v>0</v>
      </c>
      <c r="F20" s="55">
        <f t="shared" si="14"/>
        <v>0</v>
      </c>
      <c r="G20" s="55">
        <f>SUM(C20:F20)</f>
        <v>2110619.4690265488</v>
      </c>
      <c r="R20" s="53" t="s">
        <v>49</v>
      </c>
      <c r="AH20" s="53" t="s">
        <v>50</v>
      </c>
      <c r="AI20" s="53" t="s">
        <v>49</v>
      </c>
    </row>
    <row r="21" spans="1:36">
      <c r="A21" s="160">
        <v>15</v>
      </c>
      <c r="B21" s="53" t="s">
        <v>51</v>
      </c>
      <c r="C21" s="60">
        <f>$G$21/$G$6*C6</f>
        <v>12637.5</v>
      </c>
      <c r="D21" s="60">
        <f>$G$21/$G$6*D6</f>
        <v>12637.5</v>
      </c>
      <c r="E21" s="60">
        <f>$G$21/$G$6*E6</f>
        <v>0</v>
      </c>
      <c r="F21" s="60">
        <f>$G$21/$G$6*F6</f>
        <v>0</v>
      </c>
      <c r="G21" s="55">
        <f>项目投资!D27</f>
        <v>25275</v>
      </c>
      <c r="R21" s="53" t="s">
        <v>51</v>
      </c>
      <c r="AH21" s="53"/>
      <c r="AI21" s="53"/>
    </row>
    <row r="22" spans="1:36">
      <c r="A22" s="160">
        <v>16</v>
      </c>
      <c r="B22" s="53" t="s">
        <v>52</v>
      </c>
      <c r="C22" s="55">
        <f>C6*C47</f>
        <v>2123893.8053097348</v>
      </c>
      <c r="D22" s="55">
        <f t="shared" ref="D22:F22" si="15">D6*D47</f>
        <v>690265.48672566377</v>
      </c>
      <c r="E22" s="55">
        <f t="shared" si="15"/>
        <v>0</v>
      </c>
      <c r="F22" s="55">
        <f t="shared" si="15"/>
        <v>0</v>
      </c>
      <c r="G22" s="55">
        <f>SUM(C22:F22)</f>
        <v>2814159.2920353985</v>
      </c>
      <c r="R22" s="53" t="s">
        <v>52</v>
      </c>
      <c r="AH22" s="53" t="s">
        <v>53</v>
      </c>
      <c r="AI22" s="53" t="s">
        <v>52</v>
      </c>
    </row>
    <row r="23" spans="1:36">
      <c r="A23" s="160">
        <v>17</v>
      </c>
      <c r="B23" s="56" t="s">
        <v>54</v>
      </c>
      <c r="C23" s="60">
        <f>+C22+C21+C20+C19+C17</f>
        <v>6600476.1061946908</v>
      </c>
      <c r="D23" s="60">
        <f t="shared" ref="D23:F23" si="16">+D22+D21+D20+D19+D17</f>
        <v>2227909.7345132744</v>
      </c>
      <c r="E23" s="60">
        <f t="shared" si="16"/>
        <v>0</v>
      </c>
      <c r="F23" s="60">
        <f t="shared" si="16"/>
        <v>0</v>
      </c>
      <c r="G23" s="60">
        <f t="shared" ref="G23" si="17">+G22+G21+G20+G19+G17</f>
        <v>8828385.8407079652</v>
      </c>
      <c r="R23" s="56" t="s">
        <v>54</v>
      </c>
      <c r="AH23" s="53" t="s">
        <v>55</v>
      </c>
      <c r="AI23" s="56" t="s">
        <v>54</v>
      </c>
    </row>
    <row r="24" spans="1:36">
      <c r="A24" s="160">
        <v>18</v>
      </c>
      <c r="B24" s="61" t="s">
        <v>56</v>
      </c>
      <c r="C24" s="60">
        <f>+C15-C23</f>
        <v>7631407.0279540597</v>
      </c>
      <c r="D24" s="60">
        <f t="shared" ref="D24:F24" si="18">+D15-D23</f>
        <v>-1489163.9659149284</v>
      </c>
      <c r="E24" s="60">
        <f t="shared" si="18"/>
        <v>0</v>
      </c>
      <c r="F24" s="60">
        <f t="shared" si="18"/>
        <v>0</v>
      </c>
      <c r="G24" s="60">
        <f t="shared" ref="G24" si="19">+G15-G23</f>
        <v>6142243.0620391313</v>
      </c>
      <c r="I24" s="71"/>
      <c r="R24" s="53" t="s">
        <v>56</v>
      </c>
      <c r="AH24" s="53" t="s">
        <v>57</v>
      </c>
      <c r="AI24" s="53" t="s">
        <v>56</v>
      </c>
    </row>
    <row r="25" spans="1:36">
      <c r="A25" s="160">
        <v>19</v>
      </c>
      <c r="B25" s="53" t="s">
        <v>257</v>
      </c>
      <c r="C25" s="60">
        <f>IF(C24&lt;0,0,C24*0.15)</f>
        <v>1144711.0541931088</v>
      </c>
      <c r="D25" s="60">
        <f>IF(D24&lt;0,0,D24*0.15)</f>
        <v>0</v>
      </c>
      <c r="E25" s="60">
        <f>IF(E24&lt;0,0,E24*0.15)</f>
        <v>0</v>
      </c>
      <c r="F25" s="60">
        <f>IF(F24&lt;0,0,F24*0.15)</f>
        <v>0</v>
      </c>
      <c r="G25" s="60">
        <f>IF(G24&lt;0,0,G24*0.15)</f>
        <v>921336.45930586965</v>
      </c>
      <c r="H25" s="67"/>
      <c r="I25" s="67"/>
      <c r="J25" s="67"/>
      <c r="R25" s="53" t="s">
        <v>58</v>
      </c>
      <c r="AH25" s="53" t="s">
        <v>59</v>
      </c>
      <c r="AI25" s="53" t="s">
        <v>58</v>
      </c>
    </row>
    <row r="26" spans="1:36">
      <c r="A26" s="160">
        <v>20</v>
      </c>
      <c r="B26" s="53" t="s">
        <v>60</v>
      </c>
      <c r="C26" s="60">
        <f t="shared" ref="C26:F26" si="20">C24-C25</f>
        <v>6486695.9737609513</v>
      </c>
      <c r="D26" s="60">
        <f t="shared" si="20"/>
        <v>-1489163.9659149284</v>
      </c>
      <c r="E26" s="60">
        <f t="shared" si="20"/>
        <v>0</v>
      </c>
      <c r="F26" s="60">
        <f t="shared" si="20"/>
        <v>0</v>
      </c>
      <c r="G26" s="55">
        <f>G24-G25</f>
        <v>5220906.6027332619</v>
      </c>
      <c r="H26" s="192"/>
      <c r="I26" s="67"/>
      <c r="J26" s="67"/>
      <c r="R26" s="53" t="s">
        <v>60</v>
      </c>
      <c r="AH26" s="53" t="s">
        <v>61</v>
      </c>
      <c r="AI26" s="53" t="s">
        <v>60</v>
      </c>
    </row>
    <row r="27" spans="1:36">
      <c r="A27" s="160">
        <v>21</v>
      </c>
      <c r="B27" s="53" t="s">
        <v>64</v>
      </c>
      <c r="C27" s="130">
        <f t="shared" ref="C27:G27" si="21">C26/C7</f>
        <v>0.12216610750583125</v>
      </c>
      <c r="D27" s="130">
        <f t="shared" ref="D27:F27" si="22">D26/D7</f>
        <v>-8.62951426401984E-2</v>
      </c>
      <c r="E27" s="130" t="e">
        <f t="shared" si="22"/>
        <v>#DIV/0!</v>
      </c>
      <c r="F27" s="130" t="e">
        <f t="shared" si="22"/>
        <v>#DIV/0!</v>
      </c>
      <c r="G27" s="130">
        <f t="shared" si="21"/>
        <v>7.420911271809541E-2</v>
      </c>
      <c r="H27" s="189"/>
      <c r="I27" s="67"/>
      <c r="J27" s="67"/>
      <c r="R27" s="53" t="s">
        <v>64</v>
      </c>
      <c r="AH27" s="53" t="s">
        <v>63</v>
      </c>
      <c r="AI27" s="53" t="s">
        <v>64</v>
      </c>
    </row>
    <row r="28" spans="1:36">
      <c r="H28" s="67"/>
      <c r="I28" s="67"/>
      <c r="J28" s="67"/>
      <c r="R28" s="53"/>
    </row>
    <row r="29" spans="1:36">
      <c r="A29" s="49" t="s">
        <v>65</v>
      </c>
      <c r="G29" s="50" t="s">
        <v>151</v>
      </c>
      <c r="H29" s="67"/>
      <c r="I29" s="67"/>
      <c r="J29" s="67"/>
      <c r="R29" s="53"/>
      <c r="AH29" s="49" t="s">
        <v>65</v>
      </c>
    </row>
    <row r="30" spans="1:36">
      <c r="A30" s="53" t="s">
        <v>68</v>
      </c>
      <c r="B30" s="56" t="s">
        <v>69</v>
      </c>
      <c r="C30" s="60"/>
      <c r="D30" s="60"/>
      <c r="E30" s="60"/>
      <c r="F30" s="60"/>
      <c r="G30" s="60"/>
      <c r="H30" s="67"/>
      <c r="I30" s="67"/>
      <c r="J30" s="67"/>
      <c r="L30" s="67"/>
      <c r="R30" s="56" t="s">
        <v>69</v>
      </c>
      <c r="AH30" s="53" t="s">
        <v>70</v>
      </c>
      <c r="AI30" s="56" t="s">
        <v>69</v>
      </c>
    </row>
    <row r="31" spans="1:36">
      <c r="A31" s="160">
        <v>1</v>
      </c>
      <c r="B31" s="58" t="s">
        <v>71</v>
      </c>
      <c r="C31" s="63">
        <f>销量!C8</f>
        <v>1769.911504424779</v>
      </c>
      <c r="D31" s="63">
        <f>销量!D8</f>
        <v>575.22123893805315</v>
      </c>
      <c r="E31" s="63">
        <f>销量!E8</f>
        <v>0</v>
      </c>
      <c r="F31" s="63">
        <f>销量!F8</f>
        <v>0</v>
      </c>
      <c r="G31" s="60"/>
      <c r="H31" s="67"/>
      <c r="I31" s="67"/>
      <c r="J31" s="67"/>
      <c r="L31" s="67"/>
      <c r="R31" s="53" t="s">
        <v>71</v>
      </c>
      <c r="AH31" s="53" t="s">
        <v>23</v>
      </c>
      <c r="AI31" s="53" t="s">
        <v>71</v>
      </c>
    </row>
    <row r="32" spans="1:36">
      <c r="A32" s="160">
        <v>2</v>
      </c>
      <c r="B32" s="53" t="s">
        <v>152</v>
      </c>
      <c r="C32" s="55">
        <f>C9/C6</f>
        <v>1597.3451327433629</v>
      </c>
      <c r="D32" s="55">
        <f t="shared" ref="D32:E32" si="23">D9/D6</f>
        <v>519.13716814159295</v>
      </c>
      <c r="E32" s="55" t="e">
        <f t="shared" si="23"/>
        <v>#DIV/0!</v>
      </c>
      <c r="F32" s="55" t="e">
        <f t="shared" ref="F32" si="24">F9/F6</f>
        <v>#DIV/0!</v>
      </c>
      <c r="G32" s="60"/>
      <c r="H32" s="67"/>
      <c r="I32" s="67"/>
      <c r="J32" s="67"/>
      <c r="K32" s="67"/>
      <c r="L32" s="67"/>
      <c r="M32" s="67"/>
      <c r="N32" s="67"/>
      <c r="AH32" s="53"/>
      <c r="AI32" s="53"/>
    </row>
    <row r="33" spans="1:35">
      <c r="A33" s="160">
        <v>3</v>
      </c>
      <c r="B33" s="58" t="s">
        <v>72</v>
      </c>
      <c r="C33" s="55">
        <f>材料成本!G40</f>
        <v>925.96499999999992</v>
      </c>
      <c r="D33" s="55">
        <f>材料成本!G41</f>
        <v>430.49249999999995</v>
      </c>
      <c r="E33" s="55">
        <f>材料成本!G42</f>
        <v>0</v>
      </c>
      <c r="F33" s="55">
        <f>材料成本!G43</f>
        <v>0</v>
      </c>
      <c r="G33" s="60"/>
      <c r="I33" s="67"/>
      <c r="J33" s="67"/>
      <c r="K33" s="67"/>
      <c r="L33" s="67"/>
      <c r="M33" s="67"/>
      <c r="N33" s="67"/>
      <c r="R33" s="53" t="s">
        <v>72</v>
      </c>
      <c r="AH33" s="53" t="s">
        <v>25</v>
      </c>
      <c r="AI33" s="53" t="s">
        <v>72</v>
      </c>
    </row>
    <row r="34" spans="1:35" ht="17.25" customHeight="1">
      <c r="A34" s="160">
        <v>4</v>
      </c>
      <c r="B34" s="53" t="s">
        <v>74</v>
      </c>
      <c r="C34" s="64">
        <f>C32-C33</f>
        <v>671.38013274336299</v>
      </c>
      <c r="D34" s="64">
        <f t="shared" ref="D34:E34" si="25">D32-D33</f>
        <v>88.644668141593002</v>
      </c>
      <c r="E34" s="64" t="e">
        <f t="shared" si="25"/>
        <v>#DIV/0!</v>
      </c>
      <c r="F34" s="64" t="e">
        <f t="shared" ref="F34" si="26">F32-F33</f>
        <v>#DIV/0!</v>
      </c>
      <c r="G34" s="60"/>
      <c r="I34" s="67"/>
      <c r="J34" s="67"/>
      <c r="K34" s="67"/>
      <c r="L34" s="67"/>
      <c r="M34" s="67"/>
      <c r="N34" s="67"/>
      <c r="R34" s="53" t="s">
        <v>74</v>
      </c>
      <c r="AH34" s="53" t="s">
        <v>73</v>
      </c>
      <c r="AI34" s="53" t="s">
        <v>74</v>
      </c>
    </row>
    <row r="35" spans="1:35">
      <c r="A35" s="53" t="s">
        <v>70</v>
      </c>
      <c r="B35" s="56" t="s">
        <v>9</v>
      </c>
      <c r="C35" s="60"/>
      <c r="D35" s="60"/>
      <c r="E35" s="60"/>
      <c r="F35" s="60"/>
      <c r="G35" s="60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56" t="s">
        <v>9</v>
      </c>
      <c r="AH35" s="53" t="s">
        <v>76</v>
      </c>
      <c r="AI35" s="56" t="s">
        <v>9</v>
      </c>
    </row>
    <row r="36" spans="1:35">
      <c r="A36" s="160">
        <v>1</v>
      </c>
      <c r="B36" s="53" t="s">
        <v>77</v>
      </c>
      <c r="C36" s="59">
        <f>'2022年'!C36</f>
        <v>99.504400659213019</v>
      </c>
      <c r="D36" s="59">
        <f>'2022年'!D36</f>
        <v>32.338930214244229</v>
      </c>
      <c r="E36" s="59">
        <f>'2022年'!E36</f>
        <v>0</v>
      </c>
      <c r="F36" s="59">
        <f>'2022年'!F36</f>
        <v>0</v>
      </c>
      <c r="G36" s="63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53" t="s">
        <v>77</v>
      </c>
      <c r="AH36" s="53" t="s">
        <v>73</v>
      </c>
      <c r="AI36" s="53" t="s">
        <v>77</v>
      </c>
    </row>
    <row r="37" spans="1:35">
      <c r="A37" s="160">
        <v>2</v>
      </c>
      <c r="B37" s="53" t="s">
        <v>78</v>
      </c>
      <c r="C37" s="59">
        <f>'2022年'!C37</f>
        <v>26.683167435533818</v>
      </c>
      <c r="D37" s="59">
        <f>'2022年'!D37</f>
        <v>8.6720294165484901</v>
      </c>
      <c r="E37" s="59">
        <f>'2022年'!E37</f>
        <v>0</v>
      </c>
      <c r="F37" s="59">
        <f>'2022年'!F37</f>
        <v>0</v>
      </c>
      <c r="G37" s="63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53" t="s">
        <v>78</v>
      </c>
      <c r="AH37" s="53" t="s">
        <v>28</v>
      </c>
      <c r="AI37" s="53" t="s">
        <v>78</v>
      </c>
    </row>
    <row r="38" spans="1:35">
      <c r="A38" s="160">
        <v>3</v>
      </c>
      <c r="B38" s="53" t="s">
        <v>79</v>
      </c>
      <c r="C38" s="59">
        <f>'2022年'!C38</f>
        <v>70.796460176991147</v>
      </c>
      <c r="D38" s="59">
        <f>'2022年'!D38</f>
        <v>23.008849557522122</v>
      </c>
      <c r="E38" s="59">
        <f>'2022年'!E38</f>
        <v>0</v>
      </c>
      <c r="F38" s="59">
        <f>'2022年'!F38</f>
        <v>0</v>
      </c>
      <c r="G38" s="63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53" t="s">
        <v>79</v>
      </c>
      <c r="AH38" s="53" t="s">
        <v>34</v>
      </c>
      <c r="AI38" s="53" t="s">
        <v>79</v>
      </c>
    </row>
    <row r="39" spans="1:35">
      <c r="A39" s="53" t="s">
        <v>76</v>
      </c>
      <c r="B39" s="56" t="s">
        <v>81</v>
      </c>
      <c r="C39" s="60"/>
      <c r="D39" s="60"/>
      <c r="E39" s="60"/>
      <c r="F39" s="60"/>
      <c r="G39" s="60"/>
      <c r="R39" s="56" t="s">
        <v>81</v>
      </c>
      <c r="AH39" s="53" t="s">
        <v>80</v>
      </c>
      <c r="AI39" s="56" t="s">
        <v>81</v>
      </c>
    </row>
    <row r="40" spans="1:35">
      <c r="A40" s="160">
        <v>1</v>
      </c>
      <c r="B40" s="53" t="s">
        <v>83</v>
      </c>
      <c r="C40" s="60">
        <f>C34-C36-C37-C38</f>
        <v>474.39610447162494</v>
      </c>
      <c r="D40" s="60">
        <f t="shared" ref="D40:F40" si="27">D34-D36-D37-D38</f>
        <v>24.62485895327816</v>
      </c>
      <c r="E40" s="60" t="e">
        <f t="shared" si="27"/>
        <v>#DIV/0!</v>
      </c>
      <c r="F40" s="60" t="e">
        <f t="shared" si="27"/>
        <v>#DIV/0!</v>
      </c>
      <c r="G40" s="60"/>
      <c r="R40" s="53" t="s">
        <v>83</v>
      </c>
      <c r="AH40" s="53" t="s">
        <v>23</v>
      </c>
      <c r="AI40" s="53" t="s">
        <v>83</v>
      </c>
    </row>
    <row r="41" spans="1:35">
      <c r="A41" s="160">
        <v>2</v>
      </c>
      <c r="B41" s="53" t="s">
        <v>84</v>
      </c>
      <c r="C41" s="60"/>
      <c r="D41" s="60"/>
      <c r="E41" s="60"/>
      <c r="F41" s="60"/>
      <c r="G41" s="60"/>
      <c r="R41" s="53" t="s">
        <v>84</v>
      </c>
      <c r="AH41" s="53" t="s">
        <v>25</v>
      </c>
      <c r="AI41" s="53" t="s">
        <v>84</v>
      </c>
    </row>
    <row r="42" spans="1:35">
      <c r="A42" s="53" t="s">
        <v>80</v>
      </c>
      <c r="B42" s="56" t="s">
        <v>86</v>
      </c>
      <c r="C42" s="60"/>
      <c r="D42" s="60"/>
      <c r="E42" s="60"/>
      <c r="F42" s="60"/>
      <c r="G42" s="60"/>
      <c r="R42" s="56" t="s">
        <v>86</v>
      </c>
      <c r="AH42" s="53" t="s">
        <v>85</v>
      </c>
      <c r="AI42" s="56" t="s">
        <v>86</v>
      </c>
    </row>
    <row r="43" spans="1:35">
      <c r="A43" s="160">
        <v>1</v>
      </c>
      <c r="B43" s="61" t="s">
        <v>87</v>
      </c>
      <c r="C43" s="59">
        <f>'2022年'!C43</f>
        <v>79.646017699115049</v>
      </c>
      <c r="D43" s="59">
        <f>'2022年'!D43</f>
        <v>25.884955752212392</v>
      </c>
      <c r="E43" s="59">
        <f>'2022年'!E43</f>
        <v>0</v>
      </c>
      <c r="F43" s="59">
        <f>'2022年'!F43</f>
        <v>0</v>
      </c>
      <c r="G43" s="60"/>
      <c r="R43" s="53" t="s">
        <v>87</v>
      </c>
      <c r="AH43" s="53" t="s">
        <v>23</v>
      </c>
      <c r="AI43" s="53" t="s">
        <v>87</v>
      </c>
    </row>
    <row r="44" spans="1:35">
      <c r="A44" s="160">
        <v>2</v>
      </c>
      <c r="B44" s="61" t="s">
        <v>88</v>
      </c>
      <c r="C44" s="59">
        <f>'2022年'!C44</f>
        <v>12.389380530973453</v>
      </c>
      <c r="D44" s="59">
        <f>'2022年'!D44</f>
        <v>4.0265486725663724</v>
      </c>
      <c r="E44" s="59">
        <f>'2022年'!E44</f>
        <v>0</v>
      </c>
      <c r="F44" s="59">
        <f>'2022年'!F44</f>
        <v>0</v>
      </c>
      <c r="G44" s="60"/>
      <c r="R44" s="53" t="s">
        <v>88</v>
      </c>
      <c r="AH44" s="53" t="s">
        <v>25</v>
      </c>
      <c r="AI44" s="53" t="s">
        <v>88</v>
      </c>
    </row>
    <row r="45" spans="1:35">
      <c r="A45" s="160">
        <v>3</v>
      </c>
      <c r="B45" s="61" t="s">
        <v>89</v>
      </c>
      <c r="C45" s="59">
        <f>'2022年'!C45</f>
        <v>53.097345132743364</v>
      </c>
      <c r="D45" s="59">
        <f>'2022年'!D45</f>
        <v>17.256637168141594</v>
      </c>
      <c r="E45" s="59">
        <f>'2022年'!E45</f>
        <v>0</v>
      </c>
      <c r="F45" s="59">
        <f>'2022年'!F45</f>
        <v>0</v>
      </c>
      <c r="G45" s="60"/>
      <c r="R45" s="53" t="s">
        <v>89</v>
      </c>
      <c r="AH45" s="53" t="s">
        <v>73</v>
      </c>
      <c r="AI45" s="53" t="s">
        <v>89</v>
      </c>
    </row>
    <row r="46" spans="1:35" s="48" customFormat="1">
      <c r="A46" s="160">
        <v>4</v>
      </c>
      <c r="B46" s="61" t="s">
        <v>90</v>
      </c>
      <c r="C46" s="65">
        <f>C21/C6</f>
        <v>0.42125000000000001</v>
      </c>
      <c r="D46" s="65">
        <f t="shared" ref="D46:F46" si="28">D21/D6</f>
        <v>0.42125000000000001</v>
      </c>
      <c r="E46" s="65" t="e">
        <f t="shared" si="28"/>
        <v>#DIV/0!</v>
      </c>
      <c r="F46" s="65" t="e">
        <f t="shared" si="28"/>
        <v>#DIV/0!</v>
      </c>
      <c r="G46" s="65"/>
      <c r="R46" s="61" t="s">
        <v>92</v>
      </c>
      <c r="AH46" s="61" t="s">
        <v>31</v>
      </c>
      <c r="AI46" s="61" t="s">
        <v>92</v>
      </c>
    </row>
    <row r="47" spans="1:35" s="48" customFormat="1">
      <c r="A47" s="160">
        <v>5</v>
      </c>
      <c r="B47" s="61" t="s">
        <v>92</v>
      </c>
      <c r="C47" s="65">
        <f>'2022年'!C47</f>
        <v>70.796460176991161</v>
      </c>
      <c r="D47" s="65">
        <f>'2022年'!D47</f>
        <v>23.008849557522126</v>
      </c>
      <c r="E47" s="65">
        <f>'2022年'!E47</f>
        <v>0</v>
      </c>
      <c r="F47" s="65">
        <f>'2022年'!F47</f>
        <v>0</v>
      </c>
      <c r="G47" s="65"/>
      <c r="R47" s="61" t="s">
        <v>92</v>
      </c>
      <c r="AH47" s="61" t="s">
        <v>31</v>
      </c>
      <c r="AI47" s="61" t="s">
        <v>92</v>
      </c>
    </row>
    <row r="48" spans="1:35">
      <c r="A48" s="53" t="s">
        <v>85</v>
      </c>
      <c r="B48" s="56" t="s">
        <v>103</v>
      </c>
      <c r="C48" s="60">
        <f>C40-C43-C44-C45-C47-C46</f>
        <v>258.04565093180196</v>
      </c>
      <c r="D48" s="60">
        <f t="shared" ref="D48:F48" si="29">D40-D43-D44-D45-D47-D46</f>
        <v>-45.973382197164327</v>
      </c>
      <c r="E48" s="60" t="e">
        <f t="shared" si="29"/>
        <v>#DIV/0!</v>
      </c>
      <c r="F48" s="60" t="e">
        <f t="shared" si="29"/>
        <v>#DIV/0!</v>
      </c>
      <c r="G48" s="60"/>
      <c r="R48" s="56" t="s">
        <v>103</v>
      </c>
      <c r="AH48" s="53" t="s">
        <v>102</v>
      </c>
      <c r="AI48" s="56" t="s">
        <v>103</v>
      </c>
    </row>
    <row r="51" spans="2:12">
      <c r="C51" s="66"/>
      <c r="D51" s="66"/>
      <c r="E51" s="66"/>
      <c r="F51" s="66"/>
    </row>
    <row r="54" spans="2:12">
      <c r="B54" s="67"/>
      <c r="C54" s="68"/>
      <c r="D54" s="68"/>
      <c r="E54" s="68"/>
      <c r="F54" s="68"/>
      <c r="G54" s="68"/>
      <c r="H54" s="67"/>
      <c r="I54" s="67"/>
      <c r="J54" s="67"/>
      <c r="K54" s="67"/>
      <c r="L54" s="67"/>
    </row>
    <row r="55" spans="2:12">
      <c r="B55" s="67"/>
      <c r="C55" s="68"/>
      <c r="D55" s="68"/>
      <c r="E55" s="68"/>
      <c r="F55" s="68"/>
      <c r="G55" s="68"/>
      <c r="H55" s="67"/>
      <c r="I55" s="67"/>
      <c r="J55" s="67"/>
      <c r="K55" s="67"/>
      <c r="L55" s="67"/>
    </row>
    <row r="56" spans="2:12">
      <c r="B56" s="67"/>
      <c r="C56" s="68"/>
      <c r="D56" s="68"/>
      <c r="E56" s="68"/>
      <c r="F56" s="68"/>
      <c r="G56" s="68"/>
      <c r="H56" s="67"/>
      <c r="I56" s="67"/>
      <c r="J56" s="67"/>
      <c r="K56" s="67"/>
      <c r="L56" s="67"/>
    </row>
    <row r="57" spans="2:12">
      <c r="B57" s="67"/>
      <c r="C57" s="68"/>
      <c r="D57" s="68"/>
      <c r="E57" s="68"/>
      <c r="F57" s="68"/>
      <c r="G57" s="68"/>
      <c r="H57" s="67"/>
      <c r="I57" s="67"/>
      <c r="J57" s="67"/>
      <c r="K57" s="67"/>
      <c r="L57" s="67"/>
    </row>
    <row r="58" spans="2:12">
      <c r="B58" s="67"/>
      <c r="C58" s="68"/>
      <c r="D58" s="68"/>
      <c r="E58" s="68"/>
      <c r="F58" s="68"/>
      <c r="G58" s="68"/>
      <c r="H58" s="67"/>
      <c r="I58" s="67"/>
      <c r="J58" s="67"/>
      <c r="K58" s="67"/>
      <c r="L58" s="67"/>
    </row>
    <row r="59" spans="2:12">
      <c r="B59" s="67"/>
      <c r="C59" s="68"/>
      <c r="D59" s="68"/>
      <c r="E59" s="68"/>
      <c r="F59" s="68"/>
      <c r="G59" s="68"/>
      <c r="H59" s="67"/>
      <c r="I59" s="67"/>
      <c r="J59" s="67"/>
      <c r="K59" s="67"/>
      <c r="L59" s="67"/>
    </row>
    <row r="60" spans="2:12">
      <c r="B60" s="67"/>
      <c r="C60" s="68"/>
      <c r="D60" s="68"/>
      <c r="E60" s="68"/>
      <c r="F60" s="68"/>
      <c r="G60" s="68"/>
      <c r="H60" s="67"/>
      <c r="I60" s="67"/>
      <c r="J60" s="67"/>
      <c r="K60" s="67"/>
      <c r="L60" s="67"/>
    </row>
    <row r="61" spans="2:12">
      <c r="B61" s="67"/>
      <c r="C61" s="68"/>
      <c r="D61" s="68"/>
      <c r="E61" s="68"/>
      <c r="F61" s="68"/>
      <c r="G61" s="68"/>
      <c r="H61" s="67"/>
      <c r="I61" s="67"/>
      <c r="J61" s="67"/>
      <c r="K61" s="67"/>
      <c r="L61" s="67"/>
    </row>
    <row r="62" spans="2:12">
      <c r="B62" s="67"/>
      <c r="C62" s="68"/>
      <c r="D62" s="68"/>
      <c r="E62" s="68"/>
      <c r="F62" s="68"/>
      <c r="G62" s="68"/>
      <c r="H62" s="67"/>
      <c r="I62" s="67"/>
      <c r="J62" s="67"/>
      <c r="K62" s="67"/>
      <c r="L62" s="67"/>
    </row>
    <row r="63" spans="2:12">
      <c r="B63" s="67"/>
      <c r="C63" s="68"/>
      <c r="D63" s="68"/>
      <c r="E63" s="68"/>
      <c r="F63" s="68"/>
      <c r="G63" s="68"/>
      <c r="H63" s="67"/>
      <c r="I63" s="67"/>
      <c r="J63" s="67"/>
      <c r="K63" s="67"/>
      <c r="L63" s="67"/>
    </row>
    <row r="64" spans="2:12">
      <c r="B64" s="67"/>
      <c r="C64" s="68"/>
      <c r="D64" s="68"/>
      <c r="E64" s="68"/>
      <c r="F64" s="68"/>
      <c r="G64" s="68"/>
      <c r="H64" s="67"/>
      <c r="I64" s="67"/>
      <c r="J64" s="67"/>
      <c r="K64" s="67"/>
      <c r="L64" s="67"/>
    </row>
    <row r="65" spans="2:12">
      <c r="B65" s="67"/>
      <c r="C65" s="68"/>
      <c r="D65" s="68"/>
      <c r="E65" s="68"/>
      <c r="F65" s="68"/>
      <c r="G65" s="68"/>
      <c r="H65" s="67"/>
      <c r="I65" s="67"/>
      <c r="J65" s="67"/>
      <c r="K65" s="67"/>
      <c r="L65" s="67"/>
    </row>
    <row r="66" spans="2:12">
      <c r="B66" s="67"/>
      <c r="C66" s="68"/>
      <c r="D66" s="68"/>
      <c r="E66" s="68"/>
      <c r="F66" s="68"/>
      <c r="G66" s="68"/>
      <c r="H66" s="67"/>
      <c r="I66" s="67"/>
      <c r="J66" s="67"/>
      <c r="K66" s="67"/>
      <c r="L66" s="67"/>
    </row>
    <row r="67" spans="2:12">
      <c r="B67" s="67"/>
      <c r="C67" s="68"/>
      <c r="D67" s="68"/>
      <c r="E67" s="68"/>
      <c r="F67" s="68"/>
      <c r="G67" s="68"/>
      <c r="H67" s="67"/>
    </row>
    <row r="68" spans="2:12">
      <c r="B68" s="67"/>
      <c r="C68" s="68"/>
      <c r="D68" s="68"/>
      <c r="E68" s="68"/>
      <c r="F68" s="68"/>
      <c r="G68" s="68"/>
      <c r="H68" s="67"/>
    </row>
    <row r="69" spans="2:12">
      <c r="B69" s="67"/>
      <c r="C69" s="68"/>
      <c r="D69" s="68"/>
      <c r="E69" s="68"/>
      <c r="F69" s="68"/>
      <c r="G69" s="68"/>
      <c r="H69" s="67"/>
    </row>
    <row r="70" spans="2:12">
      <c r="B70" s="67"/>
      <c r="C70" s="68"/>
      <c r="D70" s="68"/>
      <c r="E70" s="68"/>
      <c r="F70" s="68"/>
      <c r="G70" s="68"/>
      <c r="H70" s="67"/>
    </row>
    <row r="71" spans="2:12">
      <c r="B71" s="67"/>
      <c r="C71" s="68"/>
      <c r="D71" s="68"/>
      <c r="E71" s="68"/>
      <c r="F71" s="68"/>
      <c r="G71" s="68"/>
      <c r="H71" s="67"/>
    </row>
    <row r="72" spans="2:12">
      <c r="B72" s="67"/>
      <c r="C72" s="68"/>
      <c r="D72" s="68"/>
      <c r="E72" s="68"/>
      <c r="F72" s="68"/>
      <c r="G72" s="68"/>
      <c r="H72" s="67"/>
    </row>
    <row r="73" spans="2:12">
      <c r="B73" s="67"/>
      <c r="C73" s="68"/>
      <c r="D73" s="68"/>
      <c r="E73" s="68"/>
      <c r="F73" s="68"/>
      <c r="G73" s="68"/>
      <c r="H73" s="67"/>
    </row>
    <row r="74" spans="2:12">
      <c r="B74" s="67"/>
      <c r="C74" s="68"/>
      <c r="D74" s="68"/>
      <c r="E74" s="68"/>
      <c r="F74" s="68"/>
      <c r="G74" s="68"/>
      <c r="H74" s="67"/>
    </row>
  </sheetData>
  <mergeCells count="8">
    <mergeCell ref="A1:B1"/>
    <mergeCell ref="C1:G1"/>
    <mergeCell ref="A2:B2"/>
    <mergeCell ref="C2:G2"/>
    <mergeCell ref="A3:B3"/>
    <mergeCell ref="G3:G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8" activePane="bottomRight" state="frozen"/>
      <selection pane="topRight"/>
      <selection pane="bottomLeft"/>
      <selection pane="bottomRight" activeCell="H25" sqref="H25"/>
    </sheetView>
  </sheetViews>
  <sheetFormatPr defaultColWidth="9" defaultRowHeight="16.5"/>
  <cols>
    <col min="1" max="1" width="5.125" style="49" customWidth="1"/>
    <col min="2" max="2" width="17.5" style="49" customWidth="1"/>
    <col min="3" max="3" width="15.125" style="50" bestFit="1" customWidth="1"/>
    <col min="4" max="4" width="20.25" style="50" bestFit="1" customWidth="1"/>
    <col min="5" max="6" width="13.25" style="50" customWidth="1"/>
    <col min="7" max="7" width="18.75" style="50" customWidth="1"/>
    <col min="8" max="8" width="12.375" style="49" customWidth="1"/>
    <col min="9" max="9" width="10.125" style="49" customWidth="1"/>
    <col min="10" max="16" width="9" style="49" customWidth="1"/>
    <col min="17" max="33" width="9" style="49"/>
    <col min="34" max="34" width="4.375" style="49" customWidth="1"/>
    <col min="35" max="35" width="13.875" style="49" customWidth="1"/>
    <col min="36" max="16384" width="9" style="49"/>
  </cols>
  <sheetData>
    <row r="1" spans="1:36">
      <c r="A1" s="254" t="s">
        <v>143</v>
      </c>
      <c r="B1" s="254"/>
      <c r="C1" s="258" t="s">
        <v>259</v>
      </c>
      <c r="D1" s="259"/>
      <c r="E1" s="259"/>
      <c r="F1" s="259"/>
      <c r="G1" s="260"/>
    </row>
    <row r="2" spans="1:36">
      <c r="A2" s="254" t="s">
        <v>144</v>
      </c>
      <c r="B2" s="254"/>
      <c r="C2" s="261" t="str">
        <f>'2022年'!C2:G2</f>
        <v>陕重汽</v>
      </c>
      <c r="D2" s="261"/>
      <c r="E2" s="261"/>
      <c r="F2" s="261"/>
      <c r="G2" s="261"/>
    </row>
    <row r="3" spans="1:36">
      <c r="A3" s="254" t="s">
        <v>145</v>
      </c>
      <c r="B3" s="254"/>
      <c r="C3" s="161" t="str">
        <f>销量!C5</f>
        <v>司机座椅总成</v>
      </c>
      <c r="D3" s="161" t="str">
        <f>销量!D5</f>
        <v>副司机座椅总成</v>
      </c>
      <c r="E3" s="161">
        <f>销量!E5</f>
        <v>0</v>
      </c>
      <c r="F3" s="161">
        <f>销量!F5</f>
        <v>0</v>
      </c>
      <c r="G3" s="255" t="s">
        <v>19</v>
      </c>
    </row>
    <row r="4" spans="1:36">
      <c r="A4" s="254" t="s">
        <v>146</v>
      </c>
      <c r="B4" s="254"/>
      <c r="C4" s="161" t="str">
        <f>销量!C6</f>
        <v>DZ16251510101</v>
      </c>
      <c r="D4" s="161" t="str">
        <f>销量!D6</f>
        <v>DZ16251510102</v>
      </c>
      <c r="E4" s="161">
        <f>销量!E6</f>
        <v>0</v>
      </c>
      <c r="F4" s="161">
        <f>销量!F6</f>
        <v>0</v>
      </c>
      <c r="G4" s="256"/>
    </row>
    <row r="5" spans="1:36">
      <c r="A5" s="254" t="s">
        <v>147</v>
      </c>
      <c r="B5" s="254"/>
      <c r="C5" s="52"/>
      <c r="D5" s="52"/>
      <c r="E5" s="52"/>
      <c r="F5" s="52"/>
      <c r="G5" s="257"/>
      <c r="AJ5" s="49" t="s">
        <v>20</v>
      </c>
    </row>
    <row r="6" spans="1:36" ht="17.25">
      <c r="A6" s="53" t="s">
        <v>17</v>
      </c>
      <c r="B6" s="54" t="s">
        <v>148</v>
      </c>
      <c r="C6" s="23">
        <f>销量!C12</f>
        <v>50000</v>
      </c>
      <c r="D6" s="23">
        <f>销量!D12</f>
        <v>50000</v>
      </c>
      <c r="E6" s="23">
        <f>销量!E11</f>
        <v>0</v>
      </c>
      <c r="F6" s="23">
        <f>销量!F11</f>
        <v>0</v>
      </c>
      <c r="G6" s="55">
        <f t="shared" ref="G6:G15" si="0">SUM(C6:F6)</f>
        <v>100000</v>
      </c>
      <c r="R6" s="54" t="s">
        <v>3</v>
      </c>
      <c r="AH6" s="53" t="s">
        <v>17</v>
      </c>
      <c r="AI6" s="54" t="s">
        <v>3</v>
      </c>
      <c r="AJ6" s="49" t="s">
        <v>21</v>
      </c>
    </row>
    <row r="7" spans="1:36">
      <c r="A7" s="207">
        <v>1</v>
      </c>
      <c r="B7" s="54" t="s">
        <v>22</v>
      </c>
      <c r="C7" s="55">
        <f>C6*销量!C8</f>
        <v>88495575.221238956</v>
      </c>
      <c r="D7" s="55">
        <f>D6*销量!D8</f>
        <v>28761061.946902659</v>
      </c>
      <c r="E7" s="55">
        <f>E6*销量!E8</f>
        <v>0</v>
      </c>
      <c r="F7" s="55">
        <f>F6*销量!F8</f>
        <v>0</v>
      </c>
      <c r="G7" s="55">
        <f t="shared" si="0"/>
        <v>117256637.16814162</v>
      </c>
      <c r="H7" s="50"/>
      <c r="R7" s="54" t="s">
        <v>22</v>
      </c>
      <c r="AH7" s="53" t="s">
        <v>23</v>
      </c>
      <c r="AI7" s="54" t="s">
        <v>22</v>
      </c>
      <c r="AJ7" s="49" t="s">
        <v>21</v>
      </c>
    </row>
    <row r="8" spans="1:36">
      <c r="A8" s="207">
        <v>2</v>
      </c>
      <c r="B8" s="207" t="s">
        <v>24</v>
      </c>
      <c r="C8" s="55">
        <f>C7*(1-销量!$L$9)</f>
        <v>12621681.415929206</v>
      </c>
      <c r="D8" s="55">
        <f>D7*(1-销量!$L$9)</f>
        <v>4102046.4601769918</v>
      </c>
      <c r="E8" s="55">
        <f>E7*(1-销量!$L$9)</f>
        <v>0</v>
      </c>
      <c r="F8" s="55">
        <f>F7*(1-销量!$L$9)</f>
        <v>0</v>
      </c>
      <c r="G8" s="55">
        <f t="shared" si="0"/>
        <v>16723727.876106197</v>
      </c>
      <c r="H8" s="69"/>
      <c r="R8" s="207" t="s">
        <v>26</v>
      </c>
      <c r="AH8" s="53" t="s">
        <v>25</v>
      </c>
      <c r="AI8" s="207" t="s">
        <v>26</v>
      </c>
      <c r="AJ8" s="49" t="s">
        <v>21</v>
      </c>
    </row>
    <row r="9" spans="1:36">
      <c r="A9" s="207">
        <v>3</v>
      </c>
      <c r="B9" s="54" t="s">
        <v>27</v>
      </c>
      <c r="C9" s="55">
        <f>+C7-C8</f>
        <v>75873893.805309743</v>
      </c>
      <c r="D9" s="55">
        <f t="shared" ref="D9:F9" si="1">+D7-D8</f>
        <v>24659015.486725666</v>
      </c>
      <c r="E9" s="55">
        <f t="shared" si="1"/>
        <v>0</v>
      </c>
      <c r="F9" s="55">
        <f t="shared" si="1"/>
        <v>0</v>
      </c>
      <c r="G9" s="55">
        <f t="shared" si="0"/>
        <v>100532909.2920354</v>
      </c>
      <c r="R9" s="54" t="s">
        <v>27</v>
      </c>
      <c r="AH9" s="53" t="s">
        <v>28</v>
      </c>
      <c r="AI9" s="54" t="s">
        <v>27</v>
      </c>
      <c r="AJ9" s="49" t="s">
        <v>29</v>
      </c>
    </row>
    <row r="10" spans="1:36">
      <c r="A10" s="207">
        <v>4</v>
      </c>
      <c r="B10" s="53" t="s">
        <v>30</v>
      </c>
      <c r="C10" s="55">
        <f>C6*材料成本!H40</f>
        <v>43983337.499999993</v>
      </c>
      <c r="D10" s="55">
        <f>D6*材料成本!H41</f>
        <v>20448393.749999996</v>
      </c>
      <c r="E10" s="55">
        <f>E6*材料成本!H42</f>
        <v>0</v>
      </c>
      <c r="F10" s="55">
        <f>F6*材料成本!H43</f>
        <v>0</v>
      </c>
      <c r="G10" s="55">
        <f t="shared" si="0"/>
        <v>64431731.249999985</v>
      </c>
      <c r="R10" s="53" t="s">
        <v>30</v>
      </c>
      <c r="AH10" s="53" t="s">
        <v>31</v>
      </c>
      <c r="AI10" s="53" t="s">
        <v>30</v>
      </c>
      <c r="AJ10" s="49" t="s">
        <v>32</v>
      </c>
    </row>
    <row r="11" spans="1:36">
      <c r="A11" s="207">
        <v>5</v>
      </c>
      <c r="B11" s="53" t="s">
        <v>33</v>
      </c>
      <c r="C11" s="55">
        <f>+C6*C36</f>
        <v>4975220.0329606505</v>
      </c>
      <c r="D11" s="55">
        <f t="shared" ref="D11:E11" si="2">+D6*D36</f>
        <v>1616946.5107122115</v>
      </c>
      <c r="E11" s="55">
        <f t="shared" si="2"/>
        <v>0</v>
      </c>
      <c r="F11" s="55">
        <f t="shared" ref="F11" si="3">+F6*F36</f>
        <v>0</v>
      </c>
      <c r="G11" s="55">
        <f t="shared" si="0"/>
        <v>6592166.5436728615</v>
      </c>
      <c r="R11" s="53" t="s">
        <v>33</v>
      </c>
      <c r="AH11" s="53" t="s">
        <v>34</v>
      </c>
      <c r="AI11" s="53" t="s">
        <v>33</v>
      </c>
    </row>
    <row r="12" spans="1:36">
      <c r="A12" s="207">
        <v>6</v>
      </c>
      <c r="B12" s="53" t="s">
        <v>35</v>
      </c>
      <c r="C12" s="55">
        <f>+C6*C37</f>
        <v>1334158.3717766909</v>
      </c>
      <c r="D12" s="55">
        <f t="shared" ref="D12:E12" si="4">+D6*D37</f>
        <v>433601.47082742449</v>
      </c>
      <c r="E12" s="55">
        <f t="shared" si="4"/>
        <v>0</v>
      </c>
      <c r="F12" s="55">
        <f t="shared" ref="F12" si="5">+F6*F37</f>
        <v>0</v>
      </c>
      <c r="G12" s="55">
        <f t="shared" si="0"/>
        <v>1767759.8426041154</v>
      </c>
      <c r="R12" s="53" t="s">
        <v>35</v>
      </c>
      <c r="AH12" s="53" t="s">
        <v>36</v>
      </c>
      <c r="AI12" s="53" t="s">
        <v>35</v>
      </c>
    </row>
    <row r="13" spans="1:36">
      <c r="A13" s="207">
        <v>7</v>
      </c>
      <c r="B13" s="53" t="s">
        <v>37</v>
      </c>
      <c r="C13" s="55">
        <f>+C6*C38</f>
        <v>3539823.0088495575</v>
      </c>
      <c r="D13" s="55">
        <f t="shared" ref="D13:E13" si="6">+D6*D38</f>
        <v>1150442.477876106</v>
      </c>
      <c r="E13" s="55">
        <f t="shared" si="6"/>
        <v>0</v>
      </c>
      <c r="F13" s="55">
        <f t="shared" ref="F13" si="7">+F6*F38</f>
        <v>0</v>
      </c>
      <c r="G13" s="55">
        <f t="shared" si="0"/>
        <v>4690265.4867256638</v>
      </c>
      <c r="R13" s="53" t="s">
        <v>37</v>
      </c>
      <c r="AH13" s="53" t="s">
        <v>38</v>
      </c>
      <c r="AI13" s="53" t="s">
        <v>37</v>
      </c>
      <c r="AJ13" s="49" t="s">
        <v>21</v>
      </c>
    </row>
    <row r="14" spans="1:36">
      <c r="A14" s="207">
        <v>8</v>
      </c>
      <c r="B14" s="56" t="s">
        <v>39</v>
      </c>
      <c r="C14" s="55">
        <f>SUM(C11:C13)</f>
        <v>9849201.4135868996</v>
      </c>
      <c r="D14" s="55">
        <f t="shared" ref="D14:F14" si="8">SUM(D11:D13)</f>
        <v>3200990.4594157422</v>
      </c>
      <c r="E14" s="55">
        <f t="shared" si="8"/>
        <v>0</v>
      </c>
      <c r="F14" s="55">
        <f t="shared" si="8"/>
        <v>0</v>
      </c>
      <c r="G14" s="55">
        <f t="shared" si="0"/>
        <v>13050191.873002641</v>
      </c>
      <c r="R14" s="56" t="s">
        <v>39</v>
      </c>
      <c r="AH14" s="53" t="s">
        <v>40</v>
      </c>
      <c r="AI14" s="56" t="s">
        <v>39</v>
      </c>
    </row>
    <row r="15" spans="1:36">
      <c r="A15" s="207">
        <v>9</v>
      </c>
      <c r="B15" s="56" t="s">
        <v>41</v>
      </c>
      <c r="C15" s="55">
        <f>+C9-C10-C14</f>
        <v>22041354.891722851</v>
      </c>
      <c r="D15" s="55">
        <f t="shared" ref="D15:F15" si="9">+D9-D10-D14</f>
        <v>1009631.2773099272</v>
      </c>
      <c r="E15" s="55">
        <f t="shared" si="9"/>
        <v>0</v>
      </c>
      <c r="F15" s="55">
        <f t="shared" si="9"/>
        <v>0</v>
      </c>
      <c r="G15" s="55">
        <f t="shared" si="0"/>
        <v>23050986.169032779</v>
      </c>
      <c r="R15" s="56" t="s">
        <v>41</v>
      </c>
      <c r="AH15" s="53" t="s">
        <v>42</v>
      </c>
      <c r="AI15" s="56" t="s">
        <v>41</v>
      </c>
    </row>
    <row r="16" spans="1:36">
      <c r="A16" s="207">
        <v>10</v>
      </c>
      <c r="B16" s="53" t="s">
        <v>43</v>
      </c>
      <c r="C16" s="57">
        <f>+C15/C9</f>
        <v>0.29049985161273445</v>
      </c>
      <c r="D16" s="57">
        <f t="shared" ref="D16:F16" si="10">+D15/D9</f>
        <v>4.0943697766580647E-2</v>
      </c>
      <c r="E16" s="57" t="e">
        <f t="shared" si="10"/>
        <v>#DIV/0!</v>
      </c>
      <c r="F16" s="57" t="e">
        <f t="shared" si="10"/>
        <v>#DIV/0!</v>
      </c>
      <c r="G16" s="57">
        <f t="shared" ref="G16" si="11">+G15/G9</f>
        <v>0.22928796482028163</v>
      </c>
      <c r="R16" s="53" t="s">
        <v>43</v>
      </c>
      <c r="AH16" s="53" t="s">
        <v>44</v>
      </c>
      <c r="AI16" s="53" t="s">
        <v>43</v>
      </c>
    </row>
    <row r="17" spans="1:36">
      <c r="A17" s="207">
        <v>11</v>
      </c>
      <c r="B17" s="53" t="s">
        <v>45</v>
      </c>
      <c r="C17" s="55">
        <f>C6*C43+C18</f>
        <v>4092263.3849557526</v>
      </c>
      <c r="D17" s="55">
        <f t="shared" ref="D17:E17" si="12">D6*D43+D18</f>
        <v>1404210.2876106196</v>
      </c>
      <c r="E17" s="55">
        <f t="shared" si="12"/>
        <v>0</v>
      </c>
      <c r="F17" s="55">
        <f t="shared" ref="F17" si="13">F6*F43+F18</f>
        <v>0</v>
      </c>
      <c r="G17" s="55">
        <f>SUM(C17:F17)</f>
        <v>5496473.672566372</v>
      </c>
      <c r="H17" s="69"/>
      <c r="R17" s="53" t="s">
        <v>45</v>
      </c>
      <c r="AH17" s="53" t="s">
        <v>46</v>
      </c>
      <c r="AI17" s="53" t="s">
        <v>45</v>
      </c>
    </row>
    <row r="18" spans="1:36" s="47" customFormat="1">
      <c r="A18" s="207">
        <v>12</v>
      </c>
      <c r="B18" s="58" t="s">
        <v>149</v>
      </c>
      <c r="C18" s="59">
        <f>$G$18/$G$6*C6</f>
        <v>109962.50000000001</v>
      </c>
      <c r="D18" s="59">
        <f>$G$18/$G$6*D6</f>
        <v>109962.50000000001</v>
      </c>
      <c r="E18" s="59">
        <f>$G$18/$G$6*E6</f>
        <v>0</v>
      </c>
      <c r="F18" s="59">
        <f>$G$18/$G$6*F6</f>
        <v>0</v>
      </c>
      <c r="G18" s="59">
        <f>项目投资!F26</f>
        <v>219925</v>
      </c>
      <c r="H18" s="70" t="s">
        <v>150</v>
      </c>
      <c r="I18" s="70"/>
      <c r="J18" s="70"/>
    </row>
    <row r="19" spans="1:36">
      <c r="A19" s="207">
        <v>13</v>
      </c>
      <c r="B19" s="53" t="s">
        <v>47</v>
      </c>
      <c r="C19" s="55">
        <f>C6*C44</f>
        <v>619469.02654867258</v>
      </c>
      <c r="D19" s="55">
        <f t="shared" ref="D19:E19" si="14">D6*D44</f>
        <v>201327.43362831863</v>
      </c>
      <c r="E19" s="55">
        <f t="shared" si="14"/>
        <v>0</v>
      </c>
      <c r="F19" s="55">
        <f t="shared" ref="F19" si="15">F6*F44</f>
        <v>0</v>
      </c>
      <c r="G19" s="55">
        <f>SUM(C19:F19)</f>
        <v>820796.46017699118</v>
      </c>
      <c r="H19" s="47"/>
      <c r="R19" s="53" t="s">
        <v>47</v>
      </c>
      <c r="AH19" s="53" t="s">
        <v>48</v>
      </c>
      <c r="AI19" s="53" t="s">
        <v>47</v>
      </c>
      <c r="AJ19" s="49" t="s">
        <v>21</v>
      </c>
    </row>
    <row r="20" spans="1:36">
      <c r="A20" s="207">
        <v>14</v>
      </c>
      <c r="B20" s="53" t="s">
        <v>49</v>
      </c>
      <c r="C20" s="55">
        <f>C6*C45</f>
        <v>2654867.2566371681</v>
      </c>
      <c r="D20" s="55">
        <f t="shared" ref="D20:E20" si="16">D6*D45</f>
        <v>862831.85840707971</v>
      </c>
      <c r="E20" s="55">
        <f t="shared" si="16"/>
        <v>0</v>
      </c>
      <c r="F20" s="55">
        <f t="shared" ref="F20" si="17">F6*F45</f>
        <v>0</v>
      </c>
      <c r="G20" s="55">
        <f>SUM(C20:F20)</f>
        <v>3517699.1150442478</v>
      </c>
      <c r="R20" s="53" t="s">
        <v>49</v>
      </c>
      <c r="AH20" s="53" t="s">
        <v>50</v>
      </c>
      <c r="AI20" s="53" t="s">
        <v>49</v>
      </c>
    </row>
    <row r="21" spans="1:36">
      <c r="A21" s="207">
        <v>15</v>
      </c>
      <c r="B21" s="53" t="s">
        <v>51</v>
      </c>
      <c r="C21" s="60">
        <f>$G$21/$G$6*C6</f>
        <v>12637.499999999998</v>
      </c>
      <c r="D21" s="60">
        <f>$G$21/$G$6*D6</f>
        <v>12637.499999999998</v>
      </c>
      <c r="E21" s="60">
        <f>$G$21/$G$6*E6</f>
        <v>0</v>
      </c>
      <c r="F21" s="60">
        <f>$G$21/$G$6*F6</f>
        <v>0</v>
      </c>
      <c r="G21" s="55">
        <f>项目投资!D27</f>
        <v>25275</v>
      </c>
      <c r="R21" s="53" t="s">
        <v>51</v>
      </c>
      <c r="AH21" s="53"/>
      <c r="AI21" s="53"/>
    </row>
    <row r="22" spans="1:36">
      <c r="A22" s="207">
        <v>16</v>
      </c>
      <c r="B22" s="53" t="s">
        <v>52</v>
      </c>
      <c r="C22" s="55">
        <f>C6*C47</f>
        <v>3539823.008849558</v>
      </c>
      <c r="D22" s="55">
        <f t="shared" ref="D22:E22" si="18">D6*D47</f>
        <v>1150442.4778761063</v>
      </c>
      <c r="E22" s="55">
        <f t="shared" si="18"/>
        <v>0</v>
      </c>
      <c r="F22" s="55">
        <f t="shared" ref="F22" si="19">F6*F47</f>
        <v>0</v>
      </c>
      <c r="G22" s="55">
        <f>SUM(C22:F22)</f>
        <v>4690265.4867256638</v>
      </c>
      <c r="R22" s="53" t="s">
        <v>52</v>
      </c>
      <c r="AH22" s="53" t="s">
        <v>53</v>
      </c>
      <c r="AI22" s="53" t="s">
        <v>52</v>
      </c>
    </row>
    <row r="23" spans="1:36">
      <c r="A23" s="207">
        <v>17</v>
      </c>
      <c r="B23" s="56" t="s">
        <v>54</v>
      </c>
      <c r="C23" s="60">
        <f>+C22+C21+C20+C19+C17</f>
        <v>10919060.176991152</v>
      </c>
      <c r="D23" s="60">
        <f t="shared" ref="D23:G23" si="20">+D22+D21+D20+D19+D17</f>
        <v>3631449.5575221246</v>
      </c>
      <c r="E23" s="60">
        <f t="shared" si="20"/>
        <v>0</v>
      </c>
      <c r="F23" s="60">
        <f t="shared" si="20"/>
        <v>0</v>
      </c>
      <c r="G23" s="60">
        <f t="shared" si="20"/>
        <v>14550509.734513275</v>
      </c>
      <c r="R23" s="56" t="s">
        <v>54</v>
      </c>
      <c r="AH23" s="53" t="s">
        <v>55</v>
      </c>
      <c r="AI23" s="56" t="s">
        <v>54</v>
      </c>
    </row>
    <row r="24" spans="1:36">
      <c r="A24" s="207">
        <v>18</v>
      </c>
      <c r="B24" s="61" t="s">
        <v>56</v>
      </c>
      <c r="C24" s="60">
        <f>+C15-C23</f>
        <v>11122294.714731699</v>
      </c>
      <c r="D24" s="60">
        <f t="shared" ref="D24:F24" si="21">+D15-D23</f>
        <v>-2621818.2802121975</v>
      </c>
      <c r="E24" s="60">
        <f t="shared" si="21"/>
        <v>0</v>
      </c>
      <c r="F24" s="60">
        <f t="shared" si="21"/>
        <v>0</v>
      </c>
      <c r="G24" s="60">
        <f t="shared" ref="G24" si="22">+G15-G23</f>
        <v>8500476.4345195033</v>
      </c>
      <c r="I24" s="71"/>
      <c r="R24" s="53" t="s">
        <v>56</v>
      </c>
      <c r="AH24" s="53" t="s">
        <v>57</v>
      </c>
      <c r="AI24" s="53" t="s">
        <v>56</v>
      </c>
    </row>
    <row r="25" spans="1:36">
      <c r="A25" s="207">
        <v>19</v>
      </c>
      <c r="B25" s="53" t="s">
        <v>257</v>
      </c>
      <c r="C25" s="60">
        <f>IF(C24&lt;0,0,C24*0.15)</f>
        <v>1668344.2072097547</v>
      </c>
      <c r="D25" s="60">
        <f>IF(D24&lt;0,0,D24*0.15)</f>
        <v>0</v>
      </c>
      <c r="E25" s="60">
        <f>IF(E24&lt;0,0,E24*0.15)</f>
        <v>0</v>
      </c>
      <c r="F25" s="60">
        <f>IF(F24&lt;0,0,F24*0.15)</f>
        <v>0</v>
      </c>
      <c r="G25" s="60">
        <f>IF(G24&lt;0,0,G24*0.15)</f>
        <v>1275071.4651779255</v>
      </c>
      <c r="H25" s="67"/>
      <c r="I25" s="67"/>
      <c r="J25" s="67"/>
      <c r="R25" s="53" t="s">
        <v>58</v>
      </c>
      <c r="AH25" s="53" t="s">
        <v>59</v>
      </c>
      <c r="AI25" s="53" t="s">
        <v>58</v>
      </c>
    </row>
    <row r="26" spans="1:36">
      <c r="A26" s="207">
        <v>20</v>
      </c>
      <c r="B26" s="53" t="s">
        <v>60</v>
      </c>
      <c r="C26" s="60">
        <f t="shared" ref="C26:F26" si="23">C24-C25</f>
        <v>9453950.5075219441</v>
      </c>
      <c r="D26" s="60">
        <f t="shared" si="23"/>
        <v>-2621818.2802121975</v>
      </c>
      <c r="E26" s="60">
        <f t="shared" si="23"/>
        <v>0</v>
      </c>
      <c r="F26" s="60">
        <f t="shared" si="23"/>
        <v>0</v>
      </c>
      <c r="G26" s="55">
        <f>G24-G25</f>
        <v>7225404.969341578</v>
      </c>
      <c r="H26" s="192"/>
      <c r="I26" s="67"/>
      <c r="J26" s="67"/>
      <c r="R26" s="53" t="s">
        <v>60</v>
      </c>
      <c r="AH26" s="53" t="s">
        <v>61</v>
      </c>
      <c r="AI26" s="53" t="s">
        <v>60</v>
      </c>
    </row>
    <row r="27" spans="1:36">
      <c r="A27" s="207">
        <v>21</v>
      </c>
      <c r="B27" s="53" t="s">
        <v>64</v>
      </c>
      <c r="C27" s="130">
        <f t="shared" ref="C27:G27" si="24">C26/C7</f>
        <v>0.10682964073499794</v>
      </c>
      <c r="D27" s="130">
        <f t="shared" si="24"/>
        <v>-9.1158604819685615E-2</v>
      </c>
      <c r="E27" s="130" t="e">
        <f t="shared" si="24"/>
        <v>#DIV/0!</v>
      </c>
      <c r="F27" s="130" t="e">
        <f t="shared" si="24"/>
        <v>#DIV/0!</v>
      </c>
      <c r="G27" s="130">
        <f t="shared" si="24"/>
        <v>6.1620434832875333E-2</v>
      </c>
      <c r="H27" s="189"/>
      <c r="I27" s="67"/>
      <c r="J27" s="67"/>
      <c r="R27" s="53" t="s">
        <v>64</v>
      </c>
      <c r="AH27" s="53" t="s">
        <v>63</v>
      </c>
      <c r="AI27" s="53" t="s">
        <v>64</v>
      </c>
    </row>
    <row r="28" spans="1:36">
      <c r="H28" s="67"/>
      <c r="I28" s="67"/>
      <c r="J28" s="67"/>
      <c r="R28" s="53"/>
    </row>
    <row r="29" spans="1:36">
      <c r="A29" s="49" t="s">
        <v>65</v>
      </c>
      <c r="G29" s="50" t="s">
        <v>151</v>
      </c>
      <c r="H29" s="67"/>
      <c r="I29" s="67"/>
      <c r="J29" s="67"/>
      <c r="R29" s="53"/>
      <c r="AH29" s="49" t="s">
        <v>65</v>
      </c>
    </row>
    <row r="30" spans="1:36">
      <c r="A30" s="53" t="s">
        <v>68</v>
      </c>
      <c r="B30" s="56" t="s">
        <v>69</v>
      </c>
      <c r="C30" s="60"/>
      <c r="D30" s="60"/>
      <c r="E30" s="60"/>
      <c r="F30" s="60"/>
      <c r="G30" s="60"/>
      <c r="H30" s="67"/>
      <c r="I30" s="67"/>
      <c r="J30" s="67"/>
      <c r="L30" s="67"/>
      <c r="R30" s="56" t="s">
        <v>69</v>
      </c>
      <c r="AH30" s="53" t="s">
        <v>70</v>
      </c>
      <c r="AI30" s="56" t="s">
        <v>69</v>
      </c>
    </row>
    <row r="31" spans="1:36">
      <c r="A31" s="207">
        <v>1</v>
      </c>
      <c r="B31" s="58" t="s">
        <v>71</v>
      </c>
      <c r="C31" s="63">
        <f>销量!C8</f>
        <v>1769.911504424779</v>
      </c>
      <c r="D31" s="63">
        <f>销量!D8</f>
        <v>575.22123893805315</v>
      </c>
      <c r="E31" s="63">
        <f>销量!E8</f>
        <v>0</v>
      </c>
      <c r="F31" s="63">
        <f>销量!F8</f>
        <v>0</v>
      </c>
      <c r="G31" s="60"/>
      <c r="H31" s="67"/>
      <c r="I31" s="67"/>
      <c r="J31" s="67"/>
      <c r="L31" s="67"/>
      <c r="R31" s="53" t="s">
        <v>71</v>
      </c>
      <c r="AH31" s="53" t="s">
        <v>23</v>
      </c>
      <c r="AI31" s="53" t="s">
        <v>71</v>
      </c>
    </row>
    <row r="32" spans="1:36">
      <c r="A32" s="207">
        <v>2</v>
      </c>
      <c r="B32" s="53" t="s">
        <v>152</v>
      </c>
      <c r="C32" s="55">
        <f>C9/C6</f>
        <v>1517.4778761061948</v>
      </c>
      <c r="D32" s="55">
        <f t="shared" ref="D32:E32" si="25">D9/D6</f>
        <v>493.18030973451329</v>
      </c>
      <c r="E32" s="55" t="e">
        <f t="shared" si="25"/>
        <v>#DIV/0!</v>
      </c>
      <c r="F32" s="55" t="e">
        <f t="shared" ref="F32" si="26">F9/F6</f>
        <v>#DIV/0!</v>
      </c>
      <c r="G32" s="60"/>
      <c r="H32" s="67"/>
      <c r="I32" s="67"/>
      <c r="J32" s="67"/>
      <c r="K32" s="67"/>
      <c r="L32" s="67"/>
      <c r="M32" s="67"/>
      <c r="N32" s="67"/>
      <c r="AH32" s="53"/>
      <c r="AI32" s="53"/>
    </row>
    <row r="33" spans="1:35">
      <c r="A33" s="207">
        <v>3</v>
      </c>
      <c r="B33" s="58" t="s">
        <v>72</v>
      </c>
      <c r="C33" s="55">
        <f>材料成本!H40</f>
        <v>879.66674999999987</v>
      </c>
      <c r="D33" s="55">
        <f>材料成本!H41</f>
        <v>408.96787499999994</v>
      </c>
      <c r="E33" s="55">
        <f>材料成本!H42</f>
        <v>0</v>
      </c>
      <c r="F33" s="55">
        <f>材料成本!H43</f>
        <v>0</v>
      </c>
      <c r="G33" s="60"/>
      <c r="I33" s="67"/>
      <c r="J33" s="67"/>
      <c r="K33" s="67"/>
      <c r="L33" s="67"/>
      <c r="M33" s="67"/>
      <c r="N33" s="67"/>
      <c r="R33" s="53" t="s">
        <v>72</v>
      </c>
      <c r="AH33" s="53" t="s">
        <v>25</v>
      </c>
      <c r="AI33" s="53" t="s">
        <v>72</v>
      </c>
    </row>
    <row r="34" spans="1:35" ht="17.25" customHeight="1">
      <c r="A34" s="207">
        <v>4</v>
      </c>
      <c r="B34" s="53" t="s">
        <v>74</v>
      </c>
      <c r="C34" s="64">
        <f>C32-C33</f>
        <v>637.81112610619493</v>
      </c>
      <c r="D34" s="64">
        <f t="shared" ref="D34:E34" si="27">D32-D33</f>
        <v>84.212434734513351</v>
      </c>
      <c r="E34" s="64" t="e">
        <f t="shared" si="27"/>
        <v>#DIV/0!</v>
      </c>
      <c r="F34" s="64" t="e">
        <f t="shared" ref="F34" si="28">F32-F33</f>
        <v>#DIV/0!</v>
      </c>
      <c r="G34" s="60"/>
      <c r="I34" s="67"/>
      <c r="J34" s="67"/>
      <c r="K34" s="67"/>
      <c r="L34" s="67"/>
      <c r="M34" s="67"/>
      <c r="N34" s="67"/>
      <c r="R34" s="53" t="s">
        <v>74</v>
      </c>
      <c r="AH34" s="53" t="s">
        <v>73</v>
      </c>
      <c r="AI34" s="53" t="s">
        <v>74</v>
      </c>
    </row>
    <row r="35" spans="1:35">
      <c r="A35" s="53" t="s">
        <v>70</v>
      </c>
      <c r="B35" s="56" t="s">
        <v>9</v>
      </c>
      <c r="C35" s="60"/>
      <c r="D35" s="60"/>
      <c r="E35" s="60"/>
      <c r="F35" s="60"/>
      <c r="G35" s="60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56" t="s">
        <v>9</v>
      </c>
      <c r="AH35" s="53" t="s">
        <v>76</v>
      </c>
      <c r="AI35" s="56" t="s">
        <v>9</v>
      </c>
    </row>
    <row r="36" spans="1:35">
      <c r="A36" s="207">
        <v>1</v>
      </c>
      <c r="B36" s="53" t="s">
        <v>77</v>
      </c>
      <c r="C36" s="59">
        <f>'2022年'!C36</f>
        <v>99.504400659213019</v>
      </c>
      <c r="D36" s="59">
        <f>'2022年'!D36</f>
        <v>32.338930214244229</v>
      </c>
      <c r="E36" s="59">
        <f>'2022年'!E36</f>
        <v>0</v>
      </c>
      <c r="F36" s="59">
        <f>'2022年'!F36</f>
        <v>0</v>
      </c>
      <c r="G36" s="63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53" t="s">
        <v>77</v>
      </c>
      <c r="AH36" s="53" t="s">
        <v>73</v>
      </c>
      <c r="AI36" s="53" t="s">
        <v>77</v>
      </c>
    </row>
    <row r="37" spans="1:35">
      <c r="A37" s="207">
        <v>2</v>
      </c>
      <c r="B37" s="53" t="s">
        <v>78</v>
      </c>
      <c r="C37" s="59">
        <f>'2022年'!C37</f>
        <v>26.683167435533818</v>
      </c>
      <c r="D37" s="59">
        <f>'2022年'!D37</f>
        <v>8.6720294165484901</v>
      </c>
      <c r="E37" s="59">
        <f>'2022年'!E37</f>
        <v>0</v>
      </c>
      <c r="F37" s="59">
        <f>'2022年'!F37</f>
        <v>0</v>
      </c>
      <c r="G37" s="63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53" t="s">
        <v>78</v>
      </c>
      <c r="AH37" s="53" t="s">
        <v>28</v>
      </c>
      <c r="AI37" s="53" t="s">
        <v>78</v>
      </c>
    </row>
    <row r="38" spans="1:35">
      <c r="A38" s="207">
        <v>3</v>
      </c>
      <c r="B38" s="53" t="s">
        <v>79</v>
      </c>
      <c r="C38" s="59">
        <f>'2022年'!C38</f>
        <v>70.796460176991147</v>
      </c>
      <c r="D38" s="59">
        <f>'2022年'!D38</f>
        <v>23.008849557522122</v>
      </c>
      <c r="E38" s="59">
        <f>'2022年'!E38</f>
        <v>0</v>
      </c>
      <c r="F38" s="59">
        <f>'2022年'!F38</f>
        <v>0</v>
      </c>
      <c r="G38" s="63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53" t="s">
        <v>79</v>
      </c>
      <c r="AH38" s="53" t="s">
        <v>34</v>
      </c>
      <c r="AI38" s="53" t="s">
        <v>79</v>
      </c>
    </row>
    <row r="39" spans="1:35">
      <c r="A39" s="53" t="s">
        <v>76</v>
      </c>
      <c r="B39" s="56" t="s">
        <v>81</v>
      </c>
      <c r="C39" s="60"/>
      <c r="D39" s="60"/>
      <c r="E39" s="60"/>
      <c r="F39" s="60"/>
      <c r="G39" s="60"/>
      <c r="R39" s="56" t="s">
        <v>81</v>
      </c>
      <c r="AH39" s="53" t="s">
        <v>80</v>
      </c>
      <c r="AI39" s="56" t="s">
        <v>81</v>
      </c>
    </row>
    <row r="40" spans="1:35">
      <c r="A40" s="207">
        <v>1</v>
      </c>
      <c r="B40" s="53" t="s">
        <v>83</v>
      </c>
      <c r="C40" s="60">
        <f>C34-C36-C37-C38</f>
        <v>440.82709783445688</v>
      </c>
      <c r="D40" s="60">
        <f t="shared" ref="D40:F40" si="29">D34-D36-D37-D38</f>
        <v>20.19262554619851</v>
      </c>
      <c r="E40" s="60" t="e">
        <f t="shared" si="29"/>
        <v>#DIV/0!</v>
      </c>
      <c r="F40" s="60" t="e">
        <f t="shared" si="29"/>
        <v>#DIV/0!</v>
      </c>
      <c r="G40" s="60"/>
      <c r="R40" s="53" t="s">
        <v>83</v>
      </c>
      <c r="AH40" s="53" t="s">
        <v>23</v>
      </c>
      <c r="AI40" s="53" t="s">
        <v>83</v>
      </c>
    </row>
    <row r="41" spans="1:35">
      <c r="A41" s="207">
        <v>2</v>
      </c>
      <c r="B41" s="53" t="s">
        <v>84</v>
      </c>
      <c r="C41" s="60"/>
      <c r="D41" s="60"/>
      <c r="E41" s="60"/>
      <c r="F41" s="60"/>
      <c r="G41" s="60"/>
      <c r="R41" s="53" t="s">
        <v>84</v>
      </c>
      <c r="AH41" s="53" t="s">
        <v>25</v>
      </c>
      <c r="AI41" s="53" t="s">
        <v>84</v>
      </c>
    </row>
    <row r="42" spans="1:35">
      <c r="A42" s="53" t="s">
        <v>80</v>
      </c>
      <c r="B42" s="56" t="s">
        <v>86</v>
      </c>
      <c r="C42" s="60"/>
      <c r="D42" s="60"/>
      <c r="E42" s="60"/>
      <c r="F42" s="60"/>
      <c r="G42" s="60"/>
      <c r="R42" s="56" t="s">
        <v>86</v>
      </c>
      <c r="AH42" s="53" t="s">
        <v>85</v>
      </c>
      <c r="AI42" s="56" t="s">
        <v>86</v>
      </c>
    </row>
    <row r="43" spans="1:35">
      <c r="A43" s="207">
        <v>1</v>
      </c>
      <c r="B43" s="61" t="s">
        <v>87</v>
      </c>
      <c r="C43" s="59">
        <f>'2022年'!C43</f>
        <v>79.646017699115049</v>
      </c>
      <c r="D43" s="59">
        <f>'2022年'!D43</f>
        <v>25.884955752212392</v>
      </c>
      <c r="E43" s="59">
        <f>'2022年'!E43</f>
        <v>0</v>
      </c>
      <c r="F43" s="59">
        <f>'2022年'!F43</f>
        <v>0</v>
      </c>
      <c r="G43" s="60"/>
      <c r="R43" s="53" t="s">
        <v>87</v>
      </c>
      <c r="AH43" s="53" t="s">
        <v>23</v>
      </c>
      <c r="AI43" s="53" t="s">
        <v>87</v>
      </c>
    </row>
    <row r="44" spans="1:35">
      <c r="A44" s="207">
        <v>2</v>
      </c>
      <c r="B44" s="61" t="s">
        <v>88</v>
      </c>
      <c r="C44" s="59">
        <f>'2022年'!C44</f>
        <v>12.389380530973453</v>
      </c>
      <c r="D44" s="59">
        <f>'2022年'!D44</f>
        <v>4.0265486725663724</v>
      </c>
      <c r="E44" s="59">
        <f>'2022年'!E44</f>
        <v>0</v>
      </c>
      <c r="F44" s="59">
        <f>'2022年'!F44</f>
        <v>0</v>
      </c>
      <c r="G44" s="60"/>
      <c r="R44" s="53" t="s">
        <v>88</v>
      </c>
      <c r="AH44" s="53" t="s">
        <v>25</v>
      </c>
      <c r="AI44" s="53" t="s">
        <v>88</v>
      </c>
    </row>
    <row r="45" spans="1:35">
      <c r="A45" s="207">
        <v>3</v>
      </c>
      <c r="B45" s="61" t="s">
        <v>89</v>
      </c>
      <c r="C45" s="59">
        <f>'2022年'!C45</f>
        <v>53.097345132743364</v>
      </c>
      <c r="D45" s="59">
        <f>'2022年'!D45</f>
        <v>17.256637168141594</v>
      </c>
      <c r="E45" s="59">
        <f>'2022年'!E45</f>
        <v>0</v>
      </c>
      <c r="F45" s="59">
        <f>'2022年'!F45</f>
        <v>0</v>
      </c>
      <c r="G45" s="60"/>
      <c r="R45" s="53" t="s">
        <v>89</v>
      </c>
      <c r="AH45" s="53" t="s">
        <v>73</v>
      </c>
      <c r="AI45" s="53" t="s">
        <v>89</v>
      </c>
    </row>
    <row r="46" spans="1:35" s="48" customFormat="1">
      <c r="A46" s="207">
        <v>4</v>
      </c>
      <c r="B46" s="61" t="s">
        <v>90</v>
      </c>
      <c r="C46" s="65">
        <f>C21/C6</f>
        <v>0.25274999999999997</v>
      </c>
      <c r="D46" s="65">
        <f t="shared" ref="D46:F46" si="30">D21/D6</f>
        <v>0.25274999999999997</v>
      </c>
      <c r="E46" s="65" t="e">
        <f t="shared" si="30"/>
        <v>#DIV/0!</v>
      </c>
      <c r="F46" s="65" t="e">
        <f t="shared" si="30"/>
        <v>#DIV/0!</v>
      </c>
      <c r="G46" s="65"/>
      <c r="R46" s="61" t="s">
        <v>92</v>
      </c>
      <c r="AH46" s="61" t="s">
        <v>31</v>
      </c>
      <c r="AI46" s="61" t="s">
        <v>92</v>
      </c>
    </row>
    <row r="47" spans="1:35" s="48" customFormat="1">
      <c r="A47" s="207">
        <v>5</v>
      </c>
      <c r="B47" s="61" t="s">
        <v>92</v>
      </c>
      <c r="C47" s="65">
        <f>'2022年'!C47</f>
        <v>70.796460176991161</v>
      </c>
      <c r="D47" s="65">
        <f>'2022年'!D47</f>
        <v>23.008849557522126</v>
      </c>
      <c r="E47" s="65">
        <f>'2022年'!E47</f>
        <v>0</v>
      </c>
      <c r="F47" s="65">
        <f>'2022年'!F47</f>
        <v>0</v>
      </c>
      <c r="G47" s="65"/>
      <c r="R47" s="61" t="s">
        <v>92</v>
      </c>
      <c r="AH47" s="61" t="s">
        <v>31</v>
      </c>
      <c r="AI47" s="61" t="s">
        <v>92</v>
      </c>
    </row>
    <row r="48" spans="1:35">
      <c r="A48" s="53" t="s">
        <v>85</v>
      </c>
      <c r="B48" s="56" t="s">
        <v>103</v>
      </c>
      <c r="C48" s="60">
        <f>C40-C43-C44-C45-C47-C46</f>
        <v>224.64514429463389</v>
      </c>
      <c r="D48" s="60">
        <f t="shared" ref="D48:F48" si="31">D40-D43-D44-D45-D47-D46</f>
        <v>-50.237115604243975</v>
      </c>
      <c r="E48" s="60" t="e">
        <f t="shared" si="31"/>
        <v>#DIV/0!</v>
      </c>
      <c r="F48" s="60" t="e">
        <f t="shared" si="31"/>
        <v>#DIV/0!</v>
      </c>
      <c r="G48" s="60"/>
      <c r="R48" s="56" t="s">
        <v>103</v>
      </c>
      <c r="AH48" s="53" t="s">
        <v>102</v>
      </c>
      <c r="AI48" s="56" t="s">
        <v>103</v>
      </c>
    </row>
    <row r="51" spans="2:12">
      <c r="C51" s="66"/>
      <c r="D51" s="66"/>
      <c r="E51" s="66"/>
      <c r="F51" s="66"/>
    </row>
    <row r="54" spans="2:12">
      <c r="B54" s="67"/>
      <c r="C54" s="68"/>
      <c r="D54" s="68"/>
      <c r="E54" s="68"/>
      <c r="F54" s="68"/>
      <c r="G54" s="68"/>
      <c r="H54" s="67"/>
      <c r="I54" s="67"/>
      <c r="J54" s="67"/>
      <c r="K54" s="67"/>
      <c r="L54" s="67"/>
    </row>
    <row r="55" spans="2:12">
      <c r="B55" s="67"/>
      <c r="C55" s="68"/>
      <c r="D55" s="68"/>
      <c r="E55" s="68"/>
      <c r="F55" s="68"/>
      <c r="G55" s="68"/>
      <c r="H55" s="67"/>
      <c r="I55" s="67"/>
      <c r="J55" s="67"/>
      <c r="K55" s="67"/>
      <c r="L55" s="67"/>
    </row>
    <row r="56" spans="2:12">
      <c r="B56" s="67"/>
      <c r="C56" s="68"/>
      <c r="D56" s="68"/>
      <c r="E56" s="68"/>
      <c r="F56" s="68"/>
      <c r="G56" s="68"/>
      <c r="H56" s="67"/>
      <c r="I56" s="67"/>
      <c r="J56" s="67"/>
      <c r="K56" s="67"/>
      <c r="L56" s="67"/>
    </row>
    <row r="57" spans="2:12">
      <c r="B57" s="67"/>
      <c r="C57" s="68"/>
      <c r="D57" s="68"/>
      <c r="E57" s="68"/>
      <c r="F57" s="68"/>
      <c r="G57" s="68"/>
      <c r="H57" s="67"/>
      <c r="I57" s="67"/>
      <c r="J57" s="67"/>
      <c r="K57" s="67"/>
      <c r="L57" s="67"/>
    </row>
    <row r="58" spans="2:12">
      <c r="B58" s="67"/>
      <c r="C58" s="68"/>
      <c r="D58" s="68"/>
      <c r="E58" s="68"/>
      <c r="F58" s="68"/>
      <c r="G58" s="68"/>
      <c r="H58" s="67"/>
      <c r="I58" s="67"/>
      <c r="J58" s="67"/>
      <c r="K58" s="67"/>
      <c r="L58" s="67"/>
    </row>
    <row r="59" spans="2:12">
      <c r="B59" s="67"/>
      <c r="C59" s="68"/>
      <c r="D59" s="68"/>
      <c r="E59" s="68"/>
      <c r="F59" s="68"/>
      <c r="G59" s="68"/>
      <c r="H59" s="67"/>
      <c r="I59" s="67"/>
      <c r="J59" s="67"/>
      <c r="K59" s="67"/>
      <c r="L59" s="67"/>
    </row>
    <row r="60" spans="2:12">
      <c r="B60" s="67"/>
      <c r="C60" s="68"/>
      <c r="D60" s="68"/>
      <c r="E60" s="68"/>
      <c r="F60" s="68"/>
      <c r="G60" s="68"/>
      <c r="H60" s="67"/>
      <c r="I60" s="67"/>
      <c r="J60" s="67"/>
      <c r="K60" s="67"/>
      <c r="L60" s="67"/>
    </row>
    <row r="61" spans="2:12">
      <c r="B61" s="67"/>
      <c r="C61" s="68"/>
      <c r="D61" s="68"/>
      <c r="E61" s="68"/>
      <c r="F61" s="68"/>
      <c r="G61" s="68"/>
      <c r="H61" s="67"/>
      <c r="I61" s="67"/>
      <c r="J61" s="67"/>
      <c r="K61" s="67"/>
      <c r="L61" s="67"/>
    </row>
    <row r="62" spans="2:12">
      <c r="B62" s="67"/>
      <c r="C62" s="68"/>
      <c r="D62" s="68"/>
      <c r="E62" s="68"/>
      <c r="F62" s="68"/>
      <c r="G62" s="68"/>
      <c r="H62" s="67"/>
      <c r="I62" s="67"/>
      <c r="J62" s="67"/>
      <c r="K62" s="67"/>
      <c r="L62" s="67"/>
    </row>
    <row r="63" spans="2:12">
      <c r="B63" s="67"/>
      <c r="C63" s="68"/>
      <c r="D63" s="68"/>
      <c r="E63" s="68"/>
      <c r="F63" s="68"/>
      <c r="G63" s="68"/>
      <c r="H63" s="67"/>
      <c r="I63" s="67"/>
      <c r="J63" s="67"/>
      <c r="K63" s="67"/>
      <c r="L63" s="67"/>
    </row>
    <row r="64" spans="2:12">
      <c r="B64" s="67"/>
      <c r="C64" s="68"/>
      <c r="D64" s="68"/>
      <c r="E64" s="68"/>
      <c r="F64" s="68"/>
      <c r="G64" s="68"/>
      <c r="H64" s="67"/>
      <c r="I64" s="67"/>
      <c r="J64" s="67"/>
      <c r="K64" s="67"/>
      <c r="L64" s="67"/>
    </row>
    <row r="65" spans="2:12">
      <c r="B65" s="67"/>
      <c r="C65" s="68"/>
      <c r="D65" s="68"/>
      <c r="E65" s="68"/>
      <c r="F65" s="68"/>
      <c r="G65" s="68"/>
      <c r="H65" s="67"/>
      <c r="I65" s="67"/>
      <c r="J65" s="67"/>
      <c r="K65" s="67"/>
      <c r="L65" s="67"/>
    </row>
    <row r="66" spans="2:12">
      <c r="B66" s="67"/>
      <c r="C66" s="68"/>
      <c r="D66" s="68"/>
      <c r="E66" s="68"/>
      <c r="F66" s="68"/>
      <c r="G66" s="68"/>
      <c r="H66" s="67"/>
      <c r="I66" s="67"/>
      <c r="J66" s="67"/>
      <c r="K66" s="67"/>
      <c r="L66" s="67"/>
    </row>
    <row r="67" spans="2:12">
      <c r="B67" s="67"/>
      <c r="C67" s="68"/>
      <c r="D67" s="68"/>
      <c r="E67" s="68"/>
      <c r="F67" s="68"/>
      <c r="G67" s="68"/>
      <c r="H67" s="67"/>
    </row>
    <row r="68" spans="2:12">
      <c r="B68" s="67"/>
      <c r="C68" s="68"/>
      <c r="D68" s="68"/>
      <c r="E68" s="68"/>
      <c r="F68" s="68"/>
      <c r="G68" s="68"/>
      <c r="H68" s="67"/>
    </row>
    <row r="69" spans="2:12">
      <c r="B69" s="67"/>
      <c r="C69" s="68"/>
      <c r="D69" s="68"/>
      <c r="E69" s="68"/>
      <c r="F69" s="68"/>
      <c r="G69" s="68"/>
      <c r="H69" s="67"/>
    </row>
    <row r="70" spans="2:12">
      <c r="B70" s="67"/>
      <c r="C70" s="68"/>
      <c r="D70" s="68"/>
      <c r="E70" s="68"/>
      <c r="F70" s="68"/>
      <c r="G70" s="68"/>
      <c r="H70" s="67"/>
    </row>
    <row r="71" spans="2:12">
      <c r="B71" s="67"/>
      <c r="C71" s="68"/>
      <c r="D71" s="68"/>
      <c r="E71" s="68"/>
      <c r="F71" s="68"/>
      <c r="G71" s="68"/>
      <c r="H71" s="67"/>
    </row>
    <row r="72" spans="2:12">
      <c r="B72" s="67"/>
      <c r="C72" s="68"/>
      <c r="D72" s="68"/>
      <c r="E72" s="68"/>
      <c r="F72" s="68"/>
      <c r="G72" s="68"/>
      <c r="H72" s="67"/>
    </row>
    <row r="73" spans="2:12">
      <c r="B73" s="67"/>
      <c r="C73" s="68"/>
      <c r="D73" s="68"/>
      <c r="E73" s="68"/>
      <c r="F73" s="68"/>
      <c r="G73" s="68"/>
      <c r="H73" s="67"/>
    </row>
    <row r="74" spans="2:12">
      <c r="B74" s="67"/>
      <c r="C74" s="68"/>
      <c r="D74" s="68"/>
      <c r="E74" s="68"/>
      <c r="F74" s="68"/>
      <c r="G74" s="68"/>
      <c r="H74" s="67"/>
    </row>
  </sheetData>
  <mergeCells count="8">
    <mergeCell ref="A1:B1"/>
    <mergeCell ref="C1:G1"/>
    <mergeCell ref="A2:B2"/>
    <mergeCell ref="C2:G2"/>
    <mergeCell ref="A3:B3"/>
    <mergeCell ref="G3:G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8" activePane="bottomRight" state="frozen"/>
      <selection pane="topRight"/>
      <selection pane="bottomLeft"/>
      <selection pane="bottomRight" activeCell="D7" sqref="D7"/>
    </sheetView>
  </sheetViews>
  <sheetFormatPr defaultColWidth="9" defaultRowHeight="16.5"/>
  <cols>
    <col min="1" max="1" width="5.125" style="49" customWidth="1"/>
    <col min="2" max="2" width="17.5" style="49" customWidth="1"/>
    <col min="3" max="3" width="13.25" style="50" customWidth="1"/>
    <col min="4" max="4" width="20.25" style="50" bestFit="1" customWidth="1"/>
    <col min="5" max="6" width="13.25" style="50" customWidth="1"/>
    <col min="7" max="7" width="18.75" style="50" customWidth="1"/>
    <col min="8" max="8" width="12.375" style="49" customWidth="1"/>
    <col min="9" max="9" width="10.125" style="49" customWidth="1"/>
    <col min="10" max="16" width="9" style="49" customWidth="1"/>
    <col min="17" max="33" width="9" style="49"/>
    <col min="34" max="34" width="4.375" style="49" customWidth="1"/>
    <col min="35" max="35" width="13.875" style="49" customWidth="1"/>
    <col min="36" max="16384" width="9" style="49"/>
  </cols>
  <sheetData>
    <row r="1" spans="1:36">
      <c r="A1" s="254" t="s">
        <v>143</v>
      </c>
      <c r="B1" s="254"/>
      <c r="C1" s="258" t="s">
        <v>259</v>
      </c>
      <c r="D1" s="259"/>
      <c r="E1" s="259"/>
      <c r="F1" s="259"/>
      <c r="G1" s="260"/>
    </row>
    <row r="2" spans="1:36">
      <c r="A2" s="254" t="s">
        <v>144</v>
      </c>
      <c r="B2" s="254"/>
      <c r="C2" s="261" t="str">
        <f>'2022年'!C2:G2</f>
        <v>陕重汽</v>
      </c>
      <c r="D2" s="261"/>
      <c r="E2" s="261"/>
      <c r="F2" s="261"/>
      <c r="G2" s="261"/>
    </row>
    <row r="3" spans="1:36">
      <c r="A3" s="254" t="s">
        <v>145</v>
      </c>
      <c r="B3" s="254"/>
      <c r="C3" s="161" t="str">
        <f>销量!C5</f>
        <v>司机座椅总成</v>
      </c>
      <c r="D3" s="161" t="str">
        <f>销量!D5</f>
        <v>副司机座椅总成</v>
      </c>
      <c r="E3" s="161">
        <f>销量!E5</f>
        <v>0</v>
      </c>
      <c r="F3" s="161">
        <f>销量!F5</f>
        <v>0</v>
      </c>
      <c r="G3" s="255" t="s">
        <v>19</v>
      </c>
    </row>
    <row r="4" spans="1:36">
      <c r="A4" s="254" t="s">
        <v>146</v>
      </c>
      <c r="B4" s="254"/>
      <c r="C4" s="161" t="str">
        <f>销量!C6</f>
        <v>DZ16251510101</v>
      </c>
      <c r="D4" s="161" t="str">
        <f>销量!D6</f>
        <v>DZ16251510102</v>
      </c>
      <c r="E4" s="161">
        <f>销量!E6</f>
        <v>0</v>
      </c>
      <c r="F4" s="161">
        <f>销量!F6</f>
        <v>0</v>
      </c>
      <c r="G4" s="256"/>
    </row>
    <row r="5" spans="1:36">
      <c r="A5" s="254" t="s">
        <v>147</v>
      </c>
      <c r="B5" s="254"/>
      <c r="C5" s="52"/>
      <c r="D5" s="52"/>
      <c r="E5" s="52"/>
      <c r="F5" s="52"/>
      <c r="G5" s="257"/>
      <c r="AJ5" s="49" t="s">
        <v>20</v>
      </c>
    </row>
    <row r="6" spans="1:36" ht="17.25">
      <c r="A6" s="53" t="s">
        <v>17</v>
      </c>
      <c r="B6" s="54" t="s">
        <v>148</v>
      </c>
      <c r="C6" s="23">
        <f>销量!C13</f>
        <v>0</v>
      </c>
      <c r="D6" s="23">
        <f>销量!D13</f>
        <v>0</v>
      </c>
      <c r="E6" s="23">
        <f>销量!E11</f>
        <v>0</v>
      </c>
      <c r="F6" s="23">
        <f>销量!F11</f>
        <v>0</v>
      </c>
      <c r="G6" s="55">
        <f t="shared" ref="G6:G15" si="0">SUM(C6:F6)</f>
        <v>0</v>
      </c>
      <c r="R6" s="54" t="s">
        <v>3</v>
      </c>
      <c r="AH6" s="53" t="s">
        <v>17</v>
      </c>
      <c r="AI6" s="54" t="s">
        <v>3</v>
      </c>
      <c r="AJ6" s="49" t="s">
        <v>21</v>
      </c>
    </row>
    <row r="7" spans="1:36">
      <c r="A7" s="207">
        <v>1</v>
      </c>
      <c r="B7" s="54" t="s">
        <v>22</v>
      </c>
      <c r="C7" s="55">
        <f>C6*销量!C8</f>
        <v>0</v>
      </c>
      <c r="D7" s="55">
        <f>D6*销量!D8</f>
        <v>0</v>
      </c>
      <c r="E7" s="55">
        <f>E6*销量!E8</f>
        <v>0</v>
      </c>
      <c r="F7" s="55">
        <f>F6*销量!F8</f>
        <v>0</v>
      </c>
      <c r="G7" s="55">
        <f t="shared" si="0"/>
        <v>0</v>
      </c>
      <c r="H7" s="50"/>
      <c r="R7" s="54" t="s">
        <v>22</v>
      </c>
      <c r="AH7" s="53" t="s">
        <v>23</v>
      </c>
      <c r="AI7" s="54" t="s">
        <v>22</v>
      </c>
      <c r="AJ7" s="49" t="s">
        <v>21</v>
      </c>
    </row>
    <row r="8" spans="1:36">
      <c r="A8" s="207">
        <v>2</v>
      </c>
      <c r="B8" s="207" t="s">
        <v>24</v>
      </c>
      <c r="C8" s="55">
        <f>C7*(1-销量!$L$10)</f>
        <v>0</v>
      </c>
      <c r="D8" s="55">
        <f>D7*(1-销量!$L$10)</f>
        <v>0</v>
      </c>
      <c r="E8" s="55">
        <f>E7*(1-销量!$L$10)</f>
        <v>0</v>
      </c>
      <c r="F8" s="55">
        <f>F7*(1-销量!$L$10)</f>
        <v>0</v>
      </c>
      <c r="G8" s="55">
        <f t="shared" si="0"/>
        <v>0</v>
      </c>
      <c r="H8" s="69"/>
      <c r="R8" s="207" t="s">
        <v>26</v>
      </c>
      <c r="AH8" s="53" t="s">
        <v>25</v>
      </c>
      <c r="AI8" s="207" t="s">
        <v>26</v>
      </c>
      <c r="AJ8" s="49" t="s">
        <v>21</v>
      </c>
    </row>
    <row r="9" spans="1:36">
      <c r="A9" s="207">
        <v>3</v>
      </c>
      <c r="B9" s="54" t="s">
        <v>27</v>
      </c>
      <c r="C9" s="55">
        <f>+C7-C8</f>
        <v>0</v>
      </c>
      <c r="D9" s="55">
        <f t="shared" ref="D9:E9" si="1">+D7-D8</f>
        <v>0</v>
      </c>
      <c r="E9" s="55">
        <f t="shared" si="1"/>
        <v>0</v>
      </c>
      <c r="F9" s="55">
        <f t="shared" ref="F9" si="2">+F7-F8</f>
        <v>0</v>
      </c>
      <c r="G9" s="55">
        <f t="shared" si="0"/>
        <v>0</v>
      </c>
      <c r="R9" s="54" t="s">
        <v>27</v>
      </c>
      <c r="AH9" s="53" t="s">
        <v>28</v>
      </c>
      <c r="AI9" s="54" t="s">
        <v>27</v>
      </c>
      <c r="AJ9" s="49" t="s">
        <v>29</v>
      </c>
    </row>
    <row r="10" spans="1:36">
      <c r="A10" s="207">
        <v>4</v>
      </c>
      <c r="B10" s="53" t="s">
        <v>30</v>
      </c>
      <c r="C10" s="55">
        <f>C6*材料成本!I40</f>
        <v>0</v>
      </c>
      <c r="D10" s="55">
        <f>D6*材料成本!I41</f>
        <v>0</v>
      </c>
      <c r="E10" s="55">
        <f>E6*材料成本!I42</f>
        <v>0</v>
      </c>
      <c r="F10" s="55">
        <f>F6*材料成本!I43</f>
        <v>0</v>
      </c>
      <c r="G10" s="55">
        <f t="shared" si="0"/>
        <v>0</v>
      </c>
      <c r="R10" s="53" t="s">
        <v>30</v>
      </c>
      <c r="AH10" s="53" t="s">
        <v>31</v>
      </c>
      <c r="AI10" s="53" t="s">
        <v>30</v>
      </c>
      <c r="AJ10" s="49" t="s">
        <v>32</v>
      </c>
    </row>
    <row r="11" spans="1:36">
      <c r="A11" s="207">
        <v>5</v>
      </c>
      <c r="B11" s="53" t="s">
        <v>33</v>
      </c>
      <c r="C11" s="55">
        <f>+C6*C36</f>
        <v>0</v>
      </c>
      <c r="D11" s="55">
        <f t="shared" ref="D11:E11" si="3">+D6*D36</f>
        <v>0</v>
      </c>
      <c r="E11" s="55">
        <f t="shared" si="3"/>
        <v>0</v>
      </c>
      <c r="F11" s="55">
        <f t="shared" ref="F11" si="4">+F6*F36</f>
        <v>0</v>
      </c>
      <c r="G11" s="55">
        <f t="shared" si="0"/>
        <v>0</v>
      </c>
      <c r="R11" s="53" t="s">
        <v>33</v>
      </c>
      <c r="AH11" s="53" t="s">
        <v>34</v>
      </c>
      <c r="AI11" s="53" t="s">
        <v>33</v>
      </c>
    </row>
    <row r="12" spans="1:36">
      <c r="A12" s="207">
        <v>6</v>
      </c>
      <c r="B12" s="53" t="s">
        <v>35</v>
      </c>
      <c r="C12" s="55">
        <f>+C6*C37</f>
        <v>0</v>
      </c>
      <c r="D12" s="55">
        <f t="shared" ref="D12:E12" si="5">+D6*D37</f>
        <v>0</v>
      </c>
      <c r="E12" s="55">
        <f t="shared" si="5"/>
        <v>0</v>
      </c>
      <c r="F12" s="55">
        <f t="shared" ref="F12" si="6">+F6*F37</f>
        <v>0</v>
      </c>
      <c r="G12" s="55">
        <f t="shared" si="0"/>
        <v>0</v>
      </c>
      <c r="R12" s="53" t="s">
        <v>35</v>
      </c>
      <c r="AH12" s="53" t="s">
        <v>36</v>
      </c>
      <c r="AI12" s="53" t="s">
        <v>35</v>
      </c>
    </row>
    <row r="13" spans="1:36">
      <c r="A13" s="207">
        <v>7</v>
      </c>
      <c r="B13" s="53" t="s">
        <v>37</v>
      </c>
      <c r="C13" s="55">
        <f>+C6*C38</f>
        <v>0</v>
      </c>
      <c r="D13" s="55">
        <f t="shared" ref="D13:E13" si="7">+D6*D38</f>
        <v>0</v>
      </c>
      <c r="E13" s="55">
        <f t="shared" si="7"/>
        <v>0</v>
      </c>
      <c r="F13" s="55">
        <f t="shared" ref="F13" si="8">+F6*F38</f>
        <v>0</v>
      </c>
      <c r="G13" s="55">
        <f t="shared" si="0"/>
        <v>0</v>
      </c>
      <c r="R13" s="53" t="s">
        <v>37</v>
      </c>
      <c r="AH13" s="53" t="s">
        <v>38</v>
      </c>
      <c r="AI13" s="53" t="s">
        <v>37</v>
      </c>
      <c r="AJ13" s="49" t="s">
        <v>21</v>
      </c>
    </row>
    <row r="14" spans="1:36">
      <c r="A14" s="207">
        <v>8</v>
      </c>
      <c r="B14" s="56" t="s">
        <v>39</v>
      </c>
      <c r="C14" s="55">
        <f>SUM(C11:C13)</f>
        <v>0</v>
      </c>
      <c r="D14" s="55">
        <f t="shared" ref="D14:F14" si="9">SUM(D11:D13)</f>
        <v>0</v>
      </c>
      <c r="E14" s="55">
        <f t="shared" si="9"/>
        <v>0</v>
      </c>
      <c r="F14" s="55">
        <f t="shared" si="9"/>
        <v>0</v>
      </c>
      <c r="G14" s="55">
        <f t="shared" si="0"/>
        <v>0</v>
      </c>
      <c r="R14" s="56" t="s">
        <v>39</v>
      </c>
      <c r="AH14" s="53" t="s">
        <v>40</v>
      </c>
      <c r="AI14" s="56" t="s">
        <v>39</v>
      </c>
    </row>
    <row r="15" spans="1:36">
      <c r="A15" s="207">
        <v>9</v>
      </c>
      <c r="B15" s="56" t="s">
        <v>41</v>
      </c>
      <c r="C15" s="55">
        <f>+C9-C10-C14</f>
        <v>0</v>
      </c>
      <c r="D15" s="55">
        <f t="shared" ref="D15:F15" si="10">+D9-D10-D14</f>
        <v>0</v>
      </c>
      <c r="E15" s="55">
        <f t="shared" si="10"/>
        <v>0</v>
      </c>
      <c r="F15" s="55">
        <f t="shared" si="10"/>
        <v>0</v>
      </c>
      <c r="G15" s="55">
        <f t="shared" si="0"/>
        <v>0</v>
      </c>
      <c r="R15" s="56" t="s">
        <v>41</v>
      </c>
      <c r="AH15" s="53" t="s">
        <v>42</v>
      </c>
      <c r="AI15" s="56" t="s">
        <v>41</v>
      </c>
    </row>
    <row r="16" spans="1:36">
      <c r="A16" s="207">
        <v>10</v>
      </c>
      <c r="B16" s="53" t="s">
        <v>43</v>
      </c>
      <c r="C16" s="57" t="e">
        <f>+C15/C9</f>
        <v>#DIV/0!</v>
      </c>
      <c r="D16" s="57" t="e">
        <f t="shared" ref="D16:G16" si="11">+D15/D9</f>
        <v>#DIV/0!</v>
      </c>
      <c r="E16" s="57" t="e">
        <f t="shared" si="11"/>
        <v>#DIV/0!</v>
      </c>
      <c r="F16" s="57" t="e">
        <f t="shared" si="11"/>
        <v>#DIV/0!</v>
      </c>
      <c r="G16" s="57" t="e">
        <f t="shared" si="11"/>
        <v>#DIV/0!</v>
      </c>
      <c r="R16" s="53" t="s">
        <v>43</v>
      </c>
      <c r="AH16" s="53" t="s">
        <v>44</v>
      </c>
      <c r="AI16" s="53" t="s">
        <v>43</v>
      </c>
    </row>
    <row r="17" spans="1:36">
      <c r="A17" s="207">
        <v>11</v>
      </c>
      <c r="B17" s="53" t="s">
        <v>45</v>
      </c>
      <c r="C17" s="55" t="e">
        <f>C6*C43+C18</f>
        <v>#DIV/0!</v>
      </c>
      <c r="D17" s="55" t="e">
        <f t="shared" ref="D17:E17" si="12">D6*D43+D18</f>
        <v>#DIV/0!</v>
      </c>
      <c r="E17" s="55" t="e">
        <f t="shared" si="12"/>
        <v>#DIV/0!</v>
      </c>
      <c r="F17" s="55" t="e">
        <f t="shared" ref="F17" si="13">F6*F43+F18</f>
        <v>#DIV/0!</v>
      </c>
      <c r="G17" s="55" t="e">
        <f>SUM(C17:F17)</f>
        <v>#DIV/0!</v>
      </c>
      <c r="H17" s="69"/>
      <c r="R17" s="53" t="s">
        <v>45</v>
      </c>
      <c r="AH17" s="53" t="s">
        <v>46</v>
      </c>
      <c r="AI17" s="53" t="s">
        <v>45</v>
      </c>
    </row>
    <row r="18" spans="1:36" s="47" customFormat="1">
      <c r="A18" s="207">
        <v>12</v>
      </c>
      <c r="B18" s="58" t="s">
        <v>149</v>
      </c>
      <c r="C18" s="59" t="e">
        <f>$G$18/$G$6*C6</f>
        <v>#DIV/0!</v>
      </c>
      <c r="D18" s="59" t="e">
        <f>$G$18/$G$6*D6</f>
        <v>#DIV/0!</v>
      </c>
      <c r="E18" s="59" t="e">
        <f>$G$18/$G$6*E6</f>
        <v>#DIV/0!</v>
      </c>
      <c r="F18" s="59" t="e">
        <f>$G$18/$G$6*F6</f>
        <v>#DIV/0!</v>
      </c>
      <c r="G18" s="59">
        <f>项目投资!H26</f>
        <v>0</v>
      </c>
      <c r="H18" s="70" t="s">
        <v>150</v>
      </c>
      <c r="I18" s="70"/>
      <c r="J18" s="70"/>
    </row>
    <row r="19" spans="1:36">
      <c r="A19" s="207">
        <v>13</v>
      </c>
      <c r="B19" s="53" t="s">
        <v>47</v>
      </c>
      <c r="C19" s="55">
        <f>C6*C44</f>
        <v>0</v>
      </c>
      <c r="D19" s="55">
        <f t="shared" ref="D19:E19" si="14">D6*D44</f>
        <v>0</v>
      </c>
      <c r="E19" s="55">
        <f t="shared" si="14"/>
        <v>0</v>
      </c>
      <c r="F19" s="55">
        <f t="shared" ref="F19" si="15">F6*F44</f>
        <v>0</v>
      </c>
      <c r="G19" s="55">
        <f>SUM(C19:F19)</f>
        <v>0</v>
      </c>
      <c r="H19" s="47"/>
      <c r="R19" s="53" t="s">
        <v>47</v>
      </c>
      <c r="AH19" s="53" t="s">
        <v>48</v>
      </c>
      <c r="AI19" s="53" t="s">
        <v>47</v>
      </c>
      <c r="AJ19" s="49" t="s">
        <v>21</v>
      </c>
    </row>
    <row r="20" spans="1:36">
      <c r="A20" s="207">
        <v>14</v>
      </c>
      <c r="B20" s="53" t="s">
        <v>49</v>
      </c>
      <c r="C20" s="55">
        <f>C6*C45</f>
        <v>0</v>
      </c>
      <c r="D20" s="55">
        <f t="shared" ref="D20:E20" si="16">D6*D45</f>
        <v>0</v>
      </c>
      <c r="E20" s="55">
        <f t="shared" si="16"/>
        <v>0</v>
      </c>
      <c r="F20" s="55">
        <f t="shared" ref="F20" si="17">F6*F45</f>
        <v>0</v>
      </c>
      <c r="G20" s="55">
        <f>SUM(C20:F20)</f>
        <v>0</v>
      </c>
      <c r="R20" s="53" t="s">
        <v>49</v>
      </c>
      <c r="AH20" s="53" t="s">
        <v>50</v>
      </c>
      <c r="AI20" s="53" t="s">
        <v>49</v>
      </c>
    </row>
    <row r="21" spans="1:36">
      <c r="A21" s="207">
        <v>15</v>
      </c>
      <c r="B21" s="53" t="s">
        <v>51</v>
      </c>
      <c r="C21" s="60" t="e">
        <f>$G$21/$G$6*C6</f>
        <v>#DIV/0!</v>
      </c>
      <c r="D21" s="60" t="e">
        <f>$G$21/$G$6*D6</f>
        <v>#DIV/0!</v>
      </c>
      <c r="E21" s="60" t="e">
        <f>$G$21/$G$6*E6</f>
        <v>#DIV/0!</v>
      </c>
      <c r="F21" s="60" t="e">
        <f>$G$21/$G$6*F6</f>
        <v>#DIV/0!</v>
      </c>
      <c r="G21" s="55">
        <f>项目投资!H27</f>
        <v>0</v>
      </c>
      <c r="R21" s="53" t="s">
        <v>51</v>
      </c>
      <c r="AH21" s="53"/>
      <c r="AI21" s="53"/>
    </row>
    <row r="22" spans="1:36">
      <c r="A22" s="207">
        <v>16</v>
      </c>
      <c r="B22" s="53" t="s">
        <v>52</v>
      </c>
      <c r="C22" s="55">
        <f>C6*C47</f>
        <v>0</v>
      </c>
      <c r="D22" s="55">
        <f t="shared" ref="D22:E22" si="18">D6*D47</f>
        <v>0</v>
      </c>
      <c r="E22" s="55">
        <f t="shared" si="18"/>
        <v>0</v>
      </c>
      <c r="F22" s="55">
        <f t="shared" ref="F22" si="19">F6*F47</f>
        <v>0</v>
      </c>
      <c r="G22" s="55">
        <f>SUM(C22:F22)</f>
        <v>0</v>
      </c>
      <c r="R22" s="53" t="s">
        <v>52</v>
      </c>
      <c r="AH22" s="53" t="s">
        <v>53</v>
      </c>
      <c r="AI22" s="53" t="s">
        <v>52</v>
      </c>
    </row>
    <row r="23" spans="1:36">
      <c r="A23" s="207">
        <v>17</v>
      </c>
      <c r="B23" s="56" t="s">
        <v>54</v>
      </c>
      <c r="C23" s="60" t="e">
        <f>+C22+C21+C20+C19+C17</f>
        <v>#DIV/0!</v>
      </c>
      <c r="D23" s="60" t="e">
        <f t="shared" ref="D23:G23" si="20">+D22+D21+D20+D19+D17</f>
        <v>#DIV/0!</v>
      </c>
      <c r="E23" s="60" t="e">
        <f t="shared" si="20"/>
        <v>#DIV/0!</v>
      </c>
      <c r="F23" s="60" t="e">
        <f t="shared" si="20"/>
        <v>#DIV/0!</v>
      </c>
      <c r="G23" s="60" t="e">
        <f t="shared" si="20"/>
        <v>#DIV/0!</v>
      </c>
      <c r="R23" s="56" t="s">
        <v>54</v>
      </c>
      <c r="AH23" s="53" t="s">
        <v>55</v>
      </c>
      <c r="AI23" s="56" t="s">
        <v>54</v>
      </c>
    </row>
    <row r="24" spans="1:36">
      <c r="A24" s="207">
        <v>18</v>
      </c>
      <c r="B24" s="61" t="s">
        <v>56</v>
      </c>
      <c r="C24" s="60" t="e">
        <f>+C15-C23</f>
        <v>#DIV/0!</v>
      </c>
      <c r="D24" s="60" t="e">
        <f t="shared" ref="D24:G24" si="21">+D15-D23</f>
        <v>#DIV/0!</v>
      </c>
      <c r="E24" s="60" t="e">
        <f t="shared" si="21"/>
        <v>#DIV/0!</v>
      </c>
      <c r="F24" s="60" t="e">
        <f t="shared" si="21"/>
        <v>#DIV/0!</v>
      </c>
      <c r="G24" s="60" t="e">
        <f t="shared" si="21"/>
        <v>#DIV/0!</v>
      </c>
      <c r="I24" s="71"/>
      <c r="R24" s="53" t="s">
        <v>56</v>
      </c>
      <c r="AH24" s="53" t="s">
        <v>57</v>
      </c>
      <c r="AI24" s="53" t="s">
        <v>56</v>
      </c>
    </row>
    <row r="25" spans="1:36">
      <c r="A25" s="207">
        <v>19</v>
      </c>
      <c r="B25" s="53" t="s">
        <v>257</v>
      </c>
      <c r="C25" s="60" t="e">
        <f>IF(C24&lt;0,0,C24*0.15)</f>
        <v>#DIV/0!</v>
      </c>
      <c r="D25" s="60" t="e">
        <f>IF(D24&lt;0,0,D24*0.15)</f>
        <v>#DIV/0!</v>
      </c>
      <c r="E25" s="60" t="e">
        <f>IF(E24&lt;0,0,E24*0.15)</f>
        <v>#DIV/0!</v>
      </c>
      <c r="F25" s="60" t="e">
        <f>IF(F24&lt;0,0,F24*0.15)</f>
        <v>#DIV/0!</v>
      </c>
      <c r="G25" s="60" t="e">
        <f>IF(G24&lt;0,0,G24*0.15)</f>
        <v>#DIV/0!</v>
      </c>
      <c r="H25" s="67"/>
      <c r="I25" s="67"/>
      <c r="J25" s="67"/>
      <c r="R25" s="53" t="s">
        <v>58</v>
      </c>
      <c r="AH25" s="53" t="s">
        <v>59</v>
      </c>
      <c r="AI25" s="53" t="s">
        <v>58</v>
      </c>
    </row>
    <row r="26" spans="1:36">
      <c r="A26" s="207">
        <v>20</v>
      </c>
      <c r="B26" s="53" t="s">
        <v>60</v>
      </c>
      <c r="C26" s="60" t="e">
        <f t="shared" ref="C26:F26" si="22">C24-C25</f>
        <v>#DIV/0!</v>
      </c>
      <c r="D26" s="60" t="e">
        <f t="shared" si="22"/>
        <v>#DIV/0!</v>
      </c>
      <c r="E26" s="60" t="e">
        <f t="shared" si="22"/>
        <v>#DIV/0!</v>
      </c>
      <c r="F26" s="60" t="e">
        <f t="shared" si="22"/>
        <v>#DIV/0!</v>
      </c>
      <c r="G26" s="55" t="e">
        <f>G24-G25</f>
        <v>#DIV/0!</v>
      </c>
      <c r="H26" s="192"/>
      <c r="I26" s="67"/>
      <c r="J26" s="67"/>
      <c r="R26" s="53" t="s">
        <v>60</v>
      </c>
      <c r="AH26" s="53" t="s">
        <v>61</v>
      </c>
      <c r="AI26" s="53" t="s">
        <v>60</v>
      </c>
    </row>
    <row r="27" spans="1:36">
      <c r="A27" s="207">
        <v>21</v>
      </c>
      <c r="B27" s="53" t="s">
        <v>64</v>
      </c>
      <c r="C27" s="130" t="e">
        <f t="shared" ref="C27:G27" si="23">C26/C7</f>
        <v>#DIV/0!</v>
      </c>
      <c r="D27" s="130" t="e">
        <f t="shared" si="23"/>
        <v>#DIV/0!</v>
      </c>
      <c r="E27" s="130" t="e">
        <f t="shared" si="23"/>
        <v>#DIV/0!</v>
      </c>
      <c r="F27" s="130" t="e">
        <f t="shared" si="23"/>
        <v>#DIV/0!</v>
      </c>
      <c r="G27" s="130" t="e">
        <f t="shared" si="23"/>
        <v>#DIV/0!</v>
      </c>
      <c r="H27" s="189"/>
      <c r="I27" s="67"/>
      <c r="J27" s="67"/>
      <c r="R27" s="53" t="s">
        <v>64</v>
      </c>
      <c r="AH27" s="53" t="s">
        <v>63</v>
      </c>
      <c r="AI27" s="53" t="s">
        <v>64</v>
      </c>
    </row>
    <row r="28" spans="1:36">
      <c r="H28" s="67"/>
      <c r="I28" s="67"/>
      <c r="J28" s="67"/>
      <c r="R28" s="53"/>
    </row>
    <row r="29" spans="1:36">
      <c r="A29" s="49" t="s">
        <v>65</v>
      </c>
      <c r="G29" s="50" t="s">
        <v>151</v>
      </c>
      <c r="H29" s="67"/>
      <c r="I29" s="67"/>
      <c r="J29" s="67"/>
      <c r="R29" s="53"/>
      <c r="AH29" s="49" t="s">
        <v>65</v>
      </c>
    </row>
    <row r="30" spans="1:36">
      <c r="A30" s="53" t="s">
        <v>68</v>
      </c>
      <c r="B30" s="56" t="s">
        <v>69</v>
      </c>
      <c r="C30" s="60"/>
      <c r="D30" s="60"/>
      <c r="E30" s="60"/>
      <c r="F30" s="60"/>
      <c r="G30" s="60"/>
      <c r="H30" s="67"/>
      <c r="I30" s="67"/>
      <c r="J30" s="67"/>
      <c r="L30" s="67"/>
      <c r="R30" s="56" t="s">
        <v>69</v>
      </c>
      <c r="AH30" s="53" t="s">
        <v>70</v>
      </c>
      <c r="AI30" s="56" t="s">
        <v>69</v>
      </c>
    </row>
    <row r="31" spans="1:36">
      <c r="A31" s="207">
        <v>1</v>
      </c>
      <c r="B31" s="58" t="s">
        <v>71</v>
      </c>
      <c r="C31" s="63">
        <f>销量!C8</f>
        <v>1769.911504424779</v>
      </c>
      <c r="D31" s="63">
        <f>销量!D8</f>
        <v>575.22123893805315</v>
      </c>
      <c r="E31" s="63">
        <f>销量!E8</f>
        <v>0</v>
      </c>
      <c r="F31" s="63">
        <f>销量!F8</f>
        <v>0</v>
      </c>
      <c r="G31" s="60"/>
      <c r="H31" s="67"/>
      <c r="I31" s="67"/>
      <c r="J31" s="67"/>
      <c r="L31" s="67"/>
      <c r="R31" s="53" t="s">
        <v>71</v>
      </c>
      <c r="AH31" s="53" t="s">
        <v>23</v>
      </c>
      <c r="AI31" s="53" t="s">
        <v>71</v>
      </c>
    </row>
    <row r="32" spans="1:36">
      <c r="A32" s="207">
        <v>2</v>
      </c>
      <c r="B32" s="53" t="s">
        <v>152</v>
      </c>
      <c r="C32" s="55" t="e">
        <f>C9/C6</f>
        <v>#DIV/0!</v>
      </c>
      <c r="D32" s="55" t="e">
        <f t="shared" ref="D32:E32" si="24">D9/D6</f>
        <v>#DIV/0!</v>
      </c>
      <c r="E32" s="55" t="e">
        <f t="shared" si="24"/>
        <v>#DIV/0!</v>
      </c>
      <c r="F32" s="55" t="e">
        <f t="shared" ref="F32" si="25">F9/F6</f>
        <v>#DIV/0!</v>
      </c>
      <c r="G32" s="60"/>
      <c r="H32" s="67"/>
      <c r="I32" s="67"/>
      <c r="J32" s="67"/>
      <c r="K32" s="67"/>
      <c r="L32" s="67"/>
      <c r="M32" s="67"/>
      <c r="N32" s="67"/>
      <c r="AH32" s="53"/>
      <c r="AI32" s="53"/>
    </row>
    <row r="33" spans="1:35">
      <c r="A33" s="207">
        <v>3</v>
      </c>
      <c r="B33" s="58" t="s">
        <v>72</v>
      </c>
      <c r="C33" s="55">
        <f>材料成本!I40</f>
        <v>835.6834124999998</v>
      </c>
      <c r="D33" s="55">
        <f>材料成本!I41</f>
        <v>388.5194812499999</v>
      </c>
      <c r="E33" s="55">
        <f>材料成本!I42</f>
        <v>0</v>
      </c>
      <c r="F33" s="55">
        <f>材料成本!I43</f>
        <v>0</v>
      </c>
      <c r="G33" s="60"/>
      <c r="I33" s="67"/>
      <c r="J33" s="67"/>
      <c r="K33" s="67"/>
      <c r="L33" s="67"/>
      <c r="M33" s="67"/>
      <c r="N33" s="67"/>
      <c r="R33" s="53" t="s">
        <v>72</v>
      </c>
      <c r="AH33" s="53" t="s">
        <v>25</v>
      </c>
      <c r="AI33" s="53" t="s">
        <v>72</v>
      </c>
    </row>
    <row r="34" spans="1:35" ht="17.25" customHeight="1">
      <c r="A34" s="207">
        <v>4</v>
      </c>
      <c r="B34" s="53" t="s">
        <v>74</v>
      </c>
      <c r="C34" s="64" t="e">
        <f>C32-C33</f>
        <v>#DIV/0!</v>
      </c>
      <c r="D34" s="64" t="e">
        <f t="shared" ref="D34:E34" si="26">D32-D33</f>
        <v>#DIV/0!</v>
      </c>
      <c r="E34" s="64" t="e">
        <f t="shared" si="26"/>
        <v>#DIV/0!</v>
      </c>
      <c r="F34" s="64" t="e">
        <f t="shared" ref="F34" si="27">F32-F33</f>
        <v>#DIV/0!</v>
      </c>
      <c r="G34" s="60"/>
      <c r="I34" s="67"/>
      <c r="J34" s="67"/>
      <c r="K34" s="67"/>
      <c r="L34" s="67"/>
      <c r="M34" s="67"/>
      <c r="N34" s="67"/>
      <c r="R34" s="53" t="s">
        <v>74</v>
      </c>
      <c r="AH34" s="53" t="s">
        <v>73</v>
      </c>
      <c r="AI34" s="53" t="s">
        <v>74</v>
      </c>
    </row>
    <row r="35" spans="1:35">
      <c r="A35" s="53" t="s">
        <v>70</v>
      </c>
      <c r="B35" s="56" t="s">
        <v>9</v>
      </c>
      <c r="C35" s="60"/>
      <c r="D35" s="60"/>
      <c r="E35" s="60"/>
      <c r="F35" s="60"/>
      <c r="G35" s="60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56" t="s">
        <v>9</v>
      </c>
      <c r="AH35" s="53" t="s">
        <v>76</v>
      </c>
      <c r="AI35" s="56" t="s">
        <v>9</v>
      </c>
    </row>
    <row r="36" spans="1:35">
      <c r="A36" s="207">
        <v>1</v>
      </c>
      <c r="B36" s="53" t="s">
        <v>77</v>
      </c>
      <c r="C36" s="59">
        <f>'2022年'!C36</f>
        <v>99.504400659213019</v>
      </c>
      <c r="D36" s="59">
        <f>'2022年'!D36</f>
        <v>32.338930214244229</v>
      </c>
      <c r="E36" s="59">
        <f>'2022年'!E36</f>
        <v>0</v>
      </c>
      <c r="F36" s="59">
        <f>'2022年'!F36</f>
        <v>0</v>
      </c>
      <c r="G36" s="63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53" t="s">
        <v>77</v>
      </c>
      <c r="AH36" s="53" t="s">
        <v>73</v>
      </c>
      <c r="AI36" s="53" t="s">
        <v>77</v>
      </c>
    </row>
    <row r="37" spans="1:35">
      <c r="A37" s="207">
        <v>2</v>
      </c>
      <c r="B37" s="53" t="s">
        <v>78</v>
      </c>
      <c r="C37" s="59">
        <f>'2022年'!C37</f>
        <v>26.683167435533818</v>
      </c>
      <c r="D37" s="59">
        <f>'2022年'!D37</f>
        <v>8.6720294165484901</v>
      </c>
      <c r="E37" s="59">
        <f>'2022年'!E37</f>
        <v>0</v>
      </c>
      <c r="F37" s="59">
        <f>'2022年'!F37</f>
        <v>0</v>
      </c>
      <c r="G37" s="63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53" t="s">
        <v>78</v>
      </c>
      <c r="AH37" s="53" t="s">
        <v>28</v>
      </c>
      <c r="AI37" s="53" t="s">
        <v>78</v>
      </c>
    </row>
    <row r="38" spans="1:35">
      <c r="A38" s="207">
        <v>3</v>
      </c>
      <c r="B38" s="53" t="s">
        <v>79</v>
      </c>
      <c r="C38" s="59">
        <f>'2022年'!C38</f>
        <v>70.796460176991147</v>
      </c>
      <c r="D38" s="59">
        <f>'2022年'!D38</f>
        <v>23.008849557522122</v>
      </c>
      <c r="E38" s="59">
        <f>'2022年'!E38</f>
        <v>0</v>
      </c>
      <c r="F38" s="59">
        <f>'2022年'!F38</f>
        <v>0</v>
      </c>
      <c r="G38" s="63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53" t="s">
        <v>79</v>
      </c>
      <c r="AH38" s="53" t="s">
        <v>34</v>
      </c>
      <c r="AI38" s="53" t="s">
        <v>79</v>
      </c>
    </row>
    <row r="39" spans="1:35">
      <c r="A39" s="53" t="s">
        <v>76</v>
      </c>
      <c r="B39" s="56" t="s">
        <v>81</v>
      </c>
      <c r="C39" s="60"/>
      <c r="D39" s="60"/>
      <c r="E39" s="60"/>
      <c r="F39" s="60"/>
      <c r="G39" s="60"/>
      <c r="R39" s="56" t="s">
        <v>81</v>
      </c>
      <c r="AH39" s="53" t="s">
        <v>80</v>
      </c>
      <c r="AI39" s="56" t="s">
        <v>81</v>
      </c>
    </row>
    <row r="40" spans="1:35">
      <c r="A40" s="207">
        <v>1</v>
      </c>
      <c r="B40" s="53" t="s">
        <v>83</v>
      </c>
      <c r="C40" s="60" t="e">
        <f>C34-C36-C37-C38</f>
        <v>#DIV/0!</v>
      </c>
      <c r="D40" s="60" t="e">
        <f t="shared" ref="D40:F40" si="28">D34-D36-D37-D38</f>
        <v>#DIV/0!</v>
      </c>
      <c r="E40" s="60" t="e">
        <f t="shared" si="28"/>
        <v>#DIV/0!</v>
      </c>
      <c r="F40" s="60" t="e">
        <f t="shared" si="28"/>
        <v>#DIV/0!</v>
      </c>
      <c r="G40" s="60"/>
      <c r="R40" s="53" t="s">
        <v>83</v>
      </c>
      <c r="AH40" s="53" t="s">
        <v>23</v>
      </c>
      <c r="AI40" s="53" t="s">
        <v>83</v>
      </c>
    </row>
    <row r="41" spans="1:35">
      <c r="A41" s="207">
        <v>2</v>
      </c>
      <c r="B41" s="53" t="s">
        <v>84</v>
      </c>
      <c r="C41" s="60"/>
      <c r="D41" s="60"/>
      <c r="E41" s="60"/>
      <c r="F41" s="60"/>
      <c r="G41" s="60"/>
      <c r="R41" s="53" t="s">
        <v>84</v>
      </c>
      <c r="AH41" s="53" t="s">
        <v>25</v>
      </c>
      <c r="AI41" s="53" t="s">
        <v>84</v>
      </c>
    </row>
    <row r="42" spans="1:35">
      <c r="A42" s="53" t="s">
        <v>80</v>
      </c>
      <c r="B42" s="56" t="s">
        <v>86</v>
      </c>
      <c r="C42" s="60"/>
      <c r="D42" s="60"/>
      <c r="E42" s="60"/>
      <c r="F42" s="60"/>
      <c r="G42" s="60"/>
      <c r="R42" s="56" t="s">
        <v>86</v>
      </c>
      <c r="AH42" s="53" t="s">
        <v>85</v>
      </c>
      <c r="AI42" s="56" t="s">
        <v>86</v>
      </c>
    </row>
    <row r="43" spans="1:35">
      <c r="A43" s="207">
        <v>1</v>
      </c>
      <c r="B43" s="61" t="s">
        <v>87</v>
      </c>
      <c r="C43" s="59">
        <f>'2022年'!C43</f>
        <v>79.646017699115049</v>
      </c>
      <c r="D43" s="59">
        <f>'2022年'!D43</f>
        <v>25.884955752212392</v>
      </c>
      <c r="E43" s="59">
        <f>'2022年'!E43</f>
        <v>0</v>
      </c>
      <c r="F43" s="59">
        <f>'2022年'!F43</f>
        <v>0</v>
      </c>
      <c r="G43" s="60"/>
      <c r="R43" s="53" t="s">
        <v>87</v>
      </c>
      <c r="AH43" s="53" t="s">
        <v>23</v>
      </c>
      <c r="AI43" s="53" t="s">
        <v>87</v>
      </c>
    </row>
    <row r="44" spans="1:35">
      <c r="A44" s="207">
        <v>2</v>
      </c>
      <c r="B44" s="61" t="s">
        <v>88</v>
      </c>
      <c r="C44" s="59">
        <f>'2022年'!C44</f>
        <v>12.389380530973453</v>
      </c>
      <c r="D44" s="59">
        <f>'2022年'!D44</f>
        <v>4.0265486725663724</v>
      </c>
      <c r="E44" s="59">
        <f>'2022年'!E44</f>
        <v>0</v>
      </c>
      <c r="F44" s="59">
        <f>'2022年'!F44</f>
        <v>0</v>
      </c>
      <c r="G44" s="60"/>
      <c r="R44" s="53" t="s">
        <v>88</v>
      </c>
      <c r="AH44" s="53" t="s">
        <v>25</v>
      </c>
      <c r="AI44" s="53" t="s">
        <v>88</v>
      </c>
    </row>
    <row r="45" spans="1:35">
      <c r="A45" s="207">
        <v>3</v>
      </c>
      <c r="B45" s="61" t="s">
        <v>89</v>
      </c>
      <c r="C45" s="59">
        <f>'2022年'!C45</f>
        <v>53.097345132743364</v>
      </c>
      <c r="D45" s="59">
        <f>'2022年'!D45</f>
        <v>17.256637168141594</v>
      </c>
      <c r="E45" s="59">
        <f>'2022年'!E45</f>
        <v>0</v>
      </c>
      <c r="F45" s="59">
        <f>'2022年'!F45</f>
        <v>0</v>
      </c>
      <c r="G45" s="60"/>
      <c r="R45" s="53" t="s">
        <v>89</v>
      </c>
      <c r="AH45" s="53" t="s">
        <v>73</v>
      </c>
      <c r="AI45" s="53" t="s">
        <v>89</v>
      </c>
    </row>
    <row r="46" spans="1:35" s="48" customFormat="1">
      <c r="A46" s="207">
        <v>4</v>
      </c>
      <c r="B46" s="61" t="s">
        <v>90</v>
      </c>
      <c r="C46" s="65" t="e">
        <f>C21/C6</f>
        <v>#DIV/0!</v>
      </c>
      <c r="D46" s="65" t="e">
        <f t="shared" ref="D46:F46" si="29">D21/D6</f>
        <v>#DIV/0!</v>
      </c>
      <c r="E46" s="65" t="e">
        <f t="shared" si="29"/>
        <v>#DIV/0!</v>
      </c>
      <c r="F46" s="65" t="e">
        <f t="shared" si="29"/>
        <v>#DIV/0!</v>
      </c>
      <c r="G46" s="65"/>
      <c r="R46" s="61" t="s">
        <v>92</v>
      </c>
      <c r="AH46" s="61" t="s">
        <v>31</v>
      </c>
      <c r="AI46" s="61" t="s">
        <v>92</v>
      </c>
    </row>
    <row r="47" spans="1:35" s="48" customFormat="1">
      <c r="A47" s="207">
        <v>5</v>
      </c>
      <c r="B47" s="61" t="s">
        <v>92</v>
      </c>
      <c r="C47" s="65">
        <f>'2022年'!C47</f>
        <v>70.796460176991161</v>
      </c>
      <c r="D47" s="65">
        <f>'2022年'!D47</f>
        <v>23.008849557522126</v>
      </c>
      <c r="E47" s="65">
        <f>'2022年'!E47</f>
        <v>0</v>
      </c>
      <c r="F47" s="65">
        <f>'2022年'!F47</f>
        <v>0</v>
      </c>
      <c r="G47" s="65"/>
      <c r="R47" s="61" t="s">
        <v>92</v>
      </c>
      <c r="AH47" s="61" t="s">
        <v>31</v>
      </c>
      <c r="AI47" s="61" t="s">
        <v>92</v>
      </c>
    </row>
    <row r="48" spans="1:35">
      <c r="A48" s="53" t="s">
        <v>85</v>
      </c>
      <c r="B48" s="56" t="s">
        <v>103</v>
      </c>
      <c r="C48" s="60" t="e">
        <f>C40-C43-C44-C45-C47-C46</f>
        <v>#DIV/0!</v>
      </c>
      <c r="D48" s="60" t="e">
        <f t="shared" ref="D48:F48" si="30">D40-D43-D44-D45-D47-D46</f>
        <v>#DIV/0!</v>
      </c>
      <c r="E48" s="60" t="e">
        <f t="shared" si="30"/>
        <v>#DIV/0!</v>
      </c>
      <c r="F48" s="60" t="e">
        <f t="shared" si="30"/>
        <v>#DIV/0!</v>
      </c>
      <c r="G48" s="60"/>
      <c r="R48" s="56" t="s">
        <v>103</v>
      </c>
      <c r="AH48" s="53" t="s">
        <v>102</v>
      </c>
      <c r="AI48" s="56" t="s">
        <v>103</v>
      </c>
    </row>
    <row r="51" spans="2:12">
      <c r="C51" s="66"/>
      <c r="D51" s="66"/>
      <c r="E51" s="66"/>
      <c r="F51" s="66"/>
    </row>
    <row r="54" spans="2:12">
      <c r="B54" s="67"/>
      <c r="C54" s="68"/>
      <c r="D54" s="68"/>
      <c r="E54" s="68"/>
      <c r="F54" s="68"/>
      <c r="G54" s="68"/>
      <c r="H54" s="67"/>
      <c r="I54" s="67"/>
      <c r="J54" s="67"/>
      <c r="K54" s="67"/>
      <c r="L54" s="67"/>
    </row>
    <row r="55" spans="2:12">
      <c r="B55" s="67"/>
      <c r="C55" s="68"/>
      <c r="D55" s="68"/>
      <c r="E55" s="68"/>
      <c r="F55" s="68"/>
      <c r="G55" s="68"/>
      <c r="H55" s="67"/>
      <c r="I55" s="67"/>
      <c r="J55" s="67"/>
      <c r="K55" s="67"/>
      <c r="L55" s="67"/>
    </row>
    <row r="56" spans="2:12">
      <c r="B56" s="67"/>
      <c r="C56" s="68"/>
      <c r="D56" s="68"/>
      <c r="E56" s="68"/>
      <c r="F56" s="68"/>
      <c r="G56" s="68"/>
      <c r="H56" s="67"/>
      <c r="I56" s="67"/>
      <c r="J56" s="67"/>
      <c r="K56" s="67"/>
      <c r="L56" s="67"/>
    </row>
    <row r="57" spans="2:12">
      <c r="B57" s="67"/>
      <c r="C57" s="68"/>
      <c r="D57" s="68"/>
      <c r="E57" s="68"/>
      <c r="F57" s="68"/>
      <c r="G57" s="68"/>
      <c r="H57" s="67"/>
      <c r="I57" s="67"/>
      <c r="J57" s="67"/>
      <c r="K57" s="67"/>
      <c r="L57" s="67"/>
    </row>
    <row r="58" spans="2:12">
      <c r="B58" s="67"/>
      <c r="C58" s="68"/>
      <c r="D58" s="68"/>
      <c r="E58" s="68"/>
      <c r="F58" s="68"/>
      <c r="G58" s="68"/>
      <c r="H58" s="67"/>
      <c r="I58" s="67"/>
      <c r="J58" s="67"/>
      <c r="K58" s="67"/>
      <c r="L58" s="67"/>
    </row>
    <row r="59" spans="2:12">
      <c r="B59" s="67"/>
      <c r="C59" s="68"/>
      <c r="D59" s="68"/>
      <c r="E59" s="68"/>
      <c r="F59" s="68"/>
      <c r="G59" s="68"/>
      <c r="H59" s="67"/>
      <c r="I59" s="67"/>
      <c r="J59" s="67"/>
      <c r="K59" s="67"/>
      <c r="L59" s="67"/>
    </row>
    <row r="60" spans="2:12">
      <c r="B60" s="67"/>
      <c r="C60" s="68"/>
      <c r="D60" s="68"/>
      <c r="E60" s="68"/>
      <c r="F60" s="68"/>
      <c r="G60" s="68"/>
      <c r="H60" s="67"/>
      <c r="I60" s="67"/>
      <c r="J60" s="67"/>
      <c r="K60" s="67"/>
      <c r="L60" s="67"/>
    </row>
    <row r="61" spans="2:12">
      <c r="B61" s="67"/>
      <c r="C61" s="68"/>
      <c r="D61" s="68"/>
      <c r="E61" s="68"/>
      <c r="F61" s="68"/>
      <c r="G61" s="68"/>
      <c r="H61" s="67"/>
      <c r="I61" s="67"/>
      <c r="J61" s="67"/>
      <c r="K61" s="67"/>
      <c r="L61" s="67"/>
    </row>
    <row r="62" spans="2:12">
      <c r="B62" s="67"/>
      <c r="C62" s="68"/>
      <c r="D62" s="68"/>
      <c r="E62" s="68"/>
      <c r="F62" s="68"/>
      <c r="G62" s="68"/>
      <c r="H62" s="67"/>
      <c r="I62" s="67"/>
      <c r="J62" s="67"/>
      <c r="K62" s="67"/>
      <c r="L62" s="67"/>
    </row>
    <row r="63" spans="2:12">
      <c r="B63" s="67"/>
      <c r="C63" s="68"/>
      <c r="D63" s="68"/>
      <c r="E63" s="68"/>
      <c r="F63" s="68"/>
      <c r="G63" s="68"/>
      <c r="H63" s="67"/>
      <c r="I63" s="67"/>
      <c r="J63" s="67"/>
      <c r="K63" s="67"/>
      <c r="L63" s="67"/>
    </row>
    <row r="64" spans="2:12">
      <c r="B64" s="67"/>
      <c r="C64" s="68"/>
      <c r="D64" s="68"/>
      <c r="E64" s="68"/>
      <c r="F64" s="68"/>
      <c r="G64" s="68"/>
      <c r="H64" s="67"/>
      <c r="I64" s="67"/>
      <c r="J64" s="67"/>
      <c r="K64" s="67"/>
      <c r="L64" s="67"/>
    </row>
    <row r="65" spans="2:12">
      <c r="B65" s="67"/>
      <c r="C65" s="68"/>
      <c r="D65" s="68"/>
      <c r="E65" s="68"/>
      <c r="F65" s="68"/>
      <c r="G65" s="68"/>
      <c r="H65" s="67"/>
      <c r="I65" s="67"/>
      <c r="J65" s="67"/>
      <c r="K65" s="67"/>
      <c r="L65" s="67"/>
    </row>
    <row r="66" spans="2:12">
      <c r="B66" s="67"/>
      <c r="C66" s="68"/>
      <c r="D66" s="68"/>
      <c r="E66" s="68"/>
      <c r="F66" s="68"/>
      <c r="G66" s="68"/>
      <c r="H66" s="67"/>
      <c r="I66" s="67"/>
      <c r="J66" s="67"/>
      <c r="K66" s="67"/>
      <c r="L66" s="67"/>
    </row>
    <row r="67" spans="2:12">
      <c r="B67" s="67"/>
      <c r="C67" s="68"/>
      <c r="D67" s="68"/>
      <c r="E67" s="68"/>
      <c r="F67" s="68"/>
      <c r="G67" s="68"/>
      <c r="H67" s="67"/>
    </row>
    <row r="68" spans="2:12">
      <c r="B68" s="67"/>
      <c r="C68" s="68"/>
      <c r="D68" s="68"/>
      <c r="E68" s="68"/>
      <c r="F68" s="68"/>
      <c r="G68" s="68"/>
      <c r="H68" s="67"/>
    </row>
    <row r="69" spans="2:12">
      <c r="B69" s="67"/>
      <c r="C69" s="68"/>
      <c r="D69" s="68"/>
      <c r="E69" s="68"/>
      <c r="F69" s="68"/>
      <c r="G69" s="68"/>
      <c r="H69" s="67"/>
    </row>
    <row r="70" spans="2:12">
      <c r="B70" s="67"/>
      <c r="C70" s="68"/>
      <c r="D70" s="68"/>
      <c r="E70" s="68"/>
      <c r="F70" s="68"/>
      <c r="G70" s="68"/>
      <c r="H70" s="67"/>
    </row>
    <row r="71" spans="2:12">
      <c r="B71" s="67"/>
      <c r="C71" s="68"/>
      <c r="D71" s="68"/>
      <c r="E71" s="68"/>
      <c r="F71" s="68"/>
      <c r="G71" s="68"/>
      <c r="H71" s="67"/>
    </row>
    <row r="72" spans="2:12">
      <c r="B72" s="67"/>
      <c r="C72" s="68"/>
      <c r="D72" s="68"/>
      <c r="E72" s="68"/>
      <c r="F72" s="68"/>
      <c r="G72" s="68"/>
      <c r="H72" s="67"/>
    </row>
    <row r="73" spans="2:12">
      <c r="B73" s="67"/>
      <c r="C73" s="68"/>
      <c r="D73" s="68"/>
      <c r="E73" s="68"/>
      <c r="F73" s="68"/>
      <c r="G73" s="68"/>
      <c r="H73" s="67"/>
    </row>
    <row r="74" spans="2:12">
      <c r="B74" s="67"/>
      <c r="C74" s="68"/>
      <c r="D74" s="68"/>
      <c r="E74" s="68"/>
      <c r="F74" s="68"/>
      <c r="G74" s="68"/>
      <c r="H74" s="67"/>
    </row>
  </sheetData>
  <mergeCells count="8">
    <mergeCell ref="A1:B1"/>
    <mergeCell ref="C1:G1"/>
    <mergeCell ref="A2:B2"/>
    <mergeCell ref="C2:G2"/>
    <mergeCell ref="A3:B3"/>
    <mergeCell ref="G3:G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pane xSplit="6" ySplit="2" topLeftCell="G3" activePane="bottomRight" state="frozen"/>
      <selection pane="topRight"/>
      <selection pane="bottomLeft"/>
      <selection pane="bottomRight" activeCell="I20" sqref="I20"/>
    </sheetView>
  </sheetViews>
  <sheetFormatPr defaultColWidth="9" defaultRowHeight="13.5"/>
  <cols>
    <col min="1" max="1" width="20.625" customWidth="1"/>
    <col min="2" max="2" width="14.25" style="27" customWidth="1"/>
    <col min="3" max="3" width="13.125" customWidth="1"/>
    <col min="4" max="6" width="14.5" customWidth="1"/>
    <col min="7" max="7" width="16.375" customWidth="1"/>
    <col min="8" max="8" width="14.875" customWidth="1"/>
    <col min="9" max="9" width="18.5" customWidth="1"/>
    <col min="10" max="10" width="14.125" customWidth="1"/>
    <col min="12" max="12" width="12" customWidth="1"/>
  </cols>
  <sheetData>
    <row r="1" spans="1:13" ht="20.25">
      <c r="A1" s="275" t="s">
        <v>153</v>
      </c>
      <c r="B1" s="275"/>
      <c r="C1" s="275"/>
      <c r="E1" s="276" t="s">
        <v>277</v>
      </c>
      <c r="F1" s="277"/>
      <c r="G1" s="277"/>
      <c r="H1" s="278"/>
      <c r="J1" s="272"/>
      <c r="K1" s="272"/>
      <c r="L1" s="272"/>
      <c r="M1" s="272"/>
    </row>
    <row r="2" spans="1:13" ht="23.45" customHeight="1">
      <c r="A2" s="28" t="s">
        <v>1</v>
      </c>
      <c r="B2" s="29" t="s">
        <v>154</v>
      </c>
      <c r="C2" s="30" t="s">
        <v>155</v>
      </c>
      <c r="E2" s="1" t="s">
        <v>156</v>
      </c>
      <c r="F2" s="1" t="s">
        <v>1</v>
      </c>
      <c r="G2" s="31" t="s">
        <v>157</v>
      </c>
      <c r="H2" s="1" t="s">
        <v>155</v>
      </c>
      <c r="J2" s="195"/>
      <c r="K2" s="195"/>
      <c r="L2" s="196"/>
      <c r="M2" s="197"/>
    </row>
    <row r="3" spans="1:13" ht="15.75" customHeight="1">
      <c r="A3" s="32" t="s">
        <v>158</v>
      </c>
      <c r="B3" s="33"/>
      <c r="C3" s="34"/>
      <c r="E3" s="266" t="s">
        <v>159</v>
      </c>
      <c r="F3" s="2" t="s">
        <v>160</v>
      </c>
      <c r="G3" s="35"/>
      <c r="H3" s="2"/>
      <c r="J3" s="273"/>
      <c r="K3" s="198"/>
      <c r="L3" s="199"/>
      <c r="M3" s="198"/>
    </row>
    <row r="4" spans="1:13" ht="15.75" customHeight="1">
      <c r="A4" s="32" t="s">
        <v>161</v>
      </c>
      <c r="B4" s="33"/>
      <c r="C4" s="36"/>
      <c r="E4" s="267"/>
      <c r="F4" s="2" t="s">
        <v>162</v>
      </c>
      <c r="G4" s="35"/>
      <c r="H4" s="2"/>
      <c r="J4" s="273"/>
      <c r="K4" s="198"/>
      <c r="L4" s="199"/>
      <c r="M4" s="198"/>
    </row>
    <row r="5" spans="1:13" ht="15.75" customHeight="1">
      <c r="A5" s="32" t="s">
        <v>163</v>
      </c>
      <c r="B5" s="37">
        <f>SUM(G3:G4)</f>
        <v>0</v>
      </c>
      <c r="C5" s="34"/>
      <c r="E5" s="268" t="s">
        <v>164</v>
      </c>
      <c r="F5" s="38" t="s">
        <v>165</v>
      </c>
      <c r="G5" s="176"/>
      <c r="H5" s="191"/>
      <c r="J5" s="274"/>
      <c r="K5" s="200"/>
      <c r="L5" s="201"/>
      <c r="M5" s="200"/>
    </row>
    <row r="6" spans="1:13" ht="15.75" customHeight="1">
      <c r="A6" s="32" t="s">
        <v>166</v>
      </c>
      <c r="B6" s="33"/>
      <c r="C6" s="34"/>
      <c r="E6" s="269"/>
      <c r="F6" s="38" t="s">
        <v>167</v>
      </c>
      <c r="G6" s="176">
        <v>35</v>
      </c>
      <c r="H6" s="237" t="s">
        <v>278</v>
      </c>
      <c r="I6" s="194"/>
      <c r="J6" s="274"/>
      <c r="K6" s="200"/>
      <c r="L6" s="201"/>
      <c r="M6" s="198"/>
    </row>
    <row r="7" spans="1:13" ht="15.75" customHeight="1">
      <c r="A7" s="39" t="s">
        <v>168</v>
      </c>
      <c r="B7" s="37">
        <f>SUM(B3:B6)</f>
        <v>0</v>
      </c>
      <c r="C7" s="34"/>
      <c r="E7" s="269"/>
      <c r="F7" s="38" t="s">
        <v>169</v>
      </c>
      <c r="G7" s="176">
        <v>24</v>
      </c>
      <c r="H7" s="237"/>
      <c r="J7" s="274"/>
      <c r="K7" s="200"/>
      <c r="L7" s="201"/>
      <c r="M7" s="198"/>
    </row>
    <row r="8" spans="1:13" ht="15.75" customHeight="1">
      <c r="A8" s="40" t="s">
        <v>170</v>
      </c>
      <c r="B8" s="37">
        <f>SUM(G5:G12)</f>
        <v>92.6</v>
      </c>
      <c r="C8" s="41"/>
      <c r="E8" s="269"/>
      <c r="F8" s="38" t="s">
        <v>171</v>
      </c>
      <c r="G8" s="176"/>
      <c r="H8" s="237"/>
      <c r="J8" s="274"/>
      <c r="K8" s="200"/>
      <c r="L8" s="201"/>
      <c r="M8" s="198"/>
    </row>
    <row r="9" spans="1:13" ht="15.75" customHeight="1">
      <c r="A9" s="32" t="s">
        <v>172</v>
      </c>
      <c r="B9" s="37">
        <f>SUM(G13:G21)</f>
        <v>10.11</v>
      </c>
      <c r="C9" s="34"/>
      <c r="E9" s="269"/>
      <c r="F9" s="2" t="s">
        <v>173</v>
      </c>
      <c r="G9" s="176">
        <v>30</v>
      </c>
      <c r="H9" s="237"/>
      <c r="J9" s="274"/>
      <c r="K9" s="198"/>
      <c r="L9" s="201"/>
      <c r="M9" s="202"/>
    </row>
    <row r="10" spans="1:13" ht="15.75" customHeight="1">
      <c r="A10" s="36" t="s">
        <v>19</v>
      </c>
      <c r="B10" s="37">
        <f>B7+B8+B9</f>
        <v>102.71</v>
      </c>
      <c r="C10" s="34"/>
      <c r="E10" s="269"/>
      <c r="F10" s="2" t="s">
        <v>174</v>
      </c>
      <c r="G10" s="176">
        <v>3.6</v>
      </c>
      <c r="H10" s="237"/>
      <c r="J10" s="274"/>
      <c r="K10" s="198"/>
      <c r="L10" s="203"/>
      <c r="M10" s="198"/>
    </row>
    <row r="11" spans="1:13" ht="15.75" customHeight="1">
      <c r="E11" s="269"/>
      <c r="F11" s="2" t="s">
        <v>175</v>
      </c>
      <c r="G11" s="177"/>
      <c r="H11" s="237"/>
      <c r="J11" s="274"/>
      <c r="K11" s="198"/>
      <c r="L11" s="203"/>
      <c r="M11" s="198"/>
    </row>
    <row r="12" spans="1:13" ht="15.75" customHeight="1">
      <c r="E12" s="270"/>
      <c r="F12" s="2" t="s">
        <v>176</v>
      </c>
      <c r="G12" s="176" t="s">
        <v>124</v>
      </c>
      <c r="H12" s="237"/>
      <c r="J12" s="274"/>
      <c r="K12" s="198"/>
      <c r="L12" s="201"/>
      <c r="M12" s="202"/>
    </row>
    <row r="13" spans="1:13" ht="15.75" customHeight="1">
      <c r="E13" s="266" t="s">
        <v>51</v>
      </c>
      <c r="F13" s="2" t="s">
        <v>177</v>
      </c>
      <c r="G13" s="176"/>
      <c r="H13" s="238"/>
      <c r="J13" s="273"/>
      <c r="K13" s="198"/>
      <c r="L13" s="201"/>
      <c r="M13" s="204"/>
    </row>
    <row r="14" spans="1:13" ht="15.75" customHeight="1">
      <c r="E14" s="267"/>
      <c r="F14" s="2" t="s">
        <v>178</v>
      </c>
      <c r="G14" s="176">
        <v>1.54</v>
      </c>
      <c r="H14" s="237"/>
      <c r="J14" s="273"/>
      <c r="K14" s="198"/>
      <c r="L14" s="201"/>
      <c r="M14" s="198"/>
    </row>
    <row r="15" spans="1:13" ht="15.75" customHeight="1">
      <c r="E15" s="267"/>
      <c r="F15" s="2" t="s">
        <v>179</v>
      </c>
      <c r="G15" s="176"/>
      <c r="H15" s="237"/>
      <c r="J15" s="273"/>
      <c r="K15" s="198"/>
      <c r="L15" s="201"/>
      <c r="M15" s="198"/>
    </row>
    <row r="16" spans="1:13" ht="15.75" customHeight="1">
      <c r="E16" s="267"/>
      <c r="F16" s="2" t="s">
        <v>180</v>
      </c>
      <c r="G16" s="176">
        <v>0.75</v>
      </c>
      <c r="H16" s="237"/>
      <c r="J16" s="273"/>
      <c r="K16" s="198"/>
      <c r="L16" s="201"/>
      <c r="M16" s="198"/>
    </row>
    <row r="17" spans="1:13" ht="15.75" customHeight="1">
      <c r="E17" s="267"/>
      <c r="F17" s="2" t="s">
        <v>181</v>
      </c>
      <c r="G17" s="176">
        <v>5</v>
      </c>
      <c r="H17" s="237"/>
      <c r="J17" s="273"/>
      <c r="K17" s="198"/>
      <c r="L17" s="201"/>
      <c r="M17" s="198"/>
    </row>
    <row r="18" spans="1:13" ht="15.75" customHeight="1">
      <c r="E18" s="267"/>
      <c r="F18" s="2" t="s">
        <v>182</v>
      </c>
      <c r="G18" s="176">
        <v>1.7</v>
      </c>
      <c r="H18" s="237"/>
      <c r="J18" s="273"/>
      <c r="K18" s="198"/>
      <c r="L18" s="201"/>
      <c r="M18" s="198"/>
    </row>
    <row r="19" spans="1:13" ht="15.75" customHeight="1">
      <c r="E19" s="267"/>
      <c r="F19" s="2" t="s">
        <v>183</v>
      </c>
      <c r="G19" s="176"/>
      <c r="H19" s="237"/>
      <c r="J19" s="273"/>
      <c r="K19" s="198"/>
      <c r="L19" s="205"/>
      <c r="M19" s="198"/>
    </row>
    <row r="20" spans="1:13" ht="15.75" customHeight="1">
      <c r="E20" s="267"/>
      <c r="F20" s="2" t="s">
        <v>184</v>
      </c>
      <c r="G20" s="176">
        <v>1.1200000000000001</v>
      </c>
      <c r="H20" s="237"/>
      <c r="J20" s="273"/>
      <c r="K20" s="198"/>
      <c r="L20" s="199"/>
      <c r="M20" s="198"/>
    </row>
    <row r="21" spans="1:13" ht="15.75" customHeight="1">
      <c r="E21" s="271"/>
      <c r="F21" s="2" t="s">
        <v>131</v>
      </c>
      <c r="G21" s="176"/>
      <c r="H21" s="2"/>
      <c r="J21" s="273"/>
      <c r="K21" s="198"/>
      <c r="L21" s="199"/>
      <c r="M21" s="198"/>
    </row>
    <row r="22" spans="1:13" ht="15.75" customHeight="1">
      <c r="E22" s="1" t="s">
        <v>19</v>
      </c>
      <c r="F22" s="2"/>
      <c r="G22" s="31">
        <f>SUM(G3:G21)</f>
        <v>102.71000000000001</v>
      </c>
      <c r="H22" s="2"/>
      <c r="J22" s="273"/>
      <c r="K22" s="198"/>
      <c r="L22" s="206"/>
      <c r="M22" s="198"/>
    </row>
    <row r="23" spans="1:13" ht="30.75" customHeight="1">
      <c r="E23" s="262" t="s">
        <v>185</v>
      </c>
      <c r="F23" s="262"/>
      <c r="G23" s="262"/>
      <c r="H23" s="262"/>
    </row>
    <row r="25" spans="1:13" ht="17.25">
      <c r="A25" s="19" t="s">
        <v>1</v>
      </c>
      <c r="B25" s="19" t="s">
        <v>154</v>
      </c>
      <c r="C25" s="19" t="s">
        <v>186</v>
      </c>
      <c r="D25" s="178" t="s">
        <v>18</v>
      </c>
      <c r="E25" s="178" t="s">
        <v>187</v>
      </c>
      <c r="F25" s="178" t="s">
        <v>188</v>
      </c>
      <c r="G25" s="178" t="s">
        <v>189</v>
      </c>
      <c r="H25" s="178" t="s">
        <v>238</v>
      </c>
      <c r="I25" s="22" t="s">
        <v>19</v>
      </c>
      <c r="J25" s="45" t="s">
        <v>190</v>
      </c>
    </row>
    <row r="26" spans="1:13" ht="16.5">
      <c r="A26" s="42" t="s">
        <v>149</v>
      </c>
      <c r="B26" s="43">
        <f>(B5+B8)*10000</f>
        <v>926000</v>
      </c>
      <c r="C26" s="44">
        <v>0.05</v>
      </c>
      <c r="D26" s="13">
        <f>B26*(1-C26)/4</f>
        <v>219925</v>
      </c>
      <c r="E26" s="13">
        <f t="shared" ref="E26:F27" si="0">D26</f>
        <v>219925</v>
      </c>
      <c r="F26" s="13">
        <f t="shared" si="0"/>
        <v>219925</v>
      </c>
      <c r="G26" s="13">
        <f>F26</f>
        <v>219925</v>
      </c>
      <c r="H26" s="13"/>
      <c r="I26" s="13">
        <f>SUM(D26:H26)</f>
        <v>879700</v>
      </c>
      <c r="J26" s="13">
        <f>B26*0.05</f>
        <v>46300</v>
      </c>
    </row>
    <row r="27" spans="1:13" ht="16.5">
      <c r="A27" s="42" t="s">
        <v>191</v>
      </c>
      <c r="B27" s="43">
        <f>B9*10000</f>
        <v>101100</v>
      </c>
      <c r="C27" s="13"/>
      <c r="D27" s="13">
        <f>B27/4</f>
        <v>25275</v>
      </c>
      <c r="E27" s="13">
        <f t="shared" si="0"/>
        <v>25275</v>
      </c>
      <c r="F27" s="13">
        <f t="shared" si="0"/>
        <v>25275</v>
      </c>
      <c r="G27" s="13">
        <f>F27</f>
        <v>25275</v>
      </c>
      <c r="H27" s="13"/>
      <c r="I27" s="13">
        <f>SUM(D27:H27)</f>
        <v>101100</v>
      </c>
      <c r="J27" s="13"/>
    </row>
    <row r="28" spans="1:13" ht="16.5">
      <c r="A28" s="263" t="s">
        <v>111</v>
      </c>
      <c r="B28" s="264"/>
      <c r="C28" s="265"/>
      <c r="D28" s="13">
        <f>SUM(D26:D27)</f>
        <v>245200</v>
      </c>
      <c r="E28" s="13">
        <f t="shared" ref="E28:H28" si="1">SUM(E26:E27)</f>
        <v>245200</v>
      </c>
      <c r="F28" s="13">
        <f t="shared" si="1"/>
        <v>245200</v>
      </c>
      <c r="G28" s="13">
        <f t="shared" si="1"/>
        <v>245200</v>
      </c>
      <c r="H28" s="13">
        <f t="shared" si="1"/>
        <v>0</v>
      </c>
      <c r="I28" s="46"/>
      <c r="J28" s="46"/>
    </row>
  </sheetData>
  <mergeCells count="11">
    <mergeCell ref="J1:M1"/>
    <mergeCell ref="J3:J4"/>
    <mergeCell ref="J5:J12"/>
    <mergeCell ref="J13:J22"/>
    <mergeCell ref="A1:C1"/>
    <mergeCell ref="E1:H1"/>
    <mergeCell ref="E23:H23"/>
    <mergeCell ref="A28:C28"/>
    <mergeCell ref="E3:E4"/>
    <mergeCell ref="E5:E12"/>
    <mergeCell ref="E13:E21"/>
  </mergeCells>
  <phoneticPr fontId="3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7</vt:i4>
      </vt:variant>
    </vt:vector>
  </HeadingPairs>
  <TitlesOfParts>
    <vt:vector size="21" baseType="lpstr">
      <vt:lpstr>假设条件</vt:lpstr>
      <vt:lpstr>损益表</vt:lpstr>
      <vt:lpstr>现金</vt:lpstr>
      <vt:lpstr>2022年</vt:lpstr>
      <vt:lpstr>2023年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  <vt:lpstr>附加值</vt:lpstr>
      <vt:lpstr>'2022年'!Print_Area</vt:lpstr>
      <vt:lpstr>'2023年'!Print_Area</vt:lpstr>
      <vt:lpstr>'2024年'!Print_Area</vt:lpstr>
      <vt:lpstr>'2025年'!Print_Area</vt:lpstr>
      <vt:lpstr>'2026年'!Print_Area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User</cp:lastModifiedBy>
  <dcterms:created xsi:type="dcterms:W3CDTF">2006-09-13T11:21:00Z</dcterms:created>
  <dcterms:modified xsi:type="dcterms:W3CDTF">2022-04-25T01:56:21Z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