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成本构成" sheetId="4" r:id="rId1"/>
    <sheet name="原材料成本" sheetId="1" r:id="rId2"/>
    <sheet name="外购件成本" sheetId="6" r:id="rId3"/>
    <sheet name="制造费工时费" sheetId="2" r:id="rId4"/>
    <sheet name="包装费运费" sheetId="7" r:id="rId5"/>
    <sheet name="顺丰费用明细" sheetId="9" r:id="rId6"/>
    <sheet name="专用费用" sheetId="8" r:id="rId7"/>
  </sheets>
  <definedNames>
    <definedName name="_xlnm.Print_Area" localSheetId="1">原材料成本!$A$1:$P$11</definedName>
    <definedName name="_xlnm.Print_Area" localSheetId="2">外购件成本!$A$3:$O$28</definedName>
    <definedName name="_xlnm.Print_Area" localSheetId="3">制造费工时费!$A$3:$P$12</definedName>
    <definedName name="_xlnm.Print_Area" localSheetId="0">成本构成!$B$3:$H$21</definedName>
    <definedName name="_xlnm.Print_Area" localSheetId="4">包装费运费!$A$1:$P$15</definedName>
    <definedName name="_xlnm.Print_Area" localSheetId="6">专用费用!#REF!</definedName>
  </definedNames>
  <calcPr calcId="144525"/>
</workbook>
</file>

<file path=xl/comments1.xml><?xml version="1.0" encoding="utf-8"?>
<comments xmlns="http://schemas.openxmlformats.org/spreadsheetml/2006/main">
  <authors>
    <author>Huawei</author>
  </authors>
  <commentList>
    <comment ref="F6" authorId="0">
      <text>
        <r>
          <rPr>
            <b/>
            <sz val="14"/>
            <rFont val="宋体"/>
            <charset val="134"/>
          </rPr>
          <t>原材料价格是2021年2月25日当日价格</t>
        </r>
      </text>
    </comment>
  </commentList>
</comments>
</file>

<file path=xl/comments2.xml><?xml version="1.0" encoding="utf-8"?>
<comments xmlns="http://schemas.openxmlformats.org/spreadsheetml/2006/main">
  <authors>
    <author>Huawei</author>
  </authors>
  <commentList>
    <comment ref="B5" authorId="0">
      <text>
        <r>
          <rPr>
            <sz val="9"/>
            <rFont val="宋体"/>
            <charset val="134"/>
          </rPr>
          <t>零部件名称的填写顺序要按照原材料成本中的零件顺序来填写</t>
        </r>
      </text>
    </comment>
    <comment ref="M5" authorId="0">
      <text>
        <r>
          <rPr>
            <sz val="9"/>
            <rFont val="宋体"/>
            <charset val="134"/>
          </rPr>
          <t>按照10年折旧</t>
        </r>
      </text>
    </comment>
    <comment ref="N5" authorId="0">
      <text>
        <r>
          <rPr>
            <sz val="12"/>
            <rFont val="宋体"/>
            <charset val="134"/>
          </rPr>
          <t xml:space="preserve">设备耗电费用
</t>
        </r>
      </text>
    </comment>
    <comment ref="O5" authorId="0">
      <text>
        <r>
          <rPr>
            <b/>
            <sz val="12"/>
            <rFont val="宋体"/>
            <charset val="134"/>
          </rPr>
          <t>含机修维护费用、空压机、水费、场地占用费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Huawei</author>
  </authors>
  <commentList>
    <comment ref="C11" authorId="0">
      <text>
        <r>
          <rPr>
            <b/>
            <sz val="9"/>
            <rFont val="宋体"/>
            <charset val="134"/>
          </rPr>
          <t>Huawei:</t>
        </r>
        <r>
          <rPr>
            <sz val="9"/>
            <rFont val="宋体"/>
            <charset val="134"/>
          </rPr>
          <t xml:space="preserve">
详见顺丰费用明细</t>
        </r>
      </text>
    </comment>
  </commentList>
</comments>
</file>

<file path=xl/sharedStrings.xml><?xml version="1.0" encoding="utf-8"?>
<sst xmlns="http://schemas.openxmlformats.org/spreadsheetml/2006/main" count="226" uniqueCount="194">
  <si>
    <t>激光割产品报价单</t>
  </si>
  <si>
    <t>产品名称</t>
  </si>
  <si>
    <t>H4-2.1新开扶手支架总成</t>
  </si>
  <si>
    <t>序号</t>
  </si>
  <si>
    <t>项目</t>
  </si>
  <si>
    <t>价格(未税/元)</t>
  </si>
  <si>
    <t>占比</t>
  </si>
  <si>
    <t>项目定义</t>
  </si>
  <si>
    <t>客户件号</t>
  </si>
  <si>
    <t>①</t>
  </si>
  <si>
    <t>原材料</t>
  </si>
  <si>
    <t>占生产成本百分比</t>
  </si>
  <si>
    <t>报价单位</t>
  </si>
  <si>
    <t>湖北伟士通汽车零件有限公司</t>
  </si>
  <si>
    <t>②</t>
  </si>
  <si>
    <t>外购件</t>
  </si>
  <si>
    <t>③</t>
  </si>
  <si>
    <t>制造费用</t>
  </si>
  <si>
    <t>占生产成本百分比（固定板激光割）</t>
  </si>
  <si>
    <t>④</t>
  </si>
  <si>
    <t>人工费用</t>
  </si>
  <si>
    <t>⑤</t>
  </si>
  <si>
    <t>生产成本</t>
  </si>
  <si>
    <t>生产成本⑤=①+②+③+④</t>
  </si>
  <si>
    <t>⑥</t>
  </si>
  <si>
    <t>财务费用</t>
  </si>
  <si>
    <t>生产成本*3%</t>
  </si>
  <si>
    <t>⑦</t>
  </si>
  <si>
    <t>管理费用</t>
  </si>
  <si>
    <t>生产成本*6%</t>
  </si>
  <si>
    <t>⑧</t>
  </si>
  <si>
    <t>配送费用</t>
  </si>
  <si>
    <t>生产成本*0%</t>
  </si>
  <si>
    <t>⑨</t>
  </si>
  <si>
    <t>销售费用</t>
  </si>
  <si>
    <t>生产成本*1%</t>
  </si>
  <si>
    <t>⑩</t>
  </si>
  <si>
    <t>产品利润</t>
  </si>
  <si>
    <t>生产成本*7%</t>
  </si>
  <si>
    <t>⑪</t>
  </si>
  <si>
    <t>出厂价</t>
  </si>
  <si>
    <t>出厂价⑩=⑤+⑥+⑦+⑧+⑨</t>
  </si>
  <si>
    <t>⑫</t>
  </si>
  <si>
    <t>包装费</t>
  </si>
  <si>
    <t>木托盘+纸箱</t>
  </si>
  <si>
    <t>⑬</t>
  </si>
  <si>
    <t>运输费</t>
  </si>
  <si>
    <t>含到厂送货费 顺丰快递</t>
  </si>
  <si>
    <t>⑭</t>
  </si>
  <si>
    <t>销售价格</t>
  </si>
  <si>
    <t>销售价⑭ =⑪ +⑫ +⑬ 不含模摊</t>
  </si>
  <si>
    <t>⑮</t>
  </si>
  <si>
    <t>专用费用</t>
  </si>
  <si>
    <t>详见明细，分摊协商确定</t>
  </si>
  <si>
    <t>备注：1、报价单中的价格均未税价格；2、原材料价格2022年3月18日价格</t>
  </si>
  <si>
    <t>原材料费用明细</t>
  </si>
  <si>
    <t>填报时间：</t>
  </si>
  <si>
    <t>核对时间：</t>
  </si>
  <si>
    <t>填报要求：</t>
  </si>
  <si>
    <t>行高：65磅；图片高度：2厘米；所有字体：宋体；标题字大小：12磅；内容字大小：11磅；黑色为计算得出；红色为直接输入</t>
  </si>
  <si>
    <t>填报人：</t>
  </si>
  <si>
    <t>核对人：</t>
  </si>
  <si>
    <t>原材料询价时间：</t>
  </si>
  <si>
    <t>物料名称</t>
  </si>
  <si>
    <t>简图</t>
  </si>
  <si>
    <t>产品净重/Kg</t>
  </si>
  <si>
    <t>材料利用率</t>
  </si>
  <si>
    <t>材料含税单价元/Kg</t>
  </si>
  <si>
    <t>废料单价元/Kg</t>
  </si>
  <si>
    <t>材料成本</t>
  </si>
  <si>
    <t>原材料利用率核算</t>
  </si>
  <si>
    <t>材质</t>
  </si>
  <si>
    <t>料片厚/mm</t>
  </si>
  <si>
    <t>料片长/mm</t>
  </si>
  <si>
    <t>料片宽/mm</t>
  </si>
  <si>
    <t>料片重/kg</t>
  </si>
  <si>
    <t>料片出件数</t>
  </si>
  <si>
    <t>利用率</t>
  </si>
  <si>
    <t>扶手支架</t>
  </si>
  <si>
    <t>综上，原材料费用合计（未税）</t>
  </si>
  <si>
    <t>外购件费用明细</t>
  </si>
  <si>
    <t>用量</t>
  </si>
  <si>
    <t>未税单价</t>
  </si>
  <si>
    <t>材料采购成本</t>
  </si>
  <si>
    <t>外购厂家</t>
  </si>
  <si>
    <t>外购件规格要求说明</t>
  </si>
  <si>
    <t>销轴</t>
  </si>
  <si>
    <t>焊丝</t>
  </si>
  <si>
    <t>二氧化碳</t>
  </si>
  <si>
    <t>综上，外购件费用合计（未税）</t>
  </si>
  <si>
    <t>制造费用、人工费用明细</t>
  </si>
  <si>
    <t>零部件名称</t>
  </si>
  <si>
    <t>工序名称</t>
  </si>
  <si>
    <t>单件加工时间/秒</t>
  </si>
  <si>
    <t>操作人数</t>
  </si>
  <si>
    <t>班产时间/小时</t>
  </si>
  <si>
    <t>班产量/件</t>
  </si>
  <si>
    <t>工种定额元/天</t>
  </si>
  <si>
    <t>工时费用合计</t>
  </si>
  <si>
    <t>使用设备</t>
  </si>
  <si>
    <t>设备吨位</t>
  </si>
  <si>
    <t>设备功率KW</t>
  </si>
  <si>
    <t>设备折旧费</t>
  </si>
  <si>
    <t>燃动费</t>
  </si>
  <si>
    <t>辅助费用</t>
  </si>
  <si>
    <t>设备费用合计</t>
  </si>
  <si>
    <t>剪板机剪板</t>
  </si>
  <si>
    <t>剪板机</t>
  </si>
  <si>
    <t>8*2000</t>
  </si>
  <si>
    <t>落料</t>
  </si>
  <si>
    <t>激光割</t>
  </si>
  <si>
    <t>激光切割机</t>
  </si>
  <si>
    <t>成型1</t>
  </si>
  <si>
    <t>冲床</t>
  </si>
  <si>
    <t>110T</t>
  </si>
  <si>
    <t>焊接销轴</t>
  </si>
  <si>
    <t>焊机</t>
  </si>
  <si>
    <t>OTC</t>
  </si>
  <si>
    <t>总成全检</t>
  </si>
  <si>
    <t>打包装箱</t>
  </si>
  <si>
    <t>打包机</t>
  </si>
  <si>
    <t>人工费用合计</t>
  </si>
  <si>
    <t>激光割单件费用</t>
  </si>
  <si>
    <t>单价</t>
  </si>
  <si>
    <t>料厚m</t>
  </si>
  <si>
    <t>固定板周长m</t>
  </si>
  <si>
    <t>总周长加内孔的是：435MM(见上图)</t>
  </si>
  <si>
    <t>激光割费用=料厚*周长*单价</t>
  </si>
  <si>
    <t>包装、运费明细</t>
  </si>
  <si>
    <t>价格核算</t>
  </si>
  <si>
    <t>包装方式</t>
  </si>
  <si>
    <t>纸箱费用</t>
  </si>
  <si>
    <t>每箱数量</t>
  </si>
  <si>
    <t>单件/Kg</t>
  </si>
  <si>
    <t>每箱50个重量</t>
  </si>
  <si>
    <t>每箱30个重量</t>
  </si>
  <si>
    <t>气泡袋</t>
  </si>
  <si>
    <t>每根用量</t>
  </si>
  <si>
    <t>包装费用合计</t>
  </si>
  <si>
    <t>运费</t>
  </si>
  <si>
    <t>每根重量</t>
  </si>
  <si>
    <t>每箱单价</t>
  </si>
  <si>
    <t>运费单价</t>
  </si>
  <si>
    <t>十堰到黄骅每公斤运费</t>
  </si>
  <si>
    <t>每次发货3000个总重/Kg</t>
  </si>
  <si>
    <t>每次送货费</t>
  </si>
  <si>
    <t>单个运费</t>
  </si>
  <si>
    <t>顺丰运费</t>
  </si>
  <si>
    <t>即每吨500元</t>
  </si>
  <si>
    <t>运费合计</t>
  </si>
  <si>
    <t>H4扶手支架总成发货明细</t>
  </si>
  <si>
    <t>名称</t>
  </si>
  <si>
    <t>日期</t>
  </si>
  <si>
    <t>发货数量</t>
  </si>
  <si>
    <t>备注</t>
  </si>
  <si>
    <t>费用</t>
  </si>
  <si>
    <t>扶手支架总成
SHT0014336</t>
  </si>
  <si>
    <t>顺丰快递</t>
  </si>
  <si>
    <t>顺丰快递（加急）</t>
  </si>
  <si>
    <t>合计</t>
  </si>
  <si>
    <t>小计（元）</t>
  </si>
  <si>
    <t>平均运费</t>
  </si>
  <si>
    <t>H4-2.1新开扶手支架模具报价-2022-03-17</t>
  </si>
  <si>
    <t>NO</t>
  </si>
  <si>
    <t>零件图号</t>
  </si>
  <si>
    <t>图片</t>
  </si>
  <si>
    <t>单车数</t>
  </si>
  <si>
    <t>材料信息</t>
  </si>
  <si>
    <t>零件净重/KG</t>
  </si>
  <si>
    <t>零件尺寸</t>
  </si>
  <si>
    <t>工序</t>
  </si>
  <si>
    <t>数量</t>
  </si>
  <si>
    <t>模具报价参数</t>
  </si>
  <si>
    <t>模具吨价/
元</t>
  </si>
  <si>
    <t>模具总价
/
元
（未税）</t>
  </si>
  <si>
    <t>长/mm</t>
  </si>
  <si>
    <t>宽/mm</t>
  </si>
  <si>
    <t>高/mm</t>
  </si>
  <si>
    <t>系数</t>
  </si>
  <si>
    <t>重量/T</t>
  </si>
  <si>
    <t>1</t>
  </si>
  <si>
    <t>SHT0014367</t>
  </si>
  <si>
    <t>SPFH590 T=3.0      利用率65%</t>
  </si>
  <si>
    <t>0.16KG</t>
  </si>
  <si>
    <t>92*86</t>
  </si>
  <si>
    <t>OP10</t>
  </si>
  <si>
    <t>OP20</t>
  </si>
  <si>
    <t>切断成型</t>
  </si>
  <si>
    <t>OP30</t>
  </si>
  <si>
    <t>修边冲孔</t>
  </si>
  <si>
    <t>零件检具</t>
  </si>
  <si>
    <t>2</t>
  </si>
  <si>
    <t>焊接工装</t>
  </si>
  <si>
    <t>总成检具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</si>
</sst>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  <numFmt numFmtId="43" formatCode="_ * #,##0.00_ ;_ * \-#,##0.00_ ;_ * &quot;-&quot;??_ ;_ @_ "/>
    <numFmt numFmtId="177" formatCode="0.00_ "/>
    <numFmt numFmtId="178" formatCode="0.000_ "/>
  </numFmts>
  <fonts count="54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sz val="11"/>
      <name val="宋体"/>
      <charset val="134"/>
    </font>
    <font>
      <b/>
      <sz val="24"/>
      <name val="宋体"/>
      <charset val="134"/>
      <scheme val="major"/>
    </font>
    <font>
      <b/>
      <sz val="12"/>
      <name val="宋体"/>
      <charset val="134"/>
      <scheme val="major"/>
    </font>
    <font>
      <b/>
      <sz val="8"/>
      <name val="宋体"/>
      <charset val="134"/>
      <scheme val="major"/>
    </font>
    <font>
      <sz val="11"/>
      <color indexed="8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sz val="12"/>
      <name val="宋体"/>
      <charset val="134"/>
    </font>
    <font>
      <sz val="11"/>
      <color indexed="8"/>
      <name val="微软雅黑"/>
      <charset val="134"/>
    </font>
    <font>
      <sz val="20"/>
      <color indexed="8"/>
      <name val="微软雅黑"/>
      <charset val="134"/>
    </font>
    <font>
      <sz val="14"/>
      <color indexed="8"/>
      <name val="微软雅黑"/>
      <charset val="134"/>
    </font>
    <font>
      <sz val="12"/>
      <color indexed="8"/>
      <name val="微软雅黑"/>
      <charset val="134"/>
    </font>
    <font>
      <b/>
      <sz val="16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6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8"/>
      <color rgb="FFFF0000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u/>
      <sz val="12"/>
      <color rgb="FF800080"/>
      <name val="宋体"/>
      <charset val="0"/>
      <scheme val="minor"/>
    </font>
    <font>
      <u/>
      <sz val="12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b/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2" borderId="4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8" borderId="44" applyNumberFormat="0" applyFont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45" applyNumberFormat="0" applyFill="0" applyAlignment="0" applyProtection="0">
      <alignment vertical="center"/>
    </xf>
    <xf numFmtId="0" fontId="42" fillId="0" borderId="45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6" fillId="0" borderId="43" applyNumberFormat="0" applyFill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43" fillId="23" borderId="46" applyNumberFormat="0" applyAlignment="0" applyProtection="0">
      <alignment vertical="center"/>
    </xf>
    <xf numFmtId="0" fontId="44" fillId="23" borderId="42" applyNumberFormat="0" applyAlignment="0" applyProtection="0">
      <alignment vertical="center"/>
    </xf>
    <xf numFmtId="0" fontId="45" fillId="25" borderId="47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0" fillId="0" borderId="41" applyNumberFormat="0" applyFill="0" applyAlignment="0" applyProtection="0">
      <alignment vertical="center"/>
    </xf>
    <xf numFmtId="0" fontId="47" fillId="0" borderId="48" applyNumberFormat="0" applyFill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</cellStyleXfs>
  <cellXfs count="213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2" borderId="1" xfId="50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Alignment="1"/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58" fontId="10" fillId="0" borderId="1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7" fontId="10" fillId="3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177" fontId="15" fillId="4" borderId="1" xfId="0" applyNumberFormat="1" applyFont="1" applyFill="1" applyBorder="1" applyAlignment="1">
      <alignment horizontal="center" vertical="center"/>
    </xf>
    <xf numFmtId="177" fontId="17" fillId="0" borderId="11" xfId="0" applyNumberFormat="1" applyFont="1" applyBorder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177" fontId="15" fillId="0" borderId="11" xfId="0" applyNumberFormat="1" applyFont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177" fontId="18" fillId="0" borderId="14" xfId="0" applyNumberFormat="1" applyFont="1" applyBorder="1" applyAlignment="1">
      <alignment horizontal="center" vertical="center"/>
    </xf>
    <xf numFmtId="177" fontId="18" fillId="0" borderId="15" xfId="0" applyNumberFormat="1" applyFont="1" applyBorder="1" applyAlignment="1">
      <alignment horizontal="center" vertical="center"/>
    </xf>
    <xf numFmtId="177" fontId="18" fillId="0" borderId="16" xfId="0" applyNumberFormat="1" applyFont="1" applyBorder="1" applyAlignment="1">
      <alignment horizontal="center" vertical="center"/>
    </xf>
    <xf numFmtId="177" fontId="18" fillId="0" borderId="0" xfId="0" applyNumberFormat="1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20" fillId="3" borderId="11" xfId="0" applyNumberFormat="1" applyFont="1" applyFill="1" applyBorder="1" applyAlignment="1">
      <alignment horizontal="center" vertical="center"/>
    </xf>
    <xf numFmtId="177" fontId="20" fillId="3" borderId="0" xfId="0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20" fillId="0" borderId="11" xfId="0" applyNumberFormat="1" applyFont="1" applyBorder="1" applyAlignment="1">
      <alignment horizontal="center" vertical="center"/>
    </xf>
    <xf numFmtId="177" fontId="20" fillId="0" borderId="0" xfId="0" applyNumberFormat="1" applyFont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178" fontId="18" fillId="0" borderId="19" xfId="0" applyNumberFormat="1" applyFont="1" applyBorder="1" applyAlignment="1">
      <alignment horizontal="center" vertical="center"/>
    </xf>
    <xf numFmtId="178" fontId="18" fillId="0" borderId="20" xfId="0" applyNumberFormat="1" applyFont="1" applyBorder="1" applyAlignment="1">
      <alignment horizontal="center" vertical="center"/>
    </xf>
    <xf numFmtId="178" fontId="18" fillId="0" borderId="21" xfId="0" applyNumberFormat="1" applyFont="1" applyBorder="1" applyAlignment="1">
      <alignment horizontal="center" vertical="center"/>
    </xf>
    <xf numFmtId="178" fontId="18" fillId="0" borderId="0" xfId="0" applyNumberFormat="1" applyFont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0" fontId="0" fillId="0" borderId="2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0" borderId="24" xfId="0" applyFont="1" applyBorder="1" applyAlignment="1">
      <alignment horizontal="right" vertical="center"/>
    </xf>
    <xf numFmtId="0" fontId="14" fillId="0" borderId="20" xfId="0" applyFont="1" applyBorder="1" applyAlignment="1">
      <alignment horizontal="right" vertical="center"/>
    </xf>
    <xf numFmtId="0" fontId="14" fillId="0" borderId="25" xfId="0" applyFont="1" applyBorder="1" applyAlignment="1">
      <alignment horizontal="right" vertical="center"/>
    </xf>
    <xf numFmtId="177" fontId="22" fillId="0" borderId="7" xfId="0" applyNumberFormat="1" applyFont="1" applyBorder="1" applyAlignment="1">
      <alignment horizontal="center" vertical="center" wrapText="1"/>
    </xf>
    <xf numFmtId="177" fontId="22" fillId="0" borderId="8" xfId="0" applyNumberFormat="1" applyFont="1" applyBorder="1" applyAlignment="1">
      <alignment horizontal="center" vertical="center" wrapText="1"/>
    </xf>
    <xf numFmtId="177" fontId="0" fillId="0" borderId="11" xfId="0" applyNumberFormat="1" applyBorder="1" applyAlignment="1">
      <alignment horizontal="center" vertical="center"/>
    </xf>
    <xf numFmtId="177" fontId="0" fillId="3" borderId="11" xfId="0" applyNumberFormat="1" applyFill="1" applyBorder="1" applyAlignment="1">
      <alignment horizontal="center" vertical="center"/>
    </xf>
    <xf numFmtId="177" fontId="23" fillId="0" borderId="18" xfId="0" applyNumberFormat="1" applyFont="1" applyBorder="1" applyAlignment="1">
      <alignment horizontal="center" vertical="center"/>
    </xf>
    <xf numFmtId="0" fontId="14" fillId="0" borderId="19" xfId="0" applyFont="1" applyBorder="1" applyAlignment="1">
      <alignment horizontal="right" vertical="center"/>
    </xf>
    <xf numFmtId="177" fontId="22" fillId="0" borderId="2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77" fontId="20" fillId="0" borderId="0" xfId="0" applyNumberFormat="1" applyFont="1" applyAlignment="1">
      <alignment horizontal="center" vertical="center" wrapText="1"/>
    </xf>
    <xf numFmtId="178" fontId="20" fillId="0" borderId="0" xfId="0" applyNumberFormat="1" applyFont="1" applyAlignment="1">
      <alignment horizontal="center" vertical="center" wrapText="1"/>
    </xf>
    <xf numFmtId="178" fontId="0" fillId="0" borderId="0" xfId="0" applyNumberForma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 wrapText="1"/>
    </xf>
    <xf numFmtId="177" fontId="21" fillId="0" borderId="7" xfId="0" applyNumberFormat="1" applyFont="1" applyBorder="1" applyAlignment="1">
      <alignment horizontal="left" vertical="center"/>
    </xf>
    <xf numFmtId="178" fontId="22" fillId="0" borderId="7" xfId="0" applyNumberFormat="1" applyFont="1" applyBorder="1" applyAlignment="1">
      <alignment horizontal="left" vertical="center"/>
    </xf>
    <xf numFmtId="178" fontId="20" fillId="0" borderId="7" xfId="0" applyNumberFormat="1" applyFont="1" applyBorder="1" applyAlignment="1">
      <alignment horizontal="center" vertical="center" wrapText="1"/>
    </xf>
    <xf numFmtId="178" fontId="21" fillId="0" borderId="7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77" fontId="21" fillId="0" borderId="14" xfId="0" applyNumberFormat="1" applyFont="1" applyBorder="1" applyAlignment="1">
      <alignment horizontal="left" vertical="center" wrapText="1"/>
    </xf>
    <xf numFmtId="178" fontId="22" fillId="0" borderId="12" xfId="0" applyNumberFormat="1" applyFont="1" applyBorder="1" applyAlignment="1">
      <alignment horizontal="left" vertical="center" wrapText="1"/>
    </xf>
    <xf numFmtId="178" fontId="20" fillId="0" borderId="1" xfId="0" applyNumberFormat="1" applyFont="1" applyBorder="1" applyAlignment="1">
      <alignment horizontal="center" vertical="center" wrapText="1"/>
    </xf>
    <xf numFmtId="178" fontId="21" fillId="0" borderId="1" xfId="0" applyNumberFormat="1" applyFont="1" applyBorder="1" applyAlignment="1">
      <alignment horizontal="center" vertical="center" wrapText="1"/>
    </xf>
    <xf numFmtId="177" fontId="21" fillId="0" borderId="28" xfId="0" applyNumberFormat="1" applyFont="1" applyBorder="1" applyAlignment="1">
      <alignment horizontal="left" vertical="center" wrapText="1"/>
    </xf>
    <xf numFmtId="178" fontId="22" fillId="0" borderId="13" xfId="0" applyNumberFormat="1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77" fontId="24" fillId="0" borderId="1" xfId="0" applyNumberFormat="1" applyFont="1" applyBorder="1" applyAlignment="1">
      <alignment horizontal="center" vertical="center" wrapText="1"/>
    </xf>
    <xf numFmtId="178" fontId="24" fillId="0" borderId="1" xfId="0" applyNumberFormat="1" applyFont="1" applyBorder="1" applyAlignment="1">
      <alignment horizontal="center" vertical="center" wrapText="1"/>
    </xf>
    <xf numFmtId="178" fontId="24" fillId="0" borderId="14" xfId="0" applyNumberFormat="1" applyFont="1" applyBorder="1" applyAlignment="1">
      <alignment horizontal="center" vertical="center" wrapText="1"/>
    </xf>
    <xf numFmtId="178" fontId="24" fillId="0" borderId="15" xfId="0" applyNumberFormat="1" applyFont="1" applyBorder="1" applyAlignment="1">
      <alignment horizontal="center" vertical="center" wrapText="1"/>
    </xf>
    <xf numFmtId="178" fontId="24" fillId="0" borderId="1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77" fontId="20" fillId="0" borderId="1" xfId="0" applyNumberFormat="1" applyFont="1" applyBorder="1" applyAlignment="1">
      <alignment horizontal="center" vertical="center" wrapText="1"/>
    </xf>
    <xf numFmtId="177" fontId="26" fillId="0" borderId="28" xfId="0" applyNumberFormat="1" applyFont="1" applyBorder="1" applyAlignment="1">
      <alignment horizontal="center" vertical="center" wrapText="1"/>
    </xf>
    <xf numFmtId="177" fontId="26" fillId="0" borderId="29" xfId="0" applyNumberFormat="1" applyFont="1" applyBorder="1" applyAlignment="1">
      <alignment horizontal="center" vertical="center" wrapText="1"/>
    </xf>
    <xf numFmtId="177" fontId="26" fillId="0" borderId="13" xfId="0" applyNumberFormat="1" applyFont="1" applyBorder="1" applyAlignment="1">
      <alignment horizontal="center" vertical="center" wrapText="1"/>
    </xf>
    <xf numFmtId="0" fontId="19" fillId="0" borderId="24" xfId="0" applyFont="1" applyBorder="1" applyAlignment="1">
      <alignment horizontal="right" vertical="center" wrapText="1"/>
    </xf>
    <xf numFmtId="0" fontId="19" fillId="0" borderId="20" xfId="0" applyFont="1" applyBorder="1" applyAlignment="1">
      <alignment horizontal="right" vertical="center" wrapText="1"/>
    </xf>
    <xf numFmtId="0" fontId="19" fillId="0" borderId="25" xfId="0" applyFont="1" applyBorder="1" applyAlignment="1">
      <alignment horizontal="right" vertical="center" wrapText="1"/>
    </xf>
    <xf numFmtId="177" fontId="26" fillId="0" borderId="30" xfId="0" applyNumberFormat="1" applyFont="1" applyBorder="1" applyAlignment="1">
      <alignment horizontal="center" vertical="center" wrapText="1"/>
    </xf>
    <xf numFmtId="177" fontId="26" fillId="0" borderId="27" xfId="0" applyNumberFormat="1" applyFont="1" applyBorder="1" applyAlignment="1">
      <alignment horizontal="center" vertical="center" wrapText="1"/>
    </xf>
    <xf numFmtId="177" fontId="26" fillId="0" borderId="31" xfId="0" applyNumberFormat="1" applyFont="1" applyBorder="1" applyAlignment="1">
      <alignment horizontal="center" vertical="center" wrapText="1"/>
    </xf>
    <xf numFmtId="178" fontId="0" fillId="0" borderId="7" xfId="0" applyNumberFormat="1" applyBorder="1" applyAlignment="1">
      <alignment horizontal="left" vertical="top" wrapText="1"/>
    </xf>
    <xf numFmtId="178" fontId="0" fillId="0" borderId="8" xfId="0" applyNumberFormat="1" applyBorder="1" applyAlignment="1">
      <alignment horizontal="left" vertical="top" wrapText="1"/>
    </xf>
    <xf numFmtId="178" fontId="0" fillId="0" borderId="1" xfId="0" applyNumberFormat="1" applyBorder="1" applyAlignment="1">
      <alignment horizontal="left" vertical="top" wrapText="1"/>
    </xf>
    <xf numFmtId="178" fontId="0" fillId="0" borderId="11" xfId="0" applyNumberFormat="1" applyBorder="1" applyAlignment="1">
      <alignment horizontal="left" vertical="top" wrapText="1"/>
    </xf>
    <xf numFmtId="0" fontId="25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177" fontId="0" fillId="0" borderId="0" xfId="0" applyNumberFormat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177" fontId="21" fillId="0" borderId="12" xfId="0" applyNumberFormat="1" applyFont="1" applyBorder="1" applyAlignment="1">
      <alignment horizontal="left" vertical="center" wrapText="1"/>
    </xf>
    <xf numFmtId="0" fontId="21" fillId="0" borderId="28" xfId="0" applyFont="1" applyBorder="1" applyAlignment="1">
      <alignment horizontal="left" vertical="center" wrapText="1"/>
    </xf>
    <xf numFmtId="177" fontId="21" fillId="0" borderId="13" xfId="0" applyNumberFormat="1" applyFont="1" applyBorder="1" applyAlignment="1">
      <alignment horizontal="left" vertical="center" wrapText="1"/>
    </xf>
    <xf numFmtId="177" fontId="25" fillId="0" borderId="1" xfId="0" applyNumberFormat="1" applyFont="1" applyBorder="1" applyAlignment="1">
      <alignment horizontal="center" vertical="center" wrapText="1"/>
    </xf>
    <xf numFmtId="178" fontId="25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178" fontId="20" fillId="3" borderId="1" xfId="0" applyNumberFormat="1" applyFont="1" applyFill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 wrapText="1"/>
    </xf>
    <xf numFmtId="0" fontId="19" fillId="0" borderId="32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178" fontId="16" fillId="0" borderId="18" xfId="0" applyNumberFormat="1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0" fillId="0" borderId="0" xfId="0" applyNumberForma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5" fillId="0" borderId="22" xfId="0" applyFont="1" applyBorder="1" applyAlignment="1">
      <alignment horizontal="left" vertical="center"/>
    </xf>
    <xf numFmtId="0" fontId="25" fillId="0" borderId="7" xfId="0" applyFont="1" applyBorder="1" applyAlignment="1">
      <alignment horizontal="left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/>
    </xf>
    <xf numFmtId="178" fontId="15" fillId="5" borderId="7" xfId="0" applyNumberFormat="1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28" fillId="0" borderId="1" xfId="10" applyFont="1" applyBorder="1">
      <alignment vertical="center"/>
    </xf>
    <xf numFmtId="178" fontId="15" fillId="0" borderId="1" xfId="0" applyNumberFormat="1" applyFont="1" applyBorder="1" applyAlignment="1">
      <alignment horizontal="center" vertical="center"/>
    </xf>
    <xf numFmtId="9" fontId="15" fillId="0" borderId="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left" vertical="center"/>
    </xf>
    <xf numFmtId="0" fontId="28" fillId="0" borderId="1" xfId="10" applyFont="1" applyBorder="1" applyAlignment="1">
      <alignment horizontal="left" vertical="center"/>
    </xf>
    <xf numFmtId="0" fontId="15" fillId="0" borderId="37" xfId="0" applyFont="1" applyBorder="1" applyAlignment="1">
      <alignment horizontal="center" vertical="center"/>
    </xf>
    <xf numFmtId="0" fontId="15" fillId="3" borderId="11" xfId="0" applyFont="1" applyFill="1" applyBorder="1" applyAlignment="1">
      <alignment horizontal="left" vertical="center"/>
    </xf>
    <xf numFmtId="0" fontId="15" fillId="0" borderId="38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29" fillId="0" borderId="1" xfId="1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 wrapText="1"/>
    </xf>
    <xf numFmtId="0" fontId="21" fillId="3" borderId="1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178" fontId="24" fillId="3" borderId="1" xfId="0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15" fillId="0" borderId="40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20" fillId="0" borderId="32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0" fillId="0" borderId="26" xfId="0" applyFont="1" applyBorder="1" applyAlignment="1">
      <alignment horizontal="left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 2 10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259080</xdr:colOff>
      <xdr:row>7</xdr:row>
      <xdr:rowOff>192405</xdr:rowOff>
    </xdr:from>
    <xdr:to>
      <xdr:col>2</xdr:col>
      <xdr:colOff>2441575</xdr:colOff>
      <xdr:row>18</xdr:row>
      <xdr:rowOff>233680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8680" y="1695450"/>
          <a:ext cx="3074035" cy="283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229870</xdr:colOff>
      <xdr:row>7</xdr:row>
      <xdr:rowOff>73025</xdr:rowOff>
    </xdr:from>
    <xdr:to>
      <xdr:col>2</xdr:col>
      <xdr:colOff>876935</xdr:colOff>
      <xdr:row>7</xdr:row>
      <xdr:rowOff>683260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8130" y="1591310"/>
          <a:ext cx="647065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132080</xdr:colOff>
      <xdr:row>7</xdr:row>
      <xdr:rowOff>54610</xdr:rowOff>
    </xdr:from>
    <xdr:to>
      <xdr:col>13</xdr:col>
      <xdr:colOff>208280</xdr:colOff>
      <xdr:row>7</xdr:row>
      <xdr:rowOff>748030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51880" y="1572895"/>
          <a:ext cx="2651760" cy="693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265430</xdr:colOff>
      <xdr:row>7</xdr:row>
      <xdr:rowOff>18415</xdr:rowOff>
    </xdr:from>
    <xdr:to>
      <xdr:col>24</xdr:col>
      <xdr:colOff>405765</xdr:colOff>
      <xdr:row>9</xdr:row>
      <xdr:rowOff>810260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27590" y="1536700"/>
          <a:ext cx="5695315" cy="2442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421640</xdr:colOff>
      <xdr:row>10</xdr:row>
      <xdr:rowOff>137795</xdr:rowOff>
    </xdr:from>
    <xdr:to>
      <xdr:col>23</xdr:col>
      <xdr:colOff>117475</xdr:colOff>
      <xdr:row>17</xdr:row>
      <xdr:rowOff>53975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83800" y="4132580"/>
          <a:ext cx="4633595" cy="18389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57785</xdr:colOff>
      <xdr:row>8</xdr:row>
      <xdr:rowOff>147320</xdr:rowOff>
    </xdr:from>
    <xdr:to>
      <xdr:col>2</xdr:col>
      <xdr:colOff>1075055</xdr:colOff>
      <xdr:row>8</xdr:row>
      <xdr:rowOff>643890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6045" y="1635125"/>
          <a:ext cx="101727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344805</xdr:colOff>
      <xdr:row>8</xdr:row>
      <xdr:rowOff>45720</xdr:rowOff>
    </xdr:from>
    <xdr:to>
      <xdr:col>21</xdr:col>
      <xdr:colOff>146685</xdr:colOff>
      <xdr:row>10</xdr:row>
      <xdr:rowOff>327660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05085" y="1533525"/>
          <a:ext cx="3505200" cy="161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22</xdr:col>
      <xdr:colOff>127000</xdr:colOff>
      <xdr:row>3</xdr:row>
      <xdr:rowOff>74295</xdr:rowOff>
    </xdr:from>
    <xdr:to>
      <xdr:col>30</xdr:col>
      <xdr:colOff>226060</xdr:colOff>
      <xdr:row>30</xdr:row>
      <xdr:rowOff>100330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307820" y="622935"/>
          <a:ext cx="5036820" cy="66065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201930</xdr:colOff>
      <xdr:row>5</xdr:row>
      <xdr:rowOff>37465</xdr:rowOff>
    </xdr:from>
    <xdr:to>
      <xdr:col>1</xdr:col>
      <xdr:colOff>679450</xdr:colOff>
      <xdr:row>7</xdr:row>
      <xdr:rowOff>106045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0" y="1353185"/>
          <a:ext cx="47752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274955</xdr:colOff>
      <xdr:row>8</xdr:row>
      <xdr:rowOff>10795</xdr:rowOff>
    </xdr:from>
    <xdr:to>
      <xdr:col>1</xdr:col>
      <xdr:colOff>652780</xdr:colOff>
      <xdr:row>9</xdr:row>
      <xdr:rowOff>183515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9275" y="1898015"/>
          <a:ext cx="37782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50800</xdr:colOff>
      <xdr:row>4</xdr:row>
      <xdr:rowOff>192405</xdr:rowOff>
    </xdr:from>
    <xdr:to>
      <xdr:col>23</xdr:col>
      <xdr:colOff>40640</xdr:colOff>
      <xdr:row>15</xdr:row>
      <xdr:rowOff>89535</xdr:rowOff>
    </xdr:to>
    <xdr:pic>
      <xdr:nvPicPr>
        <xdr:cNvPr id="2" name="图片 1" descr="79a591f371ab5e669058bcec6ab45b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33000" y="923925"/>
          <a:ext cx="5369560" cy="2449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98425</xdr:colOff>
      <xdr:row>2</xdr:row>
      <xdr:rowOff>75565</xdr:rowOff>
    </xdr:from>
    <xdr:to>
      <xdr:col>10</xdr:col>
      <xdr:colOff>2065020</xdr:colOff>
      <xdr:row>8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94625" y="441325"/>
          <a:ext cx="1966595" cy="162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198120</xdr:colOff>
      <xdr:row>11</xdr:row>
      <xdr:rowOff>126365</xdr:rowOff>
    </xdr:from>
    <xdr:to>
      <xdr:col>15</xdr:col>
      <xdr:colOff>480060</xdr:colOff>
      <xdr:row>21</xdr:row>
      <xdr:rowOff>12700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19360" y="2849245"/>
          <a:ext cx="4488180" cy="23475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12700</xdr:colOff>
      <xdr:row>4</xdr:row>
      <xdr:rowOff>290830</xdr:rowOff>
    </xdr:from>
    <xdr:to>
      <xdr:col>2</xdr:col>
      <xdr:colOff>572770</xdr:colOff>
      <xdr:row>6</xdr:row>
      <xdr:rowOff>132080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1900" y="1743710"/>
          <a:ext cx="56007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39370</xdr:colOff>
      <xdr:row>8</xdr:row>
      <xdr:rowOff>172085</xdr:rowOff>
    </xdr:from>
    <xdr:to>
      <xdr:col>2</xdr:col>
      <xdr:colOff>582295</xdr:colOff>
      <xdr:row>10</xdr:row>
      <xdr:rowOff>34925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8570" y="2894965"/>
          <a:ext cx="542925" cy="497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H21"/>
  <sheetViews>
    <sheetView tabSelected="1" workbookViewId="0">
      <selection activeCell="J8" sqref="J8"/>
    </sheetView>
  </sheetViews>
  <sheetFormatPr defaultColWidth="8.88888888888889" defaultRowHeight="14.4" outlineLevelCol="7"/>
  <cols>
    <col min="1" max="1" width="8.88888888888889" style="181"/>
    <col min="2" max="2" width="13" style="181" customWidth="1"/>
    <col min="3" max="3" width="38" style="181" customWidth="1"/>
    <col min="4" max="4" width="5.66666666666667" style="3" customWidth="1"/>
    <col min="5" max="5" width="10.6666666666667" style="181" customWidth="1"/>
    <col min="6" max="6" width="15.2222222222222" style="182" customWidth="1"/>
    <col min="7" max="7" width="14.3333333333333" style="181"/>
    <col min="8" max="8" width="39.8888888888889" style="181" customWidth="1"/>
    <col min="9" max="16384" width="8.88888888888889" style="181"/>
  </cols>
  <sheetData>
    <row r="3" spans="2:8">
      <c r="B3" s="183" t="s">
        <v>0</v>
      </c>
      <c r="C3" s="183"/>
      <c r="D3" s="183"/>
      <c r="E3" s="183"/>
      <c r="F3" s="183"/>
      <c r="G3" s="183"/>
      <c r="H3" s="183"/>
    </row>
    <row r="4" ht="15.15" spans="2:8">
      <c r="B4" s="183"/>
      <c r="C4" s="183"/>
      <c r="D4" s="183"/>
      <c r="E4" s="183"/>
      <c r="F4" s="183"/>
      <c r="G4" s="183"/>
      <c r="H4" s="183"/>
    </row>
    <row r="5" s="180" customFormat="1" ht="20" customHeight="1" spans="2:8">
      <c r="B5" s="184" t="s">
        <v>1</v>
      </c>
      <c r="C5" s="185" t="s">
        <v>2</v>
      </c>
      <c r="D5" s="186" t="s">
        <v>3</v>
      </c>
      <c r="E5" s="187" t="s">
        <v>4</v>
      </c>
      <c r="F5" s="188" t="s">
        <v>5</v>
      </c>
      <c r="G5" s="186" t="s">
        <v>6</v>
      </c>
      <c r="H5" s="189" t="s">
        <v>7</v>
      </c>
    </row>
    <row r="6" s="180" customFormat="1" ht="20" customHeight="1" spans="2:8">
      <c r="B6" s="190" t="s">
        <v>8</v>
      </c>
      <c r="C6" s="191"/>
      <c r="D6" s="49" t="s">
        <v>9</v>
      </c>
      <c r="E6" s="192" t="s">
        <v>10</v>
      </c>
      <c r="F6" s="193">
        <f>原材料成本!H11</f>
        <v>1.36202167460858</v>
      </c>
      <c r="G6" s="194">
        <f>F6/F10</f>
        <v>0.165388796924337</v>
      </c>
      <c r="H6" s="195" t="s">
        <v>11</v>
      </c>
    </row>
    <row r="7" s="180" customFormat="1" ht="20" customHeight="1" spans="2:8">
      <c r="B7" s="190" t="s">
        <v>12</v>
      </c>
      <c r="C7" s="191" t="s">
        <v>13</v>
      </c>
      <c r="D7" s="49" t="s">
        <v>14</v>
      </c>
      <c r="E7" s="196" t="s">
        <v>15</v>
      </c>
      <c r="F7" s="193">
        <f>外购件成本!F12</f>
        <v>5.33275</v>
      </c>
      <c r="G7" s="194">
        <f>F7/F10</f>
        <v>0.647549979005819</v>
      </c>
      <c r="H7" s="195" t="s">
        <v>11</v>
      </c>
    </row>
    <row r="8" s="180" customFormat="1" ht="20" customHeight="1" spans="2:8">
      <c r="B8" s="197"/>
      <c r="C8" s="52"/>
      <c r="D8" s="49" t="s">
        <v>16</v>
      </c>
      <c r="E8" s="196" t="s">
        <v>17</v>
      </c>
      <c r="F8" s="193">
        <f>制造费工时费!P12</f>
        <v>1.1855</v>
      </c>
      <c r="G8" s="194">
        <f>F8/F10</f>
        <v>0.143953963735671</v>
      </c>
      <c r="H8" s="198" t="s">
        <v>18</v>
      </c>
    </row>
    <row r="9" s="180" customFormat="1" ht="20" customHeight="1" spans="2:8">
      <c r="B9" s="199"/>
      <c r="C9" s="200"/>
      <c r="D9" s="49" t="s">
        <v>19</v>
      </c>
      <c r="E9" s="196" t="s">
        <v>20</v>
      </c>
      <c r="F9" s="193">
        <f>制造费工时费!I12</f>
        <v>0.355</v>
      </c>
      <c r="G9" s="194">
        <f>F9/F10</f>
        <v>0.0431072603341739</v>
      </c>
      <c r="H9" s="195" t="s">
        <v>11</v>
      </c>
    </row>
    <row r="10" s="180" customFormat="1" ht="20" customHeight="1" spans="2:8">
      <c r="B10" s="199"/>
      <c r="C10" s="200"/>
      <c r="D10" s="49" t="s">
        <v>21</v>
      </c>
      <c r="E10" s="191" t="s">
        <v>22</v>
      </c>
      <c r="F10" s="193">
        <f>SUM(F6:F9)</f>
        <v>8.23527167460858</v>
      </c>
      <c r="G10" s="191"/>
      <c r="H10" s="195" t="s">
        <v>23</v>
      </c>
    </row>
    <row r="11" s="180" customFormat="1" ht="20" customHeight="1" spans="2:8">
      <c r="B11" s="199"/>
      <c r="C11" s="200"/>
      <c r="D11" s="49" t="s">
        <v>24</v>
      </c>
      <c r="E11" s="191" t="s">
        <v>25</v>
      </c>
      <c r="F11" s="193">
        <f>F10*0.03</f>
        <v>0.247058150238257</v>
      </c>
      <c r="G11" s="191"/>
      <c r="H11" s="195" t="s">
        <v>26</v>
      </c>
    </row>
    <row r="12" s="180" customFormat="1" ht="20" customHeight="1" spans="2:8">
      <c r="B12" s="199"/>
      <c r="C12" s="200"/>
      <c r="D12" s="49" t="s">
        <v>27</v>
      </c>
      <c r="E12" s="191" t="s">
        <v>28</v>
      </c>
      <c r="F12" s="193">
        <f>F10*0.06</f>
        <v>0.494116300476515</v>
      </c>
      <c r="G12" s="191"/>
      <c r="H12" s="195" t="s">
        <v>29</v>
      </c>
    </row>
    <row r="13" s="180" customFormat="1" ht="20" customHeight="1" spans="2:8">
      <c r="B13" s="199"/>
      <c r="C13" s="200"/>
      <c r="D13" s="49" t="s">
        <v>30</v>
      </c>
      <c r="E13" s="191" t="s">
        <v>31</v>
      </c>
      <c r="F13" s="193">
        <f>F10*0</f>
        <v>0</v>
      </c>
      <c r="G13" s="191"/>
      <c r="H13" s="195" t="s">
        <v>32</v>
      </c>
    </row>
    <row r="14" s="180" customFormat="1" ht="20" customHeight="1" spans="2:8">
      <c r="B14" s="199"/>
      <c r="C14" s="200"/>
      <c r="D14" s="49" t="s">
        <v>33</v>
      </c>
      <c r="E14" s="191" t="s">
        <v>34</v>
      </c>
      <c r="F14" s="193">
        <f>F10*0.01</f>
        <v>0.0823527167460858</v>
      </c>
      <c r="G14" s="191"/>
      <c r="H14" s="195" t="s">
        <v>35</v>
      </c>
    </row>
    <row r="15" s="180" customFormat="1" ht="20" customHeight="1" spans="2:8">
      <c r="B15" s="199"/>
      <c r="C15" s="200"/>
      <c r="D15" s="49" t="s">
        <v>36</v>
      </c>
      <c r="E15" s="191" t="s">
        <v>37</v>
      </c>
      <c r="F15" s="193">
        <f>F10*0.07</f>
        <v>0.576469017222601</v>
      </c>
      <c r="G15" s="191"/>
      <c r="H15" s="195" t="s">
        <v>38</v>
      </c>
    </row>
    <row r="16" s="180" customFormat="1" ht="20" customHeight="1" spans="2:8">
      <c r="B16" s="199"/>
      <c r="C16" s="200"/>
      <c r="D16" s="49" t="s">
        <v>39</v>
      </c>
      <c r="E16" s="191" t="s">
        <v>40</v>
      </c>
      <c r="F16" s="193">
        <f>SUM(F10:F15)</f>
        <v>9.63526785929204</v>
      </c>
      <c r="G16" s="191"/>
      <c r="H16" s="195" t="s">
        <v>41</v>
      </c>
    </row>
    <row r="17" s="180" customFormat="1" ht="20" customHeight="1" spans="2:8">
      <c r="B17" s="199"/>
      <c r="C17" s="200"/>
      <c r="D17" s="49" t="s">
        <v>42</v>
      </c>
      <c r="E17" s="201" t="s">
        <v>43</v>
      </c>
      <c r="F17" s="193">
        <f>包装费运费!D9</f>
        <v>0.183333333333333</v>
      </c>
      <c r="G17" s="191"/>
      <c r="H17" s="202" t="s">
        <v>44</v>
      </c>
    </row>
    <row r="18" s="180" customFormat="1" ht="20" customHeight="1" spans="2:8">
      <c r="B18" s="199"/>
      <c r="C18" s="200"/>
      <c r="D18" s="49" t="s">
        <v>45</v>
      </c>
      <c r="E18" s="201" t="s">
        <v>46</v>
      </c>
      <c r="F18" s="193">
        <f>包装费运费!D13</f>
        <v>1.42153846153846</v>
      </c>
      <c r="G18" s="191"/>
      <c r="H18" s="203" t="s">
        <v>47</v>
      </c>
    </row>
    <row r="19" s="180" customFormat="1" ht="20" customHeight="1" spans="2:8">
      <c r="B19" s="199"/>
      <c r="C19" s="200"/>
      <c r="D19" s="49" t="s">
        <v>48</v>
      </c>
      <c r="E19" s="204" t="s">
        <v>49</v>
      </c>
      <c r="F19" s="205">
        <f>SUM(F16:F18)</f>
        <v>11.2401396541638</v>
      </c>
      <c r="G19" s="191"/>
      <c r="H19" s="206" t="s">
        <v>50</v>
      </c>
    </row>
    <row r="20" ht="20" customHeight="1" spans="2:8">
      <c r="B20" s="207"/>
      <c r="C20" s="54"/>
      <c r="D20" s="49" t="s">
        <v>51</v>
      </c>
      <c r="E20" s="191" t="s">
        <v>52</v>
      </c>
      <c r="F20" s="70">
        <f>专用费用!Q12</f>
        <v>21693.9</v>
      </c>
      <c r="G20" s="208"/>
      <c r="H20" s="209" t="s">
        <v>53</v>
      </c>
    </row>
    <row r="21" ht="20" customHeight="1" spans="2:8">
      <c r="B21" s="210" t="s">
        <v>54</v>
      </c>
      <c r="C21" s="211"/>
      <c r="D21" s="211"/>
      <c r="E21" s="211"/>
      <c r="F21" s="211"/>
      <c r="G21" s="211"/>
      <c r="H21" s="212"/>
    </row>
  </sheetData>
  <mergeCells count="3">
    <mergeCell ref="B21:H21"/>
    <mergeCell ref="B3:H4"/>
    <mergeCell ref="B8:C20"/>
  </mergeCells>
  <hyperlinks>
    <hyperlink ref="E6" location="原材料成本!A1" display="原材料"/>
    <hyperlink ref="E7" location="外购件成本!A1" display="外购件"/>
    <hyperlink ref="E8" location="制造费工时费!A1" display="制造费用"/>
    <hyperlink ref="E9" location="制造费工时费!A1" display="人工费用"/>
    <hyperlink ref="E17" location="包装费运费!A1" display="包装费"/>
    <hyperlink ref="E18" location="包装费运费!A1" display="运输费"/>
  </hyperlinks>
  <pageMargins left="0.393055555555556" right="0" top="0.393055555555556" bottom="0.393055555555556" header="0" footer="0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1"/>
  <sheetViews>
    <sheetView zoomScale="85" zoomScaleNormal="85" workbookViewId="0">
      <selection activeCell="I17" sqref="I17"/>
    </sheetView>
  </sheetViews>
  <sheetFormatPr defaultColWidth="9" defaultRowHeight="14.4"/>
  <cols>
    <col min="1" max="1" width="5" style="107" customWidth="1"/>
    <col min="2" max="2" width="14.2222222222222" style="108" customWidth="1"/>
    <col min="3" max="3" width="18.3333333333333" style="107" customWidth="1"/>
    <col min="4" max="4" width="8.55555555555556" style="108" customWidth="1"/>
    <col min="5" max="5" width="8.11111111111111" style="158" customWidth="1"/>
    <col min="6" max="6" width="11.7777777777778" style="110" customWidth="1"/>
    <col min="7" max="7" width="10.4444444444444" style="109" customWidth="1"/>
    <col min="8" max="8" width="11.3333333333333" style="111" customWidth="1"/>
    <col min="9" max="9" width="10.4444444444444" style="107" customWidth="1"/>
    <col min="10" max="13" width="6.77777777777778" style="108" customWidth="1"/>
    <col min="14" max="14" width="7.77777777777778" style="108" customWidth="1"/>
    <col min="15" max="15" width="7.77777777777778" style="107" customWidth="1"/>
    <col min="16" max="16373" width="9" style="107"/>
    <col min="16375" max="16384" width="9" style="107"/>
  </cols>
  <sheetData>
    <row r="1" spans="1:15">
      <c r="A1" s="112" t="s">
        <v>55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</row>
    <row r="2" ht="15.15" spans="1:1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4" t="s">
        <v>56</v>
      </c>
      <c r="B3" s="115"/>
      <c r="C3" s="116"/>
      <c r="D3" s="115" t="s">
        <v>57</v>
      </c>
      <c r="E3" s="117"/>
      <c r="F3" s="119"/>
      <c r="G3" s="119"/>
      <c r="H3" s="120" t="s">
        <v>58</v>
      </c>
      <c r="I3" s="150" t="s">
        <v>59</v>
      </c>
      <c r="J3" s="150"/>
      <c r="K3" s="150"/>
      <c r="L3" s="150"/>
      <c r="M3" s="150"/>
      <c r="N3" s="150"/>
      <c r="O3" s="151"/>
    </row>
    <row r="4" spans="1:15">
      <c r="A4" s="121" t="s">
        <v>60</v>
      </c>
      <c r="B4" s="122"/>
      <c r="C4" s="123"/>
      <c r="D4" s="159" t="s">
        <v>61</v>
      </c>
      <c r="E4" s="160"/>
      <c r="F4" s="126"/>
      <c r="G4" s="126"/>
      <c r="H4" s="127"/>
      <c r="I4" s="152"/>
      <c r="J4" s="152"/>
      <c r="K4" s="152"/>
      <c r="L4" s="152"/>
      <c r="M4" s="152"/>
      <c r="N4" s="152"/>
      <c r="O4" s="153"/>
    </row>
    <row r="5" spans="1:15">
      <c r="A5" s="121" t="s">
        <v>62</v>
      </c>
      <c r="B5" s="122"/>
      <c r="C5" s="123"/>
      <c r="D5" s="161"/>
      <c r="E5" s="162"/>
      <c r="F5" s="126"/>
      <c r="G5" s="126"/>
      <c r="H5" s="127"/>
      <c r="I5" s="152"/>
      <c r="J5" s="152"/>
      <c r="K5" s="152"/>
      <c r="L5" s="152"/>
      <c r="M5" s="152"/>
      <c r="N5" s="152"/>
      <c r="O5" s="153"/>
    </row>
    <row r="6" ht="15.6" spans="1:15">
      <c r="A6" s="130" t="s">
        <v>3</v>
      </c>
      <c r="B6" s="131" t="s">
        <v>63</v>
      </c>
      <c r="C6" s="132" t="s">
        <v>64</v>
      </c>
      <c r="D6" s="131" t="s">
        <v>65</v>
      </c>
      <c r="E6" s="163" t="s">
        <v>66</v>
      </c>
      <c r="F6" s="134" t="s">
        <v>67</v>
      </c>
      <c r="G6" s="133" t="s">
        <v>68</v>
      </c>
      <c r="H6" s="164" t="s">
        <v>69</v>
      </c>
      <c r="I6" s="172" t="s">
        <v>70</v>
      </c>
      <c r="J6" s="173"/>
      <c r="K6" s="173"/>
      <c r="L6" s="173"/>
      <c r="M6" s="173"/>
      <c r="N6" s="173"/>
      <c r="O6" s="174"/>
    </row>
    <row r="7" ht="31.2" spans="1:15">
      <c r="A7" s="130"/>
      <c r="B7" s="131"/>
      <c r="C7" s="132"/>
      <c r="D7" s="131"/>
      <c r="E7" s="163"/>
      <c r="F7" s="134"/>
      <c r="G7" s="133"/>
      <c r="H7" s="164"/>
      <c r="I7" s="132" t="s">
        <v>71</v>
      </c>
      <c r="J7" s="131" t="s">
        <v>72</v>
      </c>
      <c r="K7" s="131" t="s">
        <v>73</v>
      </c>
      <c r="L7" s="131" t="s">
        <v>74</v>
      </c>
      <c r="M7" s="131" t="s">
        <v>75</v>
      </c>
      <c r="N7" s="131" t="s">
        <v>76</v>
      </c>
      <c r="O7" s="175" t="s">
        <v>77</v>
      </c>
    </row>
    <row r="8" ht="65" customHeight="1" spans="1:15">
      <c r="A8" s="138">
        <v>1</v>
      </c>
      <c r="B8" s="139" t="s">
        <v>78</v>
      </c>
      <c r="C8" s="123"/>
      <c r="D8" s="165">
        <v>0.1642</v>
      </c>
      <c r="E8" s="166">
        <f>O8</f>
        <v>0.65</v>
      </c>
      <c r="F8" s="167">
        <v>7.2</v>
      </c>
      <c r="G8" s="140">
        <v>2.8</v>
      </c>
      <c r="H8" s="168">
        <f>D8/E8*F8/1.13-(D8/E8-D8)*G8</f>
        <v>1.36202167460858</v>
      </c>
      <c r="I8" s="123"/>
      <c r="J8" s="139"/>
      <c r="K8" s="139"/>
      <c r="L8" s="139"/>
      <c r="M8" s="139"/>
      <c r="N8" s="139"/>
      <c r="O8" s="176">
        <v>0.65</v>
      </c>
    </row>
    <row r="9" s="107" customFormat="1" ht="65" customHeight="1" spans="1:15">
      <c r="A9" s="138">
        <v>2</v>
      </c>
      <c r="B9" s="139"/>
      <c r="C9" s="123"/>
      <c r="D9" s="139"/>
      <c r="E9" s="166"/>
      <c r="F9" s="126"/>
      <c r="G9" s="140"/>
      <c r="H9" s="168"/>
      <c r="I9" s="123"/>
      <c r="J9" s="139"/>
      <c r="K9" s="139"/>
      <c r="L9" s="139"/>
      <c r="M9" s="139"/>
      <c r="N9" s="139"/>
      <c r="O9" s="176"/>
    </row>
    <row r="10" s="107" customFormat="1" ht="65" customHeight="1" spans="1:16374">
      <c r="A10" s="138">
        <v>3</v>
      </c>
      <c r="B10" s="139"/>
      <c r="C10" s="123"/>
      <c r="D10" s="139"/>
      <c r="E10" s="166"/>
      <c r="F10" s="126"/>
      <c r="G10" s="140"/>
      <c r="H10" s="168"/>
      <c r="I10" s="123"/>
      <c r="J10" s="139"/>
      <c r="K10" s="139"/>
      <c r="L10" s="139"/>
      <c r="M10" s="139"/>
      <c r="N10" s="139"/>
      <c r="O10" s="176"/>
      <c r="XET10"/>
    </row>
    <row r="11" ht="65" customHeight="1" spans="1:15">
      <c r="A11" s="169" t="s">
        <v>79</v>
      </c>
      <c r="B11" s="170"/>
      <c r="C11" s="170"/>
      <c r="D11" s="170"/>
      <c r="E11" s="170"/>
      <c r="F11" s="170"/>
      <c r="G11" s="170"/>
      <c r="H11" s="171">
        <f>SUM(H8:H10)</f>
        <v>1.36202167460858</v>
      </c>
      <c r="I11" s="177"/>
      <c r="J11" s="178"/>
      <c r="K11" s="178"/>
      <c r="L11" s="178"/>
      <c r="M11" s="178"/>
      <c r="N11" s="178"/>
      <c r="O11" s="179"/>
    </row>
  </sheetData>
  <mergeCells count="20">
    <mergeCell ref="A3:B3"/>
    <mergeCell ref="D3:E3"/>
    <mergeCell ref="F3:G3"/>
    <mergeCell ref="A4:B4"/>
    <mergeCell ref="A5:B5"/>
    <mergeCell ref="I6:O6"/>
    <mergeCell ref="A11:G11"/>
    <mergeCell ref="A6:A7"/>
    <mergeCell ref="B6:B7"/>
    <mergeCell ref="C6:C7"/>
    <mergeCell ref="D6:D7"/>
    <mergeCell ref="E6:E7"/>
    <mergeCell ref="F6:F7"/>
    <mergeCell ref="G6:G7"/>
    <mergeCell ref="H3:H5"/>
    <mergeCell ref="H6:H7"/>
    <mergeCell ref="D4:E5"/>
    <mergeCell ref="F4:G5"/>
    <mergeCell ref="I3:O5"/>
    <mergeCell ref="A1:O2"/>
  </mergeCells>
  <printOptions horizontalCentered="1"/>
  <pageMargins left="0.393055555555556" right="0.196527777777778" top="0.393055555555556" bottom="0.393055555555556" header="0" footer="0"/>
  <pageSetup paperSize="9" scale="63" orientation="landscape" horizontalDpi="600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3:XEV12"/>
  <sheetViews>
    <sheetView zoomScale="70" zoomScaleNormal="70" workbookViewId="0">
      <selection activeCell="E23" sqref="E23"/>
    </sheetView>
  </sheetViews>
  <sheetFormatPr defaultColWidth="9" defaultRowHeight="14.4"/>
  <cols>
    <col min="1" max="1" width="5" style="107" customWidth="1"/>
    <col min="2" max="2" width="14.2222222222222" style="108" customWidth="1"/>
    <col min="3" max="3" width="18.3333333333333" style="107" customWidth="1"/>
    <col min="4" max="4" width="8.55555555555556" style="109" customWidth="1"/>
    <col min="5" max="5" width="11" style="110" customWidth="1"/>
    <col min="6" max="6" width="11.7777777777778" style="110" customWidth="1"/>
    <col min="7" max="7" width="10.4444444444444" style="109" customWidth="1"/>
    <col min="8" max="8" width="11.3333333333333" style="111" customWidth="1"/>
    <col min="9" max="9" width="10.4444444444444" style="107" customWidth="1"/>
    <col min="10" max="13" width="6.77777777777778" style="108" customWidth="1"/>
    <col min="14" max="14" width="7.77777777777778" style="108" customWidth="1"/>
    <col min="15" max="15" width="7.77777777777778" style="107" customWidth="1"/>
    <col min="16" max="16375" width="9" style="107"/>
    <col min="16377" max="16384" width="9" style="107"/>
  </cols>
  <sheetData>
    <row r="3" spans="1:15">
      <c r="A3" s="112" t="s">
        <v>80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ht="15.15" spans="1:1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1:15">
      <c r="A5" s="114" t="s">
        <v>56</v>
      </c>
      <c r="B5" s="115"/>
      <c r="C5" s="116"/>
      <c r="D5" s="117" t="s">
        <v>57</v>
      </c>
      <c r="E5" s="118"/>
      <c r="F5" s="119"/>
      <c r="G5" s="119"/>
      <c r="H5" s="120" t="s">
        <v>58</v>
      </c>
      <c r="I5" s="150" t="s">
        <v>59</v>
      </c>
      <c r="J5" s="150"/>
      <c r="K5" s="150"/>
      <c r="L5" s="150"/>
      <c r="M5" s="150"/>
      <c r="N5" s="150"/>
      <c r="O5" s="151"/>
    </row>
    <row r="6" spans="1:15">
      <c r="A6" s="121" t="s">
        <v>60</v>
      </c>
      <c r="B6" s="122"/>
      <c r="C6" s="123"/>
      <c r="D6" s="124" t="s">
        <v>61</v>
      </c>
      <c r="E6" s="125"/>
      <c r="F6" s="126"/>
      <c r="G6" s="126"/>
      <c r="H6" s="127"/>
      <c r="I6" s="152"/>
      <c r="J6" s="152"/>
      <c r="K6" s="152"/>
      <c r="L6" s="152"/>
      <c r="M6" s="152"/>
      <c r="N6" s="152"/>
      <c r="O6" s="153"/>
    </row>
    <row r="7" spans="1:15">
      <c r="A7" s="121" t="s">
        <v>62</v>
      </c>
      <c r="B7" s="122"/>
      <c r="C7" s="123"/>
      <c r="D7" s="128"/>
      <c r="E7" s="129"/>
      <c r="F7" s="126"/>
      <c r="G7" s="126"/>
      <c r="H7" s="127"/>
      <c r="I7" s="152"/>
      <c r="J7" s="152"/>
      <c r="K7" s="152"/>
      <c r="L7" s="152"/>
      <c r="M7" s="152"/>
      <c r="N7" s="152"/>
      <c r="O7" s="153"/>
    </row>
    <row r="8" ht="15.6" spans="1:15">
      <c r="A8" s="130" t="s">
        <v>3</v>
      </c>
      <c r="B8" s="131" t="s">
        <v>63</v>
      </c>
      <c r="C8" s="132" t="s">
        <v>64</v>
      </c>
      <c r="D8" s="133" t="s">
        <v>81</v>
      </c>
      <c r="E8" s="134" t="s">
        <v>82</v>
      </c>
      <c r="F8" s="135" t="s">
        <v>83</v>
      </c>
      <c r="G8" s="136"/>
      <c r="H8" s="137"/>
      <c r="I8" s="132" t="s">
        <v>84</v>
      </c>
      <c r="J8" s="132"/>
      <c r="K8" s="132" t="s">
        <v>85</v>
      </c>
      <c r="L8" s="132"/>
      <c r="M8" s="132"/>
      <c r="N8" s="132"/>
      <c r="O8" s="154"/>
    </row>
    <row r="9" s="107" customFormat="1" ht="65" customHeight="1" spans="1:16376">
      <c r="A9" s="138">
        <v>1</v>
      </c>
      <c r="B9" s="139" t="s">
        <v>86</v>
      </c>
      <c r="C9" s="123"/>
      <c r="D9" s="140">
        <v>1</v>
      </c>
      <c r="E9" s="126">
        <v>5.2</v>
      </c>
      <c r="F9" s="141">
        <f>D9*E9</f>
        <v>5.2</v>
      </c>
      <c r="G9" s="142"/>
      <c r="H9" s="143"/>
      <c r="I9" s="123"/>
      <c r="J9" s="123"/>
      <c r="K9" s="123"/>
      <c r="L9" s="123"/>
      <c r="M9" s="123"/>
      <c r="N9" s="123"/>
      <c r="O9" s="155"/>
      <c r="XEV9"/>
    </row>
    <row r="10" s="107" customFormat="1" ht="40" customHeight="1" spans="1:16376">
      <c r="A10" s="138">
        <v>13</v>
      </c>
      <c r="B10" s="139" t="s">
        <v>87</v>
      </c>
      <c r="C10" s="123"/>
      <c r="D10" s="140">
        <v>0.015</v>
      </c>
      <c r="E10" s="126">
        <v>7</v>
      </c>
      <c r="F10" s="141">
        <f>D10*E10</f>
        <v>0.105</v>
      </c>
      <c r="G10" s="142"/>
      <c r="H10" s="143"/>
      <c r="I10" s="123"/>
      <c r="J10" s="123"/>
      <c r="K10" s="123"/>
      <c r="L10" s="123"/>
      <c r="M10" s="123"/>
      <c r="N10" s="123"/>
      <c r="O10" s="155"/>
      <c r="XEV10"/>
    </row>
    <row r="11" s="107" customFormat="1" ht="40" customHeight="1" spans="1:16376">
      <c r="A11" s="138">
        <v>14</v>
      </c>
      <c r="B11" s="139" t="s">
        <v>88</v>
      </c>
      <c r="C11" s="123"/>
      <c r="D11" s="140">
        <v>0.015</v>
      </c>
      <c r="E11" s="126">
        <v>1.85</v>
      </c>
      <c r="F11" s="141">
        <f>D11*E11</f>
        <v>0.02775</v>
      </c>
      <c r="G11" s="142"/>
      <c r="H11" s="143"/>
      <c r="I11" s="123"/>
      <c r="J11" s="123"/>
      <c r="K11" s="123"/>
      <c r="L11" s="123"/>
      <c r="M11" s="123"/>
      <c r="N11" s="123"/>
      <c r="O11" s="155"/>
      <c r="XEV11"/>
    </row>
    <row r="12" s="107" customFormat="1" ht="40" customHeight="1" spans="1:16376">
      <c r="A12" s="144" t="s">
        <v>89</v>
      </c>
      <c r="B12" s="145"/>
      <c r="C12" s="145"/>
      <c r="D12" s="145"/>
      <c r="E12" s="146"/>
      <c r="F12" s="147">
        <f>SUM(F9:H11)</f>
        <v>5.33275</v>
      </c>
      <c r="G12" s="148"/>
      <c r="H12" s="149"/>
      <c r="I12" s="156"/>
      <c r="J12" s="156"/>
      <c r="K12" s="156"/>
      <c r="L12" s="156"/>
      <c r="M12" s="156"/>
      <c r="N12" s="156"/>
      <c r="O12" s="157"/>
      <c r="XEV12"/>
    </row>
  </sheetData>
  <mergeCells count="26">
    <mergeCell ref="A5:B5"/>
    <mergeCell ref="D5:E5"/>
    <mergeCell ref="F5:G5"/>
    <mergeCell ref="A6:B6"/>
    <mergeCell ref="A7:B7"/>
    <mergeCell ref="F8:H8"/>
    <mergeCell ref="I8:J8"/>
    <mergeCell ref="K8:O8"/>
    <mergeCell ref="F9:H9"/>
    <mergeCell ref="I9:J9"/>
    <mergeCell ref="K9:O9"/>
    <mergeCell ref="F10:H10"/>
    <mergeCell ref="I10:J10"/>
    <mergeCell ref="K10:O10"/>
    <mergeCell ref="F11:H11"/>
    <mergeCell ref="I11:J11"/>
    <mergeCell ref="K11:O11"/>
    <mergeCell ref="A12:E12"/>
    <mergeCell ref="F12:H12"/>
    <mergeCell ref="I12:J12"/>
    <mergeCell ref="K12:O12"/>
    <mergeCell ref="H5:H7"/>
    <mergeCell ref="I5:O7"/>
    <mergeCell ref="D6:E7"/>
    <mergeCell ref="F6:G7"/>
    <mergeCell ref="A3:O4"/>
  </mergeCells>
  <printOptions horizontalCentered="1"/>
  <pageMargins left="0" right="0" top="0" bottom="0" header="0" footer="0"/>
  <pageSetup paperSize="9" scale="52" orientation="portrait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94"/>
  <sheetViews>
    <sheetView zoomScale="85" zoomScaleNormal="85" workbookViewId="0">
      <selection activeCell="P7" sqref="P7"/>
    </sheetView>
  </sheetViews>
  <sheetFormatPr defaultColWidth="9" defaultRowHeight="14.4"/>
  <cols>
    <col min="1" max="1" width="4" style="3" customWidth="1"/>
    <col min="2" max="2" width="15.2222222222222" style="3" customWidth="1"/>
    <col min="3" max="3" width="14.3333333333333" style="3" customWidth="1"/>
    <col min="4" max="4" width="9.44444444444444" style="3" customWidth="1"/>
    <col min="5" max="5" width="5.44444444444444" style="3" customWidth="1"/>
    <col min="6" max="6" width="6.44444444444444" style="3" customWidth="1"/>
    <col min="7" max="7" width="6.66666666666667" style="3" customWidth="1"/>
    <col min="8" max="8" width="8.77777777777778" style="3" customWidth="1"/>
    <col min="9" max="9" width="8.22222222222222" style="87" customWidth="1"/>
    <col min="10" max="10" width="9.88888888888889" style="3" customWidth="1"/>
    <col min="11" max="11" width="9.66666666666667" style="3" customWidth="1"/>
    <col min="12" max="12" width="10.1111111111111" style="3" customWidth="1"/>
    <col min="13" max="13" width="11.3333333333333" style="3" customWidth="1"/>
    <col min="14" max="14" width="7.33333333333333" style="3" customWidth="1"/>
    <col min="15" max="15" width="9.66666666666667" style="3" customWidth="1"/>
    <col min="16" max="16" width="9" style="87"/>
    <col min="17" max="17" width="13" style="3" customWidth="1"/>
    <col min="18" max="18" width="16.4444444444444" style="3" customWidth="1"/>
    <col min="19" max="20" width="9" style="3"/>
    <col min="21" max="21" width="13" style="3" customWidth="1"/>
    <col min="22" max="16384" width="9" style="3"/>
  </cols>
  <sheetData>
    <row r="1" customHeight="1"/>
    <row r="2" customHeight="1"/>
    <row r="3" spans="1:16">
      <c r="A3" s="41" t="s">
        <v>90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="86" customFormat="1" ht="46" customHeight="1" spans="1:16">
      <c r="A5" s="88" t="s">
        <v>3</v>
      </c>
      <c r="B5" s="89" t="s">
        <v>91</v>
      </c>
      <c r="C5" s="89" t="s">
        <v>92</v>
      </c>
      <c r="D5" s="89" t="s">
        <v>93</v>
      </c>
      <c r="E5" s="89" t="s">
        <v>94</v>
      </c>
      <c r="F5" s="89" t="s">
        <v>95</v>
      </c>
      <c r="G5" s="89" t="s">
        <v>96</v>
      </c>
      <c r="H5" s="89" t="s">
        <v>97</v>
      </c>
      <c r="I5" s="97" t="s">
        <v>98</v>
      </c>
      <c r="J5" s="89" t="s">
        <v>99</v>
      </c>
      <c r="K5" s="89" t="s">
        <v>100</v>
      </c>
      <c r="L5" s="89" t="s">
        <v>101</v>
      </c>
      <c r="M5" s="89" t="s">
        <v>102</v>
      </c>
      <c r="N5" s="89" t="s">
        <v>103</v>
      </c>
      <c r="O5" s="89" t="s">
        <v>104</v>
      </c>
      <c r="P5" s="98" t="s">
        <v>105</v>
      </c>
    </row>
    <row r="6" ht="15" customHeight="1" spans="1:16">
      <c r="A6" s="90">
        <v>1</v>
      </c>
      <c r="B6" s="91"/>
      <c r="C6" s="73" t="s">
        <v>106</v>
      </c>
      <c r="D6" s="73"/>
      <c r="E6" s="73">
        <v>1</v>
      </c>
      <c r="F6" s="73"/>
      <c r="G6" s="73"/>
      <c r="H6" s="73"/>
      <c r="I6" s="70">
        <v>0.005</v>
      </c>
      <c r="J6" s="73" t="s">
        <v>107</v>
      </c>
      <c r="K6" s="73" t="s">
        <v>108</v>
      </c>
      <c r="L6" s="73">
        <v>20</v>
      </c>
      <c r="M6" s="73">
        <v>0.007</v>
      </c>
      <c r="N6" s="73">
        <v>0.01</v>
      </c>
      <c r="O6" s="73">
        <v>0.01</v>
      </c>
      <c r="P6" s="99">
        <f t="shared" ref="P6:P9" si="0">SUM(M6:O6)</f>
        <v>0.027</v>
      </c>
    </row>
    <row r="7" ht="15" customHeight="1" spans="1:16">
      <c r="A7" s="90">
        <v>2</v>
      </c>
      <c r="B7" s="92"/>
      <c r="C7" s="73" t="s">
        <v>109</v>
      </c>
      <c r="D7" s="73" t="s">
        <v>110</v>
      </c>
      <c r="E7" s="73">
        <v>1</v>
      </c>
      <c r="F7" s="73"/>
      <c r="G7" s="73"/>
      <c r="H7" s="73"/>
      <c r="I7" s="70">
        <v>0</v>
      </c>
      <c r="J7" s="73" t="s">
        <v>111</v>
      </c>
      <c r="K7" s="73"/>
      <c r="L7" s="73"/>
      <c r="M7" s="73"/>
      <c r="N7" s="73"/>
      <c r="O7" s="73"/>
      <c r="P7" s="100">
        <f>R21</f>
        <v>0.9135</v>
      </c>
    </row>
    <row r="8" ht="15" customHeight="1" spans="1:16">
      <c r="A8" s="90">
        <v>3</v>
      </c>
      <c r="B8" s="92"/>
      <c r="C8" s="73" t="s">
        <v>112</v>
      </c>
      <c r="D8" s="73"/>
      <c r="E8" s="73">
        <v>1</v>
      </c>
      <c r="F8" s="73"/>
      <c r="G8" s="73"/>
      <c r="H8" s="73"/>
      <c r="I8" s="70">
        <v>0.05</v>
      </c>
      <c r="J8" s="73" t="s">
        <v>113</v>
      </c>
      <c r="K8" s="73" t="s">
        <v>114</v>
      </c>
      <c r="L8" s="73">
        <v>11</v>
      </c>
      <c r="M8" s="73">
        <v>0.02</v>
      </c>
      <c r="N8" s="73">
        <v>0.05</v>
      </c>
      <c r="O8" s="73">
        <v>0.02</v>
      </c>
      <c r="P8" s="99">
        <f t="shared" si="0"/>
        <v>0.09</v>
      </c>
    </row>
    <row r="9" ht="15" customHeight="1" spans="1:16">
      <c r="A9" s="90">
        <v>17</v>
      </c>
      <c r="B9" s="91"/>
      <c r="C9" s="73" t="s">
        <v>115</v>
      </c>
      <c r="D9" s="73"/>
      <c r="E9" s="73">
        <v>1</v>
      </c>
      <c r="F9" s="73"/>
      <c r="G9" s="73"/>
      <c r="H9" s="73"/>
      <c r="I9" s="70">
        <v>0.25</v>
      </c>
      <c r="J9" s="73" t="s">
        <v>116</v>
      </c>
      <c r="K9" s="73" t="s">
        <v>117</v>
      </c>
      <c r="L9" s="73">
        <v>11</v>
      </c>
      <c r="M9" s="73">
        <v>0.01</v>
      </c>
      <c r="N9" s="73">
        <v>0.12</v>
      </c>
      <c r="O9" s="73">
        <v>0.02</v>
      </c>
      <c r="P9" s="99">
        <f t="shared" si="0"/>
        <v>0.15</v>
      </c>
    </row>
    <row r="10" ht="15" customHeight="1" spans="1:16">
      <c r="A10" s="90"/>
      <c r="B10" s="93"/>
      <c r="C10" s="73" t="s">
        <v>118</v>
      </c>
      <c r="D10" s="73"/>
      <c r="E10" s="73">
        <v>1</v>
      </c>
      <c r="F10" s="73"/>
      <c r="G10" s="73"/>
      <c r="H10" s="73"/>
      <c r="I10" s="70">
        <v>0.03</v>
      </c>
      <c r="J10" s="73"/>
      <c r="K10" s="73"/>
      <c r="L10" s="73"/>
      <c r="M10" s="73"/>
      <c r="N10" s="73"/>
      <c r="O10" s="73"/>
      <c r="P10" s="99">
        <v>0</v>
      </c>
    </row>
    <row r="11" ht="15" customHeight="1" spans="1:16">
      <c r="A11" s="90">
        <v>21</v>
      </c>
      <c r="B11" s="73"/>
      <c r="C11" s="73" t="s">
        <v>119</v>
      </c>
      <c r="D11" s="73"/>
      <c r="E11" s="73">
        <v>1</v>
      </c>
      <c r="F11" s="73"/>
      <c r="G11" s="73"/>
      <c r="H11" s="73"/>
      <c r="I11" s="70">
        <v>0.02</v>
      </c>
      <c r="J11" s="73" t="s">
        <v>120</v>
      </c>
      <c r="K11" s="73"/>
      <c r="L11" s="73"/>
      <c r="M11" s="73"/>
      <c r="N11" s="73"/>
      <c r="O11" s="73"/>
      <c r="P11" s="99">
        <v>0.005</v>
      </c>
    </row>
    <row r="12" ht="20" customHeight="1" spans="1:16">
      <c r="A12" s="94" t="s">
        <v>121</v>
      </c>
      <c r="B12" s="95"/>
      <c r="C12" s="95"/>
      <c r="D12" s="95"/>
      <c r="E12" s="95"/>
      <c r="F12" s="95"/>
      <c r="G12" s="95"/>
      <c r="H12" s="96"/>
      <c r="I12" s="101">
        <f>SUM(I6:I11)</f>
        <v>0.355</v>
      </c>
      <c r="J12" s="102" t="s">
        <v>105</v>
      </c>
      <c r="K12" s="95"/>
      <c r="L12" s="95"/>
      <c r="M12" s="95"/>
      <c r="N12" s="95"/>
      <c r="O12" s="96"/>
      <c r="P12" s="103">
        <f>SUM(P6:P11)</f>
        <v>1.1855</v>
      </c>
    </row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 spans="18:28">
      <c r="R20" s="104" t="s">
        <v>122</v>
      </c>
      <c r="S20" s="104" t="s">
        <v>123</v>
      </c>
      <c r="T20" s="104" t="s">
        <v>124</v>
      </c>
      <c r="U20" s="104" t="s">
        <v>125</v>
      </c>
      <c r="V20" s="104" t="s">
        <v>126</v>
      </c>
      <c r="W20" s="104"/>
      <c r="X20" s="104"/>
      <c r="Y20" s="104"/>
      <c r="Z20" s="104"/>
      <c r="AA20" s="106"/>
      <c r="AB20" s="106"/>
    </row>
    <row r="21" ht="15" customHeight="1" spans="18:26">
      <c r="R21" s="105">
        <f>T21*U21*S21</f>
        <v>0.9135</v>
      </c>
      <c r="S21" s="104">
        <v>0.7</v>
      </c>
      <c r="T21" s="104">
        <v>3</v>
      </c>
      <c r="U21" s="104">
        <v>0.435</v>
      </c>
      <c r="V21" s="104" t="s">
        <v>127</v>
      </c>
      <c r="W21" s="104"/>
      <c r="X21" s="104"/>
      <c r="Y21" s="104"/>
      <c r="Z21" s="104"/>
    </row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mergeCells count="7">
    <mergeCell ref="A12:H12"/>
    <mergeCell ref="J12:O12"/>
    <mergeCell ref="V20:Z20"/>
    <mergeCell ref="V21:Z21"/>
    <mergeCell ref="B6:B8"/>
    <mergeCell ref="B9:B10"/>
    <mergeCell ref="A3:P4"/>
  </mergeCells>
  <printOptions horizontalCentered="1"/>
  <pageMargins left="0" right="0" top="0" bottom="0" header="0" footer="0"/>
  <pageSetup paperSize="9" scale="71" orientation="portrait" horizontalDpi="600"/>
  <headerFooter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N19"/>
  <sheetViews>
    <sheetView workbookViewId="0">
      <selection activeCell="H17" sqref="H17"/>
    </sheetView>
  </sheetViews>
  <sheetFormatPr defaultColWidth="8.88888888888889" defaultRowHeight="14.4"/>
  <cols>
    <col min="1" max="2" width="8.88888888888889" style="3"/>
    <col min="3" max="3" width="21.1111111111111" style="3" customWidth="1"/>
    <col min="4" max="4" width="8.88888888888889" style="3"/>
    <col min="5" max="5" width="10.6666666666667" style="3" customWidth="1"/>
    <col min="6" max="9" width="11.2222222222222" style="3" customWidth="1"/>
    <col min="10" max="10" width="8.88888888888889" style="3"/>
    <col min="11" max="11" width="32.4444444444444" style="3" customWidth="1"/>
    <col min="12" max="12" width="24.2222222222222" style="3" customWidth="1"/>
    <col min="13" max="14" width="14.1111111111111" style="3" customWidth="1"/>
    <col min="15" max="16384" width="8.88888888888889" style="3"/>
  </cols>
  <sheetData>
    <row r="1" customHeight="1" spans="2:9">
      <c r="B1" s="41" t="s">
        <v>128</v>
      </c>
      <c r="C1" s="41"/>
      <c r="D1" s="41"/>
      <c r="E1" s="41"/>
      <c r="F1" s="41"/>
      <c r="G1" s="41"/>
      <c r="H1" s="41"/>
      <c r="I1" s="41"/>
    </row>
    <row r="2" customHeight="1" spans="2:9">
      <c r="B2" s="41"/>
      <c r="C2" s="41"/>
      <c r="D2" s="41"/>
      <c r="E2" s="41"/>
      <c r="F2" s="41"/>
      <c r="G2" s="41"/>
      <c r="H2" s="41"/>
      <c r="I2" s="41"/>
    </row>
    <row r="3" ht="25" customHeight="1" spans="2:9">
      <c r="B3" s="42" t="s">
        <v>43</v>
      </c>
      <c r="C3" s="43" t="s">
        <v>4</v>
      </c>
      <c r="D3" s="44" t="s">
        <v>129</v>
      </c>
      <c r="E3" s="44"/>
      <c r="F3" s="45"/>
      <c r="G3" s="46"/>
      <c r="H3" s="46"/>
      <c r="I3" s="46"/>
    </row>
    <row r="4" ht="15.6" spans="2:9">
      <c r="B4" s="47"/>
      <c r="C4" s="48" t="s">
        <v>130</v>
      </c>
      <c r="D4" s="49" t="s">
        <v>44</v>
      </c>
      <c r="E4" s="49"/>
      <c r="F4" s="50"/>
      <c r="G4" s="51"/>
      <c r="H4" s="51"/>
      <c r="I4" s="51"/>
    </row>
    <row r="5" ht="20" customHeight="1" spans="2:9">
      <c r="B5" s="47"/>
      <c r="C5" s="52" t="s">
        <v>131</v>
      </c>
      <c r="D5" s="49" t="s">
        <v>123</v>
      </c>
      <c r="E5" s="53" t="s">
        <v>132</v>
      </c>
      <c r="F5" s="50" t="s">
        <v>43</v>
      </c>
      <c r="G5" s="51"/>
      <c r="H5" s="51"/>
      <c r="I5" s="51"/>
    </row>
    <row r="6" ht="20" customHeight="1" spans="2:14">
      <c r="B6" s="47"/>
      <c r="C6" s="54"/>
      <c r="D6" s="55">
        <v>5.5</v>
      </c>
      <c r="E6" s="56">
        <v>30</v>
      </c>
      <c r="F6" s="57">
        <f>D6/E6</f>
        <v>0.183333333333333</v>
      </c>
      <c r="G6" s="58"/>
      <c r="H6" s="58"/>
      <c r="I6" s="58"/>
      <c r="L6" s="73" t="s">
        <v>133</v>
      </c>
      <c r="M6" s="73" t="s">
        <v>134</v>
      </c>
      <c r="N6" s="82" t="s">
        <v>135</v>
      </c>
    </row>
    <row r="7" ht="20" customHeight="1" spans="2:14">
      <c r="B7" s="47"/>
      <c r="C7" s="52" t="s">
        <v>136</v>
      </c>
      <c r="D7" s="55" t="s">
        <v>123</v>
      </c>
      <c r="E7" s="55" t="s">
        <v>137</v>
      </c>
      <c r="F7" s="59" t="s">
        <v>43</v>
      </c>
      <c r="G7" s="60"/>
      <c r="H7" s="60"/>
      <c r="I7" s="60"/>
      <c r="L7" s="73">
        <v>0.43</v>
      </c>
      <c r="M7" s="73">
        <f>L7*50</f>
        <v>21.5</v>
      </c>
      <c r="N7" s="82">
        <f>L7*30</f>
        <v>12.9</v>
      </c>
    </row>
    <row r="8" ht="20" customHeight="1" spans="2:9">
      <c r="B8" s="47"/>
      <c r="C8" s="54"/>
      <c r="D8" s="55">
        <v>0</v>
      </c>
      <c r="E8" s="55">
        <v>0</v>
      </c>
      <c r="F8" s="57">
        <f>D8*E8</f>
        <v>0</v>
      </c>
      <c r="G8" s="58"/>
      <c r="H8" s="58"/>
      <c r="I8" s="58"/>
    </row>
    <row r="9" ht="25" customHeight="1" spans="2:9">
      <c r="B9" s="47"/>
      <c r="C9" s="61" t="s">
        <v>138</v>
      </c>
      <c r="D9" s="62">
        <f>F6+F8</f>
        <v>0.183333333333333</v>
      </c>
      <c r="E9" s="63"/>
      <c r="F9" s="64"/>
      <c r="G9" s="65"/>
      <c r="H9" s="65"/>
      <c r="I9" s="65"/>
    </row>
    <row r="10" ht="20" customHeight="1" spans="2:14">
      <c r="B10" s="42" t="s">
        <v>139</v>
      </c>
      <c r="C10" s="66" t="s">
        <v>4</v>
      </c>
      <c r="D10" s="66" t="s">
        <v>140</v>
      </c>
      <c r="E10" s="66" t="s">
        <v>141</v>
      </c>
      <c r="F10" s="67" t="s">
        <v>142</v>
      </c>
      <c r="G10" s="68"/>
      <c r="H10" s="68"/>
      <c r="I10" s="68"/>
      <c r="K10" s="73" t="s">
        <v>143</v>
      </c>
      <c r="L10" s="73" t="s">
        <v>144</v>
      </c>
      <c r="M10" s="73" t="s">
        <v>145</v>
      </c>
      <c r="N10" s="83" t="s">
        <v>146</v>
      </c>
    </row>
    <row r="11" ht="20" customHeight="1" spans="2:14">
      <c r="B11" s="47"/>
      <c r="C11" s="69" t="s">
        <v>147</v>
      </c>
      <c r="D11" s="70"/>
      <c r="E11" s="70"/>
      <c r="F11" s="71">
        <f>顺丰费用明细!I8</f>
        <v>1.42153846153846</v>
      </c>
      <c r="G11" s="72"/>
      <c r="H11" s="72"/>
      <c r="I11" s="72"/>
      <c r="K11" s="73">
        <v>0.5</v>
      </c>
      <c r="L11" s="84">
        <f>3000*0.43</f>
        <v>1290</v>
      </c>
      <c r="M11" s="73">
        <v>150</v>
      </c>
      <c r="N11" s="85">
        <f>(K11*L11+M11)/3000</f>
        <v>0.265</v>
      </c>
    </row>
    <row r="12" ht="20" customHeight="1" spans="2:11">
      <c r="B12" s="47"/>
      <c r="C12" s="73"/>
      <c r="D12" s="70"/>
      <c r="E12" s="70"/>
      <c r="F12" s="74"/>
      <c r="G12" s="75"/>
      <c r="H12" s="75"/>
      <c r="I12" s="75"/>
      <c r="K12" s="73" t="s">
        <v>148</v>
      </c>
    </row>
    <row r="13" ht="25" customHeight="1" spans="2:9">
      <c r="B13" s="76"/>
      <c r="C13" s="77" t="s">
        <v>149</v>
      </c>
      <c r="D13" s="78">
        <f>F11+F12</f>
        <v>1.42153846153846</v>
      </c>
      <c r="E13" s="79"/>
      <c r="F13" s="80"/>
      <c r="G13" s="81"/>
      <c r="H13" s="81"/>
      <c r="I13" s="81"/>
    </row>
    <row r="14" ht="20" customHeight="1"/>
    <row r="15" ht="20" customHeight="1"/>
    <row r="16" ht="20" customHeight="1"/>
    <row r="17" ht="20" customHeight="1"/>
    <row r="18" ht="20" customHeight="1"/>
    <row r="19" ht="20" customHeight="1"/>
  </sheetData>
  <mergeCells count="10">
    <mergeCell ref="D3:F3"/>
    <mergeCell ref="D4:F4"/>
    <mergeCell ref="D9:F9"/>
    <mergeCell ref="D13:F13"/>
    <mergeCell ref="B3:B9"/>
    <mergeCell ref="B10:B13"/>
    <mergeCell ref="C5:C6"/>
    <mergeCell ref="C7:C8"/>
    <mergeCell ref="K3:K9"/>
    <mergeCell ref="B1:F2"/>
  </mergeCells>
  <pageMargins left="0.75" right="0.75" top="1" bottom="1" header="0.5" footer="0.5"/>
  <pageSetup paperSize="9" orientation="landscape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workbookViewId="0">
      <selection activeCell="H14" sqref="H14"/>
    </sheetView>
  </sheetViews>
  <sheetFormatPr defaultColWidth="9" defaultRowHeight="15.6" outlineLevelRow="7"/>
  <cols>
    <col min="1" max="1" width="11" style="31" customWidth="1"/>
    <col min="2" max="2" width="18.25" style="31" customWidth="1"/>
    <col min="3" max="4" width="13.25" style="31" customWidth="1"/>
    <col min="5" max="5" width="16.6296296296296" style="31" customWidth="1"/>
    <col min="6" max="6" width="18.8796296296296" style="31" customWidth="1"/>
    <col min="7" max="8" width="9" style="31"/>
    <col min="9" max="9" width="15.6666666666667" style="31"/>
    <col min="10" max="16384" width="9" style="32"/>
  </cols>
  <sheetData>
    <row r="1" ht="14.4" spans="1:6">
      <c r="A1" s="33" t="s">
        <v>150</v>
      </c>
      <c r="B1" s="33"/>
      <c r="C1" s="33"/>
      <c r="D1" s="33"/>
      <c r="E1" s="33"/>
      <c r="F1" s="33"/>
    </row>
    <row r="2" ht="18" customHeight="1" spans="1:6">
      <c r="A2" s="33"/>
      <c r="B2" s="33"/>
      <c r="C2" s="33"/>
      <c r="D2" s="33"/>
      <c r="E2" s="33"/>
      <c r="F2" s="33"/>
    </row>
    <row r="3" ht="30" customHeight="1" spans="1:6">
      <c r="A3" s="34" t="s">
        <v>3</v>
      </c>
      <c r="B3" s="34" t="s">
        <v>151</v>
      </c>
      <c r="C3" s="34" t="s">
        <v>152</v>
      </c>
      <c r="D3" s="34" t="s">
        <v>153</v>
      </c>
      <c r="E3" s="34" t="s">
        <v>154</v>
      </c>
      <c r="F3" s="34" t="s">
        <v>155</v>
      </c>
    </row>
    <row r="4" ht="30" customHeight="1" spans="1:6">
      <c r="A4" s="35">
        <v>1</v>
      </c>
      <c r="B4" s="36" t="s">
        <v>156</v>
      </c>
      <c r="C4" s="37">
        <v>44645</v>
      </c>
      <c r="D4" s="35">
        <v>300</v>
      </c>
      <c r="E4" s="35" t="s">
        <v>157</v>
      </c>
      <c r="F4" s="35">
        <v>449</v>
      </c>
    </row>
    <row r="5" ht="30" customHeight="1" spans="1:6">
      <c r="A5" s="35">
        <v>2</v>
      </c>
      <c r="B5" s="38"/>
      <c r="C5" s="37">
        <v>44646</v>
      </c>
      <c r="D5" s="35">
        <v>80</v>
      </c>
      <c r="E5" s="35" t="s">
        <v>158</v>
      </c>
      <c r="F5" s="35">
        <v>307</v>
      </c>
    </row>
    <row r="6" ht="30" customHeight="1" spans="1:6">
      <c r="A6" s="35">
        <v>3</v>
      </c>
      <c r="B6" s="38"/>
      <c r="C6" s="37">
        <v>44646</v>
      </c>
      <c r="D6" s="35">
        <v>400</v>
      </c>
      <c r="E6" s="35" t="s">
        <v>157</v>
      </c>
      <c r="F6" s="35">
        <v>442</v>
      </c>
    </row>
    <row r="7" ht="30" customHeight="1" spans="1:6">
      <c r="A7" s="35">
        <v>4</v>
      </c>
      <c r="B7" s="38"/>
      <c r="C7" s="37">
        <v>44648</v>
      </c>
      <c r="D7" s="35">
        <v>520</v>
      </c>
      <c r="E7" s="35" t="s">
        <v>157</v>
      </c>
      <c r="F7" s="35">
        <v>650</v>
      </c>
    </row>
    <row r="8" ht="30" customHeight="1" spans="1:9">
      <c r="A8" s="35"/>
      <c r="B8" s="35"/>
      <c r="C8" s="35" t="s">
        <v>159</v>
      </c>
      <c r="D8" s="39">
        <f>SUM(D4:D7)</f>
        <v>1300</v>
      </c>
      <c r="E8" s="35" t="s">
        <v>160</v>
      </c>
      <c r="F8" s="39">
        <f>SUM(F4:F7)</f>
        <v>1848</v>
      </c>
      <c r="H8" s="31" t="s">
        <v>161</v>
      </c>
      <c r="I8" s="40">
        <f>F8/D8</f>
        <v>1.42153846153846</v>
      </c>
    </row>
  </sheetData>
  <mergeCells count="2">
    <mergeCell ref="B4:B7"/>
    <mergeCell ref="A1:F2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D27"/>
  <sheetViews>
    <sheetView workbookViewId="0">
      <selection activeCell="D16" sqref="D16"/>
    </sheetView>
  </sheetViews>
  <sheetFormatPr defaultColWidth="8.88888888888889" defaultRowHeight="14.4"/>
  <cols>
    <col min="1" max="16" width="8.88888888888889" style="3"/>
    <col min="17" max="17" width="10.7777777777778" style="3"/>
    <col min="18" max="16384" width="8.88888888888889" style="3"/>
  </cols>
  <sheetData>
    <row r="2" ht="50" customHeight="1" spans="1:16384">
      <c r="A2" s="4" t="s">
        <v>162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13"/>
      <c r="Q2" s="4"/>
      <c r="R2" s="4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  <c r="XDK2" s="29"/>
      <c r="XDL2" s="29"/>
      <c r="XDM2" s="29"/>
      <c r="XDN2" s="29"/>
      <c r="XDO2" s="29"/>
      <c r="XDP2" s="29"/>
      <c r="XDQ2" s="29"/>
      <c r="XDR2" s="29"/>
      <c r="XDS2" s="29"/>
      <c r="XDT2" s="29"/>
      <c r="XDU2" s="29"/>
      <c r="XDV2" s="29"/>
      <c r="XDW2" s="29"/>
      <c r="XDX2" s="29"/>
      <c r="XDY2" s="29"/>
      <c r="XDZ2" s="29"/>
      <c r="XEA2" s="29"/>
      <c r="XEB2" s="29"/>
      <c r="XEC2" s="29"/>
      <c r="XED2" s="29"/>
      <c r="XEE2" s="30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ht="25" customHeight="1" spans="1:16384">
      <c r="A3" s="5" t="s">
        <v>163</v>
      </c>
      <c r="B3" s="5" t="s">
        <v>164</v>
      </c>
      <c r="C3" s="5" t="s">
        <v>165</v>
      </c>
      <c r="D3" s="5" t="s">
        <v>166</v>
      </c>
      <c r="E3" s="5" t="s">
        <v>167</v>
      </c>
      <c r="F3" s="5" t="s">
        <v>168</v>
      </c>
      <c r="G3" s="5" t="s">
        <v>169</v>
      </c>
      <c r="H3" s="5" t="s">
        <v>170</v>
      </c>
      <c r="I3" s="5" t="s">
        <v>92</v>
      </c>
      <c r="J3" s="5" t="s">
        <v>171</v>
      </c>
      <c r="K3" s="5" t="s">
        <v>172</v>
      </c>
      <c r="L3" s="5"/>
      <c r="M3" s="5"/>
      <c r="N3" s="14"/>
      <c r="O3" s="5"/>
      <c r="P3" s="15" t="s">
        <v>173</v>
      </c>
      <c r="Q3" s="23" t="s">
        <v>174</v>
      </c>
      <c r="R3" s="24" t="s">
        <v>154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  <c r="XDK3" s="29"/>
      <c r="XDL3" s="29"/>
      <c r="XDM3" s="29"/>
      <c r="XDN3" s="29"/>
      <c r="XDO3" s="29"/>
      <c r="XDP3" s="29"/>
      <c r="XDQ3" s="29"/>
      <c r="XDR3" s="29"/>
      <c r="XDS3" s="29"/>
      <c r="XDT3" s="29"/>
      <c r="XDU3" s="29"/>
      <c r="XDV3" s="29"/>
      <c r="XDW3" s="29"/>
      <c r="XDX3" s="29"/>
      <c r="XDY3" s="29"/>
      <c r="XDZ3" s="29"/>
      <c r="XEA3" s="29"/>
      <c r="XEB3" s="29"/>
      <c r="XEC3" s="29"/>
      <c r="XED3" s="29"/>
      <c r="XEE3" s="30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5" customHeight="1" spans="1:18">
      <c r="A4" s="5"/>
      <c r="B4" s="5"/>
      <c r="C4" s="5"/>
      <c r="D4" s="5"/>
      <c r="E4" s="5"/>
      <c r="F4" s="5"/>
      <c r="G4" s="5"/>
      <c r="H4" s="5"/>
      <c r="I4" s="5"/>
      <c r="J4" s="5"/>
      <c r="K4" s="5" t="s">
        <v>175</v>
      </c>
      <c r="L4" s="5" t="s">
        <v>176</v>
      </c>
      <c r="M4" s="5" t="s">
        <v>177</v>
      </c>
      <c r="N4" s="14" t="s">
        <v>178</v>
      </c>
      <c r="O4" s="5" t="s">
        <v>179</v>
      </c>
      <c r="P4" s="15"/>
      <c r="Q4" s="23"/>
      <c r="R4" s="26"/>
    </row>
    <row r="5" s="2" customFormat="1" ht="25" customHeight="1" spans="1:16359">
      <c r="A5" s="6" t="s">
        <v>180</v>
      </c>
      <c r="B5" s="7" t="s">
        <v>181</v>
      </c>
      <c r="C5" s="6"/>
      <c r="D5" s="8">
        <v>1</v>
      </c>
      <c r="E5" s="9" t="s">
        <v>182</v>
      </c>
      <c r="F5" s="8" t="s">
        <v>183</v>
      </c>
      <c r="G5" s="9" t="s">
        <v>184</v>
      </c>
      <c r="H5" s="10" t="s">
        <v>185</v>
      </c>
      <c r="I5" s="16" t="s">
        <v>109</v>
      </c>
      <c r="J5" s="16">
        <v>1</v>
      </c>
      <c r="K5" s="17">
        <v>400</v>
      </c>
      <c r="L5" s="17">
        <v>400</v>
      </c>
      <c r="M5" s="17">
        <v>280</v>
      </c>
      <c r="N5" s="18">
        <v>0.7</v>
      </c>
      <c r="O5" s="19">
        <f t="shared" ref="O5:O7" si="0">N5*M5*L5*K5*J5*7.85*0.000000001</f>
        <v>0.246176</v>
      </c>
      <c r="P5" s="20">
        <v>25000</v>
      </c>
      <c r="Q5" s="19">
        <f t="shared" ref="Q5:Q7" si="1">O5*P5</f>
        <v>6154.4</v>
      </c>
      <c r="R5" s="27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30"/>
    </row>
    <row r="6" s="2" customFormat="1" ht="25" customHeight="1" spans="1:16359">
      <c r="A6" s="6"/>
      <c r="B6" s="11"/>
      <c r="C6" s="6"/>
      <c r="D6" s="6"/>
      <c r="E6" s="6"/>
      <c r="F6" s="6"/>
      <c r="G6" s="9"/>
      <c r="H6" s="10" t="s">
        <v>186</v>
      </c>
      <c r="I6" s="16" t="s">
        <v>187</v>
      </c>
      <c r="J6" s="16">
        <v>1</v>
      </c>
      <c r="K6" s="17">
        <v>400</v>
      </c>
      <c r="L6" s="17">
        <v>400</v>
      </c>
      <c r="M6" s="17">
        <v>280</v>
      </c>
      <c r="N6" s="18">
        <v>0.7</v>
      </c>
      <c r="O6" s="19">
        <f t="shared" si="0"/>
        <v>0.246176</v>
      </c>
      <c r="P6" s="20">
        <v>25000</v>
      </c>
      <c r="Q6" s="19">
        <f t="shared" si="1"/>
        <v>6154.4</v>
      </c>
      <c r="R6" s="27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30"/>
    </row>
    <row r="7" s="2" customFormat="1" ht="25" customHeight="1" spans="1:16359">
      <c r="A7" s="6"/>
      <c r="B7" s="11"/>
      <c r="C7" s="6"/>
      <c r="D7" s="6"/>
      <c r="E7" s="6"/>
      <c r="F7" s="6"/>
      <c r="G7" s="9"/>
      <c r="H7" s="10" t="s">
        <v>188</v>
      </c>
      <c r="I7" s="16" t="s">
        <v>189</v>
      </c>
      <c r="J7" s="16">
        <v>1</v>
      </c>
      <c r="K7" s="17">
        <v>400</v>
      </c>
      <c r="L7" s="17">
        <v>350</v>
      </c>
      <c r="M7" s="17">
        <v>280</v>
      </c>
      <c r="N7" s="18">
        <v>0.7</v>
      </c>
      <c r="O7" s="19">
        <f t="shared" si="0"/>
        <v>0.215404</v>
      </c>
      <c r="P7" s="20">
        <v>25000</v>
      </c>
      <c r="Q7" s="19">
        <f t="shared" si="1"/>
        <v>5385.1</v>
      </c>
      <c r="R7" s="27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30"/>
    </row>
    <row r="8" s="2" customFormat="1" ht="25" customHeight="1" spans="1:16359">
      <c r="A8" s="6"/>
      <c r="B8" s="11"/>
      <c r="C8" s="6"/>
      <c r="D8" s="6"/>
      <c r="E8" s="6"/>
      <c r="F8" s="6"/>
      <c r="G8" s="9"/>
      <c r="H8" s="10"/>
      <c r="I8" s="16" t="s">
        <v>190</v>
      </c>
      <c r="J8" s="16">
        <v>1</v>
      </c>
      <c r="K8" s="17"/>
      <c r="L8" s="17"/>
      <c r="M8" s="17"/>
      <c r="N8" s="18"/>
      <c r="O8" s="19"/>
      <c r="P8" s="20"/>
      <c r="Q8" s="19">
        <v>500</v>
      </c>
      <c r="R8" s="27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30"/>
    </row>
    <row r="9" s="2" customFormat="1" ht="25" customHeight="1" spans="1:16359">
      <c r="A9" s="6" t="s">
        <v>191</v>
      </c>
      <c r="B9" s="7"/>
      <c r="C9" s="6"/>
      <c r="D9" s="6"/>
      <c r="E9" s="9"/>
      <c r="F9" s="8"/>
      <c r="G9" s="9"/>
      <c r="H9" s="10" t="s">
        <v>185</v>
      </c>
      <c r="I9" s="16" t="s">
        <v>192</v>
      </c>
      <c r="J9" s="16">
        <v>1</v>
      </c>
      <c r="K9" s="17"/>
      <c r="L9" s="17"/>
      <c r="M9" s="17"/>
      <c r="N9" s="18"/>
      <c r="O9" s="19"/>
      <c r="P9" s="20"/>
      <c r="Q9" s="19">
        <v>2000</v>
      </c>
      <c r="R9" s="27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30"/>
    </row>
    <row r="10" s="2" customFormat="1" ht="25" customHeight="1" spans="1:16359">
      <c r="A10" s="6"/>
      <c r="B10" s="11"/>
      <c r="C10" s="6"/>
      <c r="D10" s="6"/>
      <c r="E10" s="6"/>
      <c r="F10" s="8"/>
      <c r="G10" s="9"/>
      <c r="H10" s="10" t="s">
        <v>186</v>
      </c>
      <c r="I10" s="16" t="s">
        <v>193</v>
      </c>
      <c r="J10" s="16">
        <v>1</v>
      </c>
      <c r="K10" s="17"/>
      <c r="L10" s="17"/>
      <c r="M10" s="17"/>
      <c r="N10" s="18"/>
      <c r="O10" s="19"/>
      <c r="P10" s="20"/>
      <c r="Q10" s="19">
        <v>1500</v>
      </c>
      <c r="R10" s="27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  <c r="XBL10" s="29"/>
      <c r="XBM10" s="29"/>
      <c r="XBN10" s="29"/>
      <c r="XBO10" s="29"/>
      <c r="XBP10" s="29"/>
      <c r="XBQ10" s="29"/>
      <c r="XBR10" s="29"/>
      <c r="XBS10" s="29"/>
      <c r="XBT10" s="29"/>
      <c r="XBU10" s="29"/>
      <c r="XBV10" s="29"/>
      <c r="XBW10" s="29"/>
      <c r="XBX10" s="29"/>
      <c r="XBY10" s="29"/>
      <c r="XBZ10" s="29"/>
      <c r="XCA10" s="29"/>
      <c r="XCB10" s="29"/>
      <c r="XCC10" s="29"/>
      <c r="XCD10" s="29"/>
      <c r="XCE10" s="29"/>
      <c r="XCF10" s="29"/>
      <c r="XCG10" s="29"/>
      <c r="XCH10" s="29"/>
      <c r="XCI10" s="29"/>
      <c r="XCJ10" s="29"/>
      <c r="XCK10" s="29"/>
      <c r="XCL10" s="29"/>
      <c r="XCM10" s="29"/>
      <c r="XCN10" s="29"/>
      <c r="XCO10" s="29"/>
      <c r="XCP10" s="29"/>
      <c r="XCQ10" s="29"/>
      <c r="XCR10" s="29"/>
      <c r="XCS10" s="29"/>
      <c r="XCT10" s="29"/>
      <c r="XCU10" s="29"/>
      <c r="XCV10" s="29"/>
      <c r="XCW10" s="29"/>
      <c r="XCX10" s="29"/>
      <c r="XCY10" s="29"/>
      <c r="XCZ10" s="29"/>
      <c r="XDA10" s="29"/>
      <c r="XDB10" s="29"/>
      <c r="XDC10" s="29"/>
      <c r="XDD10" s="29"/>
      <c r="XDE10" s="29"/>
      <c r="XDF10" s="29"/>
      <c r="XDG10" s="29"/>
      <c r="XDH10" s="29"/>
      <c r="XDI10" s="29"/>
      <c r="XDJ10" s="29"/>
      <c r="XDK10" s="29"/>
      <c r="XDL10" s="29"/>
      <c r="XDM10" s="29"/>
      <c r="XDN10" s="29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30"/>
    </row>
    <row r="11" s="2" customFormat="1" ht="25" customHeight="1" spans="1:16359">
      <c r="A11" s="6"/>
      <c r="B11" s="11"/>
      <c r="C11" s="6"/>
      <c r="D11" s="6"/>
      <c r="E11" s="6"/>
      <c r="F11" s="6"/>
      <c r="G11" s="9"/>
      <c r="H11" s="10"/>
      <c r="I11" s="16"/>
      <c r="J11" s="16"/>
      <c r="K11" s="17"/>
      <c r="L11" s="17"/>
      <c r="M11" s="17"/>
      <c r="N11" s="18"/>
      <c r="O11" s="19"/>
      <c r="P11" s="20"/>
      <c r="Q11" s="19"/>
      <c r="R11" s="28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30"/>
    </row>
    <row r="12" s="2" customFormat="1" ht="25" customHeight="1" spans="1:16359">
      <c r="A12" s="6"/>
      <c r="B12" s="12"/>
      <c r="C12" s="6"/>
      <c r="D12" s="8"/>
      <c r="E12" s="6"/>
      <c r="F12" s="8"/>
      <c r="G12" s="6"/>
      <c r="H12" s="10" t="s">
        <v>159</v>
      </c>
      <c r="I12" s="21"/>
      <c r="J12" s="10">
        <f>SUM(J5:J11)</f>
        <v>6</v>
      </c>
      <c r="K12" s="16"/>
      <c r="L12" s="16"/>
      <c r="M12" s="16"/>
      <c r="N12" s="18"/>
      <c r="O12" s="19">
        <f>SUM(O5:O11)</f>
        <v>0.707756</v>
      </c>
      <c r="P12" s="20"/>
      <c r="Q12" s="19">
        <f>SUM(Q5:Q11)</f>
        <v>21693.9</v>
      </c>
      <c r="R12" s="27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30"/>
    </row>
    <row r="13" ht="18" customHeight="1"/>
    <row r="14" ht="18" customHeight="1"/>
    <row r="15" ht="18" customHeight="1"/>
    <row r="16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</sheetData>
  <mergeCells count="29">
    <mergeCell ref="A2:R2"/>
    <mergeCell ref="K3:O3"/>
    <mergeCell ref="A3:A4"/>
    <mergeCell ref="A5:A8"/>
    <mergeCell ref="A9:A11"/>
    <mergeCell ref="B3:B4"/>
    <mergeCell ref="B5:B8"/>
    <mergeCell ref="B9:B11"/>
    <mergeCell ref="C3:C4"/>
    <mergeCell ref="C5:C8"/>
    <mergeCell ref="C9:C11"/>
    <mergeCell ref="D3:D4"/>
    <mergeCell ref="D5:D8"/>
    <mergeCell ref="D9:D11"/>
    <mergeCell ref="E3:E4"/>
    <mergeCell ref="E5:E8"/>
    <mergeCell ref="E9:E11"/>
    <mergeCell ref="F3:F4"/>
    <mergeCell ref="F5:F8"/>
    <mergeCell ref="F9:F11"/>
    <mergeCell ref="G3:G4"/>
    <mergeCell ref="G5:G8"/>
    <mergeCell ref="G9:G11"/>
    <mergeCell ref="H3:H4"/>
    <mergeCell ref="I3:I4"/>
    <mergeCell ref="J3:J4"/>
    <mergeCell ref="P3:P4"/>
    <mergeCell ref="Q3:Q4"/>
    <mergeCell ref="R3:R4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成本构成</vt:lpstr>
      <vt:lpstr>原材料成本</vt:lpstr>
      <vt:lpstr>外购件成本</vt:lpstr>
      <vt:lpstr>制造费工时费</vt:lpstr>
      <vt:lpstr>包装费运费</vt:lpstr>
      <vt:lpstr>顺丰费用明细</vt:lpstr>
      <vt:lpstr>专用费用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</dc:creator>
  <cp:lastModifiedBy>星星</cp:lastModifiedBy>
  <dcterms:created xsi:type="dcterms:W3CDTF">2021-02-21T03:24:00Z</dcterms:created>
  <dcterms:modified xsi:type="dcterms:W3CDTF">2022-04-25T03:35:52Z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KSOReadingLayout">
    <vt:bool>false</vt:bool>
  </property>
  <property fmtid="{D5CDD505-2E9C-101B-9397-08002B2CF9AE}" pid="4" name="ICV">
    <vt:lpwstr>176CBBABA0904852A9FA6AA0AC0C55F4</vt:lpwstr>
  </property>
</Properties>
</file>