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可行性分析\吉利G3\"/>
    </mc:Choice>
  </mc:AlternateContent>
  <bookViews>
    <workbookView xWindow="0" yWindow="0" windowWidth="18525" windowHeight="6690" tabRatio="810" activeTab="9"/>
  </bookViews>
  <sheets>
    <sheet name="假设条件" sheetId="34" r:id="rId1"/>
    <sheet name="损益表" sheetId="2" r:id="rId2"/>
    <sheet name="现金" sheetId="36" state="hidden" r:id="rId3"/>
    <sheet name="2021年" sheetId="43" r:id="rId4"/>
    <sheet name="2022年" sheetId="56" r:id="rId5"/>
    <sheet name="2023年" sheetId="57" r:id="rId6"/>
    <sheet name="2024年" sheetId="58" r:id="rId7"/>
    <sheet name="2025年" sheetId="59" r:id="rId8"/>
    <sheet name="项目投资" sheetId="51" r:id="rId9"/>
    <sheet name="销量" sheetId="55" r:id="rId10"/>
    <sheet name="材料成本" sheetId="53" r:id="rId11"/>
    <sheet name="其他" sheetId="54" r:id="rId12"/>
    <sheet name="标准成本" sheetId="50" r:id="rId13"/>
  </sheets>
  <externalReferences>
    <externalReference r:id="rId14"/>
  </externalReferences>
  <definedNames>
    <definedName name="_xlnm.Print_Area" localSheetId="3">'2021年'!$A$1:$H$48</definedName>
    <definedName name="_xlnm.Print_Area" localSheetId="4">'2022年'!$A$1:$H$48</definedName>
    <definedName name="_xlnm.Print_Area" localSheetId="5">'2023年'!$A$1:$H$48</definedName>
    <definedName name="_xlnm.Print_Area" localSheetId="6">'2024年'!$A$1:$H$48</definedName>
    <definedName name="_xlnm.Print_Area" localSheetId="7">'2025年'!$A$1:$H$48</definedName>
    <definedName name="_xlnm.Print_Area" localSheetId="1">损益表!$A$1:$H$61</definedName>
    <definedName name="_xlnm.Print_Area" localSheetId="8">项目投资!$A$1:$C$35</definedName>
  </definedNames>
  <calcPr calcId="162913"/>
  <fileRecoveryPr repairLoad="1"/>
</workbook>
</file>

<file path=xl/calcChain.xml><?xml version="1.0" encoding="utf-8"?>
<calcChain xmlns="http://schemas.openxmlformats.org/spreadsheetml/2006/main">
  <c r="C8" i="55" l="1"/>
  <c r="E6" i="58" l="1"/>
  <c r="E6" i="57"/>
  <c r="E6" i="56"/>
  <c r="E7" i="56" s="1"/>
  <c r="C37" i="56"/>
  <c r="K7" i="55" l="1"/>
  <c r="K8" i="55" s="1"/>
  <c r="K9" i="55" s="1"/>
  <c r="L9" i="55" s="1"/>
  <c r="I10" i="50"/>
  <c r="L8" i="55" l="1"/>
  <c r="L7" i="55"/>
  <c r="E8" i="56" s="1"/>
  <c r="E5" i="50"/>
  <c r="E6" i="50"/>
  <c r="C37" i="59" s="1"/>
  <c r="D37" i="59" s="1"/>
  <c r="E37" i="59" s="1"/>
  <c r="F37" i="59" s="1"/>
  <c r="E7" i="50"/>
  <c r="E8" i="50"/>
  <c r="E9" i="50"/>
  <c r="C44" i="59" s="1"/>
  <c r="D44" i="59" s="1"/>
  <c r="E44" i="59" s="1"/>
  <c r="F44" i="59" s="1"/>
  <c r="E10" i="50"/>
  <c r="E11" i="50"/>
  <c r="C47" i="59" s="1"/>
  <c r="D47" i="59" s="1"/>
  <c r="E47" i="59" s="1"/>
  <c r="F47" i="59" s="1"/>
  <c r="E4" i="50"/>
  <c r="C6" i="59"/>
  <c r="C20" i="59" s="1"/>
  <c r="D6" i="59"/>
  <c r="E45" i="59"/>
  <c r="F45" i="59" s="1"/>
  <c r="D45" i="59"/>
  <c r="C43" i="59"/>
  <c r="D43" i="59" s="1"/>
  <c r="E43" i="59" s="1"/>
  <c r="F43" i="59" s="1"/>
  <c r="C38" i="59"/>
  <c r="D38" i="59" s="1"/>
  <c r="E38" i="59" s="1"/>
  <c r="F38" i="59" s="1"/>
  <c r="C36" i="59"/>
  <c r="D36" i="59" s="1"/>
  <c r="E36" i="59" s="1"/>
  <c r="F36" i="59" s="1"/>
  <c r="G32" i="59"/>
  <c r="E32" i="59"/>
  <c r="G31" i="59"/>
  <c r="F31" i="59"/>
  <c r="F32" i="59" s="1"/>
  <c r="E31" i="59"/>
  <c r="D31" i="59"/>
  <c r="C31" i="59"/>
  <c r="G6" i="59"/>
  <c r="F6" i="59"/>
  <c r="F7" i="59" s="1"/>
  <c r="F9" i="59" s="1"/>
  <c r="E6" i="59"/>
  <c r="D7" i="59"/>
  <c r="C6" i="58"/>
  <c r="D6" i="58"/>
  <c r="D20" i="58" s="1"/>
  <c r="C47" i="58"/>
  <c r="D47" i="58" s="1"/>
  <c r="D45" i="58"/>
  <c r="E45" i="58" s="1"/>
  <c r="F45" i="58" s="1"/>
  <c r="G45" i="58" s="1"/>
  <c r="G20" i="58" s="1"/>
  <c r="C43" i="58"/>
  <c r="D43" i="58" s="1"/>
  <c r="C38" i="58"/>
  <c r="D38" i="58" s="1"/>
  <c r="E38" i="58" s="1"/>
  <c r="F38" i="58" s="1"/>
  <c r="G38" i="58" s="1"/>
  <c r="G13" i="58" s="1"/>
  <c r="C36" i="58"/>
  <c r="D36" i="58" s="1"/>
  <c r="G31" i="58"/>
  <c r="G32" i="58" s="1"/>
  <c r="F31" i="58"/>
  <c r="F32" i="58" s="1"/>
  <c r="E31" i="58"/>
  <c r="E32" i="58" s="1"/>
  <c r="D31" i="58"/>
  <c r="C31" i="58"/>
  <c r="G6" i="58"/>
  <c r="G7" i="58" s="1"/>
  <c r="G9" i="58" s="1"/>
  <c r="F6" i="58"/>
  <c r="F7" i="58" s="1"/>
  <c r="F9" i="58" s="1"/>
  <c r="C6" i="57"/>
  <c r="C7" i="57" s="1"/>
  <c r="C8" i="57" s="1"/>
  <c r="D6" i="57"/>
  <c r="D7" i="57" s="1"/>
  <c r="C47" i="57"/>
  <c r="D47" i="57" s="1"/>
  <c r="D45" i="57"/>
  <c r="E45" i="57" s="1"/>
  <c r="F45" i="57" s="1"/>
  <c r="G45" i="57" s="1"/>
  <c r="G20" i="57" s="1"/>
  <c r="C44" i="57"/>
  <c r="D44" i="57" s="1"/>
  <c r="E44" i="57" s="1"/>
  <c r="F44" i="57" s="1"/>
  <c r="G44" i="57" s="1"/>
  <c r="G19" i="57" s="1"/>
  <c r="C43" i="57"/>
  <c r="D43" i="57" s="1"/>
  <c r="C38" i="57"/>
  <c r="D38" i="57" s="1"/>
  <c r="E38" i="57" s="1"/>
  <c r="F38" i="57" s="1"/>
  <c r="G38" i="57" s="1"/>
  <c r="G13" i="57" s="1"/>
  <c r="C36" i="57"/>
  <c r="D36" i="57" s="1"/>
  <c r="E36" i="57" s="1"/>
  <c r="F36" i="57" s="1"/>
  <c r="G36" i="57" s="1"/>
  <c r="G11" i="57" s="1"/>
  <c r="G31" i="57"/>
  <c r="G32" i="57" s="1"/>
  <c r="F31" i="57"/>
  <c r="F32" i="57" s="1"/>
  <c r="E31" i="57"/>
  <c r="E32" i="57" s="1"/>
  <c r="D31" i="57"/>
  <c r="C31" i="57"/>
  <c r="G6" i="57"/>
  <c r="G7" i="57" s="1"/>
  <c r="G9" i="57" s="1"/>
  <c r="F6" i="57"/>
  <c r="F7" i="57" s="1"/>
  <c r="F9" i="57" s="1"/>
  <c r="C6" i="56"/>
  <c r="D6" i="56"/>
  <c r="D7" i="56" s="1"/>
  <c r="D8" i="56" s="1"/>
  <c r="C47" i="56"/>
  <c r="D47" i="56" s="1"/>
  <c r="E47" i="56" s="1"/>
  <c r="F47" i="56" s="1"/>
  <c r="G47" i="56" s="1"/>
  <c r="D45" i="56"/>
  <c r="E45" i="56" s="1"/>
  <c r="F45" i="56" s="1"/>
  <c r="G45" i="56" s="1"/>
  <c r="C44" i="56"/>
  <c r="D44" i="56" s="1"/>
  <c r="E44" i="56" s="1"/>
  <c r="F44" i="56" s="1"/>
  <c r="G44" i="56" s="1"/>
  <c r="D43" i="56"/>
  <c r="E43" i="56" s="1"/>
  <c r="F43" i="56" s="1"/>
  <c r="G43" i="56" s="1"/>
  <c r="C43" i="56"/>
  <c r="C38" i="56"/>
  <c r="D38" i="56" s="1"/>
  <c r="E38" i="56" s="1"/>
  <c r="F38" i="56" s="1"/>
  <c r="G38" i="56" s="1"/>
  <c r="C36" i="56"/>
  <c r="D36" i="56" s="1"/>
  <c r="E36" i="56" s="1"/>
  <c r="F36" i="56" s="1"/>
  <c r="G36" i="56" s="1"/>
  <c r="G32" i="56"/>
  <c r="F32" i="56"/>
  <c r="G31" i="56"/>
  <c r="F31" i="56"/>
  <c r="E31" i="56"/>
  <c r="E32" i="56" s="1"/>
  <c r="D31" i="56"/>
  <c r="C31" i="56"/>
  <c r="E22" i="56"/>
  <c r="E20" i="56"/>
  <c r="E19" i="56"/>
  <c r="G7" i="56"/>
  <c r="G9" i="56" s="1"/>
  <c r="G6" i="56"/>
  <c r="F6" i="56"/>
  <c r="E9" i="56"/>
  <c r="D22" i="56"/>
  <c r="C7" i="56" l="1"/>
  <c r="C19" i="56"/>
  <c r="C11" i="56"/>
  <c r="E8" i="57"/>
  <c r="H6" i="58"/>
  <c r="D7" i="58"/>
  <c r="C7" i="58"/>
  <c r="K10" i="55"/>
  <c r="L10" i="55" s="1"/>
  <c r="D8" i="59" s="1"/>
  <c r="D9" i="59" s="1"/>
  <c r="D32" i="59" s="1"/>
  <c r="D8" i="57"/>
  <c r="D8" i="58"/>
  <c r="F3" i="2"/>
  <c r="C13" i="59"/>
  <c r="G22" i="56"/>
  <c r="E22" i="59"/>
  <c r="C37" i="57"/>
  <c r="D37" i="57" s="1"/>
  <c r="D13" i="58"/>
  <c r="C44" i="58"/>
  <c r="D44" i="58" s="1"/>
  <c r="E13" i="56"/>
  <c r="D37" i="56"/>
  <c r="E37" i="56" s="1"/>
  <c r="C37" i="58"/>
  <c r="D37" i="58" s="1"/>
  <c r="C22" i="59"/>
  <c r="E11" i="56"/>
  <c r="C11" i="59"/>
  <c r="C7" i="59"/>
  <c r="C12" i="59"/>
  <c r="C19" i="59"/>
  <c r="G36" i="59"/>
  <c r="G11" i="59" s="1"/>
  <c r="F11" i="59"/>
  <c r="G43" i="59"/>
  <c r="G45" i="59"/>
  <c r="G20" i="59" s="1"/>
  <c r="F20" i="59"/>
  <c r="G37" i="59"/>
  <c r="F12" i="59"/>
  <c r="F19" i="59"/>
  <c r="G44" i="59"/>
  <c r="G38" i="59"/>
  <c r="G13" i="59" s="1"/>
  <c r="F13" i="59"/>
  <c r="G47" i="59"/>
  <c r="G22" i="59" s="1"/>
  <c r="F22" i="59"/>
  <c r="G7" i="59"/>
  <c r="G9" i="59" s="1"/>
  <c r="H6" i="59"/>
  <c r="G3" i="2" s="1"/>
  <c r="E7" i="59"/>
  <c r="E9" i="59" s="1"/>
  <c r="D11" i="59"/>
  <c r="D12" i="59"/>
  <c r="G12" i="59"/>
  <c r="D13" i="59"/>
  <c r="D19" i="59"/>
  <c r="G19" i="59"/>
  <c r="D20" i="59"/>
  <c r="D22" i="59"/>
  <c r="E11" i="59"/>
  <c r="E12" i="59"/>
  <c r="E13" i="59"/>
  <c r="E19" i="59"/>
  <c r="E20" i="59"/>
  <c r="E36" i="58"/>
  <c r="F36" i="58" s="1"/>
  <c r="G36" i="58" s="1"/>
  <c r="G11" i="58" s="1"/>
  <c r="D11" i="58"/>
  <c r="D12" i="58"/>
  <c r="E37" i="58"/>
  <c r="F37" i="58" s="1"/>
  <c r="G37" i="58" s="1"/>
  <c r="G12" i="58" s="1"/>
  <c r="E43" i="58"/>
  <c r="F43" i="58" s="1"/>
  <c r="G43" i="58" s="1"/>
  <c r="E47" i="58"/>
  <c r="F47" i="58" s="1"/>
  <c r="G47" i="58" s="1"/>
  <c r="G22" i="58" s="1"/>
  <c r="D22" i="58"/>
  <c r="E7" i="58"/>
  <c r="C11" i="58"/>
  <c r="C12" i="58"/>
  <c r="F12" i="58"/>
  <c r="C13" i="58"/>
  <c r="F13" i="58"/>
  <c r="C19" i="58"/>
  <c r="C20" i="58"/>
  <c r="F20" i="58"/>
  <c r="C22" i="58"/>
  <c r="F22" i="58"/>
  <c r="E11" i="58"/>
  <c r="E12" i="58"/>
  <c r="E13" i="58"/>
  <c r="E20" i="58"/>
  <c r="D11" i="57"/>
  <c r="D19" i="57"/>
  <c r="D13" i="57"/>
  <c r="D20" i="57"/>
  <c r="D12" i="57"/>
  <c r="E37" i="57"/>
  <c r="F37" i="57" s="1"/>
  <c r="G37" i="57" s="1"/>
  <c r="G12" i="57" s="1"/>
  <c r="G14" i="57" s="1"/>
  <c r="E43" i="57"/>
  <c r="F43" i="57" s="1"/>
  <c r="G43" i="57" s="1"/>
  <c r="C9" i="57"/>
  <c r="C32" i="57" s="1"/>
  <c r="E47" i="57"/>
  <c r="F47" i="57" s="1"/>
  <c r="G47" i="57" s="1"/>
  <c r="G22" i="57" s="1"/>
  <c r="D22" i="57"/>
  <c r="E7" i="57"/>
  <c r="C11" i="57"/>
  <c r="F11" i="57"/>
  <c r="C12" i="57"/>
  <c r="C13" i="57"/>
  <c r="F13" i="57"/>
  <c r="C19" i="57"/>
  <c r="F19" i="57"/>
  <c r="C20" i="57"/>
  <c r="F20" i="57"/>
  <c r="C22" i="57"/>
  <c r="H6" i="57"/>
  <c r="E3" i="2" s="1"/>
  <c r="E11" i="57"/>
  <c r="E12" i="57"/>
  <c r="E13" i="57"/>
  <c r="E19" i="57"/>
  <c r="E20" i="57"/>
  <c r="H6" i="56"/>
  <c r="D3" i="2" s="1"/>
  <c r="C20" i="56"/>
  <c r="C13" i="56"/>
  <c r="C22" i="56"/>
  <c r="F13" i="56"/>
  <c r="F11" i="56"/>
  <c r="F22" i="56"/>
  <c r="F20" i="56"/>
  <c r="F19" i="56"/>
  <c r="F7" i="56"/>
  <c r="F9" i="56" s="1"/>
  <c r="D9" i="56"/>
  <c r="D32" i="56" s="1"/>
  <c r="D11" i="56"/>
  <c r="G11" i="56"/>
  <c r="D13" i="56"/>
  <c r="G13" i="56"/>
  <c r="D19" i="56"/>
  <c r="G19" i="56"/>
  <c r="D20" i="56"/>
  <c r="G20" i="56"/>
  <c r="E8" i="58" l="1"/>
  <c r="E9" i="58" s="1"/>
  <c r="H11" i="59"/>
  <c r="G8" i="2" s="1"/>
  <c r="H20" i="59"/>
  <c r="G17" i="2" s="1"/>
  <c r="G43" i="2" s="1"/>
  <c r="H8" i="57"/>
  <c r="E5" i="2" s="1"/>
  <c r="H19" i="56"/>
  <c r="E9" i="57"/>
  <c r="C8" i="56"/>
  <c r="H8" i="56" s="1"/>
  <c r="D5" i="2" s="1"/>
  <c r="H7" i="56"/>
  <c r="C8" i="58"/>
  <c r="C9" i="58" s="1"/>
  <c r="C32" i="58" s="1"/>
  <c r="H7" i="57"/>
  <c r="E4" i="2" s="1"/>
  <c r="H8" i="58"/>
  <c r="F5" i="2" s="1"/>
  <c r="D9" i="58"/>
  <c r="D32" i="58" s="1"/>
  <c r="D9" i="57"/>
  <c r="D32" i="57" s="1"/>
  <c r="C8" i="59"/>
  <c r="H8" i="59" s="1"/>
  <c r="G5" i="2" s="1"/>
  <c r="H13" i="57"/>
  <c r="E10" i="2" s="1"/>
  <c r="E36" i="2" s="1"/>
  <c r="C14" i="59"/>
  <c r="D12" i="56"/>
  <c r="D14" i="56" s="1"/>
  <c r="C12" i="56"/>
  <c r="C14" i="56" s="1"/>
  <c r="E14" i="58"/>
  <c r="H13" i="58"/>
  <c r="F10" i="2" s="1"/>
  <c r="H12" i="59"/>
  <c r="G9" i="2" s="1"/>
  <c r="G35" i="2" s="1"/>
  <c r="F14" i="59"/>
  <c r="F37" i="56"/>
  <c r="E12" i="56"/>
  <c r="E14" i="56" s="1"/>
  <c r="E44" i="58"/>
  <c r="D19" i="58"/>
  <c r="D14" i="57"/>
  <c r="H19" i="59"/>
  <c r="G16" i="2" s="1"/>
  <c r="G42" i="2" s="1"/>
  <c r="F11" i="58"/>
  <c r="F14" i="58" s="1"/>
  <c r="G34" i="2"/>
  <c r="H13" i="59"/>
  <c r="G10" i="2" s="1"/>
  <c r="H7" i="59"/>
  <c r="G4" i="2" s="1"/>
  <c r="H22" i="59"/>
  <c r="G19" i="2" s="1"/>
  <c r="E14" i="59"/>
  <c r="G14" i="59"/>
  <c r="D14" i="59"/>
  <c r="D14" i="58"/>
  <c r="H20" i="58"/>
  <c r="F17" i="2" s="1"/>
  <c r="F43" i="2" s="1"/>
  <c r="H12" i="58"/>
  <c r="F9" i="2" s="1"/>
  <c r="F35" i="2" s="1"/>
  <c r="E22" i="58"/>
  <c r="C14" i="58"/>
  <c r="H7" i="58"/>
  <c r="F4" i="2" s="1"/>
  <c r="G14" i="58"/>
  <c r="H20" i="57"/>
  <c r="E17" i="2" s="1"/>
  <c r="E43" i="2" s="1"/>
  <c r="E14" i="57"/>
  <c r="F22" i="57"/>
  <c r="H19" i="57"/>
  <c r="E16" i="2" s="1"/>
  <c r="E42" i="2" s="1"/>
  <c r="F12" i="57"/>
  <c r="H12" i="57" s="1"/>
  <c r="E9" i="2" s="1"/>
  <c r="E35" i="2" s="1"/>
  <c r="H11" i="57"/>
  <c r="E8" i="2" s="1"/>
  <c r="C14" i="57"/>
  <c r="E22" i="57"/>
  <c r="D4" i="2"/>
  <c r="H13" i="56"/>
  <c r="D10" i="2" s="1"/>
  <c r="H20" i="56"/>
  <c r="D17" i="2" s="1"/>
  <c r="D43" i="2" s="1"/>
  <c r="H22" i="56"/>
  <c r="D19" i="2" s="1"/>
  <c r="D16" i="2"/>
  <c r="H11" i="56"/>
  <c r="D8" i="2" s="1"/>
  <c r="H5" i="2" l="1"/>
  <c r="C9" i="56"/>
  <c r="C32" i="56" s="1"/>
  <c r="D42" i="2"/>
  <c r="H9" i="57"/>
  <c r="E6" i="2" s="1"/>
  <c r="E49" i="2" s="1"/>
  <c r="H9" i="58"/>
  <c r="F6" i="2" s="1"/>
  <c r="F49" i="2" s="1"/>
  <c r="C9" i="59"/>
  <c r="G37" i="56"/>
  <c r="F12" i="56"/>
  <c r="F14" i="56" s="1"/>
  <c r="D36" i="2"/>
  <c r="G36" i="2"/>
  <c r="F44" i="58"/>
  <c r="E19" i="58"/>
  <c r="F36" i="2"/>
  <c r="H11" i="58"/>
  <c r="F8" i="2" s="1"/>
  <c r="F34" i="2" s="1"/>
  <c r="H14" i="59"/>
  <c r="G11" i="2" s="1"/>
  <c r="D34" i="2"/>
  <c r="E34" i="2"/>
  <c r="H14" i="58"/>
  <c r="F11" i="2" s="1"/>
  <c r="H22" i="58"/>
  <c r="H22" i="57"/>
  <c r="E19" i="2" s="1"/>
  <c r="F14" i="57"/>
  <c r="H14" i="57"/>
  <c r="E11" i="2" s="1"/>
  <c r="F29" i="2" l="1"/>
  <c r="E29" i="2"/>
  <c r="H9" i="56"/>
  <c r="D6" i="2" s="1"/>
  <c r="D29" i="2" s="1"/>
  <c r="E51" i="2"/>
  <c r="E47" i="2"/>
  <c r="C32" i="59"/>
  <c r="H9" i="59"/>
  <c r="G6" i="2" s="1"/>
  <c r="D49" i="2"/>
  <c r="F19" i="2"/>
  <c r="F51" i="2" s="1"/>
  <c r="G44" i="58"/>
  <c r="F19" i="58"/>
  <c r="G12" i="56"/>
  <c r="G14" i="56" s="1"/>
  <c r="D47" i="2" l="1"/>
  <c r="D51" i="2"/>
  <c r="G51" i="2"/>
  <c r="G47" i="2"/>
  <c r="G29" i="2"/>
  <c r="G49" i="2"/>
  <c r="H14" i="56"/>
  <c r="D11" i="2" s="1"/>
  <c r="G19" i="58"/>
  <c r="H12" i="56"/>
  <c r="D9" i="2" s="1"/>
  <c r="D35" i="2" s="1"/>
  <c r="H19" i="58"/>
  <c r="F16" i="2" l="1"/>
  <c r="F42" i="2" l="1"/>
  <c r="F47" i="2"/>
  <c r="B5" i="51" l="1"/>
  <c r="H8" i="50" l="1"/>
  <c r="I7" i="50"/>
  <c r="H7" i="50" l="1"/>
  <c r="H24" i="53"/>
  <c r="G24" i="53"/>
  <c r="F24" i="53"/>
  <c r="E24" i="53"/>
  <c r="D24" i="53"/>
  <c r="H14" i="55"/>
  <c r="G14" i="55"/>
  <c r="F14" i="55"/>
  <c r="E14" i="55"/>
  <c r="D14" i="55"/>
  <c r="C14" i="55"/>
  <c r="I13" i="55"/>
  <c r="I12" i="55"/>
  <c r="I11" i="55"/>
  <c r="I10" i="55"/>
  <c r="I9" i="55"/>
  <c r="G22" i="51"/>
  <c r="B9" i="51"/>
  <c r="B27" i="51" s="1"/>
  <c r="B8" i="51"/>
  <c r="B26" i="51" s="1"/>
  <c r="D26" i="51" s="1"/>
  <c r="B7" i="51"/>
  <c r="C47" i="43"/>
  <c r="D47" i="43" s="1"/>
  <c r="E47" i="43" s="1"/>
  <c r="F47" i="43" s="1"/>
  <c r="G47" i="43" s="1"/>
  <c r="D45" i="43"/>
  <c r="E45" i="43" s="1"/>
  <c r="F45" i="43" s="1"/>
  <c r="G45" i="43" s="1"/>
  <c r="C44" i="43"/>
  <c r="D44" i="43" s="1"/>
  <c r="C43" i="43"/>
  <c r="D43" i="43" s="1"/>
  <c r="E43" i="43" s="1"/>
  <c r="F43" i="43" s="1"/>
  <c r="G43" i="43" s="1"/>
  <c r="C38" i="43"/>
  <c r="D38" i="43" s="1"/>
  <c r="C37" i="43"/>
  <c r="D37" i="43" s="1"/>
  <c r="E37" i="43" s="1"/>
  <c r="F37" i="43" s="1"/>
  <c r="G37" i="43" s="1"/>
  <c r="C36" i="43"/>
  <c r="D36" i="43" s="1"/>
  <c r="G31" i="43"/>
  <c r="G32" i="43" s="1"/>
  <c r="F31" i="43"/>
  <c r="F32" i="43" s="1"/>
  <c r="E31" i="43"/>
  <c r="E32" i="43" s="1"/>
  <c r="D31" i="43"/>
  <c r="D32" i="43" s="1"/>
  <c r="C31" i="43"/>
  <c r="C32" i="43" s="1"/>
  <c r="H8" i="43"/>
  <c r="G6" i="43"/>
  <c r="G7" i="43" s="1"/>
  <c r="G9" i="43" s="1"/>
  <c r="F6" i="43"/>
  <c r="F7" i="43" s="1"/>
  <c r="F9" i="43" s="1"/>
  <c r="E6" i="43"/>
  <c r="E7" i="43" s="1"/>
  <c r="E9" i="43" s="1"/>
  <c r="D6" i="43"/>
  <c r="D7" i="43" s="1"/>
  <c r="D9" i="43" s="1"/>
  <c r="C6" i="43"/>
  <c r="C7" i="43" s="1"/>
  <c r="C9" i="43" s="1"/>
  <c r="R23" i="36"/>
  <c r="M16" i="36"/>
  <c r="L15" i="36"/>
  <c r="K15" i="36"/>
  <c r="J15" i="36"/>
  <c r="I15" i="36"/>
  <c r="H15" i="36"/>
  <c r="G15" i="36"/>
  <c r="F15" i="36"/>
  <c r="E15" i="36"/>
  <c r="D15" i="36"/>
  <c r="C15" i="36"/>
  <c r="L14" i="36"/>
  <c r="K14" i="36"/>
  <c r="J14" i="36"/>
  <c r="I14" i="36"/>
  <c r="H14" i="36"/>
  <c r="G14" i="36"/>
  <c r="F14" i="36"/>
  <c r="E14" i="36"/>
  <c r="D14" i="36"/>
  <c r="C14" i="36"/>
  <c r="L13" i="36"/>
  <c r="K13" i="36"/>
  <c r="J13" i="36"/>
  <c r="I13" i="36"/>
  <c r="H13" i="36"/>
  <c r="G13" i="36"/>
  <c r="F13" i="36"/>
  <c r="E13" i="36"/>
  <c r="D13" i="36"/>
  <c r="C13" i="36"/>
  <c r="L12" i="36"/>
  <c r="K12" i="36"/>
  <c r="J12" i="36"/>
  <c r="I12" i="36"/>
  <c r="H12" i="36"/>
  <c r="G12" i="36"/>
  <c r="F12" i="36"/>
  <c r="E12" i="36"/>
  <c r="D12" i="36"/>
  <c r="C12" i="36"/>
  <c r="L11" i="36"/>
  <c r="K11" i="36"/>
  <c r="J11" i="36"/>
  <c r="I11" i="36"/>
  <c r="H11" i="36"/>
  <c r="G11" i="36"/>
  <c r="F11" i="36"/>
  <c r="E11" i="36"/>
  <c r="D11" i="36"/>
  <c r="C11" i="36"/>
  <c r="K10" i="36"/>
  <c r="M9" i="36"/>
  <c r="M8" i="36"/>
  <c r="L7" i="36"/>
  <c r="K7" i="36"/>
  <c r="J7" i="36"/>
  <c r="I7" i="36"/>
  <c r="H7" i="36"/>
  <c r="G7" i="36"/>
  <c r="F7" i="36"/>
  <c r="E7" i="36"/>
  <c r="K6" i="36"/>
  <c r="J6" i="36"/>
  <c r="I6" i="36"/>
  <c r="H6" i="36"/>
  <c r="G6" i="36"/>
  <c r="E6" i="36"/>
  <c r="E5" i="36" s="1"/>
  <c r="K5" i="36"/>
  <c r="J5" i="36"/>
  <c r="I5" i="36"/>
  <c r="D5" i="36"/>
  <c r="C5" i="36"/>
  <c r="E4" i="36"/>
  <c r="F4" i="36" s="1"/>
  <c r="G4" i="36" s="1"/>
  <c r="H4" i="36" s="1"/>
  <c r="I4" i="36" s="1"/>
  <c r="J4" i="36" s="1"/>
  <c r="K4" i="36" s="1"/>
  <c r="L4" i="36" s="1"/>
  <c r="D4" i="36"/>
  <c r="C56" i="2"/>
  <c r="C5" i="2"/>
  <c r="G5" i="36" l="1"/>
  <c r="J10" i="36"/>
  <c r="J17" i="36" s="1"/>
  <c r="J19" i="36" s="1"/>
  <c r="M15" i="36"/>
  <c r="C10" i="36"/>
  <c r="C17" i="36" s="1"/>
  <c r="E10" i="36"/>
  <c r="G10" i="36"/>
  <c r="M6" i="36"/>
  <c r="E33" i="57"/>
  <c r="E34" i="57" s="1"/>
  <c r="E40" i="57" s="1"/>
  <c r="E33" i="56"/>
  <c r="E34" i="56" s="1"/>
  <c r="E40" i="56" s="1"/>
  <c r="E33" i="59"/>
  <c r="E34" i="59" s="1"/>
  <c r="E40" i="59" s="1"/>
  <c r="E10" i="56"/>
  <c r="E15" i="56" s="1"/>
  <c r="E16" i="56" s="1"/>
  <c r="E33" i="58"/>
  <c r="E34" i="58" s="1"/>
  <c r="E40" i="58" s="1"/>
  <c r="E10" i="58"/>
  <c r="E15" i="58" s="1"/>
  <c r="E16" i="58" s="1"/>
  <c r="E10" i="57"/>
  <c r="E15" i="57" s="1"/>
  <c r="E16" i="57" s="1"/>
  <c r="E10" i="59"/>
  <c r="E15" i="59" s="1"/>
  <c r="E16" i="59" s="1"/>
  <c r="G34" i="43"/>
  <c r="G40" i="43" s="1"/>
  <c r="F33" i="43"/>
  <c r="F34" i="43" s="1"/>
  <c r="F33" i="59"/>
  <c r="F34" i="59" s="1"/>
  <c r="F40" i="59" s="1"/>
  <c r="F10" i="59"/>
  <c r="F15" i="59" s="1"/>
  <c r="F16" i="59" s="1"/>
  <c r="F33" i="58"/>
  <c r="F34" i="58" s="1"/>
  <c r="F40" i="58" s="1"/>
  <c r="F33" i="57"/>
  <c r="F34" i="57" s="1"/>
  <c r="F40" i="57" s="1"/>
  <c r="F33" i="56"/>
  <c r="F34" i="56" s="1"/>
  <c r="F40" i="56" s="1"/>
  <c r="F10" i="57"/>
  <c r="F15" i="57" s="1"/>
  <c r="F16" i="57" s="1"/>
  <c r="F10" i="56"/>
  <c r="F15" i="56" s="1"/>
  <c r="F16" i="56" s="1"/>
  <c r="F10" i="58"/>
  <c r="F15" i="58" s="1"/>
  <c r="F16" i="58" s="1"/>
  <c r="E33" i="43"/>
  <c r="E34" i="43" s="1"/>
  <c r="D33" i="43"/>
  <c r="D33" i="58"/>
  <c r="D34" i="58" s="1"/>
  <c r="D40" i="58" s="1"/>
  <c r="D10" i="58"/>
  <c r="D15" i="58" s="1"/>
  <c r="D16" i="58" s="1"/>
  <c r="D33" i="57"/>
  <c r="D34" i="57" s="1"/>
  <c r="D40" i="57" s="1"/>
  <c r="D33" i="56"/>
  <c r="D34" i="56" s="1"/>
  <c r="D40" i="56" s="1"/>
  <c r="D33" i="59"/>
  <c r="D34" i="59" s="1"/>
  <c r="D40" i="59" s="1"/>
  <c r="D10" i="59"/>
  <c r="D15" i="59" s="1"/>
  <c r="D16" i="59" s="1"/>
  <c r="D10" i="57"/>
  <c r="D15" i="57" s="1"/>
  <c r="D16" i="57" s="1"/>
  <c r="D10" i="56"/>
  <c r="D15" i="56" s="1"/>
  <c r="D16" i="56" s="1"/>
  <c r="G33" i="43"/>
  <c r="G33" i="58"/>
  <c r="G34" i="58" s="1"/>
  <c r="G40" i="58" s="1"/>
  <c r="G10" i="58"/>
  <c r="G15" i="58" s="1"/>
  <c r="G16" i="58" s="1"/>
  <c r="G10" i="57"/>
  <c r="G15" i="57" s="1"/>
  <c r="G16" i="57" s="1"/>
  <c r="G33" i="57"/>
  <c r="G34" i="57" s="1"/>
  <c r="G40" i="57" s="1"/>
  <c r="G33" i="56"/>
  <c r="G34" i="56" s="1"/>
  <c r="G40" i="56" s="1"/>
  <c r="G33" i="59"/>
  <c r="G34" i="59" s="1"/>
  <c r="G40" i="59" s="1"/>
  <c r="G10" i="59"/>
  <c r="G15" i="59" s="1"/>
  <c r="G16" i="59" s="1"/>
  <c r="G10" i="56"/>
  <c r="G15" i="56" s="1"/>
  <c r="G16" i="56" s="1"/>
  <c r="C33" i="43"/>
  <c r="C33" i="57"/>
  <c r="C34" i="57" s="1"/>
  <c r="C40" i="57" s="1"/>
  <c r="C33" i="59"/>
  <c r="C34" i="59" s="1"/>
  <c r="C40" i="59" s="1"/>
  <c r="C33" i="58"/>
  <c r="C34" i="58" s="1"/>
  <c r="C40" i="58" s="1"/>
  <c r="C33" i="56"/>
  <c r="C34" i="56" s="1"/>
  <c r="C40" i="56" s="1"/>
  <c r="C10" i="56"/>
  <c r="C10" i="59"/>
  <c r="C10" i="58"/>
  <c r="C10" i="57"/>
  <c r="H18" i="58"/>
  <c r="H18" i="56"/>
  <c r="H18" i="59"/>
  <c r="H18" i="57"/>
  <c r="H5" i="36"/>
  <c r="C34" i="43"/>
  <c r="C40" i="43" s="1"/>
  <c r="D34" i="43"/>
  <c r="D40" i="43" s="1"/>
  <c r="B10" i="51"/>
  <c r="C57" i="2"/>
  <c r="C55" i="2" s="1"/>
  <c r="J26" i="51"/>
  <c r="D11" i="43"/>
  <c r="G10" i="43"/>
  <c r="G22" i="43"/>
  <c r="G12" i="43"/>
  <c r="I14" i="55"/>
  <c r="G20" i="43"/>
  <c r="D12" i="43"/>
  <c r="D20" i="43"/>
  <c r="E44" i="43"/>
  <c r="F44" i="43" s="1"/>
  <c r="G44" i="43" s="1"/>
  <c r="G19" i="43" s="1"/>
  <c r="D19" i="43"/>
  <c r="E38" i="43"/>
  <c r="F38" i="43" s="1"/>
  <c r="G38" i="43" s="1"/>
  <c r="G13" i="43" s="1"/>
  <c r="D13" i="43"/>
  <c r="D22" i="43"/>
  <c r="E36" i="43"/>
  <c r="F36" i="43" s="1"/>
  <c r="G36" i="43" s="1"/>
  <c r="G11" i="43" s="1"/>
  <c r="G17" i="36"/>
  <c r="G19" i="36" s="1"/>
  <c r="M7" i="36"/>
  <c r="M12" i="36"/>
  <c r="H10" i="36"/>
  <c r="D10" i="36"/>
  <c r="D17" i="36" s="1"/>
  <c r="D19" i="36" s="1"/>
  <c r="E26" i="51"/>
  <c r="H18" i="43"/>
  <c r="M5" i="36"/>
  <c r="H9" i="43"/>
  <c r="M11" i="36"/>
  <c r="F10" i="36"/>
  <c r="I10" i="36"/>
  <c r="I17" i="36" s="1"/>
  <c r="I19" i="36" s="1"/>
  <c r="L10" i="36"/>
  <c r="E22" i="43"/>
  <c r="E20" i="43"/>
  <c r="E19" i="43"/>
  <c r="E12" i="43"/>
  <c r="E10" i="43"/>
  <c r="H6" i="43"/>
  <c r="C3" i="2" s="1"/>
  <c r="H3" i="2" s="1"/>
  <c r="D10" i="43"/>
  <c r="J27" i="51"/>
  <c r="D27" i="51"/>
  <c r="M13" i="36"/>
  <c r="E17" i="36"/>
  <c r="E19" i="36" s="1"/>
  <c r="K17" i="36"/>
  <c r="K19" i="36" s="1"/>
  <c r="M14" i="36"/>
  <c r="H7" i="43"/>
  <c r="C4" i="2" s="1"/>
  <c r="H4" i="2" s="1"/>
  <c r="C10" i="43"/>
  <c r="F10" i="43"/>
  <c r="C11" i="43"/>
  <c r="C12" i="43"/>
  <c r="F12" i="43"/>
  <c r="C13" i="43"/>
  <c r="F13" i="43"/>
  <c r="C19" i="43"/>
  <c r="C20" i="43"/>
  <c r="F20" i="43"/>
  <c r="C22" i="43"/>
  <c r="F22" i="43"/>
  <c r="C18" i="36" l="1"/>
  <c r="D18" i="36" s="1"/>
  <c r="C19" i="36"/>
  <c r="E22" i="36"/>
  <c r="H17" i="36"/>
  <c r="H19" i="36" s="1"/>
  <c r="M10" i="36"/>
  <c r="H21" i="43"/>
  <c r="H21" i="57"/>
  <c r="H21" i="59"/>
  <c r="H21" i="56"/>
  <c r="H21" i="58"/>
  <c r="E23" i="36"/>
  <c r="H10" i="57"/>
  <c r="E7" i="2" s="1"/>
  <c r="E30" i="2" s="1"/>
  <c r="E31" i="2" s="1"/>
  <c r="E32" i="2" s="1"/>
  <c r="C15" i="57"/>
  <c r="H10" i="56"/>
  <c r="D7" i="2" s="1"/>
  <c r="D30" i="2" s="1"/>
  <c r="D31" i="2" s="1"/>
  <c r="D32" i="2" s="1"/>
  <c r="C15" i="56"/>
  <c r="H10" i="58"/>
  <c r="F7" i="2" s="1"/>
  <c r="F30" i="2" s="1"/>
  <c r="F31" i="2" s="1"/>
  <c r="F32" i="2" s="1"/>
  <c r="C15" i="58"/>
  <c r="H10" i="59"/>
  <c r="G7" i="2" s="1"/>
  <c r="G30" i="2" s="1"/>
  <c r="G31" i="2" s="1"/>
  <c r="G32" i="2" s="1"/>
  <c r="C15" i="59"/>
  <c r="G60" i="2"/>
  <c r="D18" i="59"/>
  <c r="D17" i="59" s="1"/>
  <c r="F18" i="59"/>
  <c r="F17" i="59" s="1"/>
  <c r="G18" i="59"/>
  <c r="G17" i="59" s="1"/>
  <c r="E18" i="59"/>
  <c r="E17" i="59" s="1"/>
  <c r="C18" i="59"/>
  <c r="C17" i="59" s="1"/>
  <c r="D60" i="2"/>
  <c r="E18" i="56"/>
  <c r="E17" i="56" s="1"/>
  <c r="D18" i="56"/>
  <c r="D17" i="56" s="1"/>
  <c r="G18" i="56"/>
  <c r="G17" i="56" s="1"/>
  <c r="C18" i="56"/>
  <c r="C17" i="56" s="1"/>
  <c r="F18" i="56"/>
  <c r="F17" i="56" s="1"/>
  <c r="E60" i="2"/>
  <c r="G18" i="57"/>
  <c r="G17" i="57" s="1"/>
  <c r="C18" i="57"/>
  <c r="C17" i="57" s="1"/>
  <c r="D18" i="57"/>
  <c r="D17" i="57" s="1"/>
  <c r="E18" i="57"/>
  <c r="E17" i="57" s="1"/>
  <c r="F18" i="57"/>
  <c r="F17" i="57" s="1"/>
  <c r="F60" i="2"/>
  <c r="D18" i="58"/>
  <c r="D17" i="58" s="1"/>
  <c r="E18" i="58"/>
  <c r="E17" i="58" s="1"/>
  <c r="F18" i="58"/>
  <c r="F17" i="58" s="1"/>
  <c r="G18" i="58"/>
  <c r="G17" i="58" s="1"/>
  <c r="C18" i="58"/>
  <c r="C17" i="58" s="1"/>
  <c r="F11" i="43"/>
  <c r="F40" i="43"/>
  <c r="D14" i="43"/>
  <c r="D15" i="43" s="1"/>
  <c r="D16" i="43" s="1"/>
  <c r="E11" i="43"/>
  <c r="H11" i="43" s="1"/>
  <c r="C8" i="2" s="1"/>
  <c r="H8" i="2" s="1"/>
  <c r="E40" i="43"/>
  <c r="H10" i="43"/>
  <c r="C7" i="2" s="1"/>
  <c r="G14" i="43"/>
  <c r="G15" i="43" s="1"/>
  <c r="G16" i="43" s="1"/>
  <c r="E13" i="43"/>
  <c r="H20" i="43"/>
  <c r="C17" i="2" s="1"/>
  <c r="H12" i="43"/>
  <c r="C9" i="2" s="1"/>
  <c r="F19" i="43"/>
  <c r="H19" i="43" s="1"/>
  <c r="C16" i="2" s="1"/>
  <c r="F14" i="43"/>
  <c r="F15" i="43" s="1"/>
  <c r="F16" i="43" s="1"/>
  <c r="E27" i="51"/>
  <c r="F27" i="51" s="1"/>
  <c r="G27" i="51" s="1"/>
  <c r="H27" i="51" s="1"/>
  <c r="D28" i="51"/>
  <c r="F26" i="51"/>
  <c r="M17" i="36"/>
  <c r="E18" i="36"/>
  <c r="H22" i="43"/>
  <c r="C14" i="43"/>
  <c r="L6" i="36"/>
  <c r="L5" i="36" s="1"/>
  <c r="L17" i="36" s="1"/>
  <c r="L19" i="36" s="1"/>
  <c r="F6" i="36"/>
  <c r="F5" i="36" s="1"/>
  <c r="F17" i="36" s="1"/>
  <c r="F19" i="36" s="1"/>
  <c r="C6" i="2"/>
  <c r="H6" i="2" s="1"/>
  <c r="E18" i="43"/>
  <c r="E17" i="43" s="1"/>
  <c r="F18" i="43"/>
  <c r="F17" i="43" s="1"/>
  <c r="C18" i="43"/>
  <c r="C17" i="43" s="1"/>
  <c r="G18" i="43"/>
  <c r="G17" i="43" s="1"/>
  <c r="C60" i="2"/>
  <c r="D18" i="43"/>
  <c r="D17" i="43" s="1"/>
  <c r="I22" i="36"/>
  <c r="M19" i="36"/>
  <c r="C20" i="36"/>
  <c r="D20" i="36" s="1"/>
  <c r="E20" i="36" s="1"/>
  <c r="I23" i="36"/>
  <c r="C43" i="2" l="1"/>
  <c r="H17" i="2"/>
  <c r="H16" i="2"/>
  <c r="H42" i="2" s="1"/>
  <c r="C35" i="2"/>
  <c r="H9" i="2"/>
  <c r="C30" i="2"/>
  <c r="H7" i="2"/>
  <c r="H30" i="2" s="1"/>
  <c r="G18" i="2"/>
  <c r="G50" i="2" s="1"/>
  <c r="G21" i="59"/>
  <c r="G46" i="59" s="1"/>
  <c r="G48" i="59" s="1"/>
  <c r="D21" i="59"/>
  <c r="D46" i="59" s="1"/>
  <c r="D48" i="59" s="1"/>
  <c r="F21" i="59"/>
  <c r="F46" i="59" s="1"/>
  <c r="F48" i="59" s="1"/>
  <c r="E21" i="59"/>
  <c r="E46" i="59" s="1"/>
  <c r="E48" i="59" s="1"/>
  <c r="C21" i="59"/>
  <c r="C46" i="59" s="1"/>
  <c r="C48" i="59" s="1"/>
  <c r="E18" i="2"/>
  <c r="E50" i="2" s="1"/>
  <c r="G21" i="57"/>
  <c r="G46" i="57" s="1"/>
  <c r="G48" i="57" s="1"/>
  <c r="C21" i="57"/>
  <c r="C46" i="57" s="1"/>
  <c r="C48" i="57" s="1"/>
  <c r="E21" i="57"/>
  <c r="E46" i="57" s="1"/>
  <c r="E48" i="57" s="1"/>
  <c r="D21" i="57"/>
  <c r="D46" i="57" s="1"/>
  <c r="D48" i="57" s="1"/>
  <c r="F21" i="57"/>
  <c r="F46" i="57" s="1"/>
  <c r="F48" i="57" s="1"/>
  <c r="G23" i="59"/>
  <c r="G24" i="59" s="1"/>
  <c r="G25" i="59" s="1"/>
  <c r="G26" i="59" s="1"/>
  <c r="G27" i="59" s="1"/>
  <c r="F18" i="2"/>
  <c r="F50" i="2" s="1"/>
  <c r="C21" i="58"/>
  <c r="C46" i="58" s="1"/>
  <c r="C48" i="58" s="1"/>
  <c r="F21" i="58"/>
  <c r="F46" i="58" s="1"/>
  <c r="F48" i="58" s="1"/>
  <c r="D21" i="58"/>
  <c r="D46" i="58" s="1"/>
  <c r="D48" i="58" s="1"/>
  <c r="G21" i="58"/>
  <c r="G46" i="58" s="1"/>
  <c r="G48" i="58" s="1"/>
  <c r="E21" i="58"/>
  <c r="E46" i="58" s="1"/>
  <c r="E48" i="58" s="1"/>
  <c r="G23" i="57"/>
  <c r="G24" i="57" s="1"/>
  <c r="G25" i="57" s="1"/>
  <c r="G26" i="57" s="1"/>
  <c r="G27" i="57" s="1"/>
  <c r="G23" i="58"/>
  <c r="G24" i="58" s="1"/>
  <c r="G25" i="58" s="1"/>
  <c r="G26" i="58" s="1"/>
  <c r="G27" i="58" s="1"/>
  <c r="D18" i="2"/>
  <c r="D50" i="2" s="1"/>
  <c r="E21" i="56"/>
  <c r="E46" i="56" s="1"/>
  <c r="E48" i="56" s="1"/>
  <c r="G21" i="56"/>
  <c r="G46" i="56" s="1"/>
  <c r="G48" i="56" s="1"/>
  <c r="C21" i="56"/>
  <c r="C46" i="56" s="1"/>
  <c r="C48" i="56" s="1"/>
  <c r="D21" i="56"/>
  <c r="D46" i="56" s="1"/>
  <c r="D48" i="56" s="1"/>
  <c r="F21" i="56"/>
  <c r="F46" i="56" s="1"/>
  <c r="F48" i="56" s="1"/>
  <c r="C16" i="58"/>
  <c r="H15" i="58"/>
  <c r="C16" i="59"/>
  <c r="H15" i="59"/>
  <c r="H15" i="57"/>
  <c r="C16" i="57"/>
  <c r="C16" i="56"/>
  <c r="H15" i="56"/>
  <c r="H17" i="58"/>
  <c r="C23" i="57"/>
  <c r="C24" i="57" s="1"/>
  <c r="C25" i="57" s="1"/>
  <c r="C26" i="57" s="1"/>
  <c r="H17" i="57"/>
  <c r="H17" i="59"/>
  <c r="H17" i="56"/>
  <c r="E14" i="43"/>
  <c r="E15" i="43" s="1"/>
  <c r="E16" i="43" s="1"/>
  <c r="H35" i="2"/>
  <c r="H13" i="43"/>
  <c r="C10" i="2" s="1"/>
  <c r="F20" i="36"/>
  <c r="G20" i="36" s="1"/>
  <c r="H20" i="36" s="1"/>
  <c r="I24" i="36" s="1"/>
  <c r="C15" i="43"/>
  <c r="C16" i="43" s="1"/>
  <c r="C42" i="2"/>
  <c r="H17" i="43"/>
  <c r="C14" i="2" s="1"/>
  <c r="C48" i="2" s="1"/>
  <c r="C34" i="2"/>
  <c r="F18" i="36"/>
  <c r="G18" i="36" s="1"/>
  <c r="H18" i="36" s="1"/>
  <c r="E28" i="51"/>
  <c r="I27" i="51"/>
  <c r="H43" i="2"/>
  <c r="C29" i="2"/>
  <c r="C31" i="2" s="1"/>
  <c r="C32" i="2" s="1"/>
  <c r="C19" i="2"/>
  <c r="H19" i="2" s="1"/>
  <c r="F28" i="51"/>
  <c r="G26" i="51"/>
  <c r="E21" i="43"/>
  <c r="F21" i="43"/>
  <c r="C21" i="43"/>
  <c r="G21" i="43"/>
  <c r="C18" i="2"/>
  <c r="H18" i="2" s="1"/>
  <c r="D21" i="43"/>
  <c r="C49" i="2"/>
  <c r="C23" i="56" l="1"/>
  <c r="C24" i="56" s="1"/>
  <c r="C25" i="56" s="1"/>
  <c r="C26" i="56" s="1"/>
  <c r="F23" i="59"/>
  <c r="F24" i="59" s="1"/>
  <c r="F25" i="59" s="1"/>
  <c r="F26" i="59" s="1"/>
  <c r="F27" i="59" s="1"/>
  <c r="E23" i="59"/>
  <c r="E24" i="59" s="1"/>
  <c r="E25" i="59" s="1"/>
  <c r="E26" i="59" s="1"/>
  <c r="E27" i="59" s="1"/>
  <c r="C23" i="58"/>
  <c r="C24" i="58" s="1"/>
  <c r="C25" i="58" s="1"/>
  <c r="C26" i="58" s="1"/>
  <c r="D23" i="59"/>
  <c r="D24" i="59" s="1"/>
  <c r="D25" i="59" s="1"/>
  <c r="D26" i="59" s="1"/>
  <c r="D27" i="59" s="1"/>
  <c r="H10" i="2"/>
  <c r="H47" i="2" s="1"/>
  <c r="D23" i="57"/>
  <c r="D24" i="57" s="1"/>
  <c r="D25" i="57" s="1"/>
  <c r="D26" i="57" s="1"/>
  <c r="D27" i="57" s="1"/>
  <c r="F23" i="57"/>
  <c r="F24" i="57" s="1"/>
  <c r="F25" i="57" s="1"/>
  <c r="F26" i="57" s="1"/>
  <c r="F27" i="57" s="1"/>
  <c r="E23" i="56"/>
  <c r="E24" i="56" s="1"/>
  <c r="E25" i="56" s="1"/>
  <c r="E26" i="56" s="1"/>
  <c r="E27" i="56" s="1"/>
  <c r="D23" i="56"/>
  <c r="D24" i="56" s="1"/>
  <c r="D25" i="56" s="1"/>
  <c r="D26" i="56" s="1"/>
  <c r="D27" i="56" s="1"/>
  <c r="D23" i="58"/>
  <c r="D24" i="58" s="1"/>
  <c r="D25" i="58" s="1"/>
  <c r="D26" i="58" s="1"/>
  <c r="D27" i="58" s="1"/>
  <c r="C23" i="59"/>
  <c r="C24" i="59" s="1"/>
  <c r="C25" i="59" s="1"/>
  <c r="C26" i="59" s="1"/>
  <c r="C27" i="59" s="1"/>
  <c r="F23" i="56"/>
  <c r="F24" i="56" s="1"/>
  <c r="F25" i="56" s="1"/>
  <c r="F26" i="56" s="1"/>
  <c r="F27" i="56" s="1"/>
  <c r="E23" i="57"/>
  <c r="E24" i="57" s="1"/>
  <c r="E25" i="57" s="1"/>
  <c r="E26" i="57" s="1"/>
  <c r="E27" i="57" s="1"/>
  <c r="G23" i="56"/>
  <c r="G24" i="56" s="1"/>
  <c r="G25" i="56" s="1"/>
  <c r="G26" i="56" s="1"/>
  <c r="G27" i="56" s="1"/>
  <c r="E23" i="58"/>
  <c r="E24" i="58" s="1"/>
  <c r="E25" i="58" s="1"/>
  <c r="E26" i="58" s="1"/>
  <c r="E27" i="58" s="1"/>
  <c r="F23" i="58"/>
  <c r="F24" i="58" s="1"/>
  <c r="F25" i="58" s="1"/>
  <c r="F26" i="58" s="1"/>
  <c r="F27" i="58" s="1"/>
  <c r="D12" i="2"/>
  <c r="D38" i="2" s="1"/>
  <c r="H16" i="56"/>
  <c r="D13" i="2" s="1"/>
  <c r="E12" i="2"/>
  <c r="E38" i="2" s="1"/>
  <c r="H16" i="57"/>
  <c r="E13" i="2" s="1"/>
  <c r="F12" i="2"/>
  <c r="F38" i="2" s="1"/>
  <c r="H16" i="58"/>
  <c r="F13" i="2" s="1"/>
  <c r="G12" i="2"/>
  <c r="G38" i="2" s="1"/>
  <c r="H16" i="59"/>
  <c r="G13" i="2" s="1"/>
  <c r="H23" i="59"/>
  <c r="G14" i="2"/>
  <c r="C27" i="57"/>
  <c r="H23" i="56"/>
  <c r="D14" i="2"/>
  <c r="F14" i="2"/>
  <c r="H23" i="58"/>
  <c r="C27" i="56"/>
  <c r="E14" i="2"/>
  <c r="H23" i="57"/>
  <c r="C27" i="58"/>
  <c r="C47" i="2"/>
  <c r="H14" i="43"/>
  <c r="C11" i="2" s="1"/>
  <c r="H11" i="2" s="1"/>
  <c r="H12" i="2" s="1"/>
  <c r="H15" i="43"/>
  <c r="H16" i="43" s="1"/>
  <c r="C36" i="2"/>
  <c r="I20" i="36"/>
  <c r="J20" i="36" s="1"/>
  <c r="K20" i="36" s="1"/>
  <c r="L20" i="36" s="1"/>
  <c r="H23" i="43"/>
  <c r="D23" i="43"/>
  <c r="D24" i="43" s="1"/>
  <c r="D46" i="43"/>
  <c r="D48" i="43" s="1"/>
  <c r="G46" i="43"/>
  <c r="G48" i="43" s="1"/>
  <c r="G23" i="43"/>
  <c r="G24" i="43" s="1"/>
  <c r="E46" i="43"/>
  <c r="E48" i="43" s="1"/>
  <c r="E23" i="43"/>
  <c r="E24" i="43" s="1"/>
  <c r="C51" i="2"/>
  <c r="C20" i="2"/>
  <c r="H51" i="2"/>
  <c r="H34" i="2"/>
  <c r="C41" i="2"/>
  <c r="C46" i="43"/>
  <c r="C48" i="43" s="1"/>
  <c r="C23" i="43"/>
  <c r="C24" i="43" s="1"/>
  <c r="H50" i="2"/>
  <c r="C50" i="2"/>
  <c r="F46" i="43"/>
  <c r="F48" i="43" s="1"/>
  <c r="F23" i="43"/>
  <c r="F24" i="43" s="1"/>
  <c r="H26" i="51"/>
  <c r="G28" i="51"/>
  <c r="H29" i="2"/>
  <c r="H31" i="2" s="1"/>
  <c r="H32" i="2" s="1"/>
  <c r="H49" i="2"/>
  <c r="E24" i="36"/>
  <c r="I18" i="36"/>
  <c r="J18" i="36" s="1"/>
  <c r="K18" i="36" s="1"/>
  <c r="L18" i="36" s="1"/>
  <c r="H26" i="59" l="1"/>
  <c r="G23" i="2" s="1"/>
  <c r="H26" i="56"/>
  <c r="D23" i="2" s="1"/>
  <c r="H36" i="2"/>
  <c r="H26" i="58"/>
  <c r="H27" i="58" s="1"/>
  <c r="F24" i="2" s="1"/>
  <c r="H26" i="57"/>
  <c r="E23" i="2" s="1"/>
  <c r="H24" i="43"/>
  <c r="H25" i="43" s="1"/>
  <c r="H14" i="2"/>
  <c r="H41" i="2" s="1"/>
  <c r="F23" i="2"/>
  <c r="F41" i="2"/>
  <c r="F48" i="2"/>
  <c r="D48" i="2"/>
  <c r="D41" i="2"/>
  <c r="E20" i="2"/>
  <c r="E39" i="2" s="1"/>
  <c r="H24" i="57"/>
  <c r="D20" i="2"/>
  <c r="D39" i="2" s="1"/>
  <c r="H24" i="56"/>
  <c r="G48" i="2"/>
  <c r="G41" i="2"/>
  <c r="E41" i="2"/>
  <c r="E48" i="2"/>
  <c r="F20" i="2"/>
  <c r="F39" i="2" s="1"/>
  <c r="H24" i="58"/>
  <c r="H27" i="59"/>
  <c r="G24" i="2" s="1"/>
  <c r="G20" i="2"/>
  <c r="G39" i="2" s="1"/>
  <c r="H24" i="59"/>
  <c r="C12" i="2"/>
  <c r="C38" i="2" s="1"/>
  <c r="C39" i="2" s="1"/>
  <c r="C25" i="43"/>
  <c r="C26" i="43" s="1"/>
  <c r="E25" i="43"/>
  <c r="E26" i="43" s="1"/>
  <c r="E27" i="43" s="1"/>
  <c r="H38" i="2"/>
  <c r="H13" i="2"/>
  <c r="H28" i="51"/>
  <c r="I26" i="51"/>
  <c r="H60" i="2" s="1"/>
  <c r="F25" i="43"/>
  <c r="F26" i="43" s="1"/>
  <c r="F27" i="43" s="1"/>
  <c r="G25" i="43"/>
  <c r="G26" i="43" s="1"/>
  <c r="G27" i="43" s="1"/>
  <c r="D25" i="43"/>
  <c r="D26" i="43" s="1"/>
  <c r="D27" i="43" s="1"/>
  <c r="H27" i="56" l="1"/>
  <c r="D24" i="2" s="1"/>
  <c r="H48" i="2"/>
  <c r="H27" i="57"/>
  <c r="E24" i="2" s="1"/>
  <c r="H20" i="2"/>
  <c r="H39" i="2" s="1"/>
  <c r="H25" i="59"/>
  <c r="G22" i="2" s="1"/>
  <c r="G21" i="2"/>
  <c r="G53" i="2" s="1"/>
  <c r="G59" i="2"/>
  <c r="G58" i="2" s="1"/>
  <c r="G52" i="2"/>
  <c r="D59" i="2"/>
  <c r="D58" i="2" s="1"/>
  <c r="D52" i="2"/>
  <c r="H25" i="58"/>
  <c r="F22" i="2" s="1"/>
  <c r="F21" i="2"/>
  <c r="F53" i="2" s="1"/>
  <c r="H25" i="56"/>
  <c r="D22" i="2" s="1"/>
  <c r="D21" i="2"/>
  <c r="D53" i="2" s="1"/>
  <c r="F52" i="2"/>
  <c r="F59" i="2"/>
  <c r="F58" i="2" s="1"/>
  <c r="H25" i="57"/>
  <c r="E22" i="2" s="1"/>
  <c r="E21" i="2"/>
  <c r="E53" i="2" s="1"/>
  <c r="E59" i="2"/>
  <c r="E58" i="2" s="1"/>
  <c r="E52" i="2"/>
  <c r="C21" i="2"/>
  <c r="C22" i="2" s="1"/>
  <c r="C23" i="2" s="1"/>
  <c r="C13" i="2"/>
  <c r="H26" i="43"/>
  <c r="H27" i="43" s="1"/>
  <c r="C27" i="43"/>
  <c r="H21" i="2" l="1"/>
  <c r="H53" i="2" s="1"/>
  <c r="C53" i="2"/>
  <c r="C59" i="2"/>
  <c r="C58" i="2" s="1"/>
  <c r="C52" i="2"/>
  <c r="C24" i="2"/>
  <c r="H22" i="2" l="1"/>
  <c r="H23" i="2" s="1"/>
  <c r="H59" i="2" s="1"/>
  <c r="H58" i="2" s="1"/>
  <c r="H24" i="2" l="1"/>
  <c r="H52" i="2"/>
</calcChain>
</file>

<file path=xl/comments1.xml><?xml version="1.0" encoding="utf-8"?>
<comments xmlns="http://schemas.openxmlformats.org/spreadsheetml/2006/main">
  <authors>
    <author>Administrator</author>
  </authors>
  <commentList>
    <comment ref="C8" authorId="0" shapeId="0">
      <text>
        <r>
          <rPr>
            <b/>
            <sz val="9"/>
            <color indexed="81"/>
            <rFont val="宋体"/>
            <family val="3"/>
            <charset val="134"/>
          </rPr>
          <t>Administrator:</t>
        </r>
        <r>
          <rPr>
            <sz val="9"/>
            <color indexed="81"/>
            <rFont val="宋体"/>
            <family val="3"/>
            <charset val="134"/>
          </rPr>
          <t xml:space="preserve">
陕汽X3000
SHT0011448
DZ14251510095基础上增加150元</t>
        </r>
      </text>
    </comment>
  </commentList>
</comments>
</file>

<file path=xl/comments2.xml><?xml version="1.0" encoding="utf-8"?>
<comments xmlns="http://schemas.openxmlformats.org/spreadsheetml/2006/main">
  <authors>
    <author>作者</author>
  </authors>
  <commentList>
    <comment ref="I3" authorId="0" shapeId="0">
      <text>
        <r>
          <rPr>
            <b/>
            <sz val="9"/>
            <rFont val="宋体"/>
            <family val="3"/>
            <charset val="134"/>
          </rPr>
          <t>委外加工、客户指定信息必须填写</t>
        </r>
        <r>
          <rPr>
            <sz val="9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<sst xmlns="http://schemas.openxmlformats.org/spreadsheetml/2006/main" count="1332" uniqueCount="281">
  <si>
    <t xml:space="preserve">序号 </t>
  </si>
  <si>
    <t>项目</t>
  </si>
  <si>
    <t xml:space="preserve">假设条件 </t>
  </si>
  <si>
    <t>销量</t>
  </si>
  <si>
    <t>假设产销一致，暂不考虑库存部分。</t>
  </si>
  <si>
    <t>价格及商务政策</t>
  </si>
  <si>
    <t>销售价格（未税）：由营销或项目经理提供，包括年降。</t>
  </si>
  <si>
    <t>材料成本</t>
  </si>
  <si>
    <t>成本预估由项目经理提供。供应商年度降价：（1）供应商年降。（2）安路普等内部关联公司不考虑年降。</t>
  </si>
  <si>
    <t>单台材料成本为未税价格。</t>
  </si>
  <si>
    <t>变动费用</t>
  </si>
  <si>
    <t>变动费用参考河北工厂2020年实际及2021预算暂估。</t>
  </si>
  <si>
    <t>固定费用</t>
  </si>
  <si>
    <t>预测工厂产能满足客户订单。</t>
  </si>
  <si>
    <t>研发费用按照产销量摊销。</t>
  </si>
  <si>
    <t>如有产线改造按照产销量摊销，无净残值。</t>
  </si>
  <si>
    <t>投资回收期</t>
  </si>
  <si>
    <t>投资仅指此项目研发费用及模夹检具工装、生产地产线改造投入。</t>
  </si>
  <si>
    <t>序号</t>
  </si>
  <si>
    <t>2021年</t>
  </si>
  <si>
    <t>2022年</t>
  </si>
  <si>
    <r>
      <rPr>
        <b/>
        <sz val="10"/>
        <rFont val="CorpoS"/>
        <family val="1"/>
      </rPr>
      <t>2023</t>
    </r>
    <r>
      <rPr>
        <b/>
        <sz val="10"/>
        <rFont val="宋体"/>
        <family val="3"/>
        <charset val="134"/>
      </rPr>
      <t>年</t>
    </r>
  </si>
  <si>
    <r>
      <rPr>
        <b/>
        <sz val="10"/>
        <rFont val="CorpoS"/>
        <family val="1"/>
      </rPr>
      <t>2024</t>
    </r>
    <r>
      <rPr>
        <b/>
        <sz val="10"/>
        <rFont val="宋体"/>
        <family val="3"/>
        <charset val="134"/>
      </rPr>
      <t>年</t>
    </r>
  </si>
  <si>
    <r>
      <rPr>
        <b/>
        <sz val="10"/>
        <rFont val="CorpoS"/>
        <family val="1"/>
      </rPr>
      <t>2025</t>
    </r>
    <r>
      <rPr>
        <b/>
        <sz val="10"/>
        <rFont val="宋体"/>
        <family val="3"/>
        <charset val="134"/>
      </rPr>
      <t>年</t>
    </r>
  </si>
  <si>
    <t>合计</t>
  </si>
  <si>
    <t>各责任主体</t>
  </si>
  <si>
    <t>销售公司</t>
  </si>
  <si>
    <t>收入</t>
  </si>
  <si>
    <t>1、</t>
  </si>
  <si>
    <t>年降</t>
  </si>
  <si>
    <t>2、</t>
  </si>
  <si>
    <t>折扣折让</t>
  </si>
  <si>
    <t>收入净额</t>
  </si>
  <si>
    <t>4、</t>
  </si>
  <si>
    <t>计算</t>
  </si>
  <si>
    <t>直接材料</t>
  </si>
  <si>
    <t>5、</t>
  </si>
  <si>
    <t>各业务部门进行技术方案分析、包括实现方式，采购中心根据技术方案的输入向供应商询价</t>
  </si>
  <si>
    <t>直接人工</t>
  </si>
  <si>
    <t>6、</t>
  </si>
  <si>
    <t>变动制造费用</t>
  </si>
  <si>
    <t>7、</t>
  </si>
  <si>
    <t>变动销售费用</t>
  </si>
  <si>
    <t>9、</t>
  </si>
  <si>
    <t>变动费用小计</t>
  </si>
  <si>
    <t>11、</t>
  </si>
  <si>
    <t>边际贡献总额</t>
  </si>
  <si>
    <t>12、</t>
  </si>
  <si>
    <t>边际贡献率</t>
  </si>
  <si>
    <t>13、</t>
  </si>
  <si>
    <t>固定制造费用</t>
  </si>
  <si>
    <t>14、</t>
  </si>
  <si>
    <t>固定销售费用</t>
  </si>
  <si>
    <t>15、</t>
  </si>
  <si>
    <t>管理费用</t>
  </si>
  <si>
    <t>16、</t>
  </si>
  <si>
    <t>研发费用</t>
  </si>
  <si>
    <t>财务费用</t>
  </si>
  <si>
    <t>17、</t>
  </si>
  <si>
    <t>固定费用小计</t>
  </si>
  <si>
    <t>18、</t>
  </si>
  <si>
    <t>税前利润</t>
  </si>
  <si>
    <t>19、</t>
  </si>
  <si>
    <t>所得税</t>
  </si>
  <si>
    <t>20、</t>
  </si>
  <si>
    <t>净利润</t>
  </si>
  <si>
    <t>21、</t>
  </si>
  <si>
    <t>销售净利率</t>
  </si>
  <si>
    <t>22、</t>
  </si>
  <si>
    <t>利润率</t>
  </si>
  <si>
    <t>指标值</t>
  </si>
  <si>
    <r>
      <rPr>
        <b/>
        <sz val="10"/>
        <rFont val="CorpoS"/>
        <family val="1"/>
      </rPr>
      <t>2021年</t>
    </r>
  </si>
  <si>
    <r>
      <rPr>
        <b/>
        <sz val="10"/>
        <rFont val="CorpoS"/>
        <family val="1"/>
      </rPr>
      <t>2023年</t>
    </r>
  </si>
  <si>
    <r>
      <rPr>
        <b/>
        <sz val="10"/>
        <rFont val="CorpoS"/>
        <family val="1"/>
      </rPr>
      <t>2024年</t>
    </r>
  </si>
  <si>
    <r>
      <rPr>
        <b/>
        <sz val="10"/>
        <rFont val="CorpoS"/>
        <family val="1"/>
      </rPr>
      <t>2025年</t>
    </r>
  </si>
  <si>
    <t>一、</t>
  </si>
  <si>
    <t>附加值</t>
  </si>
  <si>
    <t>二、</t>
  </si>
  <si>
    <t>单件销售收入</t>
  </si>
  <si>
    <t>单件材料成本</t>
  </si>
  <si>
    <t>3、</t>
  </si>
  <si>
    <t>单件附加值</t>
  </si>
  <si>
    <t>附加值比例</t>
  </si>
  <si>
    <t>三、</t>
  </si>
  <si>
    <t>单件直接人工</t>
  </si>
  <si>
    <t>单件变动制造费用</t>
  </si>
  <si>
    <t>单件变动销售费用</t>
  </si>
  <si>
    <t>四、</t>
  </si>
  <si>
    <t>边际贡献</t>
  </si>
  <si>
    <t>单件边际贡献</t>
  </si>
  <si>
    <t>保本量</t>
  </si>
  <si>
    <t>五、</t>
  </si>
  <si>
    <t>单件固定成本</t>
  </si>
  <si>
    <t>单件固定制造费用</t>
  </si>
  <si>
    <t>单件固定销售费用</t>
  </si>
  <si>
    <t>单件管理费用</t>
  </si>
  <si>
    <t>单件研发费用</t>
  </si>
  <si>
    <t>单件折旧及模具摊销</t>
  </si>
  <si>
    <t>单件财务费用</t>
  </si>
  <si>
    <t>六、</t>
  </si>
  <si>
    <t>主要比例指标</t>
  </si>
  <si>
    <t>销售费用占收入比例</t>
  </si>
  <si>
    <t>制造费用占收入比例</t>
  </si>
  <si>
    <t>管理费用占收入比例</t>
  </si>
  <si>
    <t>研发费用占收入比例</t>
  </si>
  <si>
    <t>财务费用占收入比例</t>
  </si>
  <si>
    <t>销售利润率</t>
  </si>
  <si>
    <t>销售利润率吧</t>
  </si>
  <si>
    <t>七、</t>
  </si>
  <si>
    <t>税前单件利润</t>
  </si>
  <si>
    <t>八、</t>
  </si>
  <si>
    <t>投资回收期（研发投资+产线改造投资）</t>
  </si>
  <si>
    <t>新增投资</t>
  </si>
  <si>
    <t xml:space="preserve">研发投资 </t>
  </si>
  <si>
    <t xml:space="preserve">设备模具等投资 </t>
  </si>
  <si>
    <t>新增现金流量</t>
  </si>
  <si>
    <t>新增净利润</t>
  </si>
  <si>
    <t>新增折旧</t>
  </si>
  <si>
    <t>残值处理</t>
  </si>
  <si>
    <t>财务现金流量表</t>
  </si>
  <si>
    <t>附表10</t>
  </si>
  <si>
    <t xml:space="preserve">   年    份</t>
  </si>
  <si>
    <t>建设期</t>
  </si>
  <si>
    <t>运营期</t>
  </si>
  <si>
    <t xml:space="preserve">    项    目</t>
  </si>
  <si>
    <t>合 计</t>
  </si>
  <si>
    <t>现金流入</t>
  </si>
  <si>
    <t>销售收入</t>
  </si>
  <si>
    <t>回收固定资产和无形资产余值</t>
  </si>
  <si>
    <t>回收流动资金</t>
  </si>
  <si>
    <t xml:space="preserve"> </t>
  </si>
  <si>
    <t>其他收入</t>
  </si>
  <si>
    <t>现金流出</t>
  </si>
  <si>
    <t>建设投资</t>
  </si>
  <si>
    <t>流动资金</t>
  </si>
  <si>
    <t>经营成本</t>
  </si>
  <si>
    <t>销售税金及附加</t>
  </si>
  <si>
    <t>其他</t>
  </si>
  <si>
    <t>净现金流量</t>
  </si>
  <si>
    <t>累计净现金流量</t>
  </si>
  <si>
    <t>所得税前净现金流量</t>
  </si>
  <si>
    <t>所得税前累计净现金流量</t>
  </si>
  <si>
    <t>计算指标:</t>
  </si>
  <si>
    <t>所得税后</t>
  </si>
  <si>
    <t>所得税前</t>
  </si>
  <si>
    <t>财务内部收益率(%):</t>
  </si>
  <si>
    <t xml:space="preserve">     </t>
  </si>
  <si>
    <t>财务净现值(ic=12%)(万元):</t>
  </si>
  <si>
    <t>投资回收期(年):</t>
  </si>
  <si>
    <t>年度</t>
  </si>
  <si>
    <t xml:space="preserve">2021年  </t>
  </si>
  <si>
    <t>客户全称</t>
  </si>
  <si>
    <t>产品名称</t>
  </si>
  <si>
    <t>产品图号</t>
  </si>
  <si>
    <t>车型</t>
  </si>
  <si>
    <t>销量(件）</t>
  </si>
  <si>
    <t>设备模具等折旧分摊</t>
  </si>
  <si>
    <t>假设包含在固定制造费用中</t>
  </si>
  <si>
    <t>所得税(税率25%）</t>
  </si>
  <si>
    <t>单位：元</t>
  </si>
  <si>
    <t>单件销售收入净额</t>
  </si>
  <si>
    <r>
      <rPr>
        <b/>
        <sz val="16"/>
        <color indexed="8"/>
        <rFont val="宋体"/>
        <family val="3"/>
        <charset val="134"/>
      </rPr>
      <t xml:space="preserve">    项目建设及投资估算表    </t>
    </r>
    <r>
      <rPr>
        <b/>
        <sz val="8"/>
        <color indexed="8"/>
        <rFont val="宋体"/>
        <family val="3"/>
        <charset val="134"/>
      </rPr>
      <t>单位：万元</t>
    </r>
  </si>
  <si>
    <t>金额</t>
  </si>
  <si>
    <t>备注</t>
  </si>
  <si>
    <t>类型</t>
  </si>
  <si>
    <t>预算费用（万元）</t>
  </si>
  <si>
    <t>一、土地</t>
  </si>
  <si>
    <t>生产线设备</t>
  </si>
  <si>
    <t>新购置</t>
  </si>
  <si>
    <t>二、建设工程投资</t>
  </si>
  <si>
    <t>改造</t>
  </si>
  <si>
    <t>三、设备投资</t>
  </si>
  <si>
    <t>模、夹、检、工装等</t>
  </si>
  <si>
    <t>注塑模具</t>
  </si>
  <si>
    <t>四、其他</t>
  </si>
  <si>
    <t>冲压模具</t>
  </si>
  <si>
    <t>小计</t>
  </si>
  <si>
    <t>发泡模具</t>
  </si>
  <si>
    <t>五、模夹检具、工装</t>
  </si>
  <si>
    <t>压铸模具</t>
  </si>
  <si>
    <t>六、开发投入</t>
  </si>
  <si>
    <t>夹具</t>
  </si>
  <si>
    <t>检具</t>
  </si>
  <si>
    <t>工装</t>
  </si>
  <si>
    <t xml:space="preserve">其它 </t>
  </si>
  <si>
    <t>人力成本</t>
  </si>
  <si>
    <t>差旅费</t>
  </si>
  <si>
    <t>邮寄费</t>
  </si>
  <si>
    <t>运费</t>
  </si>
  <si>
    <t>设计费</t>
  </si>
  <si>
    <t>样品费</t>
  </si>
  <si>
    <t>试验费</t>
  </si>
  <si>
    <t>维修费</t>
  </si>
  <si>
    <t>注：生产线改造、机器人及生产设备等投入费用预算由工厂策划预算。</t>
  </si>
  <si>
    <t>摊余系数</t>
  </si>
  <si>
    <t>2023年</t>
  </si>
  <si>
    <t>2024年</t>
  </si>
  <si>
    <t>2025年</t>
  </si>
  <si>
    <t>预计净残值</t>
  </si>
  <si>
    <t>研发费用分摊</t>
  </si>
  <si>
    <t>产品量价规划</t>
  </si>
  <si>
    <t>一、销量、售价</t>
  </si>
  <si>
    <t>预计销价年降</t>
  </si>
  <si>
    <t>新开发产品</t>
  </si>
  <si>
    <t>配置</t>
  </si>
  <si>
    <t xml:space="preserve">销售价格
（元，未税）  </t>
  </si>
  <si>
    <t>销量（件）</t>
  </si>
  <si>
    <t>预估原材料成本（单位：元，未税）</t>
  </si>
  <si>
    <t>模块</t>
  </si>
  <si>
    <t>项目名称</t>
  </si>
  <si>
    <t>项目编号</t>
  </si>
  <si>
    <t>骨架/镜杆</t>
  </si>
  <si>
    <t>底座模块化</t>
  </si>
  <si>
    <t>发泡</t>
  </si>
  <si>
    <t>面料</t>
  </si>
  <si>
    <t>扶手</t>
  </si>
  <si>
    <t>腰托</t>
  </si>
  <si>
    <t>调角器</t>
  </si>
  <si>
    <t>滑道</t>
  </si>
  <si>
    <t>防尘罩</t>
  </si>
  <si>
    <t>注塑件</t>
  </si>
  <si>
    <t>标准件</t>
  </si>
  <si>
    <t>通风加热</t>
  </si>
  <si>
    <t>安全带</t>
  </si>
  <si>
    <t>SBR</t>
  </si>
  <si>
    <t>喷涂</t>
  </si>
  <si>
    <t>汇总</t>
  </si>
  <si>
    <t>项    目</t>
  </si>
  <si>
    <t>内容</t>
  </si>
  <si>
    <t>规格尺寸（如有）</t>
  </si>
  <si>
    <t>说明</t>
  </si>
  <si>
    <t>生产地点</t>
  </si>
  <si>
    <t>客户地点</t>
  </si>
  <si>
    <t>客户付款方式</t>
  </si>
  <si>
    <t>喷涂件生产地点</t>
  </si>
  <si>
    <t>委外加工</t>
  </si>
  <si>
    <t>物流包装信息</t>
  </si>
  <si>
    <t>客户现场服务要求</t>
  </si>
  <si>
    <t>客户所在地第三方收费标准</t>
  </si>
  <si>
    <t>客户是否指定供方及其结算方式</t>
  </si>
  <si>
    <t>面料价格</t>
  </si>
  <si>
    <t>产品特殊特性</t>
  </si>
  <si>
    <t>单位：元、%、未税</t>
  </si>
  <si>
    <t>科目</t>
  </si>
  <si>
    <t>河北工厂平均值</t>
  </si>
  <si>
    <t>人工成本</t>
  </si>
  <si>
    <t>制造费用</t>
  </si>
  <si>
    <t>固定</t>
  </si>
  <si>
    <t>变动</t>
  </si>
  <si>
    <t>标准成本小计</t>
  </si>
  <si>
    <t>销售费用</t>
  </si>
  <si>
    <t>预计</t>
    <phoneticPr fontId="39" type="noConversion"/>
  </si>
  <si>
    <t>综合单件金额</t>
    <phoneticPr fontId="39" type="noConversion"/>
  </si>
  <si>
    <t>座椅单件金额</t>
    <phoneticPr fontId="39" type="noConversion"/>
  </si>
  <si>
    <t>后视镜单件金额</t>
    <phoneticPr fontId="39" type="noConversion"/>
  </si>
  <si>
    <t>综合占收入比率</t>
    <phoneticPr fontId="39" type="noConversion"/>
  </si>
  <si>
    <t>后视镜占收入比率</t>
    <phoneticPr fontId="39" type="noConversion"/>
  </si>
  <si>
    <t>座椅占收入比率</t>
    <phoneticPr fontId="39" type="noConversion"/>
  </si>
  <si>
    <t>包装膜</t>
    <phoneticPr fontId="39" type="noConversion"/>
  </si>
  <si>
    <t>供应商年降：       年0 %</t>
    <phoneticPr fontId="39" type="noConversion"/>
  </si>
  <si>
    <t xml:space="preserve">    年</t>
    <phoneticPr fontId="39" type="noConversion"/>
  </si>
  <si>
    <t>财务费用不作考虑。</t>
    <phoneticPr fontId="39" type="noConversion"/>
  </si>
  <si>
    <r>
      <t>项目开发资金总投入</t>
    </r>
    <r>
      <rPr>
        <sz val="18"/>
        <color rgb="FF000000"/>
        <rFont val="Calibri"/>
        <family val="2"/>
      </rPr>
      <t/>
    </r>
    <phoneticPr fontId="39" type="noConversion"/>
  </si>
  <si>
    <t xml:space="preserve">      人工</t>
    <phoneticPr fontId="39" type="noConversion"/>
  </si>
  <si>
    <t>其中：模夹检</t>
    <phoneticPr fontId="39" type="noConversion"/>
  </si>
  <si>
    <t xml:space="preserve">      开发费</t>
    <phoneticPr fontId="39" type="noConversion"/>
  </si>
  <si>
    <t>产品总收入</t>
    <phoneticPr fontId="39" type="noConversion"/>
  </si>
  <si>
    <t>产品直接材料成本</t>
    <phoneticPr fontId="39" type="noConversion"/>
  </si>
  <si>
    <t>投资回收周期</t>
    <phoneticPr fontId="39" type="noConversion"/>
  </si>
  <si>
    <t>项目名称</t>
    <phoneticPr fontId="39" type="noConversion"/>
  </si>
  <si>
    <t>序号</t>
    <phoneticPr fontId="39" type="noConversion"/>
  </si>
  <si>
    <t>单件边际贡献</t>
    <phoneticPr fontId="39" type="noConversion"/>
  </si>
  <si>
    <r>
      <t xml:space="preserve">全新一代驾驶员座椅项目可行性分析                  </t>
    </r>
    <r>
      <rPr>
        <sz val="10"/>
        <color theme="1"/>
        <rFont val="微软雅黑"/>
        <family val="2"/>
        <charset val="134"/>
      </rPr>
      <t>单位：元</t>
    </r>
    <phoneticPr fontId="39" type="noConversion"/>
  </si>
  <si>
    <t xml:space="preserve">2022年  </t>
    <phoneticPr fontId="39" type="noConversion"/>
  </si>
  <si>
    <t xml:space="preserve">2023年  </t>
    <phoneticPr fontId="39" type="noConversion"/>
  </si>
  <si>
    <t xml:space="preserve">2024年  </t>
    <phoneticPr fontId="39" type="noConversion"/>
  </si>
  <si>
    <t xml:space="preserve">2025年  </t>
    <phoneticPr fontId="39" type="noConversion"/>
  </si>
  <si>
    <t>中国重汽集团济南商用车有限公司</t>
    <phoneticPr fontId="39" type="noConversion"/>
  </si>
  <si>
    <t xml:space="preserve">全新一代驾驶员座椅项目研发费用预算表 </t>
    <phoneticPr fontId="39" type="noConversion"/>
  </si>
  <si>
    <t>无具体产品</t>
    <phoneticPr fontId="36" type="noConversion"/>
  </si>
  <si>
    <t>在现有2.0或3.0座椅平台基础上增加靠背中折功能（增加150）</t>
    <phoneticPr fontId="3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</si>
</sst>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 * #,##0.00_ ;_ * \-#,##0.00_ ;_ * &quot;-&quot;??_ ;_ @_ "/>
    <numFmt numFmtId="176" formatCode="&quot;$&quot;#,##0.00_);[Red]\(&quot;$&quot;#,##0.00\)"/>
    <numFmt numFmtId="177" formatCode="0_ "/>
    <numFmt numFmtId="178" formatCode="_ * #,##0_ ;_ * \-#,##0_ ;_ * &quot;-&quot;??_ ;_ @_ "/>
    <numFmt numFmtId="179" formatCode="0.00_ "/>
  </numFmts>
  <fonts count="48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b/>
      <sz val="11"/>
      <name val="微软雅黑"/>
      <family val="2"/>
      <charset val="134"/>
    </font>
    <font>
      <sz val="11"/>
      <name val="微软雅黑"/>
      <family val="2"/>
      <charset val="134"/>
    </font>
    <font>
      <sz val="11"/>
      <color rgb="FF000000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sz val="12"/>
      <color rgb="FF000000"/>
      <name val="微软雅黑"/>
      <family val="2"/>
      <charset val="134"/>
    </font>
    <font>
      <sz val="14"/>
      <color rgb="FF000000"/>
      <name val="宋体"/>
      <family val="3"/>
      <charset val="134"/>
    </font>
    <font>
      <b/>
      <sz val="16"/>
      <color indexed="8"/>
      <name val="宋体"/>
      <family val="3"/>
      <charset val="134"/>
    </font>
    <font>
      <sz val="10"/>
      <color indexed="12"/>
      <name val="宋体"/>
      <family val="3"/>
      <charset val="134"/>
    </font>
    <font>
      <sz val="10"/>
      <name val="宋体"/>
      <family val="3"/>
      <charset val="134"/>
    </font>
    <font>
      <sz val="10"/>
      <color indexed="8"/>
      <name val="Times New Roman"/>
      <family val="1"/>
    </font>
    <font>
      <sz val="10"/>
      <color indexed="8"/>
      <name val="宋体"/>
      <family val="3"/>
      <charset val="134"/>
    </font>
    <font>
      <sz val="10"/>
      <color indexed="8"/>
      <name val="Times New Roman"/>
      <family val="1"/>
    </font>
    <font>
      <sz val="10"/>
      <color rgb="FFFF0000"/>
      <name val="微软雅黑"/>
      <family val="2"/>
      <charset val="134"/>
    </font>
    <font>
      <sz val="1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name val="宋体"/>
      <family val="3"/>
      <charset val="134"/>
    </font>
    <font>
      <b/>
      <sz val="10"/>
      <color theme="1"/>
      <name val="微软雅黑"/>
      <family val="2"/>
      <charset val="134"/>
    </font>
    <font>
      <sz val="11"/>
      <color rgb="FFFF0000"/>
      <name val="宋体"/>
      <family val="3"/>
      <charset val="134"/>
      <scheme val="minor"/>
    </font>
    <font>
      <sz val="14"/>
      <name val="宋体"/>
      <family val="3"/>
      <charset val="134"/>
    </font>
    <font>
      <sz val="18"/>
      <color theme="1"/>
      <name val="微软雅黑"/>
      <family val="2"/>
      <charset val="134"/>
    </font>
    <font>
      <b/>
      <sz val="10"/>
      <name val="CorpoS"/>
      <family val="1"/>
    </font>
    <font>
      <b/>
      <sz val="10"/>
      <name val="微软雅黑"/>
      <family val="2"/>
      <charset val="134"/>
    </font>
    <font>
      <sz val="12"/>
      <color theme="1"/>
      <name val="宋体"/>
      <family val="3"/>
      <charset val="134"/>
      <scheme val="minor"/>
    </font>
    <font>
      <b/>
      <sz val="12"/>
      <color rgb="FF000000"/>
      <name val="微软雅黑"/>
      <family val="2"/>
      <charset val="134"/>
    </font>
    <font>
      <sz val="12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sz val="10"/>
      <name val="MS Sans Serif"/>
      <family val="1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Times New Roman"/>
      <family val="1"/>
    </font>
    <font>
      <b/>
      <sz val="12"/>
      <name val="仿宋体"/>
      <charset val="134"/>
    </font>
    <font>
      <sz val="11"/>
      <color indexed="8"/>
      <name val="宋体"/>
      <family val="3"/>
      <charset val="134"/>
    </font>
    <font>
      <b/>
      <sz val="8"/>
      <color indexed="8"/>
      <name val="宋体"/>
      <family val="3"/>
      <charset val="134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sz val="18"/>
      <name val="Arial"/>
      <family val="2"/>
    </font>
    <font>
      <sz val="16"/>
      <color rgb="FF000000"/>
      <name val="宋体"/>
      <family val="3"/>
      <charset val="134"/>
    </font>
    <font>
      <sz val="18"/>
      <color rgb="FF000000"/>
      <name val="Calibri"/>
      <family val="2"/>
    </font>
    <font>
      <sz val="11"/>
      <color rgb="FF000000"/>
      <name val="宋体"/>
      <family val="3"/>
      <charset val="134"/>
    </font>
    <font>
      <sz val="11"/>
      <name val="宋体"/>
      <family val="3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</fonts>
  <fills count="9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BD4B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9">
    <xf numFmtId="0" fontId="0" fillId="0" borderId="0">
      <alignment vertical="center"/>
    </xf>
    <xf numFmtId="43" fontId="38" fillId="0" borderId="0" applyFont="0" applyFill="0" applyBorder="0" applyAlignment="0" applyProtection="0">
      <alignment vertical="center"/>
    </xf>
    <xf numFmtId="0" fontId="29" fillId="0" borderId="0"/>
    <xf numFmtId="9" fontId="38" fillId="0" borderId="0" applyFont="0" applyFill="0" applyBorder="0" applyAlignment="0" applyProtection="0">
      <alignment vertical="center"/>
    </xf>
    <xf numFmtId="0" fontId="32" fillId="0" borderId="0"/>
    <xf numFmtId="0" fontId="31" fillId="0" borderId="0">
      <alignment vertical="center"/>
    </xf>
    <xf numFmtId="0" fontId="30" fillId="0" borderId="0"/>
    <xf numFmtId="1" fontId="33" fillId="0" borderId="1" applyBorder="0"/>
    <xf numFmtId="43" fontId="34" fillId="0" borderId="0" applyFont="0" applyFill="0" applyBorder="0" applyAlignment="0" applyProtection="0">
      <alignment vertical="center"/>
    </xf>
  </cellStyleXfs>
  <cellXfs count="245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Fill="1" applyBorder="1">
      <alignment vertical="center"/>
    </xf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2" fillId="0" borderId="0" xfId="0" applyFont="1" applyBorder="1">
      <alignment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2" fillId="2" borderId="0" xfId="0" applyFont="1" applyFill="1">
      <alignment vertical="center"/>
    </xf>
    <xf numFmtId="0" fontId="2" fillId="2" borderId="1" xfId="0" applyFont="1" applyFill="1" applyBorder="1">
      <alignment vertical="center"/>
    </xf>
    <xf numFmtId="43" fontId="2" fillId="2" borderId="1" xfId="1" applyFont="1" applyFill="1" applyBorder="1">
      <alignment vertical="center"/>
    </xf>
    <xf numFmtId="0" fontId="4" fillId="0" borderId="1" xfId="0" applyFont="1" applyBorder="1" applyAlignment="1">
      <alignment horizontal="center" vertical="center" wrapText="1"/>
    </xf>
    <xf numFmtId="43" fontId="4" fillId="2" borderId="1" xfId="1" applyFont="1" applyFill="1" applyBorder="1">
      <alignment vertical="center"/>
    </xf>
    <xf numFmtId="43" fontId="4" fillId="0" borderId="1" xfId="1" applyFont="1" applyBorder="1">
      <alignment vertical="center"/>
    </xf>
    <xf numFmtId="43" fontId="2" fillId="0" borderId="0" xfId="0" applyNumberFormat="1" applyFont="1" applyBorder="1">
      <alignment vertical="center"/>
    </xf>
    <xf numFmtId="0" fontId="2" fillId="0" borderId="1" xfId="0" applyFont="1" applyBorder="1">
      <alignment vertical="center"/>
    </xf>
    <xf numFmtId="0" fontId="6" fillId="0" borderId="0" xfId="0" applyFont="1" applyAlignment="1">
      <alignment vertical="center" wrapText="1"/>
    </xf>
    <xf numFmtId="178" fontId="2" fillId="0" borderId="0" xfId="1" applyNumberFormat="1" applyFont="1">
      <alignment vertical="center"/>
    </xf>
    <xf numFmtId="0" fontId="6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>
      <alignment vertical="center"/>
    </xf>
    <xf numFmtId="0" fontId="2" fillId="0" borderId="1" xfId="0" applyFont="1" applyBorder="1" applyAlignment="1">
      <alignment horizontal="center" vertical="center" wrapText="1"/>
    </xf>
    <xf numFmtId="43" fontId="2" fillId="3" borderId="1" xfId="1" applyFont="1" applyFill="1" applyBorder="1">
      <alignment vertical="center"/>
    </xf>
    <xf numFmtId="0" fontId="7" fillId="3" borderId="1" xfId="0" applyFont="1" applyFill="1" applyBorder="1" applyAlignment="1">
      <alignment horizontal="center" vertical="center" wrapText="1" readingOrder="1"/>
    </xf>
    <xf numFmtId="0" fontId="7" fillId="2" borderId="1" xfId="0" applyFont="1" applyFill="1" applyBorder="1" applyAlignment="1">
      <alignment horizontal="center" vertical="center" wrapText="1" readingOrder="1"/>
    </xf>
    <xf numFmtId="0" fontId="8" fillId="0" borderId="1" xfId="0" applyFont="1" applyBorder="1" applyAlignment="1">
      <alignment horizontal="center" vertical="center" wrapText="1" readingOrder="1"/>
    </xf>
    <xf numFmtId="178" fontId="5" fillId="3" borderId="1" xfId="0" applyNumberFormat="1" applyFont="1" applyFill="1" applyBorder="1" applyAlignment="1">
      <alignment horizontal="center" wrapText="1" readingOrder="1"/>
    </xf>
    <xf numFmtId="43" fontId="2" fillId="0" borderId="0" xfId="1" applyFont="1">
      <alignment vertical="center"/>
    </xf>
    <xf numFmtId="178" fontId="7" fillId="3" borderId="1" xfId="1" applyNumberFormat="1" applyFont="1" applyFill="1" applyBorder="1" applyAlignment="1">
      <alignment horizontal="center" vertical="center" wrapText="1" readingOrder="1"/>
    </xf>
    <xf numFmtId="43" fontId="0" fillId="0" borderId="0" xfId="1" applyFont="1">
      <alignment vertical="center"/>
    </xf>
    <xf numFmtId="177" fontId="10" fillId="5" borderId="1" xfId="4" applyNumberFormat="1" applyFont="1" applyFill="1" applyBorder="1" applyAlignment="1">
      <alignment horizontal="center" vertical="center" wrapText="1"/>
    </xf>
    <xf numFmtId="43" fontId="10" fillId="5" borderId="1" xfId="1" applyFont="1" applyFill="1" applyBorder="1" applyAlignment="1">
      <alignment horizontal="center" vertical="center" wrapText="1"/>
    </xf>
    <xf numFmtId="0" fontId="10" fillId="5" borderId="1" xfId="2" applyNumberFormat="1" applyFont="1" applyFill="1" applyBorder="1" applyAlignment="1" applyProtection="1">
      <alignment horizontal="center" vertical="center"/>
    </xf>
    <xf numFmtId="43" fontId="0" fillId="0" borderId="1" xfId="1" applyFont="1" applyBorder="1" applyAlignment="1">
      <alignment horizontal="center" vertical="center"/>
    </xf>
    <xf numFmtId="177" fontId="11" fillId="0" borderId="1" xfId="4" applyNumberFormat="1" applyFont="1" applyFill="1" applyBorder="1" applyAlignment="1">
      <alignment horizontal="left" vertical="center"/>
    </xf>
    <xf numFmtId="43" fontId="11" fillId="2" borderId="1" xfId="1" applyFont="1" applyFill="1" applyBorder="1" applyAlignment="1">
      <alignment horizontal="center" vertical="center"/>
    </xf>
    <xf numFmtId="0" fontId="12" fillId="4" borderId="1" xfId="2" applyNumberFormat="1" applyFont="1" applyFill="1" applyBorder="1" applyAlignment="1" applyProtection="1">
      <alignment horizontal="center" vertical="center"/>
    </xf>
    <xf numFmtId="43" fontId="0" fillId="2" borderId="1" xfId="1" applyFont="1" applyFill="1" applyBorder="1" applyAlignment="1">
      <alignment horizontal="center" vertical="center"/>
    </xf>
    <xf numFmtId="0" fontId="13" fillId="4" borderId="1" xfId="2" applyNumberFormat="1" applyFont="1" applyFill="1" applyBorder="1" applyAlignment="1" applyProtection="1">
      <alignment horizontal="center" vertical="center"/>
    </xf>
    <xf numFmtId="43" fontId="11" fillId="0" borderId="1" xfId="1" applyFont="1" applyFill="1" applyBorder="1" applyAlignment="1">
      <alignment horizontal="center" vertical="center"/>
    </xf>
    <xf numFmtId="0" fontId="0" fillId="3" borderId="1" xfId="0" applyFill="1" applyBorder="1">
      <alignment vertical="center"/>
    </xf>
    <xf numFmtId="177" fontId="11" fillId="0" borderId="4" xfId="4" applyNumberFormat="1" applyFont="1" applyFill="1" applyBorder="1" applyAlignment="1">
      <alignment horizontal="center" vertical="center"/>
    </xf>
    <xf numFmtId="177" fontId="11" fillId="0" borderId="4" xfId="4" applyNumberFormat="1" applyFont="1" applyFill="1" applyBorder="1" applyAlignment="1">
      <alignment horizontal="left" vertical="center" wrapText="1"/>
    </xf>
    <xf numFmtId="0" fontId="14" fillId="4" borderId="1" xfId="2" applyNumberFormat="1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vertical="center" wrapText="1"/>
    </xf>
    <xf numFmtId="0" fontId="3" fillId="0" borderId="1" xfId="0" applyFont="1" applyBorder="1" applyAlignment="1">
      <alignment horizontal="center" vertical="center" readingOrder="1"/>
    </xf>
    <xf numFmtId="43" fontId="4" fillId="0" borderId="1" xfId="0" applyNumberFormat="1" applyFont="1" applyBorder="1">
      <alignment vertical="center"/>
    </xf>
    <xf numFmtId="43" fontId="4" fillId="0" borderId="1" xfId="1" applyNumberFormat="1" applyFont="1" applyBorder="1">
      <alignment vertical="center"/>
    </xf>
    <xf numFmtId="0" fontId="2" fillId="0" borderId="5" xfId="0" applyFont="1" applyBorder="1" applyAlignment="1">
      <alignment horizontal="center" vertical="center" wrapText="1"/>
    </xf>
    <xf numFmtId="0" fontId="4" fillId="0" borderId="0" xfId="0" applyFont="1">
      <alignment vertical="center"/>
    </xf>
    <xf numFmtId="0" fontId="15" fillId="0" borderId="0" xfId="0" applyFont="1" applyFill="1">
      <alignment vertical="center"/>
    </xf>
    <xf numFmtId="0" fontId="16" fillId="0" borderId="0" xfId="0" applyFont="1" applyFill="1">
      <alignment vertical="center"/>
    </xf>
    <xf numFmtId="0" fontId="17" fillId="0" borderId="0" xfId="0" applyFont="1" applyFill="1">
      <alignment vertical="center"/>
    </xf>
    <xf numFmtId="43" fontId="17" fillId="0" borderId="0" xfId="1" applyFont="1" applyFill="1">
      <alignment vertical="center"/>
    </xf>
    <xf numFmtId="0" fontId="17" fillId="0" borderId="1" xfId="0" applyFont="1" applyFill="1" applyBorder="1" applyAlignment="1">
      <alignment horizontal="center" vertical="center"/>
    </xf>
    <xf numFmtId="43" fontId="17" fillId="0" borderId="4" xfId="1" applyFont="1" applyFill="1" applyBorder="1" applyAlignment="1">
      <alignment horizontal="center" vertical="center"/>
    </xf>
    <xf numFmtId="43" fontId="18" fillId="0" borderId="1" xfId="1" applyFont="1" applyFill="1" applyBorder="1" applyAlignment="1">
      <alignment horizontal="center" vertical="center" wrapText="1"/>
    </xf>
    <xf numFmtId="0" fontId="17" fillId="0" borderId="1" xfId="0" applyFont="1" applyFill="1" applyBorder="1">
      <alignment vertical="center"/>
    </xf>
    <xf numFmtId="0" fontId="19" fillId="0" borderId="1" xfId="0" applyFont="1" applyFill="1" applyBorder="1" applyAlignment="1">
      <alignment horizontal="center" vertical="center"/>
    </xf>
    <xf numFmtId="43" fontId="17" fillId="0" borderId="1" xfId="1" applyFont="1" applyFill="1" applyBorder="1" applyAlignment="1">
      <alignment horizontal="center" vertical="center"/>
    </xf>
    <xf numFmtId="0" fontId="19" fillId="0" borderId="1" xfId="0" applyFont="1" applyFill="1" applyBorder="1">
      <alignment vertical="center"/>
    </xf>
    <xf numFmtId="9" fontId="17" fillId="0" borderId="1" xfId="3" applyFont="1" applyFill="1" applyBorder="1" applyAlignment="1">
      <alignment horizontal="center" vertical="center"/>
    </xf>
    <xf numFmtId="0" fontId="15" fillId="0" borderId="1" xfId="0" applyFont="1" applyFill="1" applyBorder="1">
      <alignment vertical="center"/>
    </xf>
    <xf numFmtId="43" fontId="15" fillId="0" borderId="1" xfId="1" applyFont="1" applyFill="1" applyBorder="1">
      <alignment vertical="center"/>
    </xf>
    <xf numFmtId="43" fontId="17" fillId="0" borderId="1" xfId="1" applyFont="1" applyFill="1" applyBorder="1">
      <alignment vertical="center"/>
    </xf>
    <xf numFmtId="0" fontId="16" fillId="0" borderId="1" xfId="0" applyFont="1" applyFill="1" applyBorder="1">
      <alignment vertical="center"/>
    </xf>
    <xf numFmtId="9" fontId="17" fillId="0" borderId="1" xfId="3" applyFont="1" applyFill="1" applyBorder="1">
      <alignment vertical="center"/>
    </xf>
    <xf numFmtId="0" fontId="17" fillId="0" borderId="1" xfId="0" applyFont="1" applyFill="1" applyBorder="1" applyAlignment="1">
      <alignment horizontal="center" vertical="center"/>
    </xf>
    <xf numFmtId="43" fontId="15" fillId="0" borderId="1" xfId="1" applyFont="1" applyFill="1" applyBorder="1" applyAlignment="1">
      <alignment horizontal="center" vertical="center"/>
    </xf>
    <xf numFmtId="43" fontId="17" fillId="0" borderId="1" xfId="0" applyNumberFormat="1" applyFont="1" applyFill="1" applyBorder="1">
      <alignment vertical="center"/>
    </xf>
    <xf numFmtId="43" fontId="16" fillId="0" borderId="1" xfId="1" applyFont="1" applyFill="1" applyBorder="1">
      <alignment vertical="center"/>
    </xf>
    <xf numFmtId="43" fontId="17" fillId="0" borderId="0" xfId="1" applyFont="1" applyFill="1" applyAlignment="1">
      <alignment horizontal="center" vertical="center"/>
    </xf>
    <xf numFmtId="0" fontId="0" fillId="0" borderId="0" xfId="0" applyFill="1">
      <alignment vertical="center"/>
    </xf>
    <xf numFmtId="43" fontId="0" fillId="0" borderId="0" xfId="1" applyFont="1" applyFill="1">
      <alignment vertical="center"/>
    </xf>
    <xf numFmtId="43" fontId="17" fillId="0" borderId="0" xfId="0" applyNumberFormat="1" applyFont="1" applyFill="1">
      <alignment vertical="center"/>
    </xf>
    <xf numFmtId="0" fontId="20" fillId="0" borderId="0" xfId="0" applyFont="1" applyFill="1">
      <alignment vertical="center"/>
    </xf>
    <xf numFmtId="179" fontId="17" fillId="0" borderId="0" xfId="0" applyNumberFormat="1" applyFont="1" applyFill="1">
      <alignment vertical="center"/>
    </xf>
    <xf numFmtId="1" fontId="11" fillId="4" borderId="0" xfId="2" applyNumberFormat="1" applyFont="1" applyFill="1" applyProtection="1"/>
    <xf numFmtId="0" fontId="11" fillId="4" borderId="0" xfId="2" applyFont="1" applyFill="1" applyProtection="1"/>
    <xf numFmtId="0" fontId="21" fillId="4" borderId="0" xfId="2" applyFont="1" applyFill="1" applyAlignment="1" applyProtection="1">
      <alignment horizontal="centerContinuous"/>
    </xf>
    <xf numFmtId="0" fontId="11" fillId="4" borderId="0" xfId="2" applyFont="1" applyFill="1" applyAlignment="1">
      <alignment horizontal="centerContinuous"/>
    </xf>
    <xf numFmtId="0" fontId="11" fillId="4" borderId="0" xfId="2" applyFont="1" applyFill="1" applyAlignment="1" applyProtection="1">
      <alignment horizontal="centerContinuous"/>
    </xf>
    <xf numFmtId="9" fontId="11" fillId="4" borderId="0" xfId="2" applyNumberFormat="1" applyFont="1" applyFill="1" applyProtection="1"/>
    <xf numFmtId="0" fontId="11" fillId="4" borderId="5" xfId="2" applyFont="1" applyFill="1" applyBorder="1" applyAlignment="1" applyProtection="1">
      <alignment horizontal="center"/>
    </xf>
    <xf numFmtId="0" fontId="13" fillId="4" borderId="1" xfId="2" applyFont="1" applyFill="1" applyBorder="1" applyAlignment="1" applyProtection="1">
      <alignment horizontal="center"/>
    </xf>
    <xf numFmtId="0" fontId="13" fillId="4" borderId="2" xfId="2" applyFont="1" applyFill="1" applyBorder="1" applyAlignment="1" applyProtection="1">
      <alignment horizontal="center"/>
    </xf>
    <xf numFmtId="1" fontId="13" fillId="4" borderId="2" xfId="7" applyFont="1" applyFill="1" applyBorder="1"/>
    <xf numFmtId="1" fontId="11" fillId="4" borderId="2" xfId="7" applyFont="1" applyFill="1" applyBorder="1"/>
    <xf numFmtId="0" fontId="11" fillId="4" borderId="6" xfId="2" applyFont="1" applyFill="1" applyBorder="1" applyProtection="1"/>
    <xf numFmtId="0" fontId="11" fillId="4" borderId="1" xfId="2" applyFont="1" applyFill="1" applyBorder="1" applyAlignment="1" applyProtection="1">
      <alignment horizontal="center"/>
    </xf>
    <xf numFmtId="0" fontId="11" fillId="4" borderId="1" xfId="2" applyFont="1" applyFill="1" applyBorder="1" applyAlignment="1" applyProtection="1">
      <alignment horizontal="left"/>
    </xf>
    <xf numFmtId="0" fontId="11" fillId="6" borderId="1" xfId="2" applyFont="1" applyFill="1" applyBorder="1" applyProtection="1"/>
    <xf numFmtId="178" fontId="11" fillId="6" borderId="1" xfId="1" applyNumberFormat="1" applyFont="1" applyFill="1" applyBorder="1" applyAlignment="1" applyProtection="1"/>
    <xf numFmtId="0" fontId="11" fillId="4" borderId="1" xfId="2" applyFont="1" applyFill="1" applyBorder="1" applyProtection="1"/>
    <xf numFmtId="178" fontId="11" fillId="4" borderId="1" xfId="1" applyNumberFormat="1" applyFont="1" applyFill="1" applyBorder="1" applyAlignment="1" applyProtection="1"/>
    <xf numFmtId="0" fontId="11" fillId="4" borderId="1" xfId="2" applyNumberFormat="1" applyFont="1" applyFill="1" applyBorder="1" applyAlignment="1" applyProtection="1">
      <alignment horizontal="left"/>
    </xf>
    <xf numFmtId="1" fontId="11" fillId="4" borderId="1" xfId="2" applyNumberFormat="1" applyFont="1" applyFill="1" applyBorder="1" applyProtection="1"/>
    <xf numFmtId="1" fontId="11" fillId="4" borderId="1" xfId="2" applyNumberFormat="1" applyFont="1" applyFill="1" applyBorder="1" applyAlignment="1" applyProtection="1">
      <alignment horizontal="left"/>
    </xf>
    <xf numFmtId="0" fontId="11" fillId="4" borderId="9" xfId="2" applyFont="1" applyFill="1" applyBorder="1" applyProtection="1"/>
    <xf numFmtId="0" fontId="11" fillId="4" borderId="10" xfId="2" applyFont="1" applyFill="1" applyBorder="1" applyProtection="1"/>
    <xf numFmtId="0" fontId="11" fillId="4" borderId="11" xfId="2" applyFont="1" applyFill="1" applyBorder="1" applyProtection="1"/>
    <xf numFmtId="0" fontId="11" fillId="4" borderId="0" xfId="2" applyFont="1" applyFill="1" applyBorder="1" applyProtection="1"/>
    <xf numFmtId="176" fontId="11" fillId="4" borderId="0" xfId="2" applyNumberFormat="1" applyFont="1" applyFill="1" applyBorder="1" applyProtection="1"/>
    <xf numFmtId="10" fontId="11" fillId="4" borderId="0" xfId="2" applyNumberFormat="1" applyFont="1" applyFill="1" applyBorder="1" applyProtection="1"/>
    <xf numFmtId="1" fontId="11" fillId="4" borderId="0" xfId="2" applyNumberFormat="1" applyFont="1" applyFill="1" applyBorder="1" applyProtection="1"/>
    <xf numFmtId="0" fontId="11" fillId="4" borderId="12" xfId="2" applyFont="1" applyFill="1" applyBorder="1" applyProtection="1"/>
    <xf numFmtId="0" fontId="11" fillId="4" borderId="8" xfId="2" applyFont="1" applyFill="1" applyBorder="1" applyProtection="1"/>
    <xf numFmtId="2" fontId="11" fillId="4" borderId="8" xfId="2" applyNumberFormat="1" applyFont="1" applyFill="1" applyBorder="1" applyProtection="1"/>
    <xf numFmtId="0" fontId="11" fillId="4" borderId="3" xfId="2" applyFont="1" applyFill="1" applyBorder="1"/>
    <xf numFmtId="1" fontId="11" fillId="4" borderId="6" xfId="7" applyFont="1" applyFill="1" applyBorder="1" applyAlignment="1">
      <alignment horizontal="center"/>
    </xf>
    <xf numFmtId="0" fontId="11" fillId="4" borderId="13" xfId="2" applyFont="1" applyFill="1" applyBorder="1" applyProtection="1"/>
    <xf numFmtId="0" fontId="11" fillId="4" borderId="14" xfId="2" applyFont="1" applyFill="1" applyBorder="1" applyProtection="1"/>
    <xf numFmtId="0" fontId="11" fillId="4" borderId="15" xfId="2" applyFont="1" applyFill="1" applyBorder="1" applyProtection="1"/>
    <xf numFmtId="0" fontId="16" fillId="0" borderId="0" xfId="0" applyFont="1">
      <alignment vertical="center"/>
    </xf>
    <xf numFmtId="0" fontId="17" fillId="0" borderId="0" xfId="0" applyFont="1" applyBorder="1">
      <alignment vertical="center"/>
    </xf>
    <xf numFmtId="0" fontId="17" fillId="0" borderId="0" xfId="0" applyFont="1">
      <alignment vertical="center"/>
    </xf>
    <xf numFmtId="43" fontId="17" fillId="0" borderId="0" xfId="1" applyFont="1">
      <alignment vertical="center"/>
    </xf>
    <xf numFmtId="43" fontId="23" fillId="0" borderId="1" xfId="1" applyFont="1" applyFill="1" applyBorder="1" applyAlignment="1">
      <alignment horizontal="center" vertical="center" wrapText="1"/>
    </xf>
    <xf numFmtId="178" fontId="17" fillId="0" borderId="1" xfId="1" applyNumberFormat="1" applyFont="1" applyFill="1" applyBorder="1" applyAlignment="1">
      <alignment horizontal="center" vertical="center"/>
    </xf>
    <xf numFmtId="178" fontId="16" fillId="0" borderId="1" xfId="1" applyNumberFormat="1" applyFont="1" applyFill="1" applyBorder="1" applyAlignment="1">
      <alignment horizontal="center" vertical="center"/>
    </xf>
    <xf numFmtId="0" fontId="17" fillId="3" borderId="1" xfId="0" applyFont="1" applyFill="1" applyBorder="1">
      <alignment vertical="center"/>
    </xf>
    <xf numFmtId="0" fontId="19" fillId="6" borderId="1" xfId="0" applyFont="1" applyFill="1" applyBorder="1">
      <alignment vertical="center"/>
    </xf>
    <xf numFmtId="178" fontId="16" fillId="6" borderId="1" xfId="1" applyNumberFormat="1" applyFont="1" applyFill="1" applyBorder="1" applyAlignment="1">
      <alignment horizontal="center" vertical="center"/>
    </xf>
    <xf numFmtId="0" fontId="24" fillId="0" borderId="1" xfId="0" applyFont="1" applyFill="1" applyBorder="1">
      <alignment vertical="center"/>
    </xf>
    <xf numFmtId="0" fontId="17" fillId="0" borderId="1" xfId="0" applyFont="1" applyBorder="1">
      <alignment vertical="center"/>
    </xf>
    <xf numFmtId="10" fontId="16" fillId="0" borderId="1" xfId="3" applyNumberFormat="1" applyFont="1" applyBorder="1" applyAlignment="1">
      <alignment vertical="center"/>
    </xf>
    <xf numFmtId="178" fontId="16" fillId="0" borderId="1" xfId="1" applyNumberFormat="1" applyFont="1" applyBorder="1" applyAlignment="1">
      <alignment horizontal="center" vertical="center"/>
    </xf>
    <xf numFmtId="43" fontId="16" fillId="0" borderId="1" xfId="1" applyFont="1" applyFill="1" applyBorder="1" applyAlignment="1">
      <alignment horizontal="center" vertical="center"/>
    </xf>
    <xf numFmtId="0" fontId="24" fillId="6" borderId="1" xfId="0" applyFont="1" applyFill="1" applyBorder="1">
      <alignment vertical="center"/>
    </xf>
    <xf numFmtId="178" fontId="17" fillId="0" borderId="1" xfId="1" applyNumberFormat="1" applyFont="1" applyBorder="1" applyAlignment="1">
      <alignment horizontal="center" vertical="center"/>
    </xf>
    <xf numFmtId="10" fontId="17" fillId="0" borderId="1" xfId="3" applyNumberFormat="1" applyFont="1" applyBorder="1">
      <alignment vertical="center"/>
    </xf>
    <xf numFmtId="10" fontId="17" fillId="0" borderId="0" xfId="3" applyNumberFormat="1" applyFont="1" applyBorder="1">
      <alignment vertical="center"/>
    </xf>
    <xf numFmtId="43" fontId="17" fillId="0" borderId="0" xfId="1" applyFont="1" applyBorder="1">
      <alignment vertical="center"/>
    </xf>
    <xf numFmtId="0" fontId="17" fillId="0" borderId="1" xfId="0" applyFont="1" applyBorder="1" applyAlignment="1">
      <alignment horizontal="center" vertical="center"/>
    </xf>
    <xf numFmtId="10" fontId="17" fillId="0" borderId="1" xfId="3" applyNumberFormat="1" applyFont="1" applyFill="1" applyBorder="1" applyAlignment="1">
      <alignment horizontal="center" vertical="center"/>
    </xf>
    <xf numFmtId="10" fontId="17" fillId="0" borderId="1" xfId="3" applyNumberFormat="1" applyFont="1" applyFill="1" applyBorder="1">
      <alignment vertical="center"/>
    </xf>
    <xf numFmtId="0" fontId="19" fillId="0" borderId="1" xfId="0" applyFont="1" applyFill="1" applyBorder="1" applyAlignment="1">
      <alignment vertical="center" wrapText="1"/>
    </xf>
    <xf numFmtId="0" fontId="17" fillId="0" borderId="1" xfId="0" applyFont="1" applyFill="1" applyBorder="1" applyAlignment="1">
      <alignment vertical="center" wrapText="1"/>
    </xf>
    <xf numFmtId="43" fontId="17" fillId="0" borderId="1" xfId="1" applyFont="1" applyBorder="1">
      <alignment vertical="center"/>
    </xf>
    <xf numFmtId="178" fontId="17" fillId="0" borderId="1" xfId="1" applyNumberFormat="1" applyFont="1" applyBorder="1">
      <alignment vertical="center"/>
    </xf>
    <xf numFmtId="43" fontId="17" fillId="0" borderId="0" xfId="0" applyNumberFormat="1" applyFont="1" applyFill="1" applyBorder="1">
      <alignment vertical="center"/>
    </xf>
    <xf numFmtId="0" fontId="16" fillId="0" borderId="1" xfId="0" applyFont="1" applyBorder="1">
      <alignment vertical="center"/>
    </xf>
    <xf numFmtId="0" fontId="24" fillId="0" borderId="1" xfId="0" applyFont="1" applyBorder="1">
      <alignment vertical="center"/>
    </xf>
    <xf numFmtId="0" fontId="17" fillId="0" borderId="5" xfId="0" applyFont="1" applyBorder="1">
      <alignment vertical="center"/>
    </xf>
    <xf numFmtId="0" fontId="25" fillId="0" borderId="0" xfId="0" applyFont="1">
      <alignment vertical="center"/>
    </xf>
    <xf numFmtId="0" fontId="26" fillId="0" borderId="1" xfId="0" applyFont="1" applyBorder="1" applyAlignment="1">
      <alignment horizontal="center" vertical="center" wrapText="1" readingOrder="1"/>
    </xf>
    <xf numFmtId="0" fontId="25" fillId="0" borderId="0" xfId="0" applyFont="1" applyFill="1">
      <alignment vertical="center"/>
    </xf>
    <xf numFmtId="0" fontId="7" fillId="0" borderId="1" xfId="0" applyFont="1" applyBorder="1" applyAlignment="1">
      <alignment horizontal="center" vertical="center" wrapText="1" readingOrder="1"/>
    </xf>
    <xf numFmtId="0" fontId="27" fillId="0" borderId="1" xfId="0" applyFont="1" applyBorder="1" applyAlignment="1">
      <alignment horizontal="left" vertical="center" wrapText="1" readingOrder="1"/>
    </xf>
    <xf numFmtId="0" fontId="27" fillId="0" borderId="1" xfId="0" applyFont="1" applyFill="1" applyBorder="1" applyAlignment="1">
      <alignment horizontal="left" vertical="center" wrapText="1" readingOrder="1"/>
    </xf>
    <xf numFmtId="0" fontId="27" fillId="0" borderId="1" xfId="0" applyFont="1" applyBorder="1" applyAlignment="1">
      <alignment horizontal="center" vertical="center" wrapText="1" readingOrder="1"/>
    </xf>
    <xf numFmtId="0" fontId="27" fillId="0" borderId="0" xfId="0" applyFont="1" applyFill="1" applyBorder="1" applyAlignment="1">
      <alignment horizontal="left" vertical="center" wrapText="1" readingOrder="1"/>
    </xf>
    <xf numFmtId="0" fontId="1" fillId="0" borderId="0" xfId="0" applyFont="1" applyFill="1">
      <alignment vertical="center"/>
    </xf>
    <xf numFmtId="10" fontId="1" fillId="0" borderId="0" xfId="3" applyNumberFormat="1" applyFont="1" applyFill="1" applyAlignment="1">
      <alignment horizontal="center" vertical="center"/>
    </xf>
    <xf numFmtId="10" fontId="28" fillId="0" borderId="0" xfId="3" applyNumberFormat="1" applyFont="1" applyFill="1" applyAlignment="1">
      <alignment horizontal="center" vertical="center"/>
    </xf>
    <xf numFmtId="10" fontId="0" fillId="0" borderId="0" xfId="3" applyNumberFormat="1" applyFont="1" applyFill="1" applyAlignment="1">
      <alignment horizontal="center" vertical="center"/>
    </xf>
    <xf numFmtId="43" fontId="0" fillId="0" borderId="1" xfId="1" applyFont="1" applyFill="1" applyBorder="1">
      <alignment vertical="center"/>
    </xf>
    <xf numFmtId="43" fontId="0" fillId="0" borderId="1" xfId="0" applyNumberFormat="1" applyFill="1" applyBorder="1" applyAlignment="1">
      <alignment horizontal="center" vertical="center"/>
    </xf>
    <xf numFmtId="10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0" fontId="1" fillId="0" borderId="1" xfId="0" applyFont="1" applyFill="1" applyBorder="1">
      <alignment vertical="center"/>
    </xf>
    <xf numFmtId="43" fontId="1" fillId="0" borderId="1" xfId="1" applyFont="1" applyFill="1" applyBorder="1">
      <alignment vertical="center"/>
    </xf>
    <xf numFmtId="10" fontId="0" fillId="0" borderId="1" xfId="3" applyNumberFormat="1" applyFont="1" applyFill="1" applyBorder="1" applyAlignment="1">
      <alignment horizontal="center" vertical="center"/>
    </xf>
    <xf numFmtId="0" fontId="28" fillId="0" borderId="1" xfId="0" applyFont="1" applyFill="1" applyBorder="1" applyAlignment="1">
      <alignment horizontal="center" vertical="center"/>
    </xf>
    <xf numFmtId="0" fontId="28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43" fontId="17" fillId="0" borderId="4" xfId="1" applyFont="1" applyFill="1" applyBorder="1" applyAlignment="1">
      <alignment horizontal="center" vertical="center"/>
    </xf>
    <xf numFmtId="0" fontId="40" fillId="2" borderId="1" xfId="0" applyFont="1" applyFill="1" applyBorder="1" applyAlignment="1">
      <alignment horizontal="center" vertical="center" wrapText="1"/>
    </xf>
    <xf numFmtId="0" fontId="28" fillId="0" borderId="1" xfId="0" applyFont="1" applyBorder="1">
      <alignment vertical="center"/>
    </xf>
    <xf numFmtId="43" fontId="0" fillId="0" borderId="0" xfId="1" applyFont="1" applyFill="1" applyAlignment="1">
      <alignment horizontal="center" vertical="center"/>
    </xf>
    <xf numFmtId="0" fontId="28" fillId="2" borderId="1" xfId="0" applyFont="1" applyFill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10" fontId="2" fillId="0" borderId="0" xfId="0" applyNumberFormat="1" applyFont="1">
      <alignment vertical="center"/>
    </xf>
    <xf numFmtId="0" fontId="42" fillId="7" borderId="1" xfId="0" applyFont="1" applyFill="1" applyBorder="1" applyAlignment="1">
      <alignment horizontal="left" vertical="center" wrapText="1" readingOrder="1"/>
    </xf>
    <xf numFmtId="0" fontId="41" fillId="7" borderId="1" xfId="0" applyFont="1" applyFill="1" applyBorder="1" applyAlignment="1">
      <alignment vertical="top" wrapText="1"/>
    </xf>
    <xf numFmtId="0" fontId="42" fillId="7" borderId="1" xfId="0" applyFont="1" applyFill="1" applyBorder="1" applyAlignment="1">
      <alignment vertical="center" wrapText="1" readingOrder="1"/>
    </xf>
    <xf numFmtId="0" fontId="42" fillId="7" borderId="1" xfId="0" applyFont="1" applyFill="1" applyBorder="1" applyAlignment="1">
      <alignment horizontal="center" vertical="center" wrapText="1" readingOrder="1"/>
    </xf>
    <xf numFmtId="0" fontId="5" fillId="8" borderId="1" xfId="0" applyFont="1" applyFill="1" applyBorder="1" applyAlignment="1">
      <alignment horizontal="center" vertical="center" wrapText="1"/>
    </xf>
    <xf numFmtId="0" fontId="7" fillId="8" borderId="1" xfId="0" applyFont="1" applyFill="1" applyBorder="1" applyAlignment="1">
      <alignment horizontal="center" vertical="center" wrapText="1" readingOrder="1"/>
    </xf>
    <xf numFmtId="0" fontId="44" fillId="8" borderId="1" xfId="0" applyFont="1" applyFill="1" applyBorder="1" applyAlignment="1">
      <alignment horizontal="center" vertical="center"/>
    </xf>
    <xf numFmtId="0" fontId="44" fillId="8" borderId="1" xfId="0" applyFont="1" applyFill="1" applyBorder="1" applyAlignment="1">
      <alignment horizontal="center" vertical="center" wrapText="1"/>
    </xf>
    <xf numFmtId="43" fontId="44" fillId="8" borderId="1" xfId="1" applyFont="1" applyFill="1" applyBorder="1" applyAlignment="1" applyProtection="1">
      <alignment horizontal="center" vertical="center"/>
    </xf>
    <xf numFmtId="43" fontId="44" fillId="2" borderId="1" xfId="1" applyFont="1" applyFill="1" applyBorder="1" applyAlignment="1" applyProtection="1">
      <alignment horizontal="center" vertical="center"/>
    </xf>
    <xf numFmtId="43" fontId="45" fillId="8" borderId="1" xfId="1" applyFont="1" applyFill="1" applyBorder="1" applyAlignment="1" applyProtection="1">
      <alignment horizontal="center" vertical="center"/>
    </xf>
    <xf numFmtId="43" fontId="44" fillId="0" borderId="1" xfId="1" applyFont="1" applyFill="1" applyBorder="1" applyAlignment="1" applyProtection="1">
      <alignment horizontal="center" vertical="center"/>
    </xf>
    <xf numFmtId="0" fontId="7" fillId="0" borderId="5" xfId="0" applyFont="1" applyBorder="1" applyAlignment="1">
      <alignment horizontal="center" vertical="center" wrapText="1" readingOrder="1"/>
    </xf>
    <xf numFmtId="0" fontId="7" fillId="0" borderId="7" xfId="0" applyFont="1" applyBorder="1" applyAlignment="1">
      <alignment horizontal="center" vertical="center" wrapText="1" readingOrder="1"/>
    </xf>
    <xf numFmtId="0" fontId="22" fillId="0" borderId="8" xfId="0" applyFont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/>
    </xf>
    <xf numFmtId="0" fontId="13" fillId="4" borderId="1" xfId="2" applyFont="1" applyFill="1" applyBorder="1" applyAlignment="1" applyProtection="1">
      <alignment horizontal="center"/>
    </xf>
    <xf numFmtId="0" fontId="17" fillId="0" borderId="1" xfId="0" applyFont="1" applyFill="1" applyBorder="1" applyAlignment="1">
      <alignment horizontal="center" vertical="center"/>
    </xf>
    <xf numFmtId="43" fontId="18" fillId="0" borderId="5" xfId="1" applyFont="1" applyFill="1" applyBorder="1" applyAlignment="1">
      <alignment horizontal="center" vertical="center" wrapText="1"/>
    </xf>
    <xf numFmtId="43" fontId="18" fillId="0" borderId="7" xfId="1" applyFont="1" applyFill="1" applyBorder="1" applyAlignment="1">
      <alignment horizontal="center" vertical="center" wrapText="1"/>
    </xf>
    <xf numFmtId="43" fontId="18" fillId="0" borderId="6" xfId="1" applyFont="1" applyFill="1" applyBorder="1" applyAlignment="1">
      <alignment horizontal="center" vertical="center" wrapText="1"/>
    </xf>
    <xf numFmtId="43" fontId="17" fillId="0" borderId="4" xfId="1" applyFont="1" applyFill="1" applyBorder="1" applyAlignment="1">
      <alignment horizontal="center" vertical="center"/>
    </xf>
    <xf numFmtId="43" fontId="17" fillId="0" borderId="2" xfId="1" applyFont="1" applyFill="1" applyBorder="1" applyAlignment="1">
      <alignment horizontal="center" vertical="center"/>
    </xf>
    <xf numFmtId="43" fontId="17" fillId="0" borderId="3" xfId="1" applyFont="1" applyFill="1" applyBorder="1" applyAlignment="1">
      <alignment horizontal="center" vertical="center"/>
    </xf>
    <xf numFmtId="43" fontId="17" fillId="2" borderId="1" xfId="1" applyFont="1" applyFill="1" applyBorder="1" applyAlignment="1">
      <alignment horizontal="center" vertical="center"/>
    </xf>
    <xf numFmtId="0" fontId="9" fillId="4" borderId="8" xfId="2" applyNumberFormat="1" applyFont="1" applyFill="1" applyBorder="1" applyAlignment="1" applyProtection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 readingOrder="1"/>
    </xf>
    <xf numFmtId="0" fontId="2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43" fontId="2" fillId="0" borderId="5" xfId="0" applyNumberFormat="1" applyFont="1" applyBorder="1" applyAlignment="1">
      <alignment horizontal="center" vertical="center"/>
    </xf>
    <xf numFmtId="43" fontId="2" fillId="0" borderId="7" xfId="0" applyNumberFormat="1" applyFont="1" applyBorder="1" applyAlignment="1">
      <alignment horizontal="center" vertical="center"/>
    </xf>
    <xf numFmtId="43" fontId="2" fillId="0" borderId="6" xfId="0" applyNumberFormat="1" applyFont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0" fillId="0" borderId="5" xfId="0" applyFill="1" applyBorder="1" applyAlignment="1">
      <alignment horizontal="left" vertical="center"/>
    </xf>
    <xf numFmtId="0" fontId="0" fillId="0" borderId="6" xfId="0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5" fillId="8" borderId="13" xfId="0" applyFont="1" applyFill="1" applyBorder="1" applyAlignment="1">
      <alignment horizontal="center" vertical="center" wrapText="1"/>
    </xf>
  </cellXfs>
  <cellStyles count="9">
    <cellStyle name="_x000a_mouse.drv=lm" xfId="2"/>
    <cellStyle name="百分比" xfId="3" builtinId="5"/>
    <cellStyle name="常规" xfId="0" builtinId="0"/>
    <cellStyle name="常规 11 2" xfId="5"/>
    <cellStyle name="常规 2" xfId="6"/>
    <cellStyle name="常规_20061221C2项目损益分析（概念稿）" xfId="4"/>
    <cellStyle name="普通_销售收入.XLS" xfId="7"/>
    <cellStyle name="千位分隔" xfId="1" builtinId="3"/>
    <cellStyle name="千位分隔 2 25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2" name="Line 13"/>
        <xdr:cNvSpPr>
          <a:spLocks noChangeShapeType="1"/>
        </xdr:cNvSpPr>
      </xdr:nvSpPr>
      <xdr:spPr>
        <a:xfrm>
          <a:off x="558800" y="400050"/>
          <a:ext cx="1990725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3" name="Line 14"/>
        <xdr:cNvSpPr>
          <a:spLocks noChangeShapeType="1"/>
        </xdr:cNvSpPr>
      </xdr:nvSpPr>
      <xdr:spPr>
        <a:xfrm>
          <a:off x="13421360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4" name="Line 15"/>
        <xdr:cNvSpPr>
          <a:spLocks noChangeShapeType="1"/>
        </xdr:cNvSpPr>
      </xdr:nvSpPr>
      <xdr:spPr>
        <a:xfrm>
          <a:off x="13421360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5" name="Line 16"/>
        <xdr:cNvSpPr>
          <a:spLocks noChangeShapeType="1"/>
        </xdr:cNvSpPr>
      </xdr:nvSpPr>
      <xdr:spPr>
        <a:xfrm>
          <a:off x="13421360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6" name="Line 20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7" name="Line 21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8" name="Line 22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9" name="Line 23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0" name="Line 24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1" name="Line 25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2" name="Line 26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3" name="Line 27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4" name="Line 40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5" name="Line 41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6" name="Line 42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7" name="Line 43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8" name="Line 54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9" name="Line 55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0" name="Line 56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1" name="Line 57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2" name="Line 58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3" name="Line 59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4" name="Line 60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5" name="Line 61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6" name="Line 6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7" name="Line 6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8" name="Line 7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9" name="Line 7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0" name="Line 7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1" name="Line 7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2" name="Line 7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3" name="Line 7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4" name="Line 8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5" name="Line 8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6" name="Line 8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7" name="Line 8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8" name="Line 8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9" name="Line 8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0" name="Line 8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1" name="Line 8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2" name="Line 8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3" name="Line 8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4" name="Line 9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5" name="Line 9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6" name="Line 9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7" name="Line 9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8" name="Line 9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9" name="Line 9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0" name="Line 9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1" name="Line 9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2" name="Line 9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3" name="Line 9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4" name="Line 10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5" name="Line 10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6" name="Line 10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7" name="Line 10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8" name="Line 10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9" name="Line 10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0" name="Line 10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1" name="Line 10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2" name="Line 10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3" name="Line 10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4" name="Line 11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5" name="Line 11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6" name="Line 11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7" name="Line 11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8" name="Line 11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9" name="Line 11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0" name="Line 11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1" name="Line 11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2" name="Line 11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3" name="Line 11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4" name="Line 12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5" name="Line 12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6" name="Line 12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7" name="Line 12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8" name="Line 12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9" name="Line 12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0" name="Line 12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1" name="Line 12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2" name="Line 12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3" name="Line 12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4" name="Line 13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5" name="Line 13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6" name="Line 13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7" name="Line 13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8" name="Line 13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9" name="Line 13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0" name="Line 13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1" name="Line 17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2" name="Line 17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3" name="Line 17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4" name="Line 17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5" name="Line 18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6" name="Line 18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7" name="Line 18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8" name="Line 18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9" name="Line 18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0" name="Line 18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1" name="Line 18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2" name="Line 18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3" name="Line 18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4" name="Line 18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5" name="Line 19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6" name="Line 19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7" name="Line 19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8" name="Line 19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9" name="Line 19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0" name="Line 19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1" name="Line 19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2" name="Line 19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3" name="Line 20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4" name="Line 20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5" name="Line 20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6" name="Line 20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7" name="Line 20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8" name="Line 20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9" name="Line 20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0" name="Line 20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1" name="Line 20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2" name="Line 20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3" name="Line 21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4" name="Line 21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5" name="Line 21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6" name="Line 21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7" name="Line 21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8" name="Line 21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9" name="Line 21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0" name="Line 21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1" name="Line 21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2" name="Line 22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3" name="Line 22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4" name="Line 22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5" name="Line 22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6" name="Line 22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7" name="Line 22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8" name="Line 22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9" name="Line 22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0" name="Line 22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1" name="Line 22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2" name="Line 23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3" name="Line 23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4" name="Line 23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5" name="Line 23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6" name="Line 23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7" name="Line 23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8" name="Line 23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9" name="Line 23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0" name="Line 23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1" name="Line 23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2" name="Line 24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3" name="Line 24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4" name="Line 24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5" name="Line 24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6" name="Line 24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7" name="Line 24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8" name="Line 24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9" name="Line 24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0" name="Line 24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1" name="Line 24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2" name="Line 25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3" name="Line 25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4" name="Line 25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5" name="Line 25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6" name="Line 25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7" name="Line 25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8" name="Line 25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9" name="Line 25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0" name="Line 25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1" name="Line 25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2" name="Line 26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3" name="Line 26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4" name="Line 26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5" name="Line 26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6" name="Line 26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7" name="Line 26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8" name="Line 26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9" name="Line 26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0" name="Line 26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1" name="Line 26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2" name="Line 27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3" name="Line 27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4" name="Line 27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5" name="Line 27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6" name="Line 27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7" name="Line 27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8" name="Line 27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9" name="Line 27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0" name="Line 27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1" name="Line 27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2" name="Line 28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3" name="Line 28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4" name="Line 28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5" name="Line 28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6" name="Line 28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7" name="Line 28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8" name="Line 28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9" name="Line 28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0" name="Line 28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1" name="Line 28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2" name="Line 29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3" name="Line 29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4" name="Line 29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5" name="Line 29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6" name="Line 29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7" name="Line 29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8" name="Line 29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9" name="Line 29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10" name="Line 29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11" name="Line 29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12" name="Line 30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3" name="Line 301"/>
        <xdr:cNvSpPr>
          <a:spLocks noChangeShapeType="1"/>
        </xdr:cNvSpPr>
      </xdr:nvSpPr>
      <xdr:spPr>
        <a:xfrm>
          <a:off x="55880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4" name="Line 302"/>
        <xdr:cNvSpPr>
          <a:spLocks noChangeShapeType="1"/>
        </xdr:cNvSpPr>
      </xdr:nvSpPr>
      <xdr:spPr>
        <a:xfrm>
          <a:off x="55880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ade\Desktop\&#24037;&#20316;&#34920;%20&#22312;%20F%20%20&#21442;&#32771;&#36164;&#26009;%20&#25104;&#26412;&#20215;&#26684;&#31185;&#65288;&#39759;&#20029;&#23068;&#65289;%20&#25104;&#26412;&#20215;&#26684;&#31185;&#21046;&#24230;&#27719;&#24635;%20FTOP.10008.48.1-2010%20&#39033;&#30446;&#25237;&#36164;&#32463;&#27982;&#21487;&#34892;&#24615;&#21450;&#39118;&#38505;&#20998;&#26512;&#31649;&#29702;&#21150;&#2786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投资"/>
      <sheetName val="损益表"/>
      <sheetName val="现金"/>
      <sheetName val="销量"/>
      <sheetName val="材料"/>
      <sheetName val="价格"/>
      <sheetName val="工资"/>
      <sheetName val="计划"/>
      <sheetName val="流动"/>
      <sheetName val="折、摊"/>
      <sheetName val="总成本"/>
      <sheetName val="利润"/>
      <sheetName val="借"/>
      <sheetName val="来源"/>
      <sheetName val="负债"/>
      <sheetName val="人工"/>
      <sheetName val="燃动"/>
      <sheetName val="制造费"/>
      <sheetName val="技术费"/>
      <sheetName val="管理费"/>
      <sheetName val="销售费"/>
    </sheetNames>
    <sheetDataSet>
      <sheetData sheetId="0"/>
      <sheetData sheetId="1"/>
      <sheetData sheetId="2"/>
      <sheetData sheetId="3"/>
      <sheetData sheetId="4"/>
      <sheetData sheetId="5"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</sheetData>
      <sheetData sheetId="6"/>
      <sheetData sheetId="7">
        <row r="6">
          <cell r="C6">
            <v>0</v>
          </cell>
          <cell r="D6">
            <v>0</v>
          </cell>
        </row>
        <row r="7">
          <cell r="C7">
            <v>0</v>
          </cell>
          <cell r="D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</sheetData>
      <sheetData sheetId="8"/>
      <sheetData sheetId="9"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</sheetData>
      <sheetData sheetId="10"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</sheetData>
      <sheetData sheetId="11"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5"/>
  <sheetViews>
    <sheetView zoomScale="80" zoomScaleNormal="80" workbookViewId="0">
      <selection activeCell="C12" sqref="C12"/>
    </sheetView>
  </sheetViews>
  <sheetFormatPr defaultColWidth="9" defaultRowHeight="13.5"/>
  <cols>
    <col min="1" max="1" width="8.875" customWidth="1"/>
    <col min="2" max="2" width="16.375" customWidth="1"/>
    <col min="3" max="3" width="89.75" customWidth="1"/>
  </cols>
  <sheetData>
    <row r="2" spans="1:4" s="147" customFormat="1" ht="35.25" customHeight="1">
      <c r="A2" s="148" t="s">
        <v>0</v>
      </c>
      <c r="B2" s="148" t="s">
        <v>1</v>
      </c>
      <c r="C2" s="148" t="s">
        <v>2</v>
      </c>
      <c r="D2" s="149"/>
    </row>
    <row r="3" spans="1:4" s="147" customFormat="1" ht="33.75" customHeight="1">
      <c r="A3" s="150">
        <v>1</v>
      </c>
      <c r="B3" s="150" t="s">
        <v>3</v>
      </c>
      <c r="C3" s="151" t="s">
        <v>4</v>
      </c>
      <c r="D3" s="149"/>
    </row>
    <row r="4" spans="1:4" s="147" customFormat="1" ht="33.75" customHeight="1">
      <c r="A4" s="150">
        <v>2</v>
      </c>
      <c r="B4" s="150" t="s">
        <v>5</v>
      </c>
      <c r="C4" s="151" t="s">
        <v>6</v>
      </c>
    </row>
    <row r="5" spans="1:4" s="147" customFormat="1" ht="33.75" customHeight="1">
      <c r="A5" s="150">
        <v>3</v>
      </c>
      <c r="B5" s="188" t="s">
        <v>7</v>
      </c>
      <c r="C5" s="152" t="s">
        <v>8</v>
      </c>
    </row>
    <row r="6" spans="1:4" s="147" customFormat="1" ht="33.75" customHeight="1">
      <c r="A6" s="150">
        <v>4</v>
      </c>
      <c r="B6" s="189"/>
      <c r="C6" s="151" t="s">
        <v>9</v>
      </c>
    </row>
    <row r="7" spans="1:4" s="147" customFormat="1" ht="33.75" customHeight="1">
      <c r="A7" s="150">
        <v>5</v>
      </c>
      <c r="B7" s="153" t="s">
        <v>10</v>
      </c>
      <c r="C7" s="151" t="s">
        <v>11</v>
      </c>
    </row>
    <row r="8" spans="1:4" s="147" customFormat="1" ht="33.75" customHeight="1">
      <c r="A8" s="150">
        <v>6</v>
      </c>
      <c r="B8" s="188" t="s">
        <v>12</v>
      </c>
      <c r="C8" s="151" t="s">
        <v>13</v>
      </c>
    </row>
    <row r="9" spans="1:4" s="147" customFormat="1" ht="33.75" customHeight="1">
      <c r="A9" s="150">
        <v>7</v>
      </c>
      <c r="B9" s="189"/>
      <c r="C9" s="151" t="s">
        <v>14</v>
      </c>
    </row>
    <row r="10" spans="1:4" s="147" customFormat="1" ht="33.75" customHeight="1">
      <c r="A10" s="150">
        <v>8</v>
      </c>
      <c r="B10" s="189"/>
      <c r="C10" s="152" t="s">
        <v>261</v>
      </c>
    </row>
    <row r="11" spans="1:4" s="147" customFormat="1" ht="33.75" customHeight="1">
      <c r="A11" s="150">
        <v>9</v>
      </c>
      <c r="B11" s="189"/>
      <c r="C11" s="151" t="s">
        <v>15</v>
      </c>
    </row>
    <row r="12" spans="1:4" s="147" customFormat="1" ht="33.75" customHeight="1">
      <c r="A12" s="150">
        <v>10</v>
      </c>
      <c r="B12" s="153" t="s">
        <v>16</v>
      </c>
      <c r="C12" s="151" t="s">
        <v>17</v>
      </c>
    </row>
    <row r="13" spans="1:4" ht="33.75" customHeight="1"/>
    <row r="14" spans="1:4" ht="33.75" customHeight="1"/>
    <row r="15" spans="1:4" ht="33.75" customHeight="1">
      <c r="C15" s="154"/>
    </row>
  </sheetData>
  <mergeCells count="2">
    <mergeCell ref="B5:B6"/>
    <mergeCell ref="B8:B11"/>
  </mergeCells>
  <phoneticPr fontId="39" type="noConversion"/>
  <pageMargins left="0.7" right="0.7" top="0.75" bottom="0.75" header="0.3" footer="0.3"/>
  <pageSetup paperSize="9" scale="75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15"/>
  <sheetViews>
    <sheetView tabSelected="1" workbookViewId="0">
      <selection activeCell="D8" sqref="D8"/>
    </sheetView>
  </sheetViews>
  <sheetFormatPr defaultColWidth="9" defaultRowHeight="16.5"/>
  <cols>
    <col min="1" max="1" width="14" style="7" customWidth="1"/>
    <col min="2" max="2" width="14.125" style="7" customWidth="1"/>
    <col min="3" max="7" width="11.125" style="7" customWidth="1"/>
    <col min="8" max="8" width="12.125" style="7" customWidth="1"/>
    <col min="9" max="9" width="11.625" style="7" customWidth="1"/>
    <col min="10" max="10" width="9.25" style="7" customWidth="1"/>
    <col min="11" max="11" width="9.125" style="7" customWidth="1"/>
    <col min="12" max="16384" width="9" style="7"/>
  </cols>
  <sheetData>
    <row r="1" spans="1:12" ht="29.25" customHeight="1">
      <c r="A1" s="18" t="s">
        <v>200</v>
      </c>
      <c r="E1" s="19"/>
      <c r="F1" s="19"/>
      <c r="G1" s="19"/>
      <c r="H1" s="19"/>
      <c r="I1" s="19"/>
    </row>
    <row r="2" spans="1:12" ht="24" customHeight="1">
      <c r="A2" s="20" t="s">
        <v>201</v>
      </c>
      <c r="E2" s="19"/>
      <c r="F2" s="19"/>
      <c r="G2" s="19"/>
      <c r="H2" s="19"/>
      <c r="I2" s="19"/>
    </row>
    <row r="3" spans="1:12">
      <c r="C3" s="7" t="s">
        <v>202</v>
      </c>
      <c r="D3" s="10" t="s">
        <v>260</v>
      </c>
      <c r="E3" s="175">
        <v>0.05</v>
      </c>
    </row>
    <row r="5" spans="1:12" ht="45" customHeight="1">
      <c r="A5" s="217" t="s">
        <v>203</v>
      </c>
      <c r="B5" s="9" t="s">
        <v>152</v>
      </c>
      <c r="C5" s="244" t="s">
        <v>279</v>
      </c>
      <c r="D5" s="170"/>
      <c r="E5" s="170"/>
      <c r="F5" s="170"/>
      <c r="G5" s="170"/>
      <c r="H5" s="23"/>
      <c r="I5" s="216" t="s">
        <v>24</v>
      </c>
    </row>
    <row r="6" spans="1:12" ht="31.5" customHeight="1">
      <c r="A6" s="217"/>
      <c r="B6" s="9" t="s">
        <v>153</v>
      </c>
      <c r="C6" s="244" t="s">
        <v>279</v>
      </c>
      <c r="D6" s="22"/>
      <c r="E6" s="22"/>
      <c r="F6" s="22"/>
      <c r="G6" s="22"/>
      <c r="H6" s="23"/>
      <c r="I6" s="216"/>
      <c r="K6" s="7">
        <v>100</v>
      </c>
    </row>
    <row r="7" spans="1:12" ht="99">
      <c r="A7" s="217"/>
      <c r="B7" s="24" t="s">
        <v>204</v>
      </c>
      <c r="C7" s="180" t="s">
        <v>280</v>
      </c>
      <c r="D7" s="22"/>
      <c r="E7" s="22"/>
      <c r="F7" s="22"/>
      <c r="G7" s="22"/>
      <c r="H7" s="23"/>
      <c r="I7" s="216"/>
      <c r="K7" s="7">
        <f>K6*(1-$E$3)</f>
        <v>95</v>
      </c>
      <c r="L7" s="7">
        <f>K7/$K$6</f>
        <v>0.95</v>
      </c>
    </row>
    <row r="8" spans="1:12" ht="33">
      <c r="A8" s="217"/>
      <c r="B8" s="24" t="s">
        <v>205</v>
      </c>
      <c r="C8" s="180">
        <f>1934+150</f>
        <v>2084</v>
      </c>
      <c r="D8" s="180"/>
      <c r="E8" s="180"/>
      <c r="F8" s="22"/>
      <c r="G8" s="22"/>
      <c r="H8" s="25"/>
      <c r="I8" s="216"/>
      <c r="K8" s="7">
        <f t="shared" ref="K8:K10" si="0">K7*(1-$E$3)</f>
        <v>90.25</v>
      </c>
      <c r="L8" s="7">
        <f t="shared" ref="L8:L10" si="1">K8/$K$6</f>
        <v>0.90249999999999997</v>
      </c>
    </row>
    <row r="9" spans="1:12" ht="18.75">
      <c r="A9" s="217" t="s">
        <v>206</v>
      </c>
      <c r="B9" s="26" t="s">
        <v>19</v>
      </c>
      <c r="C9" s="27"/>
      <c r="D9" s="27"/>
      <c r="E9" s="27"/>
      <c r="F9" s="27"/>
      <c r="G9" s="27"/>
      <c r="H9" s="28"/>
      <c r="I9" s="31">
        <f>SUM(C9:H9)</f>
        <v>0</v>
      </c>
      <c r="K9" s="7">
        <f>K8*(1-$E$3)</f>
        <v>85.737499999999997</v>
      </c>
      <c r="L9" s="7">
        <f>K9/$K$6</f>
        <v>0.857375</v>
      </c>
    </row>
    <row r="10" spans="1:12" ht="18.75">
      <c r="A10" s="217"/>
      <c r="B10" s="21" t="s">
        <v>20</v>
      </c>
      <c r="C10" s="181">
        <v>1000</v>
      </c>
      <c r="D10" s="181"/>
      <c r="E10" s="181"/>
      <c r="F10" s="27"/>
      <c r="G10" s="27"/>
      <c r="H10" s="28"/>
      <c r="I10" s="31">
        <f>SUM(C10:H10)</f>
        <v>1000</v>
      </c>
      <c r="K10" s="7">
        <f t="shared" si="0"/>
        <v>81.450624999999988</v>
      </c>
      <c r="L10" s="7">
        <f t="shared" si="1"/>
        <v>0.81450624999999988</v>
      </c>
    </row>
    <row r="11" spans="1:12" ht="18.75">
      <c r="A11" s="217"/>
      <c r="B11" s="21" t="s">
        <v>195</v>
      </c>
      <c r="C11" s="181">
        <v>5000</v>
      </c>
      <c r="D11" s="181"/>
      <c r="E11" s="181"/>
      <c r="F11" s="27"/>
      <c r="G11" s="27"/>
      <c r="H11" s="28"/>
      <c r="I11" s="31">
        <f>SUM(C11:H11)</f>
        <v>5000</v>
      </c>
    </row>
    <row r="12" spans="1:12" ht="18.75">
      <c r="A12" s="217"/>
      <c r="B12" s="21" t="s">
        <v>196</v>
      </c>
      <c r="C12" s="181">
        <v>20000</v>
      </c>
      <c r="D12" s="181"/>
      <c r="E12" s="181"/>
      <c r="F12" s="27"/>
      <c r="G12" s="27"/>
      <c r="H12" s="28"/>
      <c r="I12" s="31">
        <f>SUM(C12:H12)</f>
        <v>20000</v>
      </c>
    </row>
    <row r="13" spans="1:12" ht="18.75">
      <c r="A13" s="217"/>
      <c r="B13" s="21" t="s">
        <v>197</v>
      </c>
      <c r="C13" s="27">
        <v>30000</v>
      </c>
      <c r="D13" s="27"/>
      <c r="E13" s="27"/>
      <c r="F13" s="27"/>
      <c r="G13" s="27"/>
      <c r="H13" s="28"/>
      <c r="I13" s="31">
        <f>SUM(C13:H13)</f>
        <v>30000</v>
      </c>
    </row>
    <row r="14" spans="1:12" ht="17.25">
      <c r="A14" s="216" t="s">
        <v>24</v>
      </c>
      <c r="B14" s="216"/>
      <c r="C14" s="29">
        <f t="shared" ref="C14:I14" si="2">SUM(C9:C13)</f>
        <v>56000</v>
      </c>
      <c r="D14" s="29">
        <f t="shared" si="2"/>
        <v>0</v>
      </c>
      <c r="E14" s="29">
        <f t="shared" si="2"/>
        <v>0</v>
      </c>
      <c r="F14" s="29">
        <f t="shared" si="2"/>
        <v>0</v>
      </c>
      <c r="G14" s="29">
        <f t="shared" si="2"/>
        <v>0</v>
      </c>
      <c r="H14" s="29">
        <f t="shared" si="2"/>
        <v>0</v>
      </c>
      <c r="I14" s="29">
        <f t="shared" si="2"/>
        <v>56000</v>
      </c>
    </row>
    <row r="15" spans="1:12">
      <c r="A15" s="30"/>
      <c r="B15" s="30"/>
      <c r="C15" s="30"/>
    </row>
  </sheetData>
  <mergeCells count="4">
    <mergeCell ref="A14:B14"/>
    <mergeCell ref="A5:A8"/>
    <mergeCell ref="A9:A13"/>
    <mergeCell ref="I5:I8"/>
  </mergeCells>
  <phoneticPr fontId="39" type="noConversion"/>
  <printOptions horizontalCentered="1"/>
  <pageMargins left="0.118110236220472" right="0.118110236220472" top="0.35433070866141703" bottom="0.35433070866141703" header="0.31496062992126" footer="0.31496062992126"/>
  <pageSetup paperSize="9" scale="71" orientation="landscape"/>
  <legacy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24"/>
  <sheetViews>
    <sheetView workbookViewId="0">
      <pane xSplit="3" ySplit="5" topLeftCell="D6" activePane="bottomRight" state="frozen"/>
      <selection pane="topRight"/>
      <selection pane="bottomLeft"/>
      <selection pane="bottomRight" activeCell="E17" sqref="E17"/>
    </sheetView>
  </sheetViews>
  <sheetFormatPr defaultColWidth="9" defaultRowHeight="16.5"/>
  <cols>
    <col min="1" max="1" width="8.375" style="7" customWidth="1"/>
    <col min="2" max="2" width="8.875" style="7" customWidth="1"/>
    <col min="3" max="3" width="14" style="7" customWidth="1"/>
    <col min="4" max="5" width="14.375" style="7" customWidth="1"/>
    <col min="6" max="6" width="13.875" style="7" customWidth="1"/>
    <col min="7" max="8" width="14.375" style="7" customWidth="1"/>
    <col min="9" max="9" width="17.375" style="7" customWidth="1"/>
    <col min="10" max="10" width="12.25" style="7" customWidth="1"/>
    <col min="11" max="11" width="13.25" style="7" customWidth="1"/>
    <col min="12" max="12" width="16" style="7" customWidth="1"/>
    <col min="13" max="16384" width="9" style="7"/>
  </cols>
  <sheetData>
    <row r="1" spans="1:12" s="6" customFormat="1" ht="28.5" customHeight="1">
      <c r="A1" s="224" t="s">
        <v>7</v>
      </c>
      <c r="B1" s="224"/>
      <c r="C1" s="8"/>
      <c r="L1" s="16"/>
    </row>
    <row r="2" spans="1:12">
      <c r="A2" s="225" t="s">
        <v>207</v>
      </c>
      <c r="B2" s="225"/>
      <c r="C2" s="226"/>
      <c r="D2" s="226"/>
      <c r="E2" s="227" t="s">
        <v>259</v>
      </c>
      <c r="F2" s="228"/>
      <c r="G2" s="228"/>
      <c r="H2" s="228"/>
      <c r="I2" s="229"/>
    </row>
    <row r="3" spans="1:12">
      <c r="A3" s="223" t="s">
        <v>18</v>
      </c>
      <c r="B3" s="223" t="s">
        <v>208</v>
      </c>
      <c r="C3" s="9" t="s">
        <v>209</v>
      </c>
      <c r="D3" s="230"/>
      <c r="E3" s="230"/>
      <c r="F3" s="9" t="s">
        <v>210</v>
      </c>
      <c r="G3" s="231"/>
      <c r="H3" s="232"/>
      <c r="I3" s="233" t="s">
        <v>163</v>
      </c>
    </row>
    <row r="4" spans="1:12">
      <c r="A4" s="223"/>
      <c r="B4" s="223"/>
      <c r="C4" s="9" t="s">
        <v>152</v>
      </c>
      <c r="D4" s="170"/>
      <c r="E4" s="170"/>
      <c r="F4" s="170"/>
      <c r="G4" s="11"/>
      <c r="H4" s="12"/>
      <c r="I4" s="234"/>
    </row>
    <row r="5" spans="1:12">
      <c r="A5" s="223"/>
      <c r="B5" s="223"/>
      <c r="C5" s="9" t="s">
        <v>153</v>
      </c>
      <c r="D5" s="22"/>
      <c r="E5" s="22"/>
      <c r="F5" s="22"/>
      <c r="G5" s="11"/>
      <c r="H5" s="12"/>
      <c r="I5" s="235"/>
    </row>
    <row r="6" spans="1:12">
      <c r="A6" s="13">
        <v>1</v>
      </c>
      <c r="B6" s="218" t="s">
        <v>211</v>
      </c>
      <c r="C6" s="219"/>
      <c r="D6" s="14"/>
      <c r="E6" s="12"/>
      <c r="F6" s="12"/>
      <c r="G6" s="12"/>
      <c r="H6" s="12"/>
      <c r="I6" s="17"/>
    </row>
    <row r="7" spans="1:12">
      <c r="A7" s="13">
        <v>2</v>
      </c>
      <c r="B7" s="218" t="s">
        <v>212</v>
      </c>
      <c r="C7" s="219"/>
      <c r="D7" s="14"/>
      <c r="E7" s="12"/>
      <c r="F7" s="12"/>
      <c r="G7" s="12"/>
      <c r="H7" s="12"/>
      <c r="I7" s="17"/>
    </row>
    <row r="8" spans="1:12">
      <c r="A8" s="13">
        <v>3</v>
      </c>
      <c r="B8" s="218" t="s">
        <v>213</v>
      </c>
      <c r="C8" s="219"/>
      <c r="D8" s="14"/>
      <c r="E8" s="14"/>
      <c r="F8" s="14"/>
      <c r="G8" s="14"/>
      <c r="H8" s="14"/>
      <c r="I8" s="17"/>
    </row>
    <row r="9" spans="1:12">
      <c r="A9" s="13">
        <v>4</v>
      </c>
      <c r="B9" s="218" t="s">
        <v>214</v>
      </c>
      <c r="C9" s="219"/>
      <c r="D9" s="14"/>
      <c r="E9" s="12"/>
      <c r="F9" s="12"/>
      <c r="G9" s="12"/>
      <c r="H9" s="12"/>
      <c r="I9" s="17"/>
    </row>
    <row r="10" spans="1:12">
      <c r="A10" s="13">
        <v>5</v>
      </c>
      <c r="B10" s="218" t="s">
        <v>215</v>
      </c>
      <c r="C10" s="219"/>
      <c r="D10" s="14"/>
      <c r="E10" s="12"/>
      <c r="F10" s="12"/>
      <c r="G10" s="12"/>
      <c r="H10" s="12"/>
      <c r="I10" s="17"/>
    </row>
    <row r="11" spans="1:12">
      <c r="A11" s="13">
        <v>6</v>
      </c>
      <c r="B11" s="218" t="s">
        <v>216</v>
      </c>
      <c r="C11" s="219"/>
      <c r="D11" s="14"/>
      <c r="E11" s="12"/>
      <c r="F11" s="12"/>
      <c r="G11" s="12"/>
      <c r="H11" s="12"/>
      <c r="I11" s="17"/>
    </row>
    <row r="12" spans="1:12">
      <c r="A12" s="13">
        <v>7</v>
      </c>
      <c r="B12" s="218" t="s">
        <v>217</v>
      </c>
      <c r="C12" s="219"/>
      <c r="D12" s="14"/>
      <c r="E12" s="12"/>
      <c r="F12" s="12"/>
      <c r="G12" s="12"/>
      <c r="H12" s="12"/>
      <c r="I12" s="17"/>
    </row>
    <row r="13" spans="1:12">
      <c r="A13" s="13">
        <v>8</v>
      </c>
      <c r="B13" s="218" t="s">
        <v>218</v>
      </c>
      <c r="C13" s="219"/>
      <c r="D13" s="14"/>
      <c r="E13" s="12"/>
      <c r="F13" s="12"/>
      <c r="G13" s="12"/>
      <c r="H13" s="12"/>
      <c r="I13" s="17"/>
    </row>
    <row r="14" spans="1:12">
      <c r="A14" s="13">
        <v>9</v>
      </c>
      <c r="B14" s="218" t="s">
        <v>219</v>
      </c>
      <c r="C14" s="219"/>
      <c r="D14" s="14"/>
      <c r="E14" s="12"/>
      <c r="F14" s="12"/>
      <c r="G14" s="12"/>
      <c r="H14" s="12"/>
      <c r="I14" s="17"/>
    </row>
    <row r="15" spans="1:12">
      <c r="A15" s="13">
        <v>10</v>
      </c>
      <c r="B15" s="218" t="s">
        <v>220</v>
      </c>
      <c r="C15" s="219"/>
      <c r="D15" s="14"/>
      <c r="E15" s="12"/>
      <c r="F15" s="12"/>
      <c r="G15" s="12"/>
      <c r="H15" s="12"/>
      <c r="I15" s="17"/>
    </row>
    <row r="16" spans="1:12">
      <c r="A16" s="13">
        <v>11</v>
      </c>
      <c r="B16" s="218" t="s">
        <v>221</v>
      </c>
      <c r="C16" s="219"/>
      <c r="D16" s="14"/>
      <c r="E16" s="12"/>
      <c r="F16" s="12"/>
      <c r="G16" s="12"/>
      <c r="H16" s="12"/>
      <c r="I16" s="17"/>
    </row>
    <row r="17" spans="1:9">
      <c r="A17" s="13">
        <v>12</v>
      </c>
      <c r="B17" s="218" t="s">
        <v>258</v>
      </c>
      <c r="C17" s="219"/>
      <c r="D17" s="14"/>
      <c r="E17" s="12"/>
      <c r="F17" s="12"/>
      <c r="G17" s="12"/>
      <c r="H17" s="12"/>
      <c r="I17" s="17"/>
    </row>
    <row r="18" spans="1:9">
      <c r="A18" s="13">
        <v>13</v>
      </c>
      <c r="B18" s="218" t="s">
        <v>222</v>
      </c>
      <c r="C18" s="219"/>
      <c r="D18" s="14"/>
      <c r="E18" s="12"/>
      <c r="F18" s="12"/>
      <c r="G18" s="12"/>
      <c r="H18" s="12"/>
      <c r="I18" s="17"/>
    </row>
    <row r="19" spans="1:9">
      <c r="A19" s="13">
        <v>14</v>
      </c>
      <c r="B19" s="218" t="s">
        <v>223</v>
      </c>
      <c r="C19" s="219"/>
      <c r="D19" s="14"/>
      <c r="E19" s="12"/>
      <c r="F19" s="12"/>
      <c r="G19" s="12"/>
      <c r="H19" s="12"/>
      <c r="I19" s="17"/>
    </row>
    <row r="20" spans="1:9">
      <c r="A20" s="13">
        <v>15</v>
      </c>
      <c r="B20" s="218" t="s">
        <v>224</v>
      </c>
      <c r="C20" s="219"/>
      <c r="D20" s="14"/>
      <c r="E20" s="12"/>
      <c r="F20" s="12"/>
      <c r="G20" s="12"/>
      <c r="H20" s="12"/>
      <c r="I20" s="17"/>
    </row>
    <row r="21" spans="1:9">
      <c r="A21" s="13">
        <v>16</v>
      </c>
      <c r="B21" s="218" t="s">
        <v>225</v>
      </c>
      <c r="C21" s="219"/>
      <c r="D21" s="14"/>
      <c r="E21" s="12"/>
      <c r="F21" s="12"/>
      <c r="G21" s="12"/>
      <c r="H21" s="12"/>
      <c r="I21" s="17"/>
    </row>
    <row r="22" spans="1:9">
      <c r="A22" s="13">
        <v>17</v>
      </c>
      <c r="B22" s="218"/>
      <c r="C22" s="219"/>
      <c r="D22" s="14"/>
      <c r="E22" s="12"/>
      <c r="F22" s="12"/>
      <c r="G22" s="12"/>
      <c r="H22" s="12"/>
      <c r="I22" s="17"/>
    </row>
    <row r="23" spans="1:9">
      <c r="A23" s="13">
        <v>18</v>
      </c>
      <c r="B23" s="218" t="s">
        <v>137</v>
      </c>
      <c r="C23" s="219"/>
      <c r="D23" s="14"/>
      <c r="E23" s="12"/>
      <c r="F23" s="12"/>
      <c r="G23" s="12"/>
      <c r="H23" s="12"/>
      <c r="I23" s="17"/>
    </row>
    <row r="24" spans="1:9" ht="31.5" customHeight="1">
      <c r="A24" s="220" t="s">
        <v>226</v>
      </c>
      <c r="B24" s="221"/>
      <c r="C24" s="222"/>
      <c r="D24" s="15">
        <f>SUM(D6:D23)</f>
        <v>0</v>
      </c>
      <c r="E24" s="15">
        <f>SUM(E6:E23)</f>
        <v>0</v>
      </c>
      <c r="F24" s="15">
        <f>SUM(F6:F23)</f>
        <v>0</v>
      </c>
      <c r="G24" s="15">
        <f>SUM(G6:G23)</f>
        <v>0</v>
      </c>
      <c r="H24" s="15">
        <f>SUM(H6:H23)</f>
        <v>0</v>
      </c>
      <c r="I24" s="17"/>
    </row>
  </sheetData>
  <mergeCells count="27">
    <mergeCell ref="A1:B1"/>
    <mergeCell ref="A2:D2"/>
    <mergeCell ref="E2:I2"/>
    <mergeCell ref="D3:E3"/>
    <mergeCell ref="G3:H3"/>
    <mergeCell ref="I3:I5"/>
    <mergeCell ref="B6:C6"/>
    <mergeCell ref="B7:C7"/>
    <mergeCell ref="B8:C8"/>
    <mergeCell ref="B9:C9"/>
    <mergeCell ref="B10:C10"/>
    <mergeCell ref="B23:C23"/>
    <mergeCell ref="A24:C24"/>
    <mergeCell ref="A3:A5"/>
    <mergeCell ref="B3:B5"/>
    <mergeCell ref="B18:C18"/>
    <mergeCell ref="B19:C19"/>
    <mergeCell ref="B20:C20"/>
    <mergeCell ref="B21:C21"/>
    <mergeCell ref="B22:C22"/>
    <mergeCell ref="B16:C16"/>
    <mergeCell ref="B17:C17"/>
    <mergeCell ref="B11:C11"/>
    <mergeCell ref="B12:C12"/>
    <mergeCell ref="B13:C13"/>
    <mergeCell ref="B14:C14"/>
    <mergeCell ref="B15:C15"/>
  </mergeCells>
  <phoneticPr fontId="39" type="noConversion"/>
  <pageMargins left="0.70866141732283505" right="0.118110236220472" top="0.35433070866141703" bottom="0.35433070866141703" header="0.31496062992126" footer="0.31496062992126"/>
  <pageSetup paperSize="9" orientation="portrait"/>
  <legacy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workbookViewId="0">
      <pane xSplit="2" ySplit="1" topLeftCell="C2" activePane="bottomRight" state="frozen"/>
      <selection pane="topRight"/>
      <selection pane="bottomLeft"/>
      <selection pane="bottomRight" activeCell="C10" sqref="C10"/>
    </sheetView>
  </sheetViews>
  <sheetFormatPr defaultColWidth="9" defaultRowHeight="13.5"/>
  <cols>
    <col min="1" max="1" width="9" style="4"/>
    <col min="2" max="2" width="29.625" style="4" customWidth="1"/>
    <col min="3" max="3" width="25.5" style="4" customWidth="1"/>
    <col min="4" max="4" width="18.625" style="4" customWidth="1"/>
    <col min="5" max="5" width="22" style="4" customWidth="1"/>
    <col min="6" max="16384" width="9" style="4"/>
  </cols>
  <sheetData>
    <row r="1" spans="1:6" ht="27" customHeight="1">
      <c r="A1" s="1" t="s">
        <v>18</v>
      </c>
      <c r="B1" s="1" t="s">
        <v>227</v>
      </c>
      <c r="C1" s="1" t="s">
        <v>228</v>
      </c>
      <c r="D1" s="1" t="s">
        <v>229</v>
      </c>
      <c r="E1" s="1" t="s">
        <v>230</v>
      </c>
    </row>
    <row r="2" spans="1:6" ht="19.5" customHeight="1">
      <c r="A2" s="1">
        <v>1</v>
      </c>
      <c r="B2" s="1" t="s">
        <v>231</v>
      </c>
      <c r="C2" s="182"/>
      <c r="D2" s="1"/>
      <c r="E2" s="1"/>
    </row>
    <row r="3" spans="1:6" ht="19.5" customHeight="1">
      <c r="A3" s="1">
        <v>2</v>
      </c>
      <c r="B3" s="1" t="s">
        <v>232</v>
      </c>
      <c r="C3" s="183"/>
      <c r="D3" s="1"/>
      <c r="E3" s="1"/>
    </row>
    <row r="4" spans="1:6" ht="19.5" customHeight="1">
      <c r="A4" s="1">
        <v>3</v>
      </c>
      <c r="B4" s="1" t="s">
        <v>233</v>
      </c>
      <c r="C4" s="182"/>
      <c r="D4" s="1"/>
      <c r="E4" s="1"/>
    </row>
    <row r="5" spans="1:6" ht="19.5" customHeight="1">
      <c r="A5" s="1">
        <v>4</v>
      </c>
      <c r="B5" s="1" t="s">
        <v>234</v>
      </c>
      <c r="C5" s="182"/>
      <c r="D5" s="1"/>
      <c r="E5" s="1"/>
    </row>
    <row r="6" spans="1:6" ht="35.25" customHeight="1">
      <c r="A6" s="1">
        <v>5</v>
      </c>
      <c r="B6" s="1" t="s">
        <v>235</v>
      </c>
      <c r="C6" s="182"/>
      <c r="D6" s="1"/>
      <c r="E6" s="1"/>
    </row>
    <row r="7" spans="1:6" ht="37.5" customHeight="1">
      <c r="A7" s="1">
        <v>6</v>
      </c>
      <c r="B7" s="1" t="s">
        <v>236</v>
      </c>
      <c r="C7" s="182"/>
      <c r="D7" s="1"/>
      <c r="E7" s="1"/>
    </row>
    <row r="8" spans="1:6" ht="42.75" customHeight="1">
      <c r="A8" s="1">
        <v>7</v>
      </c>
      <c r="B8" s="1" t="s">
        <v>237</v>
      </c>
      <c r="C8" s="182"/>
      <c r="D8" s="1"/>
      <c r="E8" s="1"/>
    </row>
    <row r="9" spans="1:6" ht="39" customHeight="1">
      <c r="A9" s="1">
        <v>8</v>
      </c>
      <c r="B9" s="1" t="s">
        <v>238</v>
      </c>
      <c r="C9" s="182"/>
      <c r="D9" s="1"/>
      <c r="E9" s="1"/>
    </row>
    <row r="10" spans="1:6" ht="36" customHeight="1">
      <c r="A10" s="1">
        <v>9</v>
      </c>
      <c r="B10" s="1" t="s">
        <v>239</v>
      </c>
      <c r="C10" s="182"/>
      <c r="D10" s="1"/>
      <c r="E10" s="1"/>
    </row>
    <row r="11" spans="1:6" ht="35.25" customHeight="1">
      <c r="A11" s="1">
        <v>10</v>
      </c>
      <c r="B11" s="1" t="s">
        <v>240</v>
      </c>
      <c r="C11" s="173"/>
      <c r="D11" s="1"/>
      <c r="E11" s="1"/>
      <c r="F11" s="174"/>
    </row>
    <row r="12" spans="1:6" ht="19.5" customHeight="1">
      <c r="A12" s="1">
        <v>11</v>
      </c>
      <c r="B12" s="1" t="s">
        <v>241</v>
      </c>
      <c r="C12" s="5"/>
      <c r="D12" s="1"/>
      <c r="E12" s="1"/>
    </row>
    <row r="13" spans="1:6" ht="19.5" customHeight="1">
      <c r="A13" s="1">
        <v>12</v>
      </c>
      <c r="B13" s="1"/>
      <c r="C13" s="1"/>
      <c r="D13" s="1"/>
      <c r="E13" s="1"/>
    </row>
  </sheetData>
  <phoneticPr fontId="39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11"/>
  <sheetViews>
    <sheetView workbookViewId="0">
      <selection activeCell="E4" sqref="E4"/>
    </sheetView>
  </sheetViews>
  <sheetFormatPr defaultColWidth="9" defaultRowHeight="13.5"/>
  <cols>
    <col min="1" max="2" width="9" style="75"/>
    <col min="3" max="5" width="15.75" style="75" customWidth="1"/>
    <col min="6" max="8" width="11.125" style="75" customWidth="1"/>
    <col min="9" max="9" width="12.875" style="158" customWidth="1"/>
    <col min="10" max="16384" width="9" style="75"/>
  </cols>
  <sheetData>
    <row r="1" spans="1:9" s="155" customFormat="1" ht="18.75" customHeight="1">
      <c r="G1" s="236" t="s">
        <v>242</v>
      </c>
      <c r="H1" s="236"/>
      <c r="I1" s="156"/>
    </row>
    <row r="2" spans="1:9" ht="39" customHeight="1">
      <c r="A2" s="242" t="s">
        <v>243</v>
      </c>
      <c r="B2" s="242"/>
      <c r="C2" s="238" t="s">
        <v>244</v>
      </c>
      <c r="D2" s="243"/>
      <c r="E2" s="243"/>
      <c r="F2" s="243"/>
      <c r="G2" s="243"/>
      <c r="H2" s="239"/>
      <c r="I2" s="157" t="s">
        <v>251</v>
      </c>
    </row>
    <row r="3" spans="1:9" ht="34.5" customHeight="1">
      <c r="A3" s="242"/>
      <c r="B3" s="242"/>
      <c r="C3" s="166" t="s">
        <v>253</v>
      </c>
      <c r="D3" s="166" t="s">
        <v>254</v>
      </c>
      <c r="E3" s="166" t="s">
        <v>252</v>
      </c>
      <c r="F3" s="167" t="s">
        <v>257</v>
      </c>
      <c r="G3" s="167" t="s">
        <v>256</v>
      </c>
      <c r="H3" s="167" t="s">
        <v>255</v>
      </c>
      <c r="I3" s="172">
        <v>1367.2</v>
      </c>
    </row>
    <row r="4" spans="1:9" ht="24" customHeight="1">
      <c r="A4" s="237" t="s">
        <v>245</v>
      </c>
      <c r="B4" s="237"/>
      <c r="C4" s="3"/>
      <c r="D4" s="159"/>
      <c r="E4" s="160">
        <f>$I$3*I4</f>
        <v>58.926320000000004</v>
      </c>
      <c r="F4" s="160"/>
      <c r="G4" s="160"/>
      <c r="H4" s="161">
        <v>4.48E-2</v>
      </c>
      <c r="I4" s="158">
        <v>4.3099999999999999E-2</v>
      </c>
    </row>
    <row r="5" spans="1:9" ht="24" customHeight="1">
      <c r="A5" s="237" t="s">
        <v>246</v>
      </c>
      <c r="B5" s="162" t="s">
        <v>247</v>
      </c>
      <c r="C5" s="3"/>
      <c r="D5" s="159"/>
      <c r="E5" s="160">
        <f t="shared" ref="E5:E11" si="0">$I$3*I5</f>
        <v>56.055200000000006</v>
      </c>
      <c r="F5" s="160"/>
      <c r="G5" s="160"/>
      <c r="H5" s="161">
        <v>4.0399999999999998E-2</v>
      </c>
      <c r="I5" s="158">
        <v>4.1000000000000002E-2</v>
      </c>
    </row>
    <row r="6" spans="1:9" ht="24" customHeight="1">
      <c r="A6" s="237"/>
      <c r="B6" s="162" t="s">
        <v>248</v>
      </c>
      <c r="C6" s="3"/>
      <c r="D6" s="159"/>
      <c r="E6" s="160">
        <f t="shared" si="0"/>
        <v>29.668240000000001</v>
      </c>
      <c r="F6" s="160"/>
      <c r="G6" s="160"/>
      <c r="H6" s="161">
        <v>1.66E-2</v>
      </c>
      <c r="I6" s="158">
        <v>2.1700000000000001E-2</v>
      </c>
    </row>
    <row r="7" spans="1:9" ht="24" customHeight="1">
      <c r="A7" s="238" t="s">
        <v>249</v>
      </c>
      <c r="B7" s="239"/>
      <c r="C7" s="163"/>
      <c r="D7" s="164"/>
      <c r="E7" s="160">
        <f t="shared" si="0"/>
        <v>144.64976000000001</v>
      </c>
      <c r="F7" s="160"/>
      <c r="G7" s="160"/>
      <c r="H7" s="165">
        <f>SUM(H4:H6)</f>
        <v>0.1018</v>
      </c>
      <c r="I7" s="158">
        <f>SUM(I4:I6)</f>
        <v>0.10580000000000001</v>
      </c>
    </row>
    <row r="8" spans="1:9" ht="24" customHeight="1">
      <c r="A8" s="237" t="s">
        <v>54</v>
      </c>
      <c r="B8" s="237"/>
      <c r="C8" s="3"/>
      <c r="D8" s="159"/>
      <c r="E8" s="160">
        <f t="shared" si="0"/>
        <v>46.484800000000007</v>
      </c>
      <c r="F8" s="160"/>
      <c r="G8" s="160"/>
      <c r="H8" s="161">
        <f>1.97%+0.75%</f>
        <v>2.7199999999999998E-2</v>
      </c>
      <c r="I8" s="158">
        <v>3.4000000000000002E-2</v>
      </c>
    </row>
    <row r="9" spans="1:9" ht="24" customHeight="1">
      <c r="A9" s="240" t="s">
        <v>250</v>
      </c>
      <c r="B9" s="162" t="s">
        <v>247</v>
      </c>
      <c r="C9" s="3"/>
      <c r="D9" s="159"/>
      <c r="E9" s="160">
        <f t="shared" si="0"/>
        <v>9.5704000000000011</v>
      </c>
      <c r="F9" s="160"/>
      <c r="G9" s="160"/>
      <c r="H9" s="161">
        <v>5.3E-3</v>
      </c>
      <c r="I9" s="158">
        <v>7.0000000000000001E-3</v>
      </c>
    </row>
    <row r="10" spans="1:9" ht="24" customHeight="1">
      <c r="A10" s="241"/>
      <c r="B10" s="162" t="s">
        <v>248</v>
      </c>
      <c r="C10" s="3"/>
      <c r="D10" s="159"/>
      <c r="E10" s="160">
        <f t="shared" si="0"/>
        <v>60.156799999999997</v>
      </c>
      <c r="F10" s="160"/>
      <c r="G10" s="160"/>
      <c r="H10" s="161">
        <v>3.4099999999999998E-2</v>
      </c>
      <c r="I10" s="158">
        <f>2.8%+1.6%</f>
        <v>4.3999999999999997E-2</v>
      </c>
    </row>
    <row r="11" spans="1:9" ht="24" customHeight="1">
      <c r="A11" s="237" t="s">
        <v>57</v>
      </c>
      <c r="B11" s="237"/>
      <c r="C11" s="3"/>
      <c r="D11" s="159"/>
      <c r="E11" s="160">
        <f t="shared" si="0"/>
        <v>41.015999999999998</v>
      </c>
      <c r="F11" s="160"/>
      <c r="G11" s="160"/>
      <c r="H11" s="161">
        <v>1.0999999999999999E-2</v>
      </c>
      <c r="I11" s="158">
        <v>0.03</v>
      </c>
    </row>
  </sheetData>
  <mergeCells count="9">
    <mergeCell ref="G1:H1"/>
    <mergeCell ref="A4:B4"/>
    <mergeCell ref="A7:B7"/>
    <mergeCell ref="A8:B8"/>
    <mergeCell ref="A11:B11"/>
    <mergeCell ref="A5:A6"/>
    <mergeCell ref="A9:A10"/>
    <mergeCell ref="A2:B3"/>
    <mergeCell ref="C2:H2"/>
  </mergeCells>
  <phoneticPr fontId="39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4"/>
  <sheetViews>
    <sheetView workbookViewId="0">
      <pane xSplit="3" ySplit="6" topLeftCell="D7" activePane="bottomRight" state="frozen"/>
      <selection pane="topRight"/>
      <selection pane="bottomLeft"/>
      <selection pane="bottomRight" activeCell="D21" sqref="D21"/>
    </sheetView>
  </sheetViews>
  <sheetFormatPr defaultColWidth="9" defaultRowHeight="16.5"/>
  <cols>
    <col min="1" max="1" width="6.875" style="118" customWidth="1"/>
    <col min="2" max="2" width="35.75" style="118" customWidth="1"/>
    <col min="3" max="3" width="14.5" style="119" customWidth="1"/>
    <col min="4" max="5" width="13" style="119" customWidth="1"/>
    <col min="6" max="6" width="15.125" style="119" bestFit="1" customWidth="1"/>
    <col min="7" max="7" width="13" style="119" customWidth="1"/>
    <col min="8" max="8" width="16.5" style="119" customWidth="1"/>
    <col min="9" max="9" width="15.5" style="118" customWidth="1"/>
    <col min="10" max="35" width="9" style="118"/>
    <col min="36" max="36" width="4.375" style="118" customWidth="1"/>
    <col min="37" max="37" width="13.875" style="118" customWidth="1"/>
    <col min="38" max="16384" width="9" style="118"/>
  </cols>
  <sheetData>
    <row r="1" spans="1:38" ht="27" customHeight="1">
      <c r="A1" s="190" t="s">
        <v>272</v>
      </c>
      <c r="B1" s="190"/>
      <c r="C1" s="190"/>
      <c r="D1" s="190"/>
      <c r="E1" s="190"/>
      <c r="F1" s="190"/>
      <c r="G1" s="190"/>
      <c r="H1" s="190"/>
    </row>
    <row r="2" spans="1:38" ht="15.75" customHeight="1">
      <c r="A2" s="191" t="s">
        <v>18</v>
      </c>
      <c r="B2" s="120" t="s">
        <v>1</v>
      </c>
      <c r="C2" s="120" t="s">
        <v>19</v>
      </c>
      <c r="D2" s="120" t="s">
        <v>20</v>
      </c>
      <c r="E2" s="120" t="s">
        <v>21</v>
      </c>
      <c r="F2" s="120" t="s">
        <v>22</v>
      </c>
      <c r="G2" s="120" t="s">
        <v>23</v>
      </c>
      <c r="H2" s="59" t="s">
        <v>24</v>
      </c>
      <c r="AL2" s="118" t="s">
        <v>25</v>
      </c>
    </row>
    <row r="3" spans="1:38" s="55" customFormat="1" ht="15.75" customHeight="1">
      <c r="A3" s="192"/>
      <c r="B3" s="61" t="s">
        <v>3</v>
      </c>
      <c r="C3" s="121">
        <f>'2021年'!H6</f>
        <v>0</v>
      </c>
      <c r="D3" s="121">
        <f>'2022年'!H6</f>
        <v>1000</v>
      </c>
      <c r="E3" s="121">
        <f>'2023年'!H6</f>
        <v>5000</v>
      </c>
      <c r="F3" s="121">
        <f>'2024年'!H6</f>
        <v>20000</v>
      </c>
      <c r="G3" s="121">
        <f>'2025年'!H6</f>
        <v>30000</v>
      </c>
      <c r="H3" s="121">
        <f>SUM(C3:F3)</f>
        <v>26000</v>
      </c>
      <c r="I3" s="77"/>
      <c r="AJ3" s="60" t="s">
        <v>18</v>
      </c>
      <c r="AK3" s="61" t="s">
        <v>3</v>
      </c>
      <c r="AL3" s="55" t="s">
        <v>26</v>
      </c>
    </row>
    <row r="4" spans="1:38" s="55" customFormat="1" ht="15.75" customHeight="1">
      <c r="A4" s="70">
        <v>1</v>
      </c>
      <c r="B4" s="61" t="s">
        <v>27</v>
      </c>
      <c r="C4" s="121">
        <f>'2021年'!H7</f>
        <v>0</v>
      </c>
      <c r="D4" s="121">
        <f>'2022年'!H7</f>
        <v>2084000</v>
      </c>
      <c r="E4" s="121">
        <f>'2023年'!H7</f>
        <v>10420000</v>
      </c>
      <c r="F4" s="121">
        <f>'2024年'!H7</f>
        <v>41680000</v>
      </c>
      <c r="G4" s="121">
        <f>'2025年'!H7</f>
        <v>62520000</v>
      </c>
      <c r="H4" s="121">
        <f>SUM(C4:F4)</f>
        <v>54184000</v>
      </c>
      <c r="I4" s="77"/>
      <c r="AJ4" s="60" t="s">
        <v>28</v>
      </c>
      <c r="AK4" s="61" t="s">
        <v>27</v>
      </c>
      <c r="AL4" s="55" t="s">
        <v>26</v>
      </c>
    </row>
    <row r="5" spans="1:38" s="55" customFormat="1" ht="15.75" customHeight="1">
      <c r="A5" s="70">
        <v>2</v>
      </c>
      <c r="B5" s="57" t="s">
        <v>29</v>
      </c>
      <c r="C5" s="121">
        <f>'2021年'!H8</f>
        <v>0</v>
      </c>
      <c r="D5" s="121">
        <f>'2022年'!H8</f>
        <v>104200.00000000009</v>
      </c>
      <c r="E5" s="121">
        <f>'2023年'!H8</f>
        <v>1015950.0000000003</v>
      </c>
      <c r="F5" s="121">
        <f>'2024年'!H8</f>
        <v>5944610</v>
      </c>
      <c r="G5" s="121">
        <f>'2025年'!H8</f>
        <v>11597069.250000007</v>
      </c>
      <c r="H5" s="121">
        <f t="shared" ref="H5:H10" si="0">SUM(C5:F5)</f>
        <v>7064760</v>
      </c>
      <c r="I5" s="77"/>
      <c r="AJ5" s="60" t="s">
        <v>30</v>
      </c>
      <c r="AK5" s="57" t="s">
        <v>31</v>
      </c>
      <c r="AL5" s="55" t="s">
        <v>26</v>
      </c>
    </row>
    <row r="6" spans="1:38" s="55" customFormat="1" ht="15.75" customHeight="1">
      <c r="A6" s="70">
        <v>3</v>
      </c>
      <c r="B6" s="61" t="s">
        <v>32</v>
      </c>
      <c r="C6" s="122">
        <f>+C4-C5</f>
        <v>0</v>
      </c>
      <c r="D6" s="122">
        <f>'2022年'!H9</f>
        <v>1979800</v>
      </c>
      <c r="E6" s="122">
        <f>'2023年'!H9</f>
        <v>9404050</v>
      </c>
      <c r="F6" s="122">
        <f>'2024年'!H9</f>
        <v>35735390</v>
      </c>
      <c r="G6" s="122">
        <f>'2025年'!H9</f>
        <v>50922930.749999993</v>
      </c>
      <c r="H6" s="121">
        <f t="shared" si="0"/>
        <v>47119240</v>
      </c>
      <c r="I6" s="77"/>
      <c r="AJ6" s="60" t="s">
        <v>33</v>
      </c>
      <c r="AK6" s="61" t="s">
        <v>32</v>
      </c>
      <c r="AL6" s="55" t="s">
        <v>34</v>
      </c>
    </row>
    <row r="7" spans="1:38" s="55" customFormat="1" ht="15.75" customHeight="1">
      <c r="A7" s="70">
        <v>4</v>
      </c>
      <c r="B7" s="60" t="s">
        <v>35</v>
      </c>
      <c r="C7" s="121">
        <f>'2021年'!H10</f>
        <v>0</v>
      </c>
      <c r="D7" s="121">
        <f>'2022年'!H10</f>
        <v>0</v>
      </c>
      <c r="E7" s="121">
        <f>'2023年'!H10</f>
        <v>0</v>
      </c>
      <c r="F7" s="121">
        <f>'2024年'!H10</f>
        <v>0</v>
      </c>
      <c r="G7" s="121">
        <f>'2025年'!H10</f>
        <v>0</v>
      </c>
      <c r="H7" s="121">
        <f t="shared" si="0"/>
        <v>0</v>
      </c>
      <c r="I7" s="77"/>
      <c r="AJ7" s="60" t="s">
        <v>36</v>
      </c>
      <c r="AK7" s="60" t="s">
        <v>35</v>
      </c>
      <c r="AL7" s="55" t="s">
        <v>37</v>
      </c>
    </row>
    <row r="8" spans="1:38" s="55" customFormat="1" ht="15.75" customHeight="1">
      <c r="A8" s="70">
        <v>5</v>
      </c>
      <c r="B8" s="60" t="s">
        <v>38</v>
      </c>
      <c r="C8" s="121">
        <f>'2021年'!H11</f>
        <v>0</v>
      </c>
      <c r="D8" s="121">
        <f>'2022年'!H11</f>
        <v>58926.320000000007</v>
      </c>
      <c r="E8" s="121">
        <f>'2023年'!H11</f>
        <v>294631.60000000003</v>
      </c>
      <c r="F8" s="121">
        <f>'2024年'!H11</f>
        <v>1178526.4000000001</v>
      </c>
      <c r="G8" s="121">
        <f>'2025年'!H11</f>
        <v>1767789.6</v>
      </c>
      <c r="H8" s="121">
        <f t="shared" si="0"/>
        <v>1532084.3200000003</v>
      </c>
      <c r="I8" s="77"/>
      <c r="AJ8" s="60" t="s">
        <v>39</v>
      </c>
      <c r="AK8" s="60" t="s">
        <v>38</v>
      </c>
    </row>
    <row r="9" spans="1:38" s="55" customFormat="1" ht="15.75" customHeight="1">
      <c r="A9" s="70">
        <v>6</v>
      </c>
      <c r="B9" s="60" t="s">
        <v>40</v>
      </c>
      <c r="C9" s="121">
        <f>'2021年'!H12</f>
        <v>0</v>
      </c>
      <c r="D9" s="121">
        <f>'2022年'!H12</f>
        <v>29668.240000000002</v>
      </c>
      <c r="E9" s="121">
        <f>'2023年'!H12</f>
        <v>148341.20000000001</v>
      </c>
      <c r="F9" s="121">
        <f>'2024年'!H12</f>
        <v>593364.80000000005</v>
      </c>
      <c r="G9" s="121">
        <f>'2025年'!H12</f>
        <v>890047.20000000007</v>
      </c>
      <c r="H9" s="121">
        <f t="shared" si="0"/>
        <v>771374.24</v>
      </c>
      <c r="I9" s="77"/>
      <c r="AJ9" s="60" t="s">
        <v>41</v>
      </c>
      <c r="AK9" s="60" t="s">
        <v>40</v>
      </c>
    </row>
    <row r="10" spans="1:38" s="55" customFormat="1" ht="15.75" customHeight="1">
      <c r="A10" s="70">
        <v>7</v>
      </c>
      <c r="B10" s="123" t="s">
        <v>42</v>
      </c>
      <c r="C10" s="121">
        <f>'2021年'!H13</f>
        <v>0</v>
      </c>
      <c r="D10" s="121">
        <f>'2022年'!H13</f>
        <v>60156.799999999996</v>
      </c>
      <c r="E10" s="121">
        <f>'2023年'!H13</f>
        <v>300784</v>
      </c>
      <c r="F10" s="121">
        <f>'2024年'!H13</f>
        <v>1203136</v>
      </c>
      <c r="G10" s="121">
        <f>'2025年'!H13</f>
        <v>1804704</v>
      </c>
      <c r="H10" s="121">
        <f t="shared" si="0"/>
        <v>1564076.8</v>
      </c>
      <c r="I10" s="77"/>
      <c r="AJ10" s="60" t="s">
        <v>43</v>
      </c>
      <c r="AK10" s="60" t="s">
        <v>42</v>
      </c>
      <c r="AL10" s="55" t="s">
        <v>26</v>
      </c>
    </row>
    <row r="11" spans="1:38" s="55" customFormat="1" ht="15.75" customHeight="1">
      <c r="A11" s="70">
        <v>8</v>
      </c>
      <c r="B11" s="124" t="s">
        <v>44</v>
      </c>
      <c r="C11" s="125">
        <f>'2021年'!H14</f>
        <v>0</v>
      </c>
      <c r="D11" s="125">
        <f>'2022年'!H14</f>
        <v>148751.36000000002</v>
      </c>
      <c r="E11" s="125">
        <f>'2023年'!H14</f>
        <v>743756.80000000005</v>
      </c>
      <c r="F11" s="125">
        <f>'2024年'!H14</f>
        <v>2975027.2000000002</v>
      </c>
      <c r="G11" s="125">
        <f>'2025年'!H14</f>
        <v>4462540.8000000007</v>
      </c>
      <c r="H11" s="125">
        <f>SUM(C11:F11)</f>
        <v>3867535.3600000003</v>
      </c>
      <c r="I11" s="77"/>
      <c r="AJ11" s="60" t="s">
        <v>45</v>
      </c>
      <c r="AK11" s="63" t="s">
        <v>44</v>
      </c>
    </row>
    <row r="12" spans="1:38" s="55" customFormat="1" ht="15.75" customHeight="1">
      <c r="A12" s="70">
        <v>9</v>
      </c>
      <c r="B12" s="126" t="s">
        <v>46</v>
      </c>
      <c r="C12" s="121">
        <f>'2021年'!H15</f>
        <v>0</v>
      </c>
      <c r="D12" s="121">
        <f>'2022年'!H15</f>
        <v>1831048.64</v>
      </c>
      <c r="E12" s="121">
        <f>'2023年'!H15</f>
        <v>8660293.1999999993</v>
      </c>
      <c r="F12" s="121">
        <f>'2024年'!H15</f>
        <v>32760362.800000001</v>
      </c>
      <c r="G12" s="121">
        <f>'2025年'!H15</f>
        <v>46460389.949999988</v>
      </c>
      <c r="H12" s="121">
        <f>H6-H7-H11</f>
        <v>43251704.640000001</v>
      </c>
      <c r="I12" s="77"/>
      <c r="K12" s="118"/>
      <c r="L12" s="118"/>
      <c r="M12" s="118"/>
      <c r="N12" s="118"/>
      <c r="O12" s="118"/>
      <c r="P12" s="118"/>
      <c r="AJ12" s="60" t="s">
        <v>47</v>
      </c>
      <c r="AK12" s="63" t="s">
        <v>46</v>
      </c>
    </row>
    <row r="13" spans="1:38" ht="15.75" customHeight="1">
      <c r="A13" s="70">
        <v>10</v>
      </c>
      <c r="B13" s="127" t="s">
        <v>48</v>
      </c>
      <c r="C13" s="128" t="e">
        <f>+C12/C6</f>
        <v>#DIV/0!</v>
      </c>
      <c r="D13" s="128">
        <f>'2022年'!H16</f>
        <v>0.92486546115769264</v>
      </c>
      <c r="E13" s="128">
        <f>'2023年'!H16</f>
        <v>0.92091101174493961</v>
      </c>
      <c r="F13" s="128">
        <f>'2024年'!H16</f>
        <v>0.91674843341572598</v>
      </c>
      <c r="G13" s="128">
        <f>'2025年'!H16</f>
        <v>0.91236677201655358</v>
      </c>
      <c r="H13" s="128">
        <f>+H12/H6</f>
        <v>0.91792025168487434</v>
      </c>
      <c r="I13" s="77"/>
      <c r="AJ13" s="127" t="s">
        <v>49</v>
      </c>
      <c r="AK13" s="127" t="s">
        <v>48</v>
      </c>
    </row>
    <row r="14" spans="1:38" ht="15.75" customHeight="1">
      <c r="A14" s="70">
        <v>11</v>
      </c>
      <c r="B14" s="127" t="s">
        <v>50</v>
      </c>
      <c r="C14" s="121" t="e">
        <f>'2021年'!H17</f>
        <v>#DIV/0!</v>
      </c>
      <c r="D14" s="121">
        <f>'2022年'!H17</f>
        <v>779195.2</v>
      </c>
      <c r="E14" s="121">
        <f>'2023年'!H17</f>
        <v>1003416</v>
      </c>
      <c r="F14" s="121">
        <f>'2024年'!H17</f>
        <v>1844244</v>
      </c>
      <c r="G14" s="121">
        <f>'2025年'!H17</f>
        <v>2404796</v>
      </c>
      <c r="H14" s="121" t="e">
        <f t="shared" ref="H14:H20" si="1">SUM(C14:E14)</f>
        <v>#DIV/0!</v>
      </c>
      <c r="I14" s="77"/>
      <c r="AJ14" s="127" t="s">
        <v>51</v>
      </c>
      <c r="AK14" s="127" t="s">
        <v>50</v>
      </c>
    </row>
    <row r="15" spans="1:38" ht="15.75" customHeight="1">
      <c r="A15" s="168"/>
      <c r="B15" s="127"/>
      <c r="C15" s="121"/>
      <c r="D15" s="121"/>
      <c r="E15" s="121"/>
      <c r="F15" s="121"/>
      <c r="G15" s="121"/>
      <c r="H15" s="121"/>
      <c r="I15" s="77"/>
      <c r="AJ15" s="127"/>
      <c r="AK15" s="127"/>
    </row>
    <row r="16" spans="1:38" ht="15.75" customHeight="1">
      <c r="A16" s="70">
        <v>12</v>
      </c>
      <c r="B16" s="127" t="s">
        <v>52</v>
      </c>
      <c r="C16" s="129">
        <f>'2021年'!H19</f>
        <v>0</v>
      </c>
      <c r="D16" s="129">
        <f>'2022年'!H19</f>
        <v>9570.4000000000015</v>
      </c>
      <c r="E16" s="129">
        <f>'2023年'!H19</f>
        <v>47852.000000000007</v>
      </c>
      <c r="F16" s="129">
        <f>'2024年'!H19</f>
        <v>191408.00000000003</v>
      </c>
      <c r="G16" s="129">
        <f>'2025年'!H19</f>
        <v>287112.00000000006</v>
      </c>
      <c r="H16" s="121">
        <f>SUM(C16:F16)</f>
        <v>248830.40000000002</v>
      </c>
      <c r="I16" s="77"/>
      <c r="Q16" s="77"/>
      <c r="AJ16" s="127" t="s">
        <v>53</v>
      </c>
      <c r="AK16" s="127" t="s">
        <v>52</v>
      </c>
      <c r="AL16" s="118" t="s">
        <v>26</v>
      </c>
    </row>
    <row r="17" spans="1:38" ht="15.75" customHeight="1">
      <c r="A17" s="70">
        <v>13</v>
      </c>
      <c r="B17" s="127" t="s">
        <v>54</v>
      </c>
      <c r="C17" s="129">
        <f>'2021年'!H20</f>
        <v>0</v>
      </c>
      <c r="D17" s="129">
        <f>'2022年'!H20</f>
        <v>30000</v>
      </c>
      <c r="E17" s="129">
        <f>'2023年'!H20</f>
        <v>150000</v>
      </c>
      <c r="F17" s="129">
        <f>'2024年'!H20</f>
        <v>600000</v>
      </c>
      <c r="G17" s="129">
        <f>'2025年'!H20</f>
        <v>900000</v>
      </c>
      <c r="H17" s="121">
        <f>SUM(C17:F17)</f>
        <v>780000</v>
      </c>
      <c r="I17" s="77"/>
      <c r="AJ17" s="127" t="s">
        <v>55</v>
      </c>
      <c r="AK17" s="127" t="s">
        <v>54</v>
      </c>
    </row>
    <row r="18" spans="1:38" s="54" customFormat="1" ht="15.75" customHeight="1">
      <c r="A18" s="70">
        <v>14</v>
      </c>
      <c r="B18" s="68" t="s">
        <v>56</v>
      </c>
      <c r="C18" s="130">
        <f>'2021年'!H21</f>
        <v>26550</v>
      </c>
      <c r="D18" s="130">
        <f>'2022年'!H21</f>
        <v>26550</v>
      </c>
      <c r="E18" s="130">
        <f>'2023年'!H21</f>
        <v>26550</v>
      </c>
      <c r="F18" s="130">
        <f>'2024年'!H21</f>
        <v>26550</v>
      </c>
      <c r="G18" s="130">
        <f>'2025年'!H21</f>
        <v>26550</v>
      </c>
      <c r="H18" s="121">
        <f t="shared" ref="H18" si="2">SUM(C18:F18)</f>
        <v>106200</v>
      </c>
      <c r="I18" s="77"/>
      <c r="AJ18" s="68"/>
      <c r="AK18" s="68"/>
    </row>
    <row r="19" spans="1:38" s="55" customFormat="1" ht="15.75" customHeight="1">
      <c r="A19" s="70">
        <v>15</v>
      </c>
      <c r="B19" s="60" t="s">
        <v>57</v>
      </c>
      <c r="C19" s="129">
        <f>'2021年'!H22</f>
        <v>0</v>
      </c>
      <c r="D19" s="129">
        <f>'2022年'!H22</f>
        <v>41016</v>
      </c>
      <c r="E19" s="129">
        <f>'2023年'!H22</f>
        <v>205080</v>
      </c>
      <c r="F19" s="129">
        <f>'2024年'!H22</f>
        <v>820320</v>
      </c>
      <c r="G19" s="129">
        <f>'2025年'!H22</f>
        <v>1230480</v>
      </c>
      <c r="H19" s="121">
        <f>SUM(C19:F19)</f>
        <v>1066416</v>
      </c>
      <c r="I19" s="77"/>
      <c r="AJ19" s="60" t="s">
        <v>58</v>
      </c>
      <c r="AK19" s="60" t="s">
        <v>57</v>
      </c>
    </row>
    <row r="20" spans="1:38" s="116" customFormat="1" ht="15.75" customHeight="1">
      <c r="A20" s="70">
        <v>16</v>
      </c>
      <c r="B20" s="131" t="s">
        <v>59</v>
      </c>
      <c r="C20" s="125" t="e">
        <f t="shared" ref="C20" si="3">+C19+C18+C17+C16+C14</f>
        <v>#DIV/0!</v>
      </c>
      <c r="D20" s="125">
        <f>'2022年'!H23</f>
        <v>886331.6</v>
      </c>
      <c r="E20" s="125">
        <f>'2023年'!H23</f>
        <v>1432898</v>
      </c>
      <c r="F20" s="125">
        <f>'2024年'!H23</f>
        <v>3482522</v>
      </c>
      <c r="G20" s="125">
        <f>'2025年'!H23</f>
        <v>4848938</v>
      </c>
      <c r="H20" s="125" t="e">
        <f t="shared" si="1"/>
        <v>#DIV/0!</v>
      </c>
      <c r="I20" s="77"/>
      <c r="AJ20" s="144" t="s">
        <v>60</v>
      </c>
      <c r="AK20" s="145" t="s">
        <v>59</v>
      </c>
    </row>
    <row r="21" spans="1:38" ht="15.75" customHeight="1">
      <c r="A21" s="70">
        <v>17</v>
      </c>
      <c r="B21" s="127" t="s">
        <v>61</v>
      </c>
      <c r="C21" s="132" t="e">
        <f>+C12-C20</f>
        <v>#DIV/0!</v>
      </c>
      <c r="D21" s="132">
        <f>'2022年'!H24</f>
        <v>944717.03999999992</v>
      </c>
      <c r="E21" s="132">
        <f>'2023年'!H24</f>
        <v>7227395.1999999993</v>
      </c>
      <c r="F21" s="132">
        <f>'2024年'!H24</f>
        <v>29277840.800000001</v>
      </c>
      <c r="G21" s="132">
        <f>'2025年'!H24</f>
        <v>41611451.949999988</v>
      </c>
      <c r="H21" s="132" t="e">
        <f>+H12-H20</f>
        <v>#DIV/0!</v>
      </c>
      <c r="I21" s="77"/>
      <c r="AJ21" s="127" t="s">
        <v>62</v>
      </c>
      <c r="AK21" s="127" t="s">
        <v>61</v>
      </c>
    </row>
    <row r="22" spans="1:38" ht="15.75" customHeight="1">
      <c r="A22" s="70">
        <v>18</v>
      </c>
      <c r="B22" s="127" t="s">
        <v>63</v>
      </c>
      <c r="C22" s="132" t="e">
        <f>IF(C21&lt;0,0,C21*0.25)</f>
        <v>#DIV/0!</v>
      </c>
      <c r="D22" s="132">
        <f>'2022年'!H25</f>
        <v>236179.25999999998</v>
      </c>
      <c r="E22" s="132">
        <f>'2023年'!H25</f>
        <v>1806848.7999999998</v>
      </c>
      <c r="F22" s="132">
        <f>'2024年'!H25</f>
        <v>7319460.2000000002</v>
      </c>
      <c r="G22" s="132">
        <f>'2025年'!H25</f>
        <v>10402862.987499997</v>
      </c>
      <c r="H22" s="132" t="e">
        <f>IF(H21&lt;0,0,H21*0.25)</f>
        <v>#DIV/0!</v>
      </c>
      <c r="I22" s="77"/>
      <c r="AJ22" s="127" t="s">
        <v>64</v>
      </c>
      <c r="AK22" s="127" t="s">
        <v>63</v>
      </c>
    </row>
    <row r="23" spans="1:38" ht="15.75" customHeight="1">
      <c r="A23" s="70">
        <v>19</v>
      </c>
      <c r="B23" s="127" t="s">
        <v>65</v>
      </c>
      <c r="C23" s="132" t="e">
        <f>C21-C22</f>
        <v>#DIV/0!</v>
      </c>
      <c r="D23" s="132">
        <f>'2022年'!H26</f>
        <v>708537.77999999991</v>
      </c>
      <c r="E23" s="132">
        <f>'2023年'!H26</f>
        <v>5420546.3999999994</v>
      </c>
      <c r="F23" s="132">
        <f>'2024年'!H26</f>
        <v>21958380.600000001</v>
      </c>
      <c r="G23" s="132">
        <f>'2025年'!H26</f>
        <v>31208588.962499991</v>
      </c>
      <c r="H23" s="132" t="e">
        <f>H21-H22</f>
        <v>#DIV/0!</v>
      </c>
      <c r="I23" s="77"/>
      <c r="AJ23" s="127" t="s">
        <v>66</v>
      </c>
      <c r="AK23" s="127" t="s">
        <v>65</v>
      </c>
    </row>
    <row r="24" spans="1:38" ht="15.75" customHeight="1">
      <c r="A24" s="70">
        <v>20</v>
      </c>
      <c r="B24" s="127" t="s">
        <v>67</v>
      </c>
      <c r="C24" s="133" t="e">
        <f>(C23/C4)*100%</f>
        <v>#DIV/0!</v>
      </c>
      <c r="D24" s="133">
        <f>'2022年'!H27</f>
        <v>0.33998933781190016</v>
      </c>
      <c r="E24" s="133">
        <f>'2023年'!H27</f>
        <v>0.52020598848368516</v>
      </c>
      <c r="F24" s="133">
        <f>'2024年'!H27</f>
        <v>0.52683254798464496</v>
      </c>
      <c r="G24" s="133">
        <f>'2025年'!H27</f>
        <v>0.49917768654030698</v>
      </c>
      <c r="H24" s="133" t="e">
        <f>(H23/H4)*100%</f>
        <v>#DIV/0!</v>
      </c>
      <c r="I24" s="77"/>
      <c r="AJ24" s="146" t="s">
        <v>68</v>
      </c>
      <c r="AK24" s="146" t="s">
        <v>69</v>
      </c>
    </row>
    <row r="25" spans="1:38" s="117" customFormat="1" ht="15.75" customHeight="1">
      <c r="C25" s="134"/>
      <c r="D25" s="134"/>
      <c r="E25" s="134"/>
      <c r="F25" s="134"/>
      <c r="G25" s="134"/>
      <c r="H25" s="134"/>
      <c r="I25" s="143"/>
    </row>
    <row r="26" spans="1:38" s="117" customFormat="1" ht="15.75" customHeight="1">
      <c r="A26" s="117" t="s">
        <v>70</v>
      </c>
      <c r="C26" s="135"/>
      <c r="D26" s="135"/>
      <c r="E26" s="135"/>
      <c r="F26" s="135"/>
      <c r="G26" s="135"/>
      <c r="H26" s="135"/>
      <c r="I26" s="143"/>
      <c r="AJ26" s="117" t="s">
        <v>70</v>
      </c>
    </row>
    <row r="27" spans="1:38" ht="15.75" customHeight="1">
      <c r="A27" s="127" t="s">
        <v>18</v>
      </c>
      <c r="B27" s="136" t="s">
        <v>1</v>
      </c>
      <c r="C27" s="120" t="s">
        <v>71</v>
      </c>
      <c r="D27" s="120" t="s">
        <v>20</v>
      </c>
      <c r="E27" s="120" t="s">
        <v>72</v>
      </c>
      <c r="F27" s="120" t="s">
        <v>73</v>
      </c>
      <c r="G27" s="120" t="s">
        <v>74</v>
      </c>
      <c r="H27" s="59" t="s">
        <v>24</v>
      </c>
      <c r="AL27" s="118" t="s">
        <v>25</v>
      </c>
    </row>
    <row r="28" spans="1:38" s="55" customFormat="1" ht="15.75" customHeight="1">
      <c r="A28" s="60" t="s">
        <v>75</v>
      </c>
      <c r="B28" s="63" t="s">
        <v>76</v>
      </c>
      <c r="C28" s="67"/>
      <c r="D28" s="67"/>
      <c r="E28" s="67"/>
      <c r="F28" s="67"/>
      <c r="G28" s="67"/>
      <c r="H28" s="67"/>
      <c r="I28" s="77"/>
      <c r="AJ28" s="60" t="s">
        <v>77</v>
      </c>
      <c r="AK28" s="63" t="s">
        <v>76</v>
      </c>
    </row>
    <row r="29" spans="1:38" s="55" customFormat="1" ht="15.75" customHeight="1">
      <c r="A29" s="60" t="s">
        <v>28</v>
      </c>
      <c r="B29" s="60" t="s">
        <v>78</v>
      </c>
      <c r="C29" s="62" t="e">
        <f>+C6/C3</f>
        <v>#DIV/0!</v>
      </c>
      <c r="D29" s="62">
        <f t="shared" ref="D29:G29" si="4">+D6/D3</f>
        <v>1979.8</v>
      </c>
      <c r="E29" s="62">
        <f t="shared" si="4"/>
        <v>1880.81</v>
      </c>
      <c r="F29" s="62">
        <f t="shared" si="4"/>
        <v>1786.7695000000001</v>
      </c>
      <c r="G29" s="62">
        <f t="shared" si="4"/>
        <v>1697.4310249999999</v>
      </c>
      <c r="H29" s="62">
        <f>+H6/H3</f>
        <v>1812.2784615384614</v>
      </c>
      <c r="I29" s="77"/>
      <c r="AJ29" s="60" t="s">
        <v>28</v>
      </c>
      <c r="AK29" s="60" t="s">
        <v>78</v>
      </c>
    </row>
    <row r="30" spans="1:38" s="55" customFormat="1" ht="15.75" customHeight="1">
      <c r="A30" s="60" t="s">
        <v>30</v>
      </c>
      <c r="B30" s="60" t="s">
        <v>79</v>
      </c>
      <c r="C30" s="62" t="e">
        <f>+C7/C3</f>
        <v>#DIV/0!</v>
      </c>
      <c r="D30" s="62">
        <f t="shared" ref="D30:G30" si="5">+D7/D3</f>
        <v>0</v>
      </c>
      <c r="E30" s="62">
        <f t="shared" si="5"/>
        <v>0</v>
      </c>
      <c r="F30" s="62">
        <f t="shared" si="5"/>
        <v>0</v>
      </c>
      <c r="G30" s="62">
        <f t="shared" si="5"/>
        <v>0</v>
      </c>
      <c r="H30" s="62">
        <f>+H7/H3</f>
        <v>0</v>
      </c>
      <c r="I30" s="77"/>
      <c r="AJ30" s="60" t="s">
        <v>30</v>
      </c>
      <c r="AK30" s="60" t="s">
        <v>79</v>
      </c>
    </row>
    <row r="31" spans="1:38" s="55" customFormat="1" ht="15.75" customHeight="1">
      <c r="A31" s="60" t="s">
        <v>80</v>
      </c>
      <c r="B31" s="60" t="s">
        <v>81</v>
      </c>
      <c r="C31" s="67" t="e">
        <f t="shared" ref="C31:G31" si="6">C29-C30</f>
        <v>#DIV/0!</v>
      </c>
      <c r="D31" s="67">
        <f t="shared" si="6"/>
        <v>1979.8</v>
      </c>
      <c r="E31" s="67">
        <f t="shared" si="6"/>
        <v>1880.81</v>
      </c>
      <c r="F31" s="67">
        <f t="shared" si="6"/>
        <v>1786.7695000000001</v>
      </c>
      <c r="G31" s="67">
        <f t="shared" si="6"/>
        <v>1697.4310249999999</v>
      </c>
      <c r="H31" s="67">
        <f t="shared" ref="H31" si="7">H29-H30</f>
        <v>1812.2784615384614</v>
      </c>
      <c r="I31" s="77"/>
      <c r="AJ31" s="60" t="s">
        <v>80</v>
      </c>
      <c r="AK31" s="60" t="s">
        <v>81</v>
      </c>
    </row>
    <row r="32" spans="1:38" s="55" customFormat="1" ht="15.75" customHeight="1">
      <c r="A32" s="60">
        <v>3.1</v>
      </c>
      <c r="B32" s="60" t="s">
        <v>82</v>
      </c>
      <c r="C32" s="137" t="e">
        <f t="shared" ref="C32:G32" si="8">C31/C29</f>
        <v>#DIV/0!</v>
      </c>
      <c r="D32" s="137">
        <f t="shared" si="8"/>
        <v>1</v>
      </c>
      <c r="E32" s="137">
        <f t="shared" si="8"/>
        <v>1</v>
      </c>
      <c r="F32" s="137">
        <f t="shared" si="8"/>
        <v>1</v>
      </c>
      <c r="G32" s="137">
        <f t="shared" si="8"/>
        <v>1</v>
      </c>
      <c r="H32" s="137">
        <f t="shared" ref="H32" si="9">H31/H29</f>
        <v>1</v>
      </c>
      <c r="I32" s="77"/>
      <c r="AJ32" s="60"/>
      <c r="AK32" s="60"/>
    </row>
    <row r="33" spans="1:37" s="55" customFormat="1" ht="15.75" customHeight="1">
      <c r="A33" s="60" t="s">
        <v>77</v>
      </c>
      <c r="B33" s="63" t="s">
        <v>10</v>
      </c>
      <c r="C33" s="67"/>
      <c r="D33" s="67"/>
      <c r="E33" s="67"/>
      <c r="F33" s="67"/>
      <c r="G33" s="67"/>
      <c r="H33" s="67"/>
      <c r="I33" s="77"/>
      <c r="AJ33" s="60" t="s">
        <v>83</v>
      </c>
      <c r="AK33" s="63" t="s">
        <v>10</v>
      </c>
    </row>
    <row r="34" spans="1:37" s="55" customFormat="1" ht="15.75" customHeight="1">
      <c r="A34" s="60" t="s">
        <v>28</v>
      </c>
      <c r="B34" s="68" t="s">
        <v>84</v>
      </c>
      <c r="C34" s="62" t="e">
        <f>+C8/C3</f>
        <v>#DIV/0!</v>
      </c>
      <c r="D34" s="62">
        <f t="shared" ref="D34:G34" si="10">+D8/D3</f>
        <v>58.926320000000004</v>
      </c>
      <c r="E34" s="62">
        <f t="shared" si="10"/>
        <v>58.926320000000004</v>
      </c>
      <c r="F34" s="62">
        <f t="shared" si="10"/>
        <v>58.926320000000004</v>
      </c>
      <c r="G34" s="62">
        <f t="shared" si="10"/>
        <v>58.926320000000004</v>
      </c>
      <c r="H34" s="62">
        <f>+H8/H3</f>
        <v>58.926320000000011</v>
      </c>
      <c r="I34" s="77"/>
      <c r="AJ34" s="60" t="s">
        <v>80</v>
      </c>
      <c r="AK34" s="60" t="s">
        <v>84</v>
      </c>
    </row>
    <row r="35" spans="1:37" s="55" customFormat="1" ht="15.75" customHeight="1">
      <c r="A35" s="60" t="s">
        <v>30</v>
      </c>
      <c r="B35" s="68" t="s">
        <v>85</v>
      </c>
      <c r="C35" s="62" t="e">
        <f>+C9/C3</f>
        <v>#DIV/0!</v>
      </c>
      <c r="D35" s="62">
        <f t="shared" ref="D35:G35" si="11">+D9/D3</f>
        <v>29.668240000000001</v>
      </c>
      <c r="E35" s="62">
        <f t="shared" si="11"/>
        <v>29.668240000000001</v>
      </c>
      <c r="F35" s="62">
        <f t="shared" si="11"/>
        <v>29.668240000000001</v>
      </c>
      <c r="G35" s="62">
        <f t="shared" si="11"/>
        <v>29.668240000000001</v>
      </c>
      <c r="H35" s="62">
        <f>+H9/H3</f>
        <v>29.668240000000001</v>
      </c>
      <c r="I35" s="77"/>
      <c r="AJ35" s="60" t="s">
        <v>33</v>
      </c>
      <c r="AK35" s="60" t="s">
        <v>85</v>
      </c>
    </row>
    <row r="36" spans="1:37" s="55" customFormat="1" ht="15.75" customHeight="1">
      <c r="A36" s="60" t="s">
        <v>80</v>
      </c>
      <c r="B36" s="68" t="s">
        <v>86</v>
      </c>
      <c r="C36" s="62" t="e">
        <f>+C10/C3</f>
        <v>#DIV/0!</v>
      </c>
      <c r="D36" s="62">
        <f t="shared" ref="D36:G36" si="12">+D10/D3</f>
        <v>60.156799999999997</v>
      </c>
      <c r="E36" s="62">
        <f t="shared" si="12"/>
        <v>60.156799999999997</v>
      </c>
      <c r="F36" s="62">
        <f t="shared" si="12"/>
        <v>60.156799999999997</v>
      </c>
      <c r="G36" s="62">
        <f t="shared" si="12"/>
        <v>60.156799999999997</v>
      </c>
      <c r="H36" s="62">
        <f>+H10/H3</f>
        <v>60.156800000000004</v>
      </c>
      <c r="I36" s="77"/>
      <c r="AJ36" s="60" t="s">
        <v>39</v>
      </c>
      <c r="AK36" s="60" t="s">
        <v>86</v>
      </c>
    </row>
    <row r="37" spans="1:37" s="55" customFormat="1" ht="15.75" customHeight="1">
      <c r="A37" s="60" t="s">
        <v>87</v>
      </c>
      <c r="B37" s="126" t="s">
        <v>88</v>
      </c>
      <c r="C37" s="62"/>
      <c r="D37" s="62"/>
      <c r="E37" s="62"/>
      <c r="F37" s="62"/>
      <c r="G37" s="62"/>
      <c r="H37" s="62"/>
      <c r="I37" s="77"/>
      <c r="AJ37" s="60" t="s">
        <v>87</v>
      </c>
      <c r="AK37" s="63" t="s">
        <v>88</v>
      </c>
    </row>
    <row r="38" spans="1:37" s="55" customFormat="1" ht="15.75" customHeight="1">
      <c r="A38" s="60" t="s">
        <v>28</v>
      </c>
      <c r="B38" s="68" t="s">
        <v>271</v>
      </c>
      <c r="C38" s="62" t="e">
        <f>+C12/C3</f>
        <v>#DIV/0!</v>
      </c>
      <c r="D38" s="62">
        <f t="shared" ref="D38:G38" si="13">+D12/D3</f>
        <v>1831.04864</v>
      </c>
      <c r="E38" s="62">
        <f t="shared" si="13"/>
        <v>1732.0586399999997</v>
      </c>
      <c r="F38" s="62">
        <f t="shared" si="13"/>
        <v>1638.0181400000001</v>
      </c>
      <c r="G38" s="62">
        <f t="shared" si="13"/>
        <v>1548.6796649999997</v>
      </c>
      <c r="H38" s="62">
        <f>+H12/H3</f>
        <v>1663.5271015384615</v>
      </c>
      <c r="I38" s="77"/>
      <c r="AJ38" s="60" t="s">
        <v>28</v>
      </c>
      <c r="AK38" s="60" t="s">
        <v>89</v>
      </c>
    </row>
    <row r="39" spans="1:37" s="55" customFormat="1" ht="15.75" customHeight="1">
      <c r="A39" s="60" t="s">
        <v>30</v>
      </c>
      <c r="B39" s="68" t="s">
        <v>90</v>
      </c>
      <c r="C39" s="121" t="e">
        <f t="shared" ref="C39:G39" si="14">+C20/C38</f>
        <v>#DIV/0!</v>
      </c>
      <c r="D39" s="121">
        <f t="shared" si="14"/>
        <v>484.05682986116631</v>
      </c>
      <c r="E39" s="121">
        <f t="shared" si="14"/>
        <v>827.28030501322996</v>
      </c>
      <c r="F39" s="121">
        <f t="shared" si="14"/>
        <v>2126.0582620898203</v>
      </c>
      <c r="G39" s="121">
        <f t="shared" si="14"/>
        <v>3131.014185557864</v>
      </c>
      <c r="H39" s="121" t="e">
        <f t="shared" ref="H39" si="15">+H20/H38</f>
        <v>#DIV/0!</v>
      </c>
      <c r="I39" s="77"/>
      <c r="AJ39" s="60" t="s">
        <v>30</v>
      </c>
      <c r="AK39" s="60" t="s">
        <v>90</v>
      </c>
    </row>
    <row r="40" spans="1:37" s="55" customFormat="1" ht="15.75" customHeight="1">
      <c r="A40" s="60" t="s">
        <v>91</v>
      </c>
      <c r="B40" s="63" t="s">
        <v>92</v>
      </c>
      <c r="C40" s="67"/>
      <c r="D40" s="67"/>
      <c r="E40" s="67"/>
      <c r="F40" s="67"/>
      <c r="G40" s="67"/>
      <c r="H40" s="67"/>
      <c r="I40" s="77"/>
      <c r="AJ40" s="60" t="s">
        <v>91</v>
      </c>
      <c r="AK40" s="63" t="s">
        <v>92</v>
      </c>
    </row>
    <row r="41" spans="1:37" s="55" customFormat="1" ht="15.75" customHeight="1">
      <c r="A41" s="60" t="s">
        <v>28</v>
      </c>
      <c r="B41" s="60" t="s">
        <v>93</v>
      </c>
      <c r="C41" s="67" t="e">
        <f>+C14/C3</f>
        <v>#DIV/0!</v>
      </c>
      <c r="D41" s="67">
        <f t="shared" ref="D41:G41" si="16">+D14/D3</f>
        <v>779.1952</v>
      </c>
      <c r="E41" s="67">
        <f t="shared" si="16"/>
        <v>200.6832</v>
      </c>
      <c r="F41" s="67">
        <f t="shared" si="16"/>
        <v>92.212199999999996</v>
      </c>
      <c r="G41" s="67">
        <f t="shared" si="16"/>
        <v>80.159866666666673</v>
      </c>
      <c r="H41" s="67" t="e">
        <f>+H14/H3</f>
        <v>#DIV/0!</v>
      </c>
      <c r="I41" s="77"/>
      <c r="AJ41" s="60" t="s">
        <v>28</v>
      </c>
      <c r="AK41" s="60" t="s">
        <v>93</v>
      </c>
    </row>
    <row r="42" spans="1:37" s="55" customFormat="1" ht="15.75" customHeight="1">
      <c r="A42" s="60" t="s">
        <v>30</v>
      </c>
      <c r="B42" s="60" t="s">
        <v>94</v>
      </c>
      <c r="C42" s="67" t="e">
        <f>+C16/C3</f>
        <v>#DIV/0!</v>
      </c>
      <c r="D42" s="67">
        <f t="shared" ref="D42:G42" si="17">+D16/D3</f>
        <v>9.5704000000000011</v>
      </c>
      <c r="E42" s="67">
        <f t="shared" si="17"/>
        <v>9.5704000000000011</v>
      </c>
      <c r="F42" s="67">
        <f t="shared" si="17"/>
        <v>9.5704000000000011</v>
      </c>
      <c r="G42" s="67">
        <f t="shared" si="17"/>
        <v>9.5704000000000011</v>
      </c>
      <c r="H42" s="67">
        <f>+H16/H3</f>
        <v>9.5704000000000011</v>
      </c>
      <c r="I42" s="77"/>
      <c r="AJ42" s="60" t="s">
        <v>30</v>
      </c>
      <c r="AK42" s="60" t="s">
        <v>94</v>
      </c>
    </row>
    <row r="43" spans="1:37" s="55" customFormat="1" ht="15.75" customHeight="1">
      <c r="A43" s="60" t="s">
        <v>80</v>
      </c>
      <c r="B43" s="60" t="s">
        <v>95</v>
      </c>
      <c r="C43" s="67" t="e">
        <f>+C17/C3</f>
        <v>#DIV/0!</v>
      </c>
      <c r="D43" s="67">
        <f t="shared" ref="D43:G43" si="18">+D17/D3</f>
        <v>30</v>
      </c>
      <c r="E43" s="67">
        <f t="shared" si="18"/>
        <v>30</v>
      </c>
      <c r="F43" s="67">
        <f t="shared" si="18"/>
        <v>30</v>
      </c>
      <c r="G43" s="67">
        <f t="shared" si="18"/>
        <v>30</v>
      </c>
      <c r="H43" s="67">
        <f>+H17/H3</f>
        <v>30</v>
      </c>
      <c r="I43" s="77"/>
      <c r="AJ43" s="60" t="s">
        <v>80</v>
      </c>
      <c r="AK43" s="60" t="s">
        <v>95</v>
      </c>
    </row>
    <row r="44" spans="1:37" s="55" customFormat="1" ht="15.75" customHeight="1">
      <c r="A44" s="60" t="s">
        <v>33</v>
      </c>
      <c r="B44" s="60" t="s">
        <v>96</v>
      </c>
      <c r="C44" s="67"/>
      <c r="D44" s="67"/>
      <c r="E44" s="67"/>
      <c r="F44" s="67"/>
      <c r="G44" s="67"/>
      <c r="H44" s="67"/>
      <c r="I44" s="77"/>
      <c r="AJ44" s="60" t="s">
        <v>33</v>
      </c>
      <c r="AK44" s="60" t="s">
        <v>97</v>
      </c>
    </row>
    <row r="45" spans="1:37" s="55" customFormat="1" ht="15.75" customHeight="1">
      <c r="A45" s="60" t="s">
        <v>36</v>
      </c>
      <c r="B45" s="60" t="s">
        <v>98</v>
      </c>
      <c r="C45" s="67"/>
      <c r="D45" s="67"/>
      <c r="E45" s="67"/>
      <c r="F45" s="67"/>
      <c r="G45" s="67"/>
      <c r="H45" s="67"/>
      <c r="I45" s="77"/>
      <c r="AJ45" s="60" t="s">
        <v>36</v>
      </c>
      <c r="AK45" s="60" t="s">
        <v>98</v>
      </c>
    </row>
    <row r="46" spans="1:37" s="55" customFormat="1" ht="15.75" customHeight="1">
      <c r="A46" s="60" t="s">
        <v>99</v>
      </c>
      <c r="B46" s="63" t="s">
        <v>100</v>
      </c>
      <c r="C46" s="67"/>
      <c r="D46" s="67"/>
      <c r="E46" s="67"/>
      <c r="F46" s="67"/>
      <c r="G46" s="67"/>
      <c r="H46" s="67"/>
      <c r="I46" s="77"/>
      <c r="AJ46" s="60" t="s">
        <v>99</v>
      </c>
      <c r="AK46" s="63" t="s">
        <v>100</v>
      </c>
    </row>
    <row r="47" spans="1:37" s="55" customFormat="1" ht="15.75" customHeight="1">
      <c r="A47" s="60" t="s">
        <v>28</v>
      </c>
      <c r="B47" s="60" t="s">
        <v>101</v>
      </c>
      <c r="C47" s="138" t="e">
        <f>+(C10+C16)/C6</f>
        <v>#DIV/0!</v>
      </c>
      <c r="D47" s="138">
        <f t="shared" ref="D47:G47" si="19">+(D10+D16)/D6</f>
        <v>3.5219315082331545E-2</v>
      </c>
      <c r="E47" s="138">
        <f t="shared" si="19"/>
        <v>3.7072963244559526E-2</v>
      </c>
      <c r="F47" s="138">
        <f t="shared" si="19"/>
        <v>3.9024171836378449E-2</v>
      </c>
      <c r="G47" s="138">
        <f t="shared" si="19"/>
        <v>4.107807561724048E-2</v>
      </c>
      <c r="H47" s="138">
        <f>+(H10+H16)/H6</f>
        <v>3.8474882022715144E-2</v>
      </c>
      <c r="I47" s="77"/>
      <c r="AJ47" s="60" t="s">
        <v>28</v>
      </c>
      <c r="AK47" s="60" t="s">
        <v>101</v>
      </c>
    </row>
    <row r="48" spans="1:37" s="55" customFormat="1" ht="15.75" customHeight="1">
      <c r="A48" s="60" t="s">
        <v>30</v>
      </c>
      <c r="B48" s="60" t="s">
        <v>102</v>
      </c>
      <c r="C48" s="138" t="e">
        <f>+(C8+C9+C14)/C6</f>
        <v>#DIV/0!</v>
      </c>
      <c r="D48" s="138">
        <f t="shared" ref="D48:G48" si="20">+(D8+D9+D14)/D6</f>
        <v>0.43832193150823318</v>
      </c>
      <c r="E48" s="138">
        <f t="shared" si="20"/>
        <v>0.1538048819391645</v>
      </c>
      <c r="F48" s="138">
        <f t="shared" si="20"/>
        <v>0.10119198922972437</v>
      </c>
      <c r="G48" s="138">
        <f t="shared" si="20"/>
        <v>9.9417545797872237E-2</v>
      </c>
      <c r="H48" s="138" t="e">
        <f>+(H8+H9+H14)/H6</f>
        <v>#DIV/0!</v>
      </c>
      <c r="I48" s="77"/>
      <c r="AJ48" s="60" t="s">
        <v>30</v>
      </c>
      <c r="AK48" s="60" t="s">
        <v>102</v>
      </c>
    </row>
    <row r="49" spans="1:37" s="55" customFormat="1" ht="15.75" customHeight="1">
      <c r="A49" s="60" t="s">
        <v>80</v>
      </c>
      <c r="B49" s="60" t="s">
        <v>103</v>
      </c>
      <c r="C49" s="138" t="e">
        <f>+C17/C6</f>
        <v>#DIV/0!</v>
      </c>
      <c r="D49" s="138">
        <f t="shared" ref="D49:G49" si="21">+D17/D6</f>
        <v>1.5153045762198203E-2</v>
      </c>
      <c r="E49" s="138">
        <f t="shared" si="21"/>
        <v>1.5950574486524424E-2</v>
      </c>
      <c r="F49" s="138">
        <f t="shared" si="21"/>
        <v>1.6790078406867814E-2</v>
      </c>
      <c r="G49" s="138">
        <f t="shared" si="21"/>
        <v>1.7673766744071385E-2</v>
      </c>
      <c r="H49" s="138">
        <f>+H17/H6</f>
        <v>1.6553747471308961E-2</v>
      </c>
      <c r="I49" s="77"/>
      <c r="AJ49" s="60" t="s">
        <v>80</v>
      </c>
      <c r="AK49" s="60" t="s">
        <v>103</v>
      </c>
    </row>
    <row r="50" spans="1:37" s="55" customFormat="1" ht="15.75" customHeight="1">
      <c r="A50" s="60" t="s">
        <v>33</v>
      </c>
      <c r="B50" s="60" t="s">
        <v>104</v>
      </c>
      <c r="C50" s="138" t="e">
        <f>+C18/C6</f>
        <v>#DIV/0!</v>
      </c>
      <c r="D50" s="138">
        <f t="shared" ref="D50:G50" si="22">+D18/D6</f>
        <v>1.3410445499545409E-2</v>
      </c>
      <c r="E50" s="138">
        <f t="shared" si="22"/>
        <v>2.8232516841148227E-3</v>
      </c>
      <c r="F50" s="138">
        <f t="shared" si="22"/>
        <v>7.4296096950390075E-4</v>
      </c>
      <c r="G50" s="138">
        <f t="shared" si="22"/>
        <v>5.2137611895010589E-4</v>
      </c>
      <c r="H50" s="138">
        <f>+H18/H6</f>
        <v>2.2538563864782199E-3</v>
      </c>
      <c r="I50" s="77"/>
      <c r="AJ50" s="60" t="s">
        <v>33</v>
      </c>
      <c r="AK50" s="60" t="s">
        <v>104</v>
      </c>
    </row>
    <row r="51" spans="1:37" s="55" customFormat="1" ht="15.75" customHeight="1">
      <c r="A51" s="60" t="s">
        <v>36</v>
      </c>
      <c r="B51" s="60" t="s">
        <v>105</v>
      </c>
      <c r="C51" s="138" t="e">
        <f>+C19/C6</f>
        <v>#DIV/0!</v>
      </c>
      <c r="D51" s="138">
        <f t="shared" ref="D51:G51" si="23">+D19/D6</f>
        <v>2.071724416607738E-2</v>
      </c>
      <c r="E51" s="138">
        <f t="shared" si="23"/>
        <v>2.1807625437976191E-2</v>
      </c>
      <c r="F51" s="138">
        <f t="shared" si="23"/>
        <v>2.2955395197869675E-2</v>
      </c>
      <c r="G51" s="138">
        <f t="shared" si="23"/>
        <v>2.4163573892494399E-2</v>
      </c>
      <c r="H51" s="138">
        <f>+H19/H6</f>
        <v>2.263228354277361E-2</v>
      </c>
      <c r="I51" s="77"/>
      <c r="AJ51" s="60" t="s">
        <v>36</v>
      </c>
      <c r="AK51" s="60" t="s">
        <v>105</v>
      </c>
    </row>
    <row r="52" spans="1:37" s="55" customFormat="1" ht="15.75" customHeight="1">
      <c r="A52" s="60" t="s">
        <v>39</v>
      </c>
      <c r="B52" s="60" t="s">
        <v>106</v>
      </c>
      <c r="C52" s="138" t="e">
        <f>+C23/C6</f>
        <v>#DIV/0!</v>
      </c>
      <c r="D52" s="138">
        <f t="shared" ref="D52:G52" si="24">+D23/D6</f>
        <v>0.35788351348621067</v>
      </c>
      <c r="E52" s="138">
        <f t="shared" si="24"/>
        <v>0.57640552740574535</v>
      </c>
      <c r="F52" s="138">
        <f t="shared" si="24"/>
        <v>0.6144715532697419</v>
      </c>
      <c r="G52" s="138">
        <f t="shared" si="24"/>
        <v>0.61285924637202849</v>
      </c>
      <c r="H52" s="138" t="e">
        <f>+H23/H6</f>
        <v>#DIV/0!</v>
      </c>
      <c r="I52" s="77"/>
      <c r="AJ52" s="60" t="s">
        <v>39</v>
      </c>
      <c r="AK52" s="60" t="s">
        <v>107</v>
      </c>
    </row>
    <row r="53" spans="1:37" s="55" customFormat="1" ht="15.75" customHeight="1">
      <c r="A53" s="60" t="s">
        <v>108</v>
      </c>
      <c r="B53" s="63" t="s">
        <v>109</v>
      </c>
      <c r="C53" s="67" t="e">
        <f>+C21/C3</f>
        <v>#DIV/0!</v>
      </c>
      <c r="D53" s="67">
        <f t="shared" ref="D53:G53" si="25">+D21/D3</f>
        <v>944.71703999999988</v>
      </c>
      <c r="E53" s="67">
        <f t="shared" si="25"/>
        <v>1445.4790399999999</v>
      </c>
      <c r="F53" s="67">
        <f t="shared" si="25"/>
        <v>1463.89204</v>
      </c>
      <c r="G53" s="67">
        <f t="shared" si="25"/>
        <v>1387.0483983333329</v>
      </c>
      <c r="H53" s="67" t="e">
        <f>+H21/H3</f>
        <v>#DIV/0!</v>
      </c>
      <c r="I53" s="77"/>
      <c r="AJ53" s="60" t="s">
        <v>108</v>
      </c>
      <c r="AK53" s="63" t="s">
        <v>109</v>
      </c>
    </row>
    <row r="54" spans="1:37" s="55" customFormat="1" ht="15.75" customHeight="1">
      <c r="A54" s="60" t="s">
        <v>110</v>
      </c>
      <c r="B54" s="139" t="s">
        <v>111</v>
      </c>
      <c r="C54" s="67"/>
      <c r="D54" s="67"/>
      <c r="E54" s="67"/>
      <c r="F54" s="67"/>
      <c r="G54" s="67"/>
      <c r="H54" s="67"/>
      <c r="I54" s="77"/>
      <c r="AJ54" s="60"/>
      <c r="AK54" s="63"/>
    </row>
    <row r="55" spans="1:37" s="55" customFormat="1" ht="15.75" customHeight="1">
      <c r="A55" s="60" t="s">
        <v>28</v>
      </c>
      <c r="B55" s="60" t="s">
        <v>112</v>
      </c>
      <c r="C55" s="67">
        <f>C56+C57</f>
        <v>3938750</v>
      </c>
      <c r="D55" s="67"/>
      <c r="E55" s="67"/>
      <c r="F55" s="67"/>
      <c r="G55" s="67"/>
      <c r="H55" s="67"/>
      <c r="I55" s="77"/>
    </row>
    <row r="56" spans="1:37" s="55" customFormat="1" ht="15.75" customHeight="1">
      <c r="A56" s="60">
        <v>1.1000000000000001</v>
      </c>
      <c r="B56" s="140" t="s">
        <v>113</v>
      </c>
      <c r="C56" s="67">
        <f>项目投资!B27</f>
        <v>132750</v>
      </c>
      <c r="D56" s="67"/>
      <c r="E56" s="67"/>
      <c r="F56" s="67"/>
      <c r="G56" s="67"/>
      <c r="H56" s="67"/>
      <c r="I56" s="77"/>
    </row>
    <row r="57" spans="1:37" s="55" customFormat="1" ht="15.75" customHeight="1">
      <c r="A57" s="60">
        <v>1.2</v>
      </c>
      <c r="B57" s="60" t="s">
        <v>114</v>
      </c>
      <c r="C57" s="67">
        <f>项目投资!B26</f>
        <v>3806000</v>
      </c>
      <c r="D57" s="67"/>
      <c r="E57" s="67"/>
      <c r="F57" s="67"/>
      <c r="G57" s="67"/>
      <c r="H57" s="67"/>
      <c r="I57" s="77"/>
    </row>
    <row r="58" spans="1:37" ht="15.75" customHeight="1">
      <c r="A58" s="127" t="s">
        <v>30</v>
      </c>
      <c r="B58" s="127" t="s">
        <v>115</v>
      </c>
      <c r="C58" s="141" t="e">
        <f t="shared" ref="C58:G58" si="26">C59+C60</f>
        <v>#DIV/0!</v>
      </c>
      <c r="D58" s="141">
        <f t="shared" si="26"/>
        <v>1431677.7799999998</v>
      </c>
      <c r="E58" s="141">
        <f t="shared" si="26"/>
        <v>6143686.3999999994</v>
      </c>
      <c r="F58" s="141">
        <f t="shared" si="26"/>
        <v>22681520.600000001</v>
      </c>
      <c r="G58" s="141">
        <f t="shared" si="26"/>
        <v>31931728.962499991</v>
      </c>
      <c r="H58" s="141" t="e">
        <f t="shared" ref="H58" si="27">H59+H60</f>
        <v>#DIV/0!</v>
      </c>
      <c r="I58" s="77"/>
    </row>
    <row r="59" spans="1:37" ht="15.75" customHeight="1">
      <c r="A59" s="127" t="s">
        <v>80</v>
      </c>
      <c r="B59" s="127" t="s">
        <v>116</v>
      </c>
      <c r="C59" s="141" t="e">
        <f t="shared" ref="C59:G59" si="28">C23</f>
        <v>#DIV/0!</v>
      </c>
      <c r="D59" s="141">
        <f t="shared" si="28"/>
        <v>708537.77999999991</v>
      </c>
      <c r="E59" s="141">
        <f t="shared" si="28"/>
        <v>5420546.3999999994</v>
      </c>
      <c r="F59" s="141">
        <f t="shared" si="28"/>
        <v>21958380.600000001</v>
      </c>
      <c r="G59" s="141">
        <f t="shared" si="28"/>
        <v>31208588.962499991</v>
      </c>
      <c r="H59" s="141" t="e">
        <f t="shared" ref="H59" si="29">H23</f>
        <v>#DIV/0!</v>
      </c>
      <c r="I59" s="77"/>
    </row>
    <row r="60" spans="1:37" ht="15.75" customHeight="1">
      <c r="A60" s="127" t="s">
        <v>33</v>
      </c>
      <c r="B60" s="127" t="s">
        <v>117</v>
      </c>
      <c r="C60" s="141">
        <f>'2021年'!H18</f>
        <v>723140</v>
      </c>
      <c r="D60" s="141">
        <f>'2022年'!H18</f>
        <v>723140</v>
      </c>
      <c r="E60" s="141">
        <f>'2023年'!H18</f>
        <v>723140</v>
      </c>
      <c r="F60" s="141">
        <f>'2024年'!H18</f>
        <v>723140</v>
      </c>
      <c r="G60" s="141">
        <f>'2025年'!H18</f>
        <v>723140</v>
      </c>
      <c r="H60" s="141">
        <f>项目投资!I26</f>
        <v>3615700</v>
      </c>
      <c r="I60" s="77"/>
    </row>
    <row r="61" spans="1:37" ht="15.75" customHeight="1">
      <c r="A61" s="127" t="s">
        <v>36</v>
      </c>
      <c r="B61" s="127" t="s">
        <v>118</v>
      </c>
      <c r="C61" s="142"/>
      <c r="D61" s="142"/>
      <c r="E61" s="142"/>
      <c r="F61" s="142"/>
      <c r="G61" s="142"/>
      <c r="H61" s="141"/>
      <c r="I61" s="77"/>
    </row>
    <row r="65" spans="1:3" ht="23.25">
      <c r="A65" s="178" t="s">
        <v>270</v>
      </c>
      <c r="B65" s="179" t="s">
        <v>269</v>
      </c>
      <c r="C65" s="177"/>
    </row>
    <row r="66" spans="1:3" ht="23.25">
      <c r="A66" s="179">
        <v>1</v>
      </c>
      <c r="B66" s="176" t="s">
        <v>262</v>
      </c>
      <c r="C66" s="177"/>
    </row>
    <row r="67" spans="1:3" ht="23.25">
      <c r="A67" s="179">
        <v>2</v>
      </c>
      <c r="B67" s="176" t="s">
        <v>264</v>
      </c>
      <c r="C67" s="177"/>
    </row>
    <row r="68" spans="1:3" ht="23.25">
      <c r="A68" s="179">
        <v>3</v>
      </c>
      <c r="B68" s="176" t="s">
        <v>265</v>
      </c>
      <c r="C68" s="177"/>
    </row>
    <row r="69" spans="1:3" ht="23.25">
      <c r="A69" s="179">
        <v>4</v>
      </c>
      <c r="B69" s="176" t="s">
        <v>263</v>
      </c>
      <c r="C69" s="177"/>
    </row>
    <row r="70" spans="1:3" ht="23.25">
      <c r="A70" s="179">
        <v>5</v>
      </c>
      <c r="B70" s="176" t="s">
        <v>266</v>
      </c>
      <c r="C70" s="177"/>
    </row>
    <row r="71" spans="1:3" ht="23.25">
      <c r="A71" s="179">
        <v>6</v>
      </c>
      <c r="B71" s="176" t="s">
        <v>267</v>
      </c>
      <c r="C71" s="177"/>
    </row>
    <row r="72" spans="1:3" ht="23.25">
      <c r="A72" s="179">
        <v>7</v>
      </c>
      <c r="B72" s="176" t="s">
        <v>48</v>
      </c>
      <c r="C72" s="177"/>
    </row>
    <row r="73" spans="1:3" ht="23.25">
      <c r="A73" s="179">
        <v>8</v>
      </c>
      <c r="B73" s="176" t="s">
        <v>67</v>
      </c>
      <c r="C73" s="177"/>
    </row>
    <row r="74" spans="1:3" ht="23.25">
      <c r="A74" s="179">
        <v>9</v>
      </c>
      <c r="B74" s="176" t="s">
        <v>268</v>
      </c>
      <c r="C74" s="177"/>
    </row>
  </sheetData>
  <mergeCells count="2">
    <mergeCell ref="A1:H1"/>
    <mergeCell ref="A2:A3"/>
  </mergeCells>
  <phoneticPr fontId="39" type="noConversion"/>
  <pageMargins left="0.31496062992126" right="0.31496062992126" top="0.15748031496063" bottom="0.15748031496063" header="0" footer="0"/>
  <pageSetup paperSize="9" orientation="portrait" horizontalDpi="200" verticalDpi="3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"/>
  <sheetViews>
    <sheetView workbookViewId="0">
      <selection activeCell="B11" sqref="B11:B15"/>
    </sheetView>
  </sheetViews>
  <sheetFormatPr defaultColWidth="9.125" defaultRowHeight="19.899999999999999" customHeight="1"/>
  <cols>
    <col min="1" max="1" width="8" style="81" customWidth="1"/>
    <col min="2" max="2" width="28.5" style="81" customWidth="1"/>
    <col min="3" max="4" width="9.125" style="81"/>
    <col min="5" max="5" width="13.875" style="81" customWidth="1"/>
    <col min="6" max="12" width="16.125" style="81" customWidth="1"/>
    <col min="13" max="13" width="10.625" style="81" customWidth="1"/>
    <col min="14" max="254" width="9.125" style="81"/>
    <col min="255" max="255" width="8" style="81" customWidth="1"/>
    <col min="256" max="256" width="28.5" style="81" customWidth="1"/>
    <col min="257" max="268" width="9.125" style="81"/>
    <col min="269" max="269" width="10.625" style="81" customWidth="1"/>
    <col min="270" max="510" width="9.125" style="81"/>
    <col min="511" max="511" width="8" style="81" customWidth="1"/>
    <col min="512" max="512" width="28.5" style="81" customWidth="1"/>
    <col min="513" max="524" width="9.125" style="81"/>
    <col min="525" max="525" width="10.625" style="81" customWidth="1"/>
    <col min="526" max="766" width="9.125" style="81"/>
    <col min="767" max="767" width="8" style="81" customWidth="1"/>
    <col min="768" max="768" width="28.5" style="81" customWidth="1"/>
    <col min="769" max="780" width="9.125" style="81"/>
    <col min="781" max="781" width="10.625" style="81" customWidth="1"/>
    <col min="782" max="1022" width="9.125" style="81"/>
    <col min="1023" max="1023" width="8" style="81" customWidth="1"/>
    <col min="1024" max="1024" width="28.5" style="81" customWidth="1"/>
    <col min="1025" max="1036" width="9.125" style="81"/>
    <col min="1037" max="1037" width="10.625" style="81" customWidth="1"/>
    <col min="1038" max="1278" width="9.125" style="81"/>
    <col min="1279" max="1279" width="8" style="81" customWidth="1"/>
    <col min="1280" max="1280" width="28.5" style="81" customWidth="1"/>
    <col min="1281" max="1292" width="9.125" style="81"/>
    <col min="1293" max="1293" width="10.625" style="81" customWidth="1"/>
    <col min="1294" max="1534" width="9.125" style="81"/>
    <col min="1535" max="1535" width="8" style="81" customWidth="1"/>
    <col min="1536" max="1536" width="28.5" style="81" customWidth="1"/>
    <col min="1537" max="1548" width="9.125" style="81"/>
    <col min="1549" max="1549" width="10.625" style="81" customWidth="1"/>
    <col min="1550" max="1790" width="9.125" style="81"/>
    <col min="1791" max="1791" width="8" style="81" customWidth="1"/>
    <col min="1792" max="1792" width="28.5" style="81" customWidth="1"/>
    <col min="1793" max="1804" width="9.125" style="81"/>
    <col min="1805" max="1805" width="10.625" style="81" customWidth="1"/>
    <col min="1806" max="2046" width="9.125" style="81"/>
    <col min="2047" max="2047" width="8" style="81" customWidth="1"/>
    <col min="2048" max="2048" width="28.5" style="81" customWidth="1"/>
    <col min="2049" max="2060" width="9.125" style="81"/>
    <col min="2061" max="2061" width="10.625" style="81" customWidth="1"/>
    <col min="2062" max="2302" width="9.125" style="81"/>
    <col min="2303" max="2303" width="8" style="81" customWidth="1"/>
    <col min="2304" max="2304" width="28.5" style="81" customWidth="1"/>
    <col min="2305" max="2316" width="9.125" style="81"/>
    <col min="2317" max="2317" width="10.625" style="81" customWidth="1"/>
    <col min="2318" max="2558" width="9.125" style="81"/>
    <col min="2559" max="2559" width="8" style="81" customWidth="1"/>
    <col min="2560" max="2560" width="28.5" style="81" customWidth="1"/>
    <col min="2561" max="2572" width="9.125" style="81"/>
    <col min="2573" max="2573" width="10.625" style="81" customWidth="1"/>
    <col min="2574" max="2814" width="9.125" style="81"/>
    <col min="2815" max="2815" width="8" style="81" customWidth="1"/>
    <col min="2816" max="2816" width="28.5" style="81" customWidth="1"/>
    <col min="2817" max="2828" width="9.125" style="81"/>
    <col min="2829" max="2829" width="10.625" style="81" customWidth="1"/>
    <col min="2830" max="3070" width="9.125" style="81"/>
    <col min="3071" max="3071" width="8" style="81" customWidth="1"/>
    <col min="3072" max="3072" width="28.5" style="81" customWidth="1"/>
    <col min="3073" max="3084" width="9.125" style="81"/>
    <col min="3085" max="3085" width="10.625" style="81" customWidth="1"/>
    <col min="3086" max="3326" width="9.125" style="81"/>
    <col min="3327" max="3327" width="8" style="81" customWidth="1"/>
    <col min="3328" max="3328" width="28.5" style="81" customWidth="1"/>
    <col min="3329" max="3340" width="9.125" style="81"/>
    <col min="3341" max="3341" width="10.625" style="81" customWidth="1"/>
    <col min="3342" max="3582" width="9.125" style="81"/>
    <col min="3583" max="3583" width="8" style="81" customWidth="1"/>
    <col min="3584" max="3584" width="28.5" style="81" customWidth="1"/>
    <col min="3585" max="3596" width="9.125" style="81"/>
    <col min="3597" max="3597" width="10.625" style="81" customWidth="1"/>
    <col min="3598" max="3838" width="9.125" style="81"/>
    <col min="3839" max="3839" width="8" style="81" customWidth="1"/>
    <col min="3840" max="3840" width="28.5" style="81" customWidth="1"/>
    <col min="3841" max="3852" width="9.125" style="81"/>
    <col min="3853" max="3853" width="10.625" style="81" customWidth="1"/>
    <col min="3854" max="4094" width="9.125" style="81"/>
    <col min="4095" max="4095" width="8" style="81" customWidth="1"/>
    <col min="4096" max="4096" width="28.5" style="81" customWidth="1"/>
    <col min="4097" max="4108" width="9.125" style="81"/>
    <col min="4109" max="4109" width="10.625" style="81" customWidth="1"/>
    <col min="4110" max="4350" width="9.125" style="81"/>
    <col min="4351" max="4351" width="8" style="81" customWidth="1"/>
    <col min="4352" max="4352" width="28.5" style="81" customWidth="1"/>
    <col min="4353" max="4364" width="9.125" style="81"/>
    <col min="4365" max="4365" width="10.625" style="81" customWidth="1"/>
    <col min="4366" max="4606" width="9.125" style="81"/>
    <col min="4607" max="4607" width="8" style="81" customWidth="1"/>
    <col min="4608" max="4608" width="28.5" style="81" customWidth="1"/>
    <col min="4609" max="4620" width="9.125" style="81"/>
    <col min="4621" max="4621" width="10.625" style="81" customWidth="1"/>
    <col min="4622" max="4862" width="9.125" style="81"/>
    <col min="4863" max="4863" width="8" style="81" customWidth="1"/>
    <col min="4864" max="4864" width="28.5" style="81" customWidth="1"/>
    <col min="4865" max="4876" width="9.125" style="81"/>
    <col min="4877" max="4877" width="10.625" style="81" customWidth="1"/>
    <col min="4878" max="5118" width="9.125" style="81"/>
    <col min="5119" max="5119" width="8" style="81" customWidth="1"/>
    <col min="5120" max="5120" width="28.5" style="81" customWidth="1"/>
    <col min="5121" max="5132" width="9.125" style="81"/>
    <col min="5133" max="5133" width="10.625" style="81" customWidth="1"/>
    <col min="5134" max="5374" width="9.125" style="81"/>
    <col min="5375" max="5375" width="8" style="81" customWidth="1"/>
    <col min="5376" max="5376" width="28.5" style="81" customWidth="1"/>
    <col min="5377" max="5388" width="9.125" style="81"/>
    <col min="5389" max="5389" width="10.625" style="81" customWidth="1"/>
    <col min="5390" max="5630" width="9.125" style="81"/>
    <col min="5631" max="5631" width="8" style="81" customWidth="1"/>
    <col min="5632" max="5632" width="28.5" style="81" customWidth="1"/>
    <col min="5633" max="5644" width="9.125" style="81"/>
    <col min="5645" max="5645" width="10.625" style="81" customWidth="1"/>
    <col min="5646" max="5886" width="9.125" style="81"/>
    <col min="5887" max="5887" width="8" style="81" customWidth="1"/>
    <col min="5888" max="5888" width="28.5" style="81" customWidth="1"/>
    <col min="5889" max="5900" width="9.125" style="81"/>
    <col min="5901" max="5901" width="10.625" style="81" customWidth="1"/>
    <col min="5902" max="6142" width="9.125" style="81"/>
    <col min="6143" max="6143" width="8" style="81" customWidth="1"/>
    <col min="6144" max="6144" width="28.5" style="81" customWidth="1"/>
    <col min="6145" max="6156" width="9.125" style="81"/>
    <col min="6157" max="6157" width="10.625" style="81" customWidth="1"/>
    <col min="6158" max="6398" width="9.125" style="81"/>
    <col min="6399" max="6399" width="8" style="81" customWidth="1"/>
    <col min="6400" max="6400" width="28.5" style="81" customWidth="1"/>
    <col min="6401" max="6412" width="9.125" style="81"/>
    <col min="6413" max="6413" width="10.625" style="81" customWidth="1"/>
    <col min="6414" max="6654" width="9.125" style="81"/>
    <col min="6655" max="6655" width="8" style="81" customWidth="1"/>
    <col min="6656" max="6656" width="28.5" style="81" customWidth="1"/>
    <col min="6657" max="6668" width="9.125" style="81"/>
    <col min="6669" max="6669" width="10.625" style="81" customWidth="1"/>
    <col min="6670" max="6910" width="9.125" style="81"/>
    <col min="6911" max="6911" width="8" style="81" customWidth="1"/>
    <col min="6912" max="6912" width="28.5" style="81" customWidth="1"/>
    <col min="6913" max="6924" width="9.125" style="81"/>
    <col min="6925" max="6925" width="10.625" style="81" customWidth="1"/>
    <col min="6926" max="7166" width="9.125" style="81"/>
    <col min="7167" max="7167" width="8" style="81" customWidth="1"/>
    <col min="7168" max="7168" width="28.5" style="81" customWidth="1"/>
    <col min="7169" max="7180" width="9.125" style="81"/>
    <col min="7181" max="7181" width="10.625" style="81" customWidth="1"/>
    <col min="7182" max="7422" width="9.125" style="81"/>
    <col min="7423" max="7423" width="8" style="81" customWidth="1"/>
    <col min="7424" max="7424" width="28.5" style="81" customWidth="1"/>
    <col min="7425" max="7436" width="9.125" style="81"/>
    <col min="7437" max="7437" width="10.625" style="81" customWidth="1"/>
    <col min="7438" max="7678" width="9.125" style="81"/>
    <col min="7679" max="7679" width="8" style="81" customWidth="1"/>
    <col min="7680" max="7680" width="28.5" style="81" customWidth="1"/>
    <col min="7681" max="7692" width="9.125" style="81"/>
    <col min="7693" max="7693" width="10.625" style="81" customWidth="1"/>
    <col min="7694" max="7934" width="9.125" style="81"/>
    <col min="7935" max="7935" width="8" style="81" customWidth="1"/>
    <col min="7936" max="7936" width="28.5" style="81" customWidth="1"/>
    <col min="7937" max="7948" width="9.125" style="81"/>
    <col min="7949" max="7949" width="10.625" style="81" customWidth="1"/>
    <col min="7950" max="8190" width="9.125" style="81"/>
    <col min="8191" max="8191" width="8" style="81" customWidth="1"/>
    <col min="8192" max="8192" width="28.5" style="81" customWidth="1"/>
    <col min="8193" max="8204" width="9.125" style="81"/>
    <col min="8205" max="8205" width="10.625" style="81" customWidth="1"/>
    <col min="8206" max="8446" width="9.125" style="81"/>
    <col min="8447" max="8447" width="8" style="81" customWidth="1"/>
    <col min="8448" max="8448" width="28.5" style="81" customWidth="1"/>
    <col min="8449" max="8460" width="9.125" style="81"/>
    <col min="8461" max="8461" width="10.625" style="81" customWidth="1"/>
    <col min="8462" max="8702" width="9.125" style="81"/>
    <col min="8703" max="8703" width="8" style="81" customWidth="1"/>
    <col min="8704" max="8704" width="28.5" style="81" customWidth="1"/>
    <col min="8705" max="8716" width="9.125" style="81"/>
    <col min="8717" max="8717" width="10.625" style="81" customWidth="1"/>
    <col min="8718" max="8958" width="9.125" style="81"/>
    <col min="8959" max="8959" width="8" style="81" customWidth="1"/>
    <col min="8960" max="8960" width="28.5" style="81" customWidth="1"/>
    <col min="8961" max="8972" width="9.125" style="81"/>
    <col min="8973" max="8973" width="10.625" style="81" customWidth="1"/>
    <col min="8974" max="9214" width="9.125" style="81"/>
    <col min="9215" max="9215" width="8" style="81" customWidth="1"/>
    <col min="9216" max="9216" width="28.5" style="81" customWidth="1"/>
    <col min="9217" max="9228" width="9.125" style="81"/>
    <col min="9229" max="9229" width="10.625" style="81" customWidth="1"/>
    <col min="9230" max="9470" width="9.125" style="81"/>
    <col min="9471" max="9471" width="8" style="81" customWidth="1"/>
    <col min="9472" max="9472" width="28.5" style="81" customWidth="1"/>
    <col min="9473" max="9484" width="9.125" style="81"/>
    <col min="9485" max="9485" width="10.625" style="81" customWidth="1"/>
    <col min="9486" max="9726" width="9.125" style="81"/>
    <col min="9727" max="9727" width="8" style="81" customWidth="1"/>
    <col min="9728" max="9728" width="28.5" style="81" customWidth="1"/>
    <col min="9729" max="9740" width="9.125" style="81"/>
    <col min="9741" max="9741" width="10.625" style="81" customWidth="1"/>
    <col min="9742" max="9982" width="9.125" style="81"/>
    <col min="9983" max="9983" width="8" style="81" customWidth="1"/>
    <col min="9984" max="9984" width="28.5" style="81" customWidth="1"/>
    <col min="9985" max="9996" width="9.125" style="81"/>
    <col min="9997" max="9997" width="10.625" style="81" customWidth="1"/>
    <col min="9998" max="10238" width="9.125" style="81"/>
    <col min="10239" max="10239" width="8" style="81" customWidth="1"/>
    <col min="10240" max="10240" width="28.5" style="81" customWidth="1"/>
    <col min="10241" max="10252" width="9.125" style="81"/>
    <col min="10253" max="10253" width="10.625" style="81" customWidth="1"/>
    <col min="10254" max="10494" width="9.125" style="81"/>
    <col min="10495" max="10495" width="8" style="81" customWidth="1"/>
    <col min="10496" max="10496" width="28.5" style="81" customWidth="1"/>
    <col min="10497" max="10508" width="9.125" style="81"/>
    <col min="10509" max="10509" width="10.625" style="81" customWidth="1"/>
    <col min="10510" max="10750" width="9.125" style="81"/>
    <col min="10751" max="10751" width="8" style="81" customWidth="1"/>
    <col min="10752" max="10752" width="28.5" style="81" customWidth="1"/>
    <col min="10753" max="10764" width="9.125" style="81"/>
    <col min="10765" max="10765" width="10.625" style="81" customWidth="1"/>
    <col min="10766" max="11006" width="9.125" style="81"/>
    <col min="11007" max="11007" width="8" style="81" customWidth="1"/>
    <col min="11008" max="11008" width="28.5" style="81" customWidth="1"/>
    <col min="11009" max="11020" width="9.125" style="81"/>
    <col min="11021" max="11021" width="10.625" style="81" customWidth="1"/>
    <col min="11022" max="11262" width="9.125" style="81"/>
    <col min="11263" max="11263" width="8" style="81" customWidth="1"/>
    <col min="11264" max="11264" width="28.5" style="81" customWidth="1"/>
    <col min="11265" max="11276" width="9.125" style="81"/>
    <col min="11277" max="11277" width="10.625" style="81" customWidth="1"/>
    <col min="11278" max="11518" width="9.125" style="81"/>
    <col min="11519" max="11519" width="8" style="81" customWidth="1"/>
    <col min="11520" max="11520" width="28.5" style="81" customWidth="1"/>
    <col min="11521" max="11532" width="9.125" style="81"/>
    <col min="11533" max="11533" width="10.625" style="81" customWidth="1"/>
    <col min="11534" max="11774" width="9.125" style="81"/>
    <col min="11775" max="11775" width="8" style="81" customWidth="1"/>
    <col min="11776" max="11776" width="28.5" style="81" customWidth="1"/>
    <col min="11777" max="11788" width="9.125" style="81"/>
    <col min="11789" max="11789" width="10.625" style="81" customWidth="1"/>
    <col min="11790" max="12030" width="9.125" style="81"/>
    <col min="12031" max="12031" width="8" style="81" customWidth="1"/>
    <col min="12032" max="12032" width="28.5" style="81" customWidth="1"/>
    <col min="12033" max="12044" width="9.125" style="81"/>
    <col min="12045" max="12045" width="10.625" style="81" customWidth="1"/>
    <col min="12046" max="12286" width="9.125" style="81"/>
    <col min="12287" max="12287" width="8" style="81" customWidth="1"/>
    <col min="12288" max="12288" width="28.5" style="81" customWidth="1"/>
    <col min="12289" max="12300" width="9.125" style="81"/>
    <col min="12301" max="12301" width="10.625" style="81" customWidth="1"/>
    <col min="12302" max="12542" width="9.125" style="81"/>
    <col min="12543" max="12543" width="8" style="81" customWidth="1"/>
    <col min="12544" max="12544" width="28.5" style="81" customWidth="1"/>
    <col min="12545" max="12556" width="9.125" style="81"/>
    <col min="12557" max="12557" width="10.625" style="81" customWidth="1"/>
    <col min="12558" max="12798" width="9.125" style="81"/>
    <col min="12799" max="12799" width="8" style="81" customWidth="1"/>
    <col min="12800" max="12800" width="28.5" style="81" customWidth="1"/>
    <col min="12801" max="12812" width="9.125" style="81"/>
    <col min="12813" max="12813" width="10.625" style="81" customWidth="1"/>
    <col min="12814" max="13054" width="9.125" style="81"/>
    <col min="13055" max="13055" width="8" style="81" customWidth="1"/>
    <col min="13056" max="13056" width="28.5" style="81" customWidth="1"/>
    <col min="13057" max="13068" width="9.125" style="81"/>
    <col min="13069" max="13069" width="10.625" style="81" customWidth="1"/>
    <col min="13070" max="13310" width="9.125" style="81"/>
    <col min="13311" max="13311" width="8" style="81" customWidth="1"/>
    <col min="13312" max="13312" width="28.5" style="81" customWidth="1"/>
    <col min="13313" max="13324" width="9.125" style="81"/>
    <col min="13325" max="13325" width="10.625" style="81" customWidth="1"/>
    <col min="13326" max="13566" width="9.125" style="81"/>
    <col min="13567" max="13567" width="8" style="81" customWidth="1"/>
    <col min="13568" max="13568" width="28.5" style="81" customWidth="1"/>
    <col min="13569" max="13580" width="9.125" style="81"/>
    <col min="13581" max="13581" width="10.625" style="81" customWidth="1"/>
    <col min="13582" max="13822" width="9.125" style="81"/>
    <col min="13823" max="13823" width="8" style="81" customWidth="1"/>
    <col min="13824" max="13824" width="28.5" style="81" customWidth="1"/>
    <col min="13825" max="13836" width="9.125" style="81"/>
    <col min="13837" max="13837" width="10.625" style="81" customWidth="1"/>
    <col min="13838" max="14078" width="9.125" style="81"/>
    <col min="14079" max="14079" width="8" style="81" customWidth="1"/>
    <col min="14080" max="14080" width="28.5" style="81" customWidth="1"/>
    <col min="14081" max="14092" width="9.125" style="81"/>
    <col min="14093" max="14093" width="10.625" style="81" customWidth="1"/>
    <col min="14094" max="14334" width="9.125" style="81"/>
    <col min="14335" max="14335" width="8" style="81" customWidth="1"/>
    <col min="14336" max="14336" width="28.5" style="81" customWidth="1"/>
    <col min="14337" max="14348" width="9.125" style="81"/>
    <col min="14349" max="14349" width="10.625" style="81" customWidth="1"/>
    <col min="14350" max="14590" width="9.125" style="81"/>
    <col min="14591" max="14591" width="8" style="81" customWidth="1"/>
    <col min="14592" max="14592" width="28.5" style="81" customWidth="1"/>
    <col min="14593" max="14604" width="9.125" style="81"/>
    <col min="14605" max="14605" width="10.625" style="81" customWidth="1"/>
    <col min="14606" max="14846" width="9.125" style="81"/>
    <col min="14847" max="14847" width="8" style="81" customWidth="1"/>
    <col min="14848" max="14848" width="28.5" style="81" customWidth="1"/>
    <col min="14849" max="14860" width="9.125" style="81"/>
    <col min="14861" max="14861" width="10.625" style="81" customWidth="1"/>
    <col min="14862" max="15102" width="9.125" style="81"/>
    <col min="15103" max="15103" width="8" style="81" customWidth="1"/>
    <col min="15104" max="15104" width="28.5" style="81" customWidth="1"/>
    <col min="15105" max="15116" width="9.125" style="81"/>
    <col min="15117" max="15117" width="10.625" style="81" customWidth="1"/>
    <col min="15118" max="15358" width="9.125" style="81"/>
    <col min="15359" max="15359" width="8" style="81" customWidth="1"/>
    <col min="15360" max="15360" width="28.5" style="81" customWidth="1"/>
    <col min="15361" max="15372" width="9.125" style="81"/>
    <col min="15373" max="15373" width="10.625" style="81" customWidth="1"/>
    <col min="15374" max="15614" width="9.125" style="81"/>
    <col min="15615" max="15615" width="8" style="81" customWidth="1"/>
    <col min="15616" max="15616" width="28.5" style="81" customWidth="1"/>
    <col min="15617" max="15628" width="9.125" style="81"/>
    <col min="15629" max="15629" width="10.625" style="81" customWidth="1"/>
    <col min="15630" max="15870" width="9.125" style="81"/>
    <col min="15871" max="15871" width="8" style="81" customWidth="1"/>
    <col min="15872" max="15872" width="28.5" style="81" customWidth="1"/>
    <col min="15873" max="15884" width="9.125" style="81"/>
    <col min="15885" max="15885" width="10.625" style="81" customWidth="1"/>
    <col min="15886" max="16126" width="9.125" style="81"/>
    <col min="16127" max="16127" width="8" style="81" customWidth="1"/>
    <col min="16128" max="16128" width="28.5" style="81" customWidth="1"/>
    <col min="16129" max="16140" width="9.125" style="81"/>
    <col min="16141" max="16141" width="10.625" style="81" customWidth="1"/>
    <col min="16142" max="16384" width="9.125" style="81"/>
  </cols>
  <sheetData>
    <row r="1" spans="1:13" ht="18.75">
      <c r="A1" s="82" t="s">
        <v>119</v>
      </c>
      <c r="B1" s="83"/>
      <c r="C1" s="84"/>
      <c r="D1" s="84"/>
      <c r="E1" s="83"/>
      <c r="F1" s="84"/>
      <c r="G1" s="84"/>
      <c r="H1" s="83"/>
      <c r="I1" s="84"/>
      <c r="J1" s="84"/>
      <c r="K1" s="84"/>
      <c r="L1" s="84"/>
      <c r="M1" s="84"/>
    </row>
    <row r="2" spans="1:13" ht="12">
      <c r="A2" s="81" t="s">
        <v>120</v>
      </c>
      <c r="B2" s="85"/>
    </row>
    <row r="3" spans="1:13" ht="16.899999999999999" customHeight="1">
      <c r="A3" s="86" t="s">
        <v>18</v>
      </c>
      <c r="B3" s="86" t="s">
        <v>121</v>
      </c>
      <c r="C3" s="193" t="s">
        <v>122</v>
      </c>
      <c r="D3" s="193"/>
      <c r="E3" s="193"/>
      <c r="F3" s="88"/>
      <c r="G3" s="89"/>
      <c r="H3" s="90"/>
      <c r="I3" s="90"/>
      <c r="J3" s="90" t="s">
        <v>123</v>
      </c>
      <c r="K3" s="90"/>
      <c r="L3" s="90"/>
      <c r="M3" s="111"/>
    </row>
    <row r="4" spans="1:13" ht="16.149999999999999" customHeight="1">
      <c r="A4" s="91"/>
      <c r="B4" s="91" t="s">
        <v>124</v>
      </c>
      <c r="C4" s="87">
        <v>2017</v>
      </c>
      <c r="D4" s="87">
        <f t="shared" ref="D4:L4" si="0">C4+1</f>
        <v>2018</v>
      </c>
      <c r="E4" s="87">
        <f t="shared" si="0"/>
        <v>2019</v>
      </c>
      <c r="F4" s="87">
        <f t="shared" si="0"/>
        <v>2020</v>
      </c>
      <c r="G4" s="87">
        <f t="shared" si="0"/>
        <v>2021</v>
      </c>
      <c r="H4" s="92">
        <f t="shared" si="0"/>
        <v>2022</v>
      </c>
      <c r="I4" s="92">
        <f t="shared" si="0"/>
        <v>2023</v>
      </c>
      <c r="J4" s="92">
        <f t="shared" si="0"/>
        <v>2024</v>
      </c>
      <c r="K4" s="92">
        <f t="shared" si="0"/>
        <v>2025</v>
      </c>
      <c r="L4" s="92">
        <f t="shared" si="0"/>
        <v>2026</v>
      </c>
      <c r="M4" s="112" t="s">
        <v>125</v>
      </c>
    </row>
    <row r="5" spans="1:13" ht="15.6" customHeight="1">
      <c r="A5" s="93">
        <v>1</v>
      </c>
      <c r="B5" s="94" t="s">
        <v>126</v>
      </c>
      <c r="C5" s="95">
        <f>SUM(C6:C9)</f>
        <v>0</v>
      </c>
      <c r="D5" s="95">
        <f t="shared" ref="D5:L5" si="1">SUM(D6:D9)</f>
        <v>0</v>
      </c>
      <c r="E5" s="95" t="e">
        <f t="shared" si="1"/>
        <v>#REF!</v>
      </c>
      <c r="F5" s="95">
        <f t="shared" si="1"/>
        <v>0</v>
      </c>
      <c r="G5" s="95">
        <f t="shared" si="1"/>
        <v>2084000</v>
      </c>
      <c r="H5" s="95">
        <f t="shared" si="1"/>
        <v>10420000</v>
      </c>
      <c r="I5" s="95" t="e">
        <f t="shared" si="1"/>
        <v>#REF!</v>
      </c>
      <c r="J5" s="95" t="e">
        <f t="shared" si="1"/>
        <v>#REF!</v>
      </c>
      <c r="K5" s="95" t="e">
        <f t="shared" si="1"/>
        <v>#REF!</v>
      </c>
      <c r="L5" s="95">
        <f t="shared" si="1"/>
        <v>54184000</v>
      </c>
      <c r="M5" s="99" t="e">
        <f t="shared" ref="M5:M17" si="2">SUM(C5:L5)</f>
        <v>#REF!</v>
      </c>
    </row>
    <row r="6" spans="1:13" ht="15.6" customHeight="1">
      <c r="A6" s="93">
        <v>1.1000000000000001</v>
      </c>
      <c r="B6" s="96" t="s">
        <v>127</v>
      </c>
      <c r="C6" s="97"/>
      <c r="D6" s="97"/>
      <c r="E6" s="97" t="e">
        <f>损益表!#REF!</f>
        <v>#REF!</v>
      </c>
      <c r="F6" s="97">
        <f>损益表!C4</f>
        <v>0</v>
      </c>
      <c r="G6" s="97">
        <f>损益表!D4</f>
        <v>2084000</v>
      </c>
      <c r="H6" s="97">
        <f>损益表!E4</f>
        <v>10420000</v>
      </c>
      <c r="I6" s="97" t="e">
        <f>损益表!#REF!</f>
        <v>#REF!</v>
      </c>
      <c r="J6" s="97" t="e">
        <f>损益表!#REF!</f>
        <v>#REF!</v>
      </c>
      <c r="K6" s="97" t="e">
        <f>损益表!#REF!</f>
        <v>#REF!</v>
      </c>
      <c r="L6" s="97">
        <f>损益表!H4</f>
        <v>54184000</v>
      </c>
      <c r="M6" s="99" t="e">
        <f t="shared" si="2"/>
        <v>#REF!</v>
      </c>
    </row>
    <row r="7" spans="1:13" ht="15.6" customHeight="1">
      <c r="A7" s="93">
        <v>1.2</v>
      </c>
      <c r="B7" s="96" t="s">
        <v>128</v>
      </c>
      <c r="C7" s="97"/>
      <c r="D7" s="97"/>
      <c r="E7" s="97">
        <f>'[1]折、摊'!G18</f>
        <v>0</v>
      </c>
      <c r="F7" s="97">
        <f>'[1]折、摊'!H18</f>
        <v>0</v>
      </c>
      <c r="G7" s="97">
        <f>'[1]折、摊'!I18</f>
        <v>0</v>
      </c>
      <c r="H7" s="97">
        <f>'[1]折、摊'!J18</f>
        <v>0</v>
      </c>
      <c r="I7" s="97">
        <f>'[1]折、摊'!K18</f>
        <v>0</v>
      </c>
      <c r="J7" s="97">
        <f>'[1]折、摊'!L18</f>
        <v>0</v>
      </c>
      <c r="K7" s="97">
        <f>'[1]折、摊'!M18</f>
        <v>0</v>
      </c>
      <c r="L7" s="97">
        <f>'[1]折、摊'!N18</f>
        <v>0</v>
      </c>
      <c r="M7" s="99">
        <f t="shared" si="2"/>
        <v>0</v>
      </c>
    </row>
    <row r="8" spans="1:13" ht="15.6" customHeight="1">
      <c r="A8" s="93">
        <v>1.3</v>
      </c>
      <c r="B8" s="96" t="s">
        <v>129</v>
      </c>
      <c r="C8" s="97" t="s">
        <v>130</v>
      </c>
      <c r="D8" s="97" t="s">
        <v>130</v>
      </c>
      <c r="E8" s="97" t="s">
        <v>130</v>
      </c>
      <c r="F8" s="97" t="s">
        <v>130</v>
      </c>
      <c r="G8" s="97" t="s">
        <v>130</v>
      </c>
      <c r="H8" s="97" t="s">
        <v>130</v>
      </c>
      <c r="I8" s="97" t="s">
        <v>130</v>
      </c>
      <c r="J8" s="97" t="s">
        <v>130</v>
      </c>
      <c r="K8" s="97" t="s">
        <v>130</v>
      </c>
      <c r="L8" s="97"/>
      <c r="M8" s="99">
        <f t="shared" si="2"/>
        <v>0</v>
      </c>
    </row>
    <row r="9" spans="1:13" s="80" customFormat="1" ht="15.6" customHeight="1">
      <c r="A9" s="98">
        <v>1.4</v>
      </c>
      <c r="B9" s="99" t="s">
        <v>131</v>
      </c>
      <c r="C9" s="97" t="s">
        <v>130</v>
      </c>
      <c r="D9" s="97" t="s">
        <v>130</v>
      </c>
      <c r="E9" s="97" t="s">
        <v>130</v>
      </c>
      <c r="F9" s="97" t="s">
        <v>130</v>
      </c>
      <c r="G9" s="97" t="s">
        <v>130</v>
      </c>
      <c r="H9" s="97" t="s">
        <v>130</v>
      </c>
      <c r="I9" s="97" t="s">
        <v>130</v>
      </c>
      <c r="J9" s="97" t="s">
        <v>130</v>
      </c>
      <c r="K9" s="97" t="s">
        <v>130</v>
      </c>
      <c r="L9" s="97" t="s">
        <v>130</v>
      </c>
      <c r="M9" s="99">
        <f t="shared" si="2"/>
        <v>0</v>
      </c>
    </row>
    <row r="10" spans="1:13" ht="15.6" customHeight="1">
      <c r="A10" s="98">
        <v>2</v>
      </c>
      <c r="B10" s="94" t="s">
        <v>132</v>
      </c>
      <c r="C10" s="95">
        <f t="shared" ref="C10:L10" si="3">SUM(C11:C16)</f>
        <v>0</v>
      </c>
      <c r="D10" s="95">
        <f t="shared" si="3"/>
        <v>0</v>
      </c>
      <c r="E10" s="95">
        <f t="shared" si="3"/>
        <v>0</v>
      </c>
      <c r="F10" s="95">
        <f t="shared" si="3"/>
        <v>0</v>
      </c>
      <c r="G10" s="95">
        <f t="shared" si="3"/>
        <v>0</v>
      </c>
      <c r="H10" s="95">
        <f t="shared" si="3"/>
        <v>0</v>
      </c>
      <c r="I10" s="95">
        <f t="shared" si="3"/>
        <v>0</v>
      </c>
      <c r="J10" s="95">
        <f t="shared" si="3"/>
        <v>0</v>
      </c>
      <c r="K10" s="95">
        <f t="shared" si="3"/>
        <v>0</v>
      </c>
      <c r="L10" s="95">
        <f t="shared" si="3"/>
        <v>0</v>
      </c>
      <c r="M10" s="99">
        <f t="shared" si="2"/>
        <v>0</v>
      </c>
    </row>
    <row r="11" spans="1:13" ht="15" customHeight="1">
      <c r="A11" s="93">
        <v>2.1</v>
      </c>
      <c r="B11" s="93" t="s">
        <v>133</v>
      </c>
      <c r="C11" s="97">
        <f>([1]计划!C6-[1]计划!C7)</f>
        <v>0</v>
      </c>
      <c r="D11" s="97">
        <f>([1]计划!D6-[1]计划!D7)</f>
        <v>0</v>
      </c>
      <c r="E11" s="97">
        <f>([1]计划!E6-[1]计划!E7)</f>
        <v>0</v>
      </c>
      <c r="F11" s="97">
        <f>([1]计划!F6-[1]计划!F7)</f>
        <v>0</v>
      </c>
      <c r="G11" s="97">
        <f>([1]计划!G6-[1]计划!G7)</f>
        <v>0</v>
      </c>
      <c r="H11" s="97">
        <f>([1]计划!H6-[1]计划!H7)</f>
        <v>0</v>
      </c>
      <c r="I11" s="97">
        <f>([1]计划!I6-[1]计划!I7)</f>
        <v>0</v>
      </c>
      <c r="J11" s="97">
        <f>([1]计划!J6-[1]计划!J7)</f>
        <v>0</v>
      </c>
      <c r="K11" s="97">
        <f>([1]计划!K6-[1]计划!K7)</f>
        <v>0</v>
      </c>
      <c r="L11" s="97">
        <f>([1]计划!L6-[1]计划!L7)</f>
        <v>0</v>
      </c>
      <c r="M11" s="99">
        <f t="shared" si="2"/>
        <v>0</v>
      </c>
    </row>
    <row r="12" spans="1:13" s="80" customFormat="1" ht="15" customHeight="1">
      <c r="A12" s="93">
        <v>2.2000000000000002</v>
      </c>
      <c r="B12" s="99" t="s">
        <v>134</v>
      </c>
      <c r="C12" s="97">
        <f>[1]计划!C8</f>
        <v>0</v>
      </c>
      <c r="D12" s="97">
        <f>[1]计划!D8</f>
        <v>0</v>
      </c>
      <c r="E12" s="97">
        <f>[1]计划!E8</f>
        <v>0</v>
      </c>
      <c r="F12" s="97">
        <f>[1]计划!F8</f>
        <v>0</v>
      </c>
      <c r="G12" s="97">
        <f>[1]计划!G8</f>
        <v>0</v>
      </c>
      <c r="H12" s="97">
        <f>[1]计划!H8</f>
        <v>0</v>
      </c>
      <c r="I12" s="97">
        <f>[1]计划!I8</f>
        <v>0</v>
      </c>
      <c r="J12" s="97">
        <f>[1]计划!J8</f>
        <v>0</v>
      </c>
      <c r="K12" s="97">
        <f>[1]计划!K8</f>
        <v>0</v>
      </c>
      <c r="L12" s="97">
        <f>[1]计划!L8</f>
        <v>0</v>
      </c>
      <c r="M12" s="99">
        <f t="shared" si="2"/>
        <v>0</v>
      </c>
    </row>
    <row r="13" spans="1:13" ht="15" customHeight="1">
      <c r="A13" s="93">
        <v>2.2999999999999998</v>
      </c>
      <c r="B13" s="96" t="s">
        <v>135</v>
      </c>
      <c r="C13" s="97">
        <f>[1]总成本!C22</f>
        <v>0</v>
      </c>
      <c r="D13" s="97">
        <f>[1]总成本!D22</f>
        <v>0</v>
      </c>
      <c r="E13" s="97">
        <f>[1]总成本!E22</f>
        <v>0</v>
      </c>
      <c r="F13" s="97">
        <f>[1]总成本!F22</f>
        <v>0</v>
      </c>
      <c r="G13" s="97">
        <f>[1]总成本!G22</f>
        <v>0</v>
      </c>
      <c r="H13" s="97">
        <f>[1]总成本!H22</f>
        <v>0</v>
      </c>
      <c r="I13" s="97">
        <f>[1]总成本!I22</f>
        <v>0</v>
      </c>
      <c r="J13" s="97">
        <f>[1]总成本!J22</f>
        <v>0</v>
      </c>
      <c r="K13" s="97">
        <f>[1]总成本!K22</f>
        <v>0</v>
      </c>
      <c r="L13" s="97">
        <f>[1]总成本!L22</f>
        <v>0</v>
      </c>
      <c r="M13" s="99">
        <f t="shared" si="2"/>
        <v>0</v>
      </c>
    </row>
    <row r="14" spans="1:13" ht="15" customHeight="1">
      <c r="A14" s="93">
        <v>2.4</v>
      </c>
      <c r="B14" s="96" t="s">
        <v>136</v>
      </c>
      <c r="C14" s="97">
        <f>[1]价格!D15</f>
        <v>0</v>
      </c>
      <c r="D14" s="97">
        <f>[1]价格!E15</f>
        <v>0</v>
      </c>
      <c r="E14" s="97">
        <f>[1]价格!F15</f>
        <v>0</v>
      </c>
      <c r="F14" s="97">
        <f>[1]价格!G15</f>
        <v>0</v>
      </c>
      <c r="G14" s="97">
        <f>[1]价格!H15</f>
        <v>0</v>
      </c>
      <c r="H14" s="97">
        <f>[1]价格!I15</f>
        <v>0</v>
      </c>
      <c r="I14" s="97">
        <f>[1]价格!J15</f>
        <v>0</v>
      </c>
      <c r="J14" s="97">
        <f>[1]价格!K15</f>
        <v>0</v>
      </c>
      <c r="K14" s="97">
        <f>[1]价格!L15</f>
        <v>0</v>
      </c>
      <c r="L14" s="97">
        <f>[1]价格!M15</f>
        <v>0</v>
      </c>
      <c r="M14" s="99">
        <f t="shared" si="2"/>
        <v>0</v>
      </c>
    </row>
    <row r="15" spans="1:13" ht="15" customHeight="1">
      <c r="A15" s="93">
        <v>2.5</v>
      </c>
      <c r="B15" s="96" t="s">
        <v>63</v>
      </c>
      <c r="C15" s="97">
        <f>[1]利润!C13</f>
        <v>0</v>
      </c>
      <c r="D15" s="97">
        <f>[1]利润!D13</f>
        <v>0</v>
      </c>
      <c r="E15" s="97">
        <f>[1]利润!E13</f>
        <v>0</v>
      </c>
      <c r="F15" s="97">
        <f>[1]利润!F13</f>
        <v>0</v>
      </c>
      <c r="G15" s="97">
        <f>[1]利润!G13</f>
        <v>0</v>
      </c>
      <c r="H15" s="97">
        <f>[1]利润!H13</f>
        <v>0</v>
      </c>
      <c r="I15" s="97">
        <f>[1]利润!I13</f>
        <v>0</v>
      </c>
      <c r="J15" s="97">
        <f>[1]利润!J13</f>
        <v>0</v>
      </c>
      <c r="K15" s="97">
        <f>[1]利润!K13</f>
        <v>0</v>
      </c>
      <c r="L15" s="97">
        <f>[1]利润!L13</f>
        <v>0</v>
      </c>
      <c r="M15" s="99">
        <f t="shared" si="2"/>
        <v>0</v>
      </c>
    </row>
    <row r="16" spans="1:13" ht="15" customHeight="1">
      <c r="A16" s="93">
        <v>2.6</v>
      </c>
      <c r="B16" s="96" t="s">
        <v>137</v>
      </c>
      <c r="C16" s="97"/>
      <c r="D16" s="97"/>
      <c r="E16" s="97"/>
      <c r="F16" s="97"/>
      <c r="G16" s="97"/>
      <c r="H16" s="97"/>
      <c r="I16" s="97"/>
      <c r="J16" s="97"/>
      <c r="K16" s="97"/>
      <c r="L16" s="97"/>
      <c r="M16" s="99">
        <f t="shared" si="2"/>
        <v>0</v>
      </c>
    </row>
    <row r="17" spans="1:18" ht="12">
      <c r="A17" s="93">
        <v>3</v>
      </c>
      <c r="B17" s="94" t="s">
        <v>138</v>
      </c>
      <c r="C17" s="95">
        <f t="shared" ref="C17:L17" si="4">C5-C10</f>
        <v>0</v>
      </c>
      <c r="D17" s="95">
        <f t="shared" si="4"/>
        <v>0</v>
      </c>
      <c r="E17" s="95" t="e">
        <f t="shared" si="4"/>
        <v>#REF!</v>
      </c>
      <c r="F17" s="95">
        <f t="shared" si="4"/>
        <v>0</v>
      </c>
      <c r="G17" s="95">
        <f t="shared" si="4"/>
        <v>2084000</v>
      </c>
      <c r="H17" s="95">
        <f t="shared" si="4"/>
        <v>10420000</v>
      </c>
      <c r="I17" s="95" t="e">
        <f t="shared" si="4"/>
        <v>#REF!</v>
      </c>
      <c r="J17" s="95" t="e">
        <f t="shared" si="4"/>
        <v>#REF!</v>
      </c>
      <c r="K17" s="95" t="e">
        <f t="shared" si="4"/>
        <v>#REF!</v>
      </c>
      <c r="L17" s="95">
        <f t="shared" si="4"/>
        <v>54184000</v>
      </c>
      <c r="M17" s="99" t="e">
        <f t="shared" si="2"/>
        <v>#REF!</v>
      </c>
    </row>
    <row r="18" spans="1:18" ht="12">
      <c r="A18" s="100">
        <v>4</v>
      </c>
      <c r="B18" s="96" t="s">
        <v>139</v>
      </c>
      <c r="C18" s="97">
        <f>C17</f>
        <v>0</v>
      </c>
      <c r="D18" s="97">
        <f t="shared" ref="D18:L18" si="5">C18+D17</f>
        <v>0</v>
      </c>
      <c r="E18" s="97" t="e">
        <f t="shared" si="5"/>
        <v>#REF!</v>
      </c>
      <c r="F18" s="97" t="e">
        <f t="shared" si="5"/>
        <v>#REF!</v>
      </c>
      <c r="G18" s="97" t="e">
        <f t="shared" si="5"/>
        <v>#REF!</v>
      </c>
      <c r="H18" s="97" t="e">
        <f t="shared" si="5"/>
        <v>#REF!</v>
      </c>
      <c r="I18" s="97" t="e">
        <f t="shared" si="5"/>
        <v>#REF!</v>
      </c>
      <c r="J18" s="97" t="e">
        <f t="shared" si="5"/>
        <v>#REF!</v>
      </c>
      <c r="K18" s="97" t="e">
        <f t="shared" si="5"/>
        <v>#REF!</v>
      </c>
      <c r="L18" s="97" t="e">
        <f t="shared" si="5"/>
        <v>#REF!</v>
      </c>
      <c r="M18" s="96" t="s">
        <v>130</v>
      </c>
    </row>
    <row r="19" spans="1:18" s="80" customFormat="1" ht="12">
      <c r="A19" s="100">
        <v>5</v>
      </c>
      <c r="B19" s="96" t="s">
        <v>140</v>
      </c>
      <c r="C19" s="97">
        <f t="shared" ref="C19:L19" si="6">C17+C15</f>
        <v>0</v>
      </c>
      <c r="D19" s="97">
        <f t="shared" si="6"/>
        <v>0</v>
      </c>
      <c r="E19" s="97" t="e">
        <f t="shared" si="6"/>
        <v>#REF!</v>
      </c>
      <c r="F19" s="97">
        <f t="shared" si="6"/>
        <v>0</v>
      </c>
      <c r="G19" s="97">
        <f t="shared" si="6"/>
        <v>2084000</v>
      </c>
      <c r="H19" s="97">
        <f t="shared" si="6"/>
        <v>10420000</v>
      </c>
      <c r="I19" s="97" t="e">
        <f t="shared" si="6"/>
        <v>#REF!</v>
      </c>
      <c r="J19" s="97" t="e">
        <f t="shared" si="6"/>
        <v>#REF!</v>
      </c>
      <c r="K19" s="97" t="e">
        <f t="shared" si="6"/>
        <v>#REF!</v>
      </c>
      <c r="L19" s="97">
        <f t="shared" si="6"/>
        <v>54184000</v>
      </c>
      <c r="M19" s="99" t="e">
        <f>SUM(C19:L19)</f>
        <v>#REF!</v>
      </c>
    </row>
    <row r="20" spans="1:18" s="80" customFormat="1" ht="12">
      <c r="A20" s="93">
        <v>6</v>
      </c>
      <c r="B20" s="96" t="s">
        <v>141</v>
      </c>
      <c r="C20" s="97">
        <f>C19</f>
        <v>0</v>
      </c>
      <c r="D20" s="97">
        <f t="shared" ref="D20:L20" si="7">C20+D19</f>
        <v>0</v>
      </c>
      <c r="E20" s="97" t="e">
        <f t="shared" si="7"/>
        <v>#REF!</v>
      </c>
      <c r="F20" s="97" t="e">
        <f t="shared" si="7"/>
        <v>#REF!</v>
      </c>
      <c r="G20" s="97" t="e">
        <f t="shared" si="7"/>
        <v>#REF!</v>
      </c>
      <c r="H20" s="97" t="e">
        <f t="shared" si="7"/>
        <v>#REF!</v>
      </c>
      <c r="I20" s="97" t="e">
        <f t="shared" si="7"/>
        <v>#REF!</v>
      </c>
      <c r="J20" s="97" t="e">
        <f t="shared" si="7"/>
        <v>#REF!</v>
      </c>
      <c r="K20" s="97" t="e">
        <f t="shared" si="7"/>
        <v>#REF!</v>
      </c>
      <c r="L20" s="97" t="e">
        <f t="shared" si="7"/>
        <v>#REF!</v>
      </c>
      <c r="M20" s="96" t="s">
        <v>130</v>
      </c>
    </row>
    <row r="21" spans="1:18" ht="12">
      <c r="A21" s="101"/>
      <c r="B21" s="102" t="s">
        <v>142</v>
      </c>
      <c r="C21" s="102"/>
      <c r="D21" s="102"/>
      <c r="E21" s="102" t="s">
        <v>143</v>
      </c>
      <c r="F21" s="102"/>
      <c r="G21" s="102"/>
      <c r="H21" s="102"/>
      <c r="I21" s="102" t="s">
        <v>144</v>
      </c>
      <c r="J21" s="102"/>
      <c r="K21" s="102"/>
      <c r="L21" s="102"/>
      <c r="M21" s="113"/>
    </row>
    <row r="22" spans="1:18" ht="12">
      <c r="A22" s="103"/>
      <c r="B22" s="104" t="s">
        <v>145</v>
      </c>
      <c r="C22" s="104"/>
      <c r="D22" s="105" t="s">
        <v>146</v>
      </c>
      <c r="E22" s="106" t="e">
        <f>IRR(C17:L17,0.15)</f>
        <v>#VALUE!</v>
      </c>
      <c r="F22" s="104"/>
      <c r="G22" s="104"/>
      <c r="H22" s="104"/>
      <c r="I22" s="106" t="e">
        <f>IRR(C19:L19,0.15)</f>
        <v>#VALUE!</v>
      </c>
      <c r="J22" s="104"/>
      <c r="K22" s="104"/>
      <c r="L22" s="104"/>
      <c r="M22" s="114"/>
    </row>
    <row r="23" spans="1:18" ht="12">
      <c r="A23" s="103"/>
      <c r="B23" s="104" t="s">
        <v>147</v>
      </c>
      <c r="C23" s="104"/>
      <c r="D23" s="104"/>
      <c r="E23" s="107" t="e">
        <f>NPV(0.12,C17:L17)</f>
        <v>#REF!</v>
      </c>
      <c r="F23" s="104"/>
      <c r="G23" s="104"/>
      <c r="H23" s="104"/>
      <c r="I23" s="107" t="e">
        <f>NPV(0.12,C19:L19)</f>
        <v>#REF!</v>
      </c>
      <c r="J23" s="104"/>
      <c r="K23" s="104"/>
      <c r="L23" s="104"/>
      <c r="M23" s="114"/>
      <c r="R23" s="81">
        <f>30.9-29.82</f>
        <v>1.0799999999999983</v>
      </c>
    </row>
    <row r="24" spans="1:18" ht="12">
      <c r="A24" s="108"/>
      <c r="B24" s="109" t="s">
        <v>148</v>
      </c>
      <c r="C24" s="109"/>
      <c r="D24" s="109"/>
      <c r="E24" s="110" t="e">
        <f>6-H18/I17</f>
        <v>#REF!</v>
      </c>
      <c r="F24" s="109"/>
      <c r="G24" s="109"/>
      <c r="H24" s="109"/>
      <c r="I24" s="110" t="e">
        <f>6-H20/I19</f>
        <v>#REF!</v>
      </c>
      <c r="J24" s="109"/>
      <c r="K24" s="109"/>
      <c r="L24" s="109"/>
      <c r="M24" s="115"/>
    </row>
  </sheetData>
  <mergeCells count="1">
    <mergeCell ref="C3:E3"/>
  </mergeCells>
  <phoneticPr fontId="39" type="noConversion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74"/>
  <sheetViews>
    <sheetView workbookViewId="0">
      <pane xSplit="2" ySplit="7" topLeftCell="C8" activePane="bottomRight" state="frozen"/>
      <selection pane="topRight"/>
      <selection pane="bottomLeft"/>
      <selection pane="bottomRight" activeCell="D17" sqref="D17"/>
    </sheetView>
  </sheetViews>
  <sheetFormatPr defaultColWidth="9" defaultRowHeight="16.5"/>
  <cols>
    <col min="1" max="1" width="5.125" style="55" customWidth="1"/>
    <col min="2" max="2" width="17.5" style="55" customWidth="1"/>
    <col min="3" max="3" width="13.25" style="56" customWidth="1"/>
    <col min="4" max="7" width="15.5" style="56" customWidth="1"/>
    <col min="8" max="8" width="18.75" style="56" customWidth="1"/>
    <col min="9" max="9" width="12.375" style="55" customWidth="1"/>
    <col min="10" max="10" width="10.125" style="55" customWidth="1"/>
    <col min="11" max="17" width="9" style="55" customWidth="1"/>
    <col min="18" max="34" width="9" style="55"/>
    <col min="35" max="35" width="4.375" style="55" customWidth="1"/>
    <col min="36" max="36" width="13.875" style="55" customWidth="1"/>
    <col min="37" max="16384" width="9" style="55"/>
  </cols>
  <sheetData>
    <row r="1" spans="1:37">
      <c r="A1" s="194" t="s">
        <v>149</v>
      </c>
      <c r="B1" s="194"/>
      <c r="C1" s="198" t="s">
        <v>150</v>
      </c>
      <c r="D1" s="199"/>
      <c r="E1" s="199"/>
      <c r="F1" s="199"/>
      <c r="G1" s="199"/>
      <c r="H1" s="200"/>
    </row>
    <row r="2" spans="1:37">
      <c r="A2" s="194" t="s">
        <v>151</v>
      </c>
      <c r="B2" s="194"/>
      <c r="C2" s="201"/>
      <c r="D2" s="201"/>
      <c r="E2" s="201"/>
      <c r="F2" s="201"/>
      <c r="G2" s="201"/>
      <c r="H2" s="201"/>
    </row>
    <row r="3" spans="1:37">
      <c r="A3" s="194" t="s">
        <v>152</v>
      </c>
      <c r="B3" s="194"/>
      <c r="C3" s="170"/>
      <c r="D3" s="170"/>
      <c r="E3" s="58"/>
      <c r="F3" s="58"/>
      <c r="G3" s="58"/>
      <c r="H3" s="195" t="s">
        <v>24</v>
      </c>
    </row>
    <row r="4" spans="1:37">
      <c r="A4" s="194" t="s">
        <v>153</v>
      </c>
      <c r="B4" s="194"/>
      <c r="C4" s="22"/>
      <c r="D4" s="22"/>
      <c r="E4" s="58"/>
      <c r="F4" s="58"/>
      <c r="G4" s="58"/>
      <c r="H4" s="196"/>
    </row>
    <row r="5" spans="1:37">
      <c r="A5" s="194" t="s">
        <v>154</v>
      </c>
      <c r="B5" s="194"/>
      <c r="C5" s="59"/>
      <c r="D5" s="59"/>
      <c r="E5" s="59"/>
      <c r="F5" s="59"/>
      <c r="G5" s="59"/>
      <c r="H5" s="197"/>
      <c r="AK5" s="55" t="s">
        <v>25</v>
      </c>
    </row>
    <row r="6" spans="1:37" ht="17.25">
      <c r="A6" s="60" t="s">
        <v>18</v>
      </c>
      <c r="B6" s="61" t="s">
        <v>155</v>
      </c>
      <c r="C6" s="27">
        <f>销量!C9</f>
        <v>0</v>
      </c>
      <c r="D6" s="27">
        <f>销量!D9</f>
        <v>0</v>
      </c>
      <c r="E6" s="27">
        <f>销量!E9</f>
        <v>0</v>
      </c>
      <c r="F6" s="27">
        <f>销量!F9</f>
        <v>0</v>
      </c>
      <c r="G6" s="27">
        <f>销量!G9</f>
        <v>0</v>
      </c>
      <c r="H6" s="62">
        <f t="shared" ref="H6:H15" si="0">+SUM(C6:G6)</f>
        <v>0</v>
      </c>
      <c r="S6" s="61" t="s">
        <v>3</v>
      </c>
      <c r="AI6" s="60" t="s">
        <v>18</v>
      </c>
      <c r="AJ6" s="61" t="s">
        <v>3</v>
      </c>
      <c r="AK6" s="55" t="s">
        <v>26</v>
      </c>
    </row>
    <row r="7" spans="1:37">
      <c r="A7" s="57">
        <v>1</v>
      </c>
      <c r="B7" s="61" t="s">
        <v>27</v>
      </c>
      <c r="C7" s="62">
        <f>C6*销量!C8</f>
        <v>0</v>
      </c>
      <c r="D7" s="62">
        <f>D6*销量!D8</f>
        <v>0</v>
      </c>
      <c r="E7" s="62">
        <f>E6*销量!E8</f>
        <v>0</v>
      </c>
      <c r="F7" s="62">
        <f>F6*销量!F8</f>
        <v>0</v>
      </c>
      <c r="G7" s="62">
        <f>G6*销量!G8</f>
        <v>0</v>
      </c>
      <c r="H7" s="62">
        <f t="shared" si="0"/>
        <v>0</v>
      </c>
      <c r="I7" s="56"/>
      <c r="S7" s="61" t="s">
        <v>27</v>
      </c>
      <c r="AI7" s="60" t="s">
        <v>28</v>
      </c>
      <c r="AJ7" s="61" t="s">
        <v>27</v>
      </c>
      <c r="AK7" s="55" t="s">
        <v>26</v>
      </c>
    </row>
    <row r="8" spans="1:37">
      <c r="A8" s="57">
        <v>2</v>
      </c>
      <c r="B8" s="57" t="s">
        <v>29</v>
      </c>
      <c r="C8" s="62"/>
      <c r="D8" s="62"/>
      <c r="E8" s="62"/>
      <c r="F8" s="62"/>
      <c r="G8" s="62"/>
      <c r="H8" s="62">
        <f t="shared" si="0"/>
        <v>0</v>
      </c>
      <c r="I8" s="77"/>
      <c r="S8" s="57" t="s">
        <v>31</v>
      </c>
      <c r="AI8" s="60" t="s">
        <v>30</v>
      </c>
      <c r="AJ8" s="57" t="s">
        <v>31</v>
      </c>
      <c r="AK8" s="55" t="s">
        <v>26</v>
      </c>
    </row>
    <row r="9" spans="1:37">
      <c r="A9" s="57">
        <v>3</v>
      </c>
      <c r="B9" s="61" t="s">
        <v>32</v>
      </c>
      <c r="C9" s="62">
        <f>+C7-C8</f>
        <v>0</v>
      </c>
      <c r="D9" s="62">
        <f t="shared" ref="D9:G9" si="1">+D7-D8</f>
        <v>0</v>
      </c>
      <c r="E9" s="62">
        <f t="shared" si="1"/>
        <v>0</v>
      </c>
      <c r="F9" s="62">
        <f t="shared" si="1"/>
        <v>0</v>
      </c>
      <c r="G9" s="62">
        <f t="shared" si="1"/>
        <v>0</v>
      </c>
      <c r="H9" s="62">
        <f t="shared" si="0"/>
        <v>0</v>
      </c>
      <c r="S9" s="61" t="s">
        <v>32</v>
      </c>
      <c r="AI9" s="60" t="s">
        <v>33</v>
      </c>
      <c r="AJ9" s="61" t="s">
        <v>32</v>
      </c>
      <c r="AK9" s="55" t="s">
        <v>34</v>
      </c>
    </row>
    <row r="10" spans="1:37">
      <c r="A10" s="57">
        <v>4</v>
      </c>
      <c r="B10" s="60" t="s">
        <v>35</v>
      </c>
      <c r="C10" s="62">
        <f>C6*材料成本!D24</f>
        <v>0</v>
      </c>
      <c r="D10" s="62">
        <f>D6*材料成本!E24</f>
        <v>0</v>
      </c>
      <c r="E10" s="62">
        <f>E6*材料成本!F24</f>
        <v>0</v>
      </c>
      <c r="F10" s="62">
        <f>F6*材料成本!G24</f>
        <v>0</v>
      </c>
      <c r="G10" s="62">
        <f>G6*材料成本!H24</f>
        <v>0</v>
      </c>
      <c r="H10" s="62">
        <f t="shared" si="0"/>
        <v>0</v>
      </c>
      <c r="S10" s="60" t="s">
        <v>35</v>
      </c>
      <c r="AI10" s="60" t="s">
        <v>36</v>
      </c>
      <c r="AJ10" s="60" t="s">
        <v>35</v>
      </c>
      <c r="AK10" s="55" t="s">
        <v>37</v>
      </c>
    </row>
    <row r="11" spans="1:37">
      <c r="A11" s="57">
        <v>5</v>
      </c>
      <c r="B11" s="60" t="s">
        <v>38</v>
      </c>
      <c r="C11" s="62">
        <f>+C6*C36</f>
        <v>0</v>
      </c>
      <c r="D11" s="62">
        <f>+D6*D36</f>
        <v>0</v>
      </c>
      <c r="E11" s="62">
        <f>+E6*E36</f>
        <v>0</v>
      </c>
      <c r="F11" s="62">
        <f>+F6*F36</f>
        <v>0</v>
      </c>
      <c r="G11" s="62">
        <f>+G6*G36</f>
        <v>0</v>
      </c>
      <c r="H11" s="62">
        <f t="shared" si="0"/>
        <v>0</v>
      </c>
      <c r="S11" s="60" t="s">
        <v>38</v>
      </c>
      <c r="AI11" s="60" t="s">
        <v>39</v>
      </c>
      <c r="AJ11" s="60" t="s">
        <v>38</v>
      </c>
    </row>
    <row r="12" spans="1:37">
      <c r="A12" s="57">
        <v>6</v>
      </c>
      <c r="B12" s="60" t="s">
        <v>40</v>
      </c>
      <c r="C12" s="62">
        <f>+C6*C37</f>
        <v>0</v>
      </c>
      <c r="D12" s="62">
        <f>+D6*D37</f>
        <v>0</v>
      </c>
      <c r="E12" s="62">
        <f>+E6*E37</f>
        <v>0</v>
      </c>
      <c r="F12" s="62">
        <f>+F6*F37</f>
        <v>0</v>
      </c>
      <c r="G12" s="62">
        <f>+G6*G37</f>
        <v>0</v>
      </c>
      <c r="H12" s="62">
        <f t="shared" si="0"/>
        <v>0</v>
      </c>
      <c r="S12" s="60" t="s">
        <v>40</v>
      </c>
      <c r="AI12" s="60" t="s">
        <v>41</v>
      </c>
      <c r="AJ12" s="60" t="s">
        <v>40</v>
      </c>
    </row>
    <row r="13" spans="1:37">
      <c r="A13" s="57">
        <v>7</v>
      </c>
      <c r="B13" s="60" t="s">
        <v>42</v>
      </c>
      <c r="C13" s="62">
        <f>+C6*C38</f>
        <v>0</v>
      </c>
      <c r="D13" s="62">
        <f t="shared" ref="D13:G13" si="2">+D6*D38</f>
        <v>0</v>
      </c>
      <c r="E13" s="62">
        <f t="shared" si="2"/>
        <v>0</v>
      </c>
      <c r="F13" s="62">
        <f t="shared" si="2"/>
        <v>0</v>
      </c>
      <c r="G13" s="62">
        <f t="shared" si="2"/>
        <v>0</v>
      </c>
      <c r="H13" s="62">
        <f t="shared" si="0"/>
        <v>0</v>
      </c>
      <c r="S13" s="60" t="s">
        <v>42</v>
      </c>
      <c r="AI13" s="60" t="s">
        <v>43</v>
      </c>
      <c r="AJ13" s="60" t="s">
        <v>42</v>
      </c>
      <c r="AK13" s="55" t="s">
        <v>26</v>
      </c>
    </row>
    <row r="14" spans="1:37">
      <c r="A14" s="57">
        <v>8</v>
      </c>
      <c r="B14" s="63" t="s">
        <v>44</v>
      </c>
      <c r="C14" s="62">
        <f>SUM(C11:C13)</f>
        <v>0</v>
      </c>
      <c r="D14" s="62">
        <f t="shared" ref="D14:G14" si="3">SUM(D11:D13)</f>
        <v>0</v>
      </c>
      <c r="E14" s="62">
        <f t="shared" si="3"/>
        <v>0</v>
      </c>
      <c r="F14" s="62">
        <f t="shared" si="3"/>
        <v>0</v>
      </c>
      <c r="G14" s="62">
        <f t="shared" si="3"/>
        <v>0</v>
      </c>
      <c r="H14" s="62">
        <f t="shared" si="0"/>
        <v>0</v>
      </c>
      <c r="S14" s="63" t="s">
        <v>44</v>
      </c>
      <c r="AI14" s="60" t="s">
        <v>45</v>
      </c>
      <c r="AJ14" s="63" t="s">
        <v>44</v>
      </c>
    </row>
    <row r="15" spans="1:37">
      <c r="A15" s="57">
        <v>9</v>
      </c>
      <c r="B15" s="63" t="s">
        <v>46</v>
      </c>
      <c r="C15" s="62">
        <f>+C9-C10-C14</f>
        <v>0</v>
      </c>
      <c r="D15" s="62">
        <f t="shared" ref="D15:G15" si="4">+D9-D10-D14</f>
        <v>0</v>
      </c>
      <c r="E15" s="62">
        <f t="shared" si="4"/>
        <v>0</v>
      </c>
      <c r="F15" s="62">
        <f t="shared" si="4"/>
        <v>0</v>
      </c>
      <c r="G15" s="62">
        <f t="shared" si="4"/>
        <v>0</v>
      </c>
      <c r="H15" s="62">
        <f t="shared" si="0"/>
        <v>0</v>
      </c>
      <c r="S15" s="63" t="s">
        <v>46</v>
      </c>
      <c r="AI15" s="60" t="s">
        <v>47</v>
      </c>
      <c r="AJ15" s="63" t="s">
        <v>46</v>
      </c>
    </row>
    <row r="16" spans="1:37">
      <c r="A16" s="57">
        <v>10</v>
      </c>
      <c r="B16" s="60" t="s">
        <v>48</v>
      </c>
      <c r="C16" s="64" t="e">
        <f>+C15/C9</f>
        <v>#DIV/0!</v>
      </c>
      <c r="D16" s="64" t="e">
        <f t="shared" ref="D16:H16" si="5">+D15/D9</f>
        <v>#DIV/0!</v>
      </c>
      <c r="E16" s="64" t="e">
        <f t="shared" si="5"/>
        <v>#DIV/0!</v>
      </c>
      <c r="F16" s="64" t="e">
        <f t="shared" si="5"/>
        <v>#DIV/0!</v>
      </c>
      <c r="G16" s="64" t="e">
        <f t="shared" si="5"/>
        <v>#DIV/0!</v>
      </c>
      <c r="H16" s="64" t="e">
        <f t="shared" si="5"/>
        <v>#DIV/0!</v>
      </c>
      <c r="S16" s="60" t="s">
        <v>48</v>
      </c>
      <c r="AI16" s="60" t="s">
        <v>49</v>
      </c>
      <c r="AJ16" s="60" t="s">
        <v>48</v>
      </c>
    </row>
    <row r="17" spans="1:37">
      <c r="A17" s="57">
        <v>11</v>
      </c>
      <c r="B17" s="60" t="s">
        <v>50</v>
      </c>
      <c r="C17" s="62" t="e">
        <f>C6*C43+C18</f>
        <v>#DIV/0!</v>
      </c>
      <c r="D17" s="62" t="e">
        <f>D6*D43+D18</f>
        <v>#DIV/0!</v>
      </c>
      <c r="E17" s="62" t="e">
        <f>E6*E43+E18</f>
        <v>#DIV/0!</v>
      </c>
      <c r="F17" s="62" t="e">
        <f>F6*F43+F18</f>
        <v>#DIV/0!</v>
      </c>
      <c r="G17" s="62" t="e">
        <f>G6*G43+G18</f>
        <v>#DIV/0!</v>
      </c>
      <c r="H17" s="62" t="e">
        <f>SUM(C17:G17)</f>
        <v>#DIV/0!</v>
      </c>
      <c r="I17" s="77"/>
      <c r="S17" s="60" t="s">
        <v>50</v>
      </c>
      <c r="AI17" s="60" t="s">
        <v>51</v>
      </c>
      <c r="AJ17" s="60" t="s">
        <v>50</v>
      </c>
    </row>
    <row r="18" spans="1:37" s="53" customFormat="1">
      <c r="A18" s="57">
        <v>12</v>
      </c>
      <c r="B18" s="65" t="s">
        <v>156</v>
      </c>
      <c r="C18" s="66" t="e">
        <f>$H$18/$H$6*C6</f>
        <v>#DIV/0!</v>
      </c>
      <c r="D18" s="66" t="e">
        <f>$H$18/$H$6*D6</f>
        <v>#DIV/0!</v>
      </c>
      <c r="E18" s="66" t="e">
        <f>$H$18/$H$6*E6</f>
        <v>#DIV/0!</v>
      </c>
      <c r="F18" s="66" t="e">
        <f>$H$18/$H$6*F6</f>
        <v>#DIV/0!</v>
      </c>
      <c r="G18" s="66" t="e">
        <f>$H$18/$H$6*G6</f>
        <v>#DIV/0!</v>
      </c>
      <c r="H18" s="66">
        <f>项目投资!D26</f>
        <v>723140</v>
      </c>
      <c r="I18" s="78" t="s">
        <v>157</v>
      </c>
      <c r="J18" s="78"/>
      <c r="K18" s="78"/>
    </row>
    <row r="19" spans="1:37">
      <c r="A19" s="57">
        <v>13</v>
      </c>
      <c r="B19" s="60" t="s">
        <v>52</v>
      </c>
      <c r="C19" s="62">
        <f>C6*C44</f>
        <v>0</v>
      </c>
      <c r="D19" s="62">
        <f>D6*D44</f>
        <v>0</v>
      </c>
      <c r="E19" s="62">
        <f>E6*E44</f>
        <v>0</v>
      </c>
      <c r="F19" s="62">
        <f>F6*F44</f>
        <v>0</v>
      </c>
      <c r="G19" s="62">
        <f>G6*G44</f>
        <v>0</v>
      </c>
      <c r="H19" s="62">
        <f>SUM(C19:G19)</f>
        <v>0</v>
      </c>
      <c r="I19" s="53"/>
      <c r="S19" s="60" t="s">
        <v>52</v>
      </c>
      <c r="AI19" s="60" t="s">
        <v>53</v>
      </c>
      <c r="AJ19" s="60" t="s">
        <v>52</v>
      </c>
      <c r="AK19" s="55" t="s">
        <v>26</v>
      </c>
    </row>
    <row r="20" spans="1:37">
      <c r="A20" s="57">
        <v>14</v>
      </c>
      <c r="B20" s="60" t="s">
        <v>54</v>
      </c>
      <c r="C20" s="62">
        <f>C6*C45</f>
        <v>0</v>
      </c>
      <c r="D20" s="62">
        <f>D6*D45</f>
        <v>0</v>
      </c>
      <c r="E20" s="62">
        <f>E6*E45</f>
        <v>0</v>
      </c>
      <c r="F20" s="62">
        <f>F6*F45</f>
        <v>0</v>
      </c>
      <c r="G20" s="62">
        <f>G6*G45</f>
        <v>0</v>
      </c>
      <c r="H20" s="62">
        <f>SUM(C20:G20)</f>
        <v>0</v>
      </c>
      <c r="S20" s="60" t="s">
        <v>54</v>
      </c>
      <c r="AI20" s="60" t="s">
        <v>55</v>
      </c>
      <c r="AJ20" s="60" t="s">
        <v>54</v>
      </c>
    </row>
    <row r="21" spans="1:37">
      <c r="A21" s="57">
        <v>15</v>
      </c>
      <c r="B21" s="60" t="s">
        <v>56</v>
      </c>
      <c r="C21" s="67" t="e">
        <f>$H$21/$H$6*C6</f>
        <v>#DIV/0!</v>
      </c>
      <c r="D21" s="67" t="e">
        <f>$H$21/$H$6*D6</f>
        <v>#DIV/0!</v>
      </c>
      <c r="E21" s="67" t="e">
        <f>$H$21/$H$6*E6</f>
        <v>#DIV/0!</v>
      </c>
      <c r="F21" s="67" t="e">
        <f>$H$21/$H$6*F6</f>
        <v>#DIV/0!</v>
      </c>
      <c r="G21" s="67" t="e">
        <f>$H$21/$H$6*G6</f>
        <v>#DIV/0!</v>
      </c>
      <c r="H21" s="62">
        <f>项目投资!D27</f>
        <v>26550</v>
      </c>
      <c r="S21" s="60" t="s">
        <v>56</v>
      </c>
      <c r="AI21" s="60"/>
      <c r="AJ21" s="60"/>
    </row>
    <row r="22" spans="1:37">
      <c r="A22" s="57">
        <v>16</v>
      </c>
      <c r="B22" s="60" t="s">
        <v>57</v>
      </c>
      <c r="C22" s="62">
        <f>C6*C47</f>
        <v>0</v>
      </c>
      <c r="D22" s="62">
        <f>D6*D47</f>
        <v>0</v>
      </c>
      <c r="E22" s="62">
        <f>E6*E47</f>
        <v>0</v>
      </c>
      <c r="F22" s="62">
        <f>F6*F47</f>
        <v>0</v>
      </c>
      <c r="G22" s="62">
        <f>G6*G47</f>
        <v>0</v>
      </c>
      <c r="H22" s="62">
        <f>+SUM(C22:G22)</f>
        <v>0</v>
      </c>
      <c r="S22" s="60" t="s">
        <v>57</v>
      </c>
      <c r="AI22" s="60" t="s">
        <v>58</v>
      </c>
      <c r="AJ22" s="60" t="s">
        <v>57</v>
      </c>
    </row>
    <row r="23" spans="1:37">
      <c r="A23" s="57">
        <v>17</v>
      </c>
      <c r="B23" s="63" t="s">
        <v>59</v>
      </c>
      <c r="C23" s="67" t="e">
        <f>+C22+C21+C20+C19+C17</f>
        <v>#DIV/0!</v>
      </c>
      <c r="D23" s="67" t="e">
        <f>+D22+D21+D20+D19+D17</f>
        <v>#DIV/0!</v>
      </c>
      <c r="E23" s="67" t="e">
        <f>+E22+E21+E20+E19+E17</f>
        <v>#DIV/0!</v>
      </c>
      <c r="F23" s="67" t="e">
        <f>+F22+F21+F20+F19+F17</f>
        <v>#DIV/0!</v>
      </c>
      <c r="G23" s="67" t="e">
        <f>+G22+G21+G20+G19+G17</f>
        <v>#DIV/0!</v>
      </c>
      <c r="H23" s="67" t="e">
        <f t="shared" ref="H23" si="6">+H22+H21+H20+H19+H17</f>
        <v>#DIV/0!</v>
      </c>
      <c r="S23" s="63" t="s">
        <v>59</v>
      </c>
      <c r="AI23" s="60" t="s">
        <v>60</v>
      </c>
      <c r="AJ23" s="63" t="s">
        <v>59</v>
      </c>
    </row>
    <row r="24" spans="1:37">
      <c r="A24" s="57">
        <v>18</v>
      </c>
      <c r="B24" s="68" t="s">
        <v>61</v>
      </c>
      <c r="C24" s="67" t="e">
        <f>+C15-C23</f>
        <v>#DIV/0!</v>
      </c>
      <c r="D24" s="67" t="e">
        <f>+D15-D23</f>
        <v>#DIV/0!</v>
      </c>
      <c r="E24" s="67" t="e">
        <f>+E15-E23</f>
        <v>#DIV/0!</v>
      </c>
      <c r="F24" s="67" t="e">
        <f>+F15-F23</f>
        <v>#DIV/0!</v>
      </c>
      <c r="G24" s="67" t="e">
        <f>+G15-G23</f>
        <v>#DIV/0!</v>
      </c>
      <c r="H24" s="67" t="e">
        <f t="shared" ref="H24" si="7">+H15-H23</f>
        <v>#DIV/0!</v>
      </c>
      <c r="J24" s="79"/>
      <c r="S24" s="60" t="s">
        <v>61</v>
      </c>
      <c r="AI24" s="60" t="s">
        <v>62</v>
      </c>
      <c r="AJ24" s="60" t="s">
        <v>61</v>
      </c>
    </row>
    <row r="25" spans="1:37">
      <c r="A25" s="57">
        <v>19</v>
      </c>
      <c r="B25" s="60" t="s">
        <v>158</v>
      </c>
      <c r="C25" s="67" t="e">
        <f>IF(C24&lt;0,0,C24*0.25)</f>
        <v>#DIV/0!</v>
      </c>
      <c r="D25" s="67" t="e">
        <f>IF(D24&lt;0,0,D24*0.25)</f>
        <v>#DIV/0!</v>
      </c>
      <c r="E25" s="67" t="e">
        <f>IF(E24&lt;0,0,E24*0.25)</f>
        <v>#DIV/0!</v>
      </c>
      <c r="F25" s="67" t="e">
        <f>IF(F24&lt;0,0,F24*0.25)</f>
        <v>#DIV/0!</v>
      </c>
      <c r="G25" s="67" t="e">
        <f>IF(G24&lt;0,0,G24*0.25)</f>
        <v>#DIV/0!</v>
      </c>
      <c r="H25" s="67" t="e">
        <f t="shared" ref="H25" si="8">IF(H24&lt;0,0,H24*0.25)</f>
        <v>#DIV/0!</v>
      </c>
      <c r="I25" s="75"/>
      <c r="J25" s="75"/>
      <c r="K25" s="75"/>
      <c r="S25" s="60" t="s">
        <v>63</v>
      </c>
      <c r="AI25" s="60" t="s">
        <v>64</v>
      </c>
      <c r="AJ25" s="60" t="s">
        <v>63</v>
      </c>
    </row>
    <row r="26" spans="1:37">
      <c r="A26" s="57">
        <v>20</v>
      </c>
      <c r="B26" s="60" t="s">
        <v>65</v>
      </c>
      <c r="C26" s="67" t="e">
        <f t="shared" ref="C26" si="9">C24-C25</f>
        <v>#DIV/0!</v>
      </c>
      <c r="D26" s="67" t="e">
        <f>D24-D25</f>
        <v>#DIV/0!</v>
      </c>
      <c r="E26" s="67" t="e">
        <f>E24-E25</f>
        <v>#DIV/0!</v>
      </c>
      <c r="F26" s="67" t="e">
        <f>F24-F25</f>
        <v>#DIV/0!</v>
      </c>
      <c r="G26" s="67" t="e">
        <f>G24-G25</f>
        <v>#DIV/0!</v>
      </c>
      <c r="H26" s="62" t="e">
        <f>+SUM(C26:G26)</f>
        <v>#DIV/0!</v>
      </c>
      <c r="I26" s="75"/>
      <c r="J26" s="75"/>
      <c r="K26" s="75"/>
      <c r="S26" s="60" t="s">
        <v>65</v>
      </c>
      <c r="AI26" s="60" t="s">
        <v>66</v>
      </c>
      <c r="AJ26" s="60" t="s">
        <v>65</v>
      </c>
    </row>
    <row r="27" spans="1:37">
      <c r="A27" s="57">
        <v>21</v>
      </c>
      <c r="B27" s="60" t="s">
        <v>69</v>
      </c>
      <c r="C27" s="69" t="e">
        <f t="shared" ref="C27:H27" si="10">C26/C7</f>
        <v>#DIV/0!</v>
      </c>
      <c r="D27" s="69" t="e">
        <f t="shared" si="10"/>
        <v>#DIV/0!</v>
      </c>
      <c r="E27" s="69" t="e">
        <f t="shared" si="10"/>
        <v>#DIV/0!</v>
      </c>
      <c r="F27" s="69" t="e">
        <f t="shared" si="10"/>
        <v>#DIV/0!</v>
      </c>
      <c r="G27" s="69" t="e">
        <f t="shared" si="10"/>
        <v>#DIV/0!</v>
      </c>
      <c r="H27" s="69" t="e">
        <f t="shared" si="10"/>
        <v>#DIV/0!</v>
      </c>
      <c r="I27" s="75"/>
      <c r="J27" s="75"/>
      <c r="K27" s="75"/>
      <c r="S27" s="60" t="s">
        <v>69</v>
      </c>
      <c r="AI27" s="60" t="s">
        <v>68</v>
      </c>
      <c r="AJ27" s="60" t="s">
        <v>69</v>
      </c>
    </row>
    <row r="28" spans="1:37">
      <c r="I28" s="75"/>
      <c r="J28" s="75"/>
      <c r="K28" s="75"/>
      <c r="S28" s="60"/>
    </row>
    <row r="29" spans="1:37">
      <c r="A29" s="55" t="s">
        <v>70</v>
      </c>
      <c r="H29" s="56" t="s">
        <v>159</v>
      </c>
      <c r="I29" s="75"/>
      <c r="J29" s="75"/>
      <c r="K29" s="75"/>
      <c r="S29" s="60"/>
      <c r="AI29" s="55" t="s">
        <v>70</v>
      </c>
    </row>
    <row r="30" spans="1:37">
      <c r="A30" s="60" t="s">
        <v>75</v>
      </c>
      <c r="B30" s="63" t="s">
        <v>76</v>
      </c>
      <c r="C30" s="67"/>
      <c r="D30" s="67"/>
      <c r="E30" s="67"/>
      <c r="F30" s="67"/>
      <c r="G30" s="67"/>
      <c r="H30" s="67"/>
      <c r="I30" s="75"/>
      <c r="J30" s="75"/>
      <c r="K30" s="75"/>
      <c r="M30" s="75"/>
      <c r="S30" s="63" t="s">
        <v>76</v>
      </c>
      <c r="AI30" s="60" t="s">
        <v>77</v>
      </c>
      <c r="AJ30" s="63" t="s">
        <v>76</v>
      </c>
    </row>
    <row r="31" spans="1:37">
      <c r="A31" s="70">
        <v>1</v>
      </c>
      <c r="B31" s="65" t="s">
        <v>78</v>
      </c>
      <c r="C31" s="71">
        <f>销量!C8</f>
        <v>2084</v>
      </c>
      <c r="D31" s="71">
        <f>销量!D8</f>
        <v>0</v>
      </c>
      <c r="E31" s="71">
        <f>销量!E8</f>
        <v>0</v>
      </c>
      <c r="F31" s="71">
        <f>销量!F8</f>
        <v>0</v>
      </c>
      <c r="G31" s="71">
        <f>销量!G8</f>
        <v>0</v>
      </c>
      <c r="H31" s="67"/>
      <c r="I31" s="75"/>
      <c r="J31" s="75"/>
      <c r="K31" s="75"/>
      <c r="M31" s="75"/>
      <c r="S31" s="60" t="s">
        <v>78</v>
      </c>
      <c r="AI31" s="60" t="s">
        <v>28</v>
      </c>
      <c r="AJ31" s="60" t="s">
        <v>78</v>
      </c>
    </row>
    <row r="32" spans="1:37">
      <c r="A32" s="70">
        <v>2</v>
      </c>
      <c r="B32" s="60" t="s">
        <v>160</v>
      </c>
      <c r="C32" s="62">
        <f>C31*1</f>
        <v>2084</v>
      </c>
      <c r="D32" s="62">
        <f t="shared" ref="D32:G32" si="11">D31*1</f>
        <v>0</v>
      </c>
      <c r="E32" s="62">
        <f t="shared" si="11"/>
        <v>0</v>
      </c>
      <c r="F32" s="62">
        <f t="shared" si="11"/>
        <v>0</v>
      </c>
      <c r="G32" s="62">
        <f t="shared" si="11"/>
        <v>0</v>
      </c>
      <c r="H32" s="67"/>
      <c r="I32" s="75"/>
      <c r="J32" s="75"/>
      <c r="K32" s="75"/>
      <c r="L32" s="75"/>
      <c r="M32" s="75"/>
      <c r="N32" s="75"/>
      <c r="O32" s="75"/>
      <c r="AI32" s="60"/>
      <c r="AJ32" s="60"/>
    </row>
    <row r="33" spans="1:36">
      <c r="A33" s="70">
        <v>3</v>
      </c>
      <c r="B33" s="65" t="s">
        <v>79</v>
      </c>
      <c r="C33" s="62">
        <f>材料成本!D24</f>
        <v>0</v>
      </c>
      <c r="D33" s="62">
        <f>材料成本!E24</f>
        <v>0</v>
      </c>
      <c r="E33" s="62">
        <f>材料成本!F24</f>
        <v>0</v>
      </c>
      <c r="F33" s="62">
        <f>材料成本!G24</f>
        <v>0</v>
      </c>
      <c r="G33" s="62">
        <f>材料成本!H24</f>
        <v>0</v>
      </c>
      <c r="H33" s="67"/>
      <c r="J33" s="75"/>
      <c r="K33" s="75"/>
      <c r="L33" s="75"/>
      <c r="M33" s="75"/>
      <c r="N33" s="75"/>
      <c r="O33" s="75"/>
      <c r="S33" s="60" t="s">
        <v>79</v>
      </c>
      <c r="AI33" s="60" t="s">
        <v>30</v>
      </c>
      <c r="AJ33" s="60" t="s">
        <v>79</v>
      </c>
    </row>
    <row r="34" spans="1:36" ht="17.25" customHeight="1">
      <c r="A34" s="70">
        <v>4</v>
      </c>
      <c r="B34" s="60" t="s">
        <v>81</v>
      </c>
      <c r="C34" s="72">
        <f>C32-C33</f>
        <v>2084</v>
      </c>
      <c r="D34" s="72">
        <f t="shared" ref="D34:G34" si="12">D32-D33</f>
        <v>0</v>
      </c>
      <c r="E34" s="72">
        <f t="shared" si="12"/>
        <v>0</v>
      </c>
      <c r="F34" s="72">
        <f t="shared" si="12"/>
        <v>0</v>
      </c>
      <c r="G34" s="72">
        <f t="shared" si="12"/>
        <v>0</v>
      </c>
      <c r="H34" s="67"/>
      <c r="J34" s="75"/>
      <c r="K34" s="75"/>
      <c r="L34" s="75"/>
      <c r="M34" s="75"/>
      <c r="N34" s="75"/>
      <c r="O34" s="75"/>
      <c r="S34" s="60" t="s">
        <v>81</v>
      </c>
      <c r="AI34" s="60" t="s">
        <v>80</v>
      </c>
      <c r="AJ34" s="60" t="s">
        <v>81</v>
      </c>
    </row>
    <row r="35" spans="1:36">
      <c r="A35" s="60" t="s">
        <v>77</v>
      </c>
      <c r="B35" s="63" t="s">
        <v>10</v>
      </c>
      <c r="C35" s="67"/>
      <c r="D35" s="67"/>
      <c r="E35" s="67"/>
      <c r="F35" s="67"/>
      <c r="G35" s="67"/>
      <c r="H35" s="67"/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63" t="s">
        <v>10</v>
      </c>
      <c r="AI35" s="60" t="s">
        <v>83</v>
      </c>
      <c r="AJ35" s="63" t="s">
        <v>10</v>
      </c>
    </row>
    <row r="36" spans="1:36">
      <c r="A36" s="70">
        <v>1</v>
      </c>
      <c r="B36" s="60" t="s">
        <v>84</v>
      </c>
      <c r="C36" s="66">
        <f>标准成本!E4</f>
        <v>58.926320000000004</v>
      </c>
      <c r="D36" s="66">
        <f t="shared" ref="D36:G38" si="13">C36</f>
        <v>58.926320000000004</v>
      </c>
      <c r="E36" s="66">
        <f t="shared" si="13"/>
        <v>58.926320000000004</v>
      </c>
      <c r="F36" s="66">
        <f t="shared" si="13"/>
        <v>58.926320000000004</v>
      </c>
      <c r="G36" s="66">
        <f t="shared" si="13"/>
        <v>58.926320000000004</v>
      </c>
      <c r="H36" s="71"/>
      <c r="I36" s="75"/>
      <c r="J36" s="75"/>
      <c r="K36" s="75"/>
      <c r="L36" s="75"/>
      <c r="M36" s="75"/>
      <c r="N36" s="75"/>
      <c r="O36" s="75"/>
      <c r="P36" s="75"/>
      <c r="Q36" s="75"/>
      <c r="R36" s="75"/>
      <c r="S36" s="60" t="s">
        <v>84</v>
      </c>
      <c r="AI36" s="60" t="s">
        <v>80</v>
      </c>
      <c r="AJ36" s="60" t="s">
        <v>84</v>
      </c>
    </row>
    <row r="37" spans="1:36">
      <c r="A37" s="70">
        <v>2</v>
      </c>
      <c r="B37" s="60" t="s">
        <v>85</v>
      </c>
      <c r="C37" s="66">
        <f>标准成本!E6</f>
        <v>29.668240000000001</v>
      </c>
      <c r="D37" s="66">
        <f t="shared" si="13"/>
        <v>29.668240000000001</v>
      </c>
      <c r="E37" s="66">
        <f t="shared" si="13"/>
        <v>29.668240000000001</v>
      </c>
      <c r="F37" s="66">
        <f t="shared" si="13"/>
        <v>29.668240000000001</v>
      </c>
      <c r="G37" s="66">
        <f t="shared" si="13"/>
        <v>29.668240000000001</v>
      </c>
      <c r="H37" s="71"/>
      <c r="I37" s="75"/>
      <c r="J37" s="75"/>
      <c r="K37" s="75"/>
      <c r="L37" s="75"/>
      <c r="M37" s="75"/>
      <c r="N37" s="75"/>
      <c r="O37" s="75"/>
      <c r="P37" s="75"/>
      <c r="Q37" s="75"/>
      <c r="R37" s="75"/>
      <c r="S37" s="60" t="s">
        <v>85</v>
      </c>
      <c r="AI37" s="60" t="s">
        <v>33</v>
      </c>
      <c r="AJ37" s="60" t="s">
        <v>85</v>
      </c>
    </row>
    <row r="38" spans="1:36">
      <c r="A38" s="70">
        <v>3</v>
      </c>
      <c r="B38" s="60" t="s">
        <v>86</v>
      </c>
      <c r="C38" s="66">
        <f>标准成本!E10</f>
        <v>60.156799999999997</v>
      </c>
      <c r="D38" s="66">
        <f t="shared" si="13"/>
        <v>60.156799999999997</v>
      </c>
      <c r="E38" s="66">
        <f t="shared" si="13"/>
        <v>60.156799999999997</v>
      </c>
      <c r="F38" s="66">
        <f t="shared" si="13"/>
        <v>60.156799999999997</v>
      </c>
      <c r="G38" s="66">
        <f t="shared" si="13"/>
        <v>60.156799999999997</v>
      </c>
      <c r="H38" s="71"/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60" t="s">
        <v>86</v>
      </c>
      <c r="AI38" s="60" t="s">
        <v>39</v>
      </c>
      <c r="AJ38" s="60" t="s">
        <v>86</v>
      </c>
    </row>
    <row r="39" spans="1:36">
      <c r="A39" s="60" t="s">
        <v>83</v>
      </c>
      <c r="B39" s="63" t="s">
        <v>88</v>
      </c>
      <c r="C39" s="67"/>
      <c r="D39" s="67"/>
      <c r="E39" s="67"/>
      <c r="F39" s="67"/>
      <c r="G39" s="67"/>
      <c r="H39" s="67"/>
      <c r="S39" s="63" t="s">
        <v>88</v>
      </c>
      <c r="AI39" s="60" t="s">
        <v>87</v>
      </c>
      <c r="AJ39" s="63" t="s">
        <v>88</v>
      </c>
    </row>
    <row r="40" spans="1:36">
      <c r="A40" s="70">
        <v>1</v>
      </c>
      <c r="B40" s="60" t="s">
        <v>89</v>
      </c>
      <c r="C40" s="67">
        <f>C34-C36-C37-C38</f>
        <v>1935.24864</v>
      </c>
      <c r="D40" s="67">
        <f t="shared" ref="D40:G40" si="14">D34-D36-D37-D38</f>
        <v>-148.75136000000001</v>
      </c>
      <c r="E40" s="67">
        <f t="shared" si="14"/>
        <v>-148.75136000000001</v>
      </c>
      <c r="F40" s="67">
        <f t="shared" si="14"/>
        <v>-148.75136000000001</v>
      </c>
      <c r="G40" s="67">
        <f t="shared" si="14"/>
        <v>-148.75136000000001</v>
      </c>
      <c r="H40" s="67"/>
      <c r="S40" s="60" t="s">
        <v>89</v>
      </c>
      <c r="AI40" s="60" t="s">
        <v>28</v>
      </c>
      <c r="AJ40" s="60" t="s">
        <v>89</v>
      </c>
    </row>
    <row r="41" spans="1:36">
      <c r="A41" s="70">
        <v>2</v>
      </c>
      <c r="B41" s="60" t="s">
        <v>90</v>
      </c>
      <c r="C41" s="67"/>
      <c r="D41" s="67"/>
      <c r="E41" s="67"/>
      <c r="F41" s="67"/>
      <c r="G41" s="67"/>
      <c r="H41" s="67"/>
      <c r="S41" s="60" t="s">
        <v>90</v>
      </c>
      <c r="AI41" s="60" t="s">
        <v>30</v>
      </c>
      <c r="AJ41" s="60" t="s">
        <v>90</v>
      </c>
    </row>
    <row r="42" spans="1:36">
      <c r="A42" s="60" t="s">
        <v>87</v>
      </c>
      <c r="B42" s="63" t="s">
        <v>92</v>
      </c>
      <c r="C42" s="67"/>
      <c r="D42" s="67"/>
      <c r="E42" s="67"/>
      <c r="F42" s="67"/>
      <c r="G42" s="67"/>
      <c r="H42" s="67"/>
      <c r="S42" s="63" t="s">
        <v>92</v>
      </c>
      <c r="AI42" s="60" t="s">
        <v>91</v>
      </c>
      <c r="AJ42" s="63" t="s">
        <v>92</v>
      </c>
    </row>
    <row r="43" spans="1:36">
      <c r="A43" s="70">
        <v>1</v>
      </c>
      <c r="B43" s="68" t="s">
        <v>93</v>
      </c>
      <c r="C43" s="66">
        <f>标准成本!E5</f>
        <v>56.055200000000006</v>
      </c>
      <c r="D43" s="66">
        <f t="shared" ref="D43:D45" si="15">C43</f>
        <v>56.055200000000006</v>
      </c>
      <c r="E43" s="66">
        <f t="shared" ref="E43:E45" si="16">D43</f>
        <v>56.055200000000006</v>
      </c>
      <c r="F43" s="66">
        <f t="shared" ref="F43:F45" si="17">E43</f>
        <v>56.055200000000006</v>
      </c>
      <c r="G43" s="66">
        <f t="shared" ref="G43:G45" si="18">F43</f>
        <v>56.055200000000006</v>
      </c>
      <c r="H43" s="67"/>
      <c r="S43" s="60" t="s">
        <v>93</v>
      </c>
      <c r="AI43" s="60" t="s">
        <v>28</v>
      </c>
      <c r="AJ43" s="60" t="s">
        <v>93</v>
      </c>
    </row>
    <row r="44" spans="1:36">
      <c r="A44" s="70">
        <v>2</v>
      </c>
      <c r="B44" s="68" t="s">
        <v>94</v>
      </c>
      <c r="C44" s="66">
        <f>标准成本!E9</f>
        <v>9.5704000000000011</v>
      </c>
      <c r="D44" s="66">
        <f t="shared" si="15"/>
        <v>9.5704000000000011</v>
      </c>
      <c r="E44" s="66">
        <f t="shared" si="16"/>
        <v>9.5704000000000011</v>
      </c>
      <c r="F44" s="66">
        <f t="shared" si="17"/>
        <v>9.5704000000000011</v>
      </c>
      <c r="G44" s="66">
        <f t="shared" si="18"/>
        <v>9.5704000000000011</v>
      </c>
      <c r="H44" s="67"/>
      <c r="S44" s="60" t="s">
        <v>94</v>
      </c>
      <c r="AI44" s="60" t="s">
        <v>30</v>
      </c>
      <c r="AJ44" s="60" t="s">
        <v>94</v>
      </c>
    </row>
    <row r="45" spans="1:36">
      <c r="A45" s="70">
        <v>3</v>
      </c>
      <c r="B45" s="68" t="s">
        <v>95</v>
      </c>
      <c r="C45" s="66">
        <v>30</v>
      </c>
      <c r="D45" s="66">
        <f t="shared" si="15"/>
        <v>30</v>
      </c>
      <c r="E45" s="66">
        <f t="shared" si="16"/>
        <v>30</v>
      </c>
      <c r="F45" s="66">
        <f t="shared" si="17"/>
        <v>30</v>
      </c>
      <c r="G45" s="66">
        <f t="shared" si="18"/>
        <v>30</v>
      </c>
      <c r="H45" s="67"/>
      <c r="S45" s="60" t="s">
        <v>95</v>
      </c>
      <c r="AI45" s="60" t="s">
        <v>80</v>
      </c>
      <c r="AJ45" s="60" t="s">
        <v>95</v>
      </c>
    </row>
    <row r="46" spans="1:36" s="54" customFormat="1">
      <c r="A46" s="70">
        <v>4</v>
      </c>
      <c r="B46" s="68" t="s">
        <v>96</v>
      </c>
      <c r="C46" s="73" t="e">
        <f>C21/C6</f>
        <v>#DIV/0!</v>
      </c>
      <c r="D46" s="73" t="e">
        <f>D21/D6</f>
        <v>#DIV/0!</v>
      </c>
      <c r="E46" s="73" t="e">
        <f>E21/E6</f>
        <v>#DIV/0!</v>
      </c>
      <c r="F46" s="73" t="e">
        <f>F21/F6</f>
        <v>#DIV/0!</v>
      </c>
      <c r="G46" s="73" t="e">
        <f>G21/G6</f>
        <v>#DIV/0!</v>
      </c>
      <c r="H46" s="73"/>
      <c r="S46" s="68" t="s">
        <v>98</v>
      </c>
      <c r="AI46" s="68" t="s">
        <v>36</v>
      </c>
      <c r="AJ46" s="68" t="s">
        <v>98</v>
      </c>
    </row>
    <row r="47" spans="1:36" s="54" customFormat="1">
      <c r="A47" s="70">
        <v>5</v>
      </c>
      <c r="B47" s="68" t="s">
        <v>98</v>
      </c>
      <c r="C47" s="73">
        <f>标准成本!E11</f>
        <v>41.015999999999998</v>
      </c>
      <c r="D47" s="73">
        <f>C47</f>
        <v>41.015999999999998</v>
      </c>
      <c r="E47" s="73">
        <f>D47</f>
        <v>41.015999999999998</v>
      </c>
      <c r="F47" s="73">
        <f>E47</f>
        <v>41.015999999999998</v>
      </c>
      <c r="G47" s="73">
        <f>F47</f>
        <v>41.015999999999998</v>
      </c>
      <c r="H47" s="73"/>
      <c r="S47" s="68" t="s">
        <v>98</v>
      </c>
      <c r="AI47" s="68" t="s">
        <v>36</v>
      </c>
      <c r="AJ47" s="68" t="s">
        <v>98</v>
      </c>
    </row>
    <row r="48" spans="1:36">
      <c r="A48" s="60" t="s">
        <v>91</v>
      </c>
      <c r="B48" s="63" t="s">
        <v>109</v>
      </c>
      <c r="C48" s="67" t="e">
        <f>C40-C43-C44-C45-C47-C46</f>
        <v>#DIV/0!</v>
      </c>
      <c r="D48" s="67" t="e">
        <f>D40-D43-D44-D45-D47-D46</f>
        <v>#DIV/0!</v>
      </c>
      <c r="E48" s="67" t="e">
        <f>E40-E43-E44-E45-E47-E46</f>
        <v>#DIV/0!</v>
      </c>
      <c r="F48" s="67" t="e">
        <f>F40-F43-F44-F45-F47-F46</f>
        <v>#DIV/0!</v>
      </c>
      <c r="G48" s="67" t="e">
        <f>G40-G43-G44-G45-G47-G46</f>
        <v>#DIV/0!</v>
      </c>
      <c r="H48" s="67"/>
      <c r="S48" s="63" t="s">
        <v>109</v>
      </c>
      <c r="AI48" s="60" t="s">
        <v>108</v>
      </c>
      <c r="AJ48" s="63" t="s">
        <v>109</v>
      </c>
    </row>
    <row r="51" spans="2:13">
      <c r="C51" s="74"/>
      <c r="D51" s="74"/>
      <c r="E51" s="74"/>
      <c r="F51" s="74"/>
      <c r="G51" s="74"/>
    </row>
    <row r="54" spans="2:13">
      <c r="B54" s="75"/>
      <c r="C54" s="76"/>
      <c r="D54" s="76"/>
      <c r="E54" s="76"/>
      <c r="F54" s="76"/>
      <c r="G54" s="76"/>
      <c r="H54" s="76"/>
      <c r="I54" s="75"/>
      <c r="J54" s="75"/>
      <c r="K54" s="75"/>
      <c r="L54" s="75"/>
      <c r="M54" s="75"/>
    </row>
    <row r="55" spans="2:13">
      <c r="B55" s="75"/>
      <c r="C55" s="76"/>
      <c r="D55" s="76"/>
      <c r="E55" s="76"/>
      <c r="F55" s="76"/>
      <c r="G55" s="76"/>
      <c r="H55" s="76"/>
      <c r="I55" s="75"/>
      <c r="J55" s="75"/>
      <c r="K55" s="75"/>
      <c r="L55" s="75"/>
      <c r="M55" s="75"/>
    </row>
    <row r="56" spans="2:13">
      <c r="B56" s="75"/>
      <c r="C56" s="76"/>
      <c r="D56" s="76"/>
      <c r="E56" s="76"/>
      <c r="F56" s="76"/>
      <c r="G56" s="76"/>
      <c r="H56" s="76"/>
      <c r="I56" s="75"/>
      <c r="J56" s="75"/>
      <c r="K56" s="75"/>
      <c r="L56" s="75"/>
      <c r="M56" s="75"/>
    </row>
    <row r="57" spans="2:13">
      <c r="B57" s="75"/>
      <c r="C57" s="76"/>
      <c r="D57" s="76"/>
      <c r="E57" s="76"/>
      <c r="F57" s="76"/>
      <c r="G57" s="76"/>
      <c r="H57" s="76"/>
      <c r="I57" s="75"/>
      <c r="J57" s="75"/>
      <c r="K57" s="75"/>
      <c r="L57" s="75"/>
      <c r="M57" s="75"/>
    </row>
    <row r="58" spans="2:13">
      <c r="B58" s="75"/>
      <c r="C58" s="76"/>
      <c r="D58" s="76"/>
      <c r="E58" s="76"/>
      <c r="F58" s="76"/>
      <c r="G58" s="76"/>
      <c r="H58" s="76"/>
      <c r="I58" s="75"/>
      <c r="J58" s="75"/>
      <c r="K58" s="75"/>
      <c r="L58" s="75"/>
      <c r="M58" s="75"/>
    </row>
    <row r="59" spans="2:13">
      <c r="B59" s="75"/>
      <c r="C59" s="76"/>
      <c r="D59" s="76"/>
      <c r="E59" s="76"/>
      <c r="F59" s="76"/>
      <c r="G59" s="76"/>
      <c r="H59" s="76"/>
      <c r="I59" s="75"/>
      <c r="J59" s="75"/>
      <c r="K59" s="75"/>
      <c r="L59" s="75"/>
      <c r="M59" s="75"/>
    </row>
    <row r="60" spans="2:13">
      <c r="B60" s="75"/>
      <c r="C60" s="76"/>
      <c r="D60" s="76"/>
      <c r="E60" s="76"/>
      <c r="F60" s="76"/>
      <c r="G60" s="76"/>
      <c r="H60" s="76"/>
      <c r="I60" s="75"/>
      <c r="J60" s="75"/>
      <c r="K60" s="75"/>
      <c r="L60" s="75"/>
      <c r="M60" s="75"/>
    </row>
    <row r="61" spans="2:13">
      <c r="B61" s="75"/>
      <c r="C61" s="76"/>
      <c r="D61" s="76"/>
      <c r="E61" s="76"/>
      <c r="F61" s="76"/>
      <c r="G61" s="76"/>
      <c r="H61" s="76"/>
      <c r="I61" s="75"/>
      <c r="J61" s="75"/>
      <c r="K61" s="75"/>
      <c r="L61" s="75"/>
      <c r="M61" s="75"/>
    </row>
    <row r="62" spans="2:13">
      <c r="B62" s="75"/>
      <c r="C62" s="76"/>
      <c r="D62" s="76"/>
      <c r="E62" s="76"/>
      <c r="F62" s="76"/>
      <c r="G62" s="76"/>
      <c r="H62" s="76"/>
      <c r="I62" s="75"/>
      <c r="J62" s="75"/>
      <c r="K62" s="75"/>
      <c r="L62" s="75"/>
      <c r="M62" s="75"/>
    </row>
    <row r="63" spans="2:13">
      <c r="B63" s="75"/>
      <c r="C63" s="76"/>
      <c r="D63" s="76"/>
      <c r="E63" s="76"/>
      <c r="F63" s="76"/>
      <c r="G63" s="76"/>
      <c r="H63" s="76"/>
      <c r="I63" s="75"/>
      <c r="J63" s="75"/>
      <c r="K63" s="75"/>
      <c r="L63" s="75"/>
      <c r="M63" s="75"/>
    </row>
    <row r="64" spans="2:13">
      <c r="B64" s="75"/>
      <c r="C64" s="76"/>
      <c r="D64" s="76"/>
      <c r="E64" s="76"/>
      <c r="F64" s="76"/>
      <c r="G64" s="76"/>
      <c r="H64" s="76"/>
      <c r="I64" s="75"/>
      <c r="J64" s="75"/>
      <c r="K64" s="75"/>
      <c r="L64" s="75"/>
      <c r="M64" s="75"/>
    </row>
    <row r="65" spans="2:13">
      <c r="B65" s="75"/>
      <c r="C65" s="76"/>
      <c r="D65" s="76"/>
      <c r="E65" s="76"/>
      <c r="F65" s="76"/>
      <c r="G65" s="76"/>
      <c r="H65" s="76"/>
      <c r="I65" s="75"/>
      <c r="J65" s="75"/>
      <c r="K65" s="75"/>
      <c r="L65" s="75"/>
      <c r="M65" s="75"/>
    </row>
    <row r="66" spans="2:13">
      <c r="B66" s="75"/>
      <c r="C66" s="76"/>
      <c r="D66" s="76"/>
      <c r="E66" s="76"/>
      <c r="F66" s="76"/>
      <c r="G66" s="76"/>
      <c r="H66" s="76"/>
      <c r="I66" s="75"/>
      <c r="J66" s="75"/>
      <c r="K66" s="75"/>
      <c r="L66" s="75"/>
      <c r="M66" s="75"/>
    </row>
    <row r="67" spans="2:13">
      <c r="B67" s="75"/>
      <c r="C67" s="76"/>
      <c r="D67" s="76"/>
      <c r="E67" s="76"/>
      <c r="F67" s="76"/>
      <c r="G67" s="76"/>
      <c r="H67" s="76"/>
      <c r="I67" s="75"/>
    </row>
    <row r="68" spans="2:13">
      <c r="B68" s="75"/>
      <c r="C68" s="76"/>
      <c r="D68" s="76"/>
      <c r="E68" s="76"/>
      <c r="F68" s="76"/>
      <c r="G68" s="76"/>
      <c r="H68" s="76"/>
      <c r="I68" s="75"/>
    </row>
    <row r="69" spans="2:13">
      <c r="B69" s="75"/>
      <c r="C69" s="76"/>
      <c r="D69" s="76"/>
      <c r="E69" s="76"/>
      <c r="F69" s="76"/>
      <c r="G69" s="76"/>
      <c r="H69" s="76"/>
      <c r="I69" s="75"/>
    </row>
    <row r="70" spans="2:13">
      <c r="B70" s="75"/>
      <c r="C70" s="76"/>
      <c r="D70" s="76"/>
      <c r="E70" s="76"/>
      <c r="F70" s="76"/>
      <c r="G70" s="76"/>
      <c r="H70" s="76"/>
      <c r="I70" s="75"/>
    </row>
    <row r="71" spans="2:13">
      <c r="B71" s="75"/>
      <c r="C71" s="76"/>
      <c r="D71" s="76"/>
      <c r="E71" s="76"/>
      <c r="F71" s="76"/>
      <c r="G71" s="76"/>
      <c r="H71" s="76"/>
      <c r="I71" s="75"/>
    </row>
    <row r="72" spans="2:13">
      <c r="B72" s="75"/>
      <c r="C72" s="76"/>
      <c r="D72" s="76"/>
      <c r="E72" s="76"/>
      <c r="F72" s="76"/>
      <c r="G72" s="76"/>
      <c r="H72" s="76"/>
      <c r="I72" s="75"/>
    </row>
    <row r="73" spans="2:13">
      <c r="B73" s="75"/>
      <c r="C73" s="76"/>
      <c r="D73" s="76"/>
      <c r="E73" s="76"/>
      <c r="F73" s="76"/>
      <c r="G73" s="76"/>
      <c r="H73" s="76"/>
      <c r="I73" s="75"/>
    </row>
    <row r="74" spans="2:13">
      <c r="B74" s="75"/>
      <c r="C74" s="76"/>
      <c r="D74" s="76"/>
      <c r="E74" s="76"/>
      <c r="F74" s="76"/>
      <c r="G74" s="76"/>
      <c r="H74" s="76"/>
      <c r="I74" s="75"/>
    </row>
  </sheetData>
  <mergeCells count="8">
    <mergeCell ref="A4:B4"/>
    <mergeCell ref="A5:B5"/>
    <mergeCell ref="H3:H5"/>
    <mergeCell ref="A1:B1"/>
    <mergeCell ref="C1:H1"/>
    <mergeCell ref="A2:B2"/>
    <mergeCell ref="C2:H2"/>
    <mergeCell ref="A3:B3"/>
  </mergeCells>
  <phoneticPr fontId="39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7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74"/>
  <sheetViews>
    <sheetView workbookViewId="0">
      <pane xSplit="2" ySplit="7" topLeftCell="C8" activePane="bottomRight" state="frozen"/>
      <selection pane="topRight"/>
      <selection pane="bottomLeft"/>
      <selection pane="bottomRight" activeCell="C16" sqref="C16"/>
    </sheetView>
  </sheetViews>
  <sheetFormatPr defaultColWidth="9" defaultRowHeight="16.5"/>
  <cols>
    <col min="1" max="1" width="5.125" style="55" customWidth="1"/>
    <col min="2" max="2" width="17.5" style="55" customWidth="1"/>
    <col min="3" max="3" width="13.875" style="56" bestFit="1" customWidth="1"/>
    <col min="4" max="4" width="15" style="56" bestFit="1" customWidth="1"/>
    <col min="5" max="5" width="17.375" style="56" customWidth="1"/>
    <col min="6" max="7" width="15.5" style="56" customWidth="1"/>
    <col min="8" max="8" width="18.75" style="56" customWidth="1"/>
    <col min="9" max="9" width="12.375" style="55" customWidth="1"/>
    <col min="10" max="10" width="10.125" style="55" customWidth="1"/>
    <col min="11" max="17" width="9" style="55" customWidth="1"/>
    <col min="18" max="34" width="9" style="55"/>
    <col min="35" max="35" width="4.375" style="55" customWidth="1"/>
    <col min="36" max="36" width="13.875" style="55" customWidth="1"/>
    <col min="37" max="16384" width="9" style="55"/>
  </cols>
  <sheetData>
    <row r="1" spans="1:37">
      <c r="A1" s="194" t="s">
        <v>149</v>
      </c>
      <c r="B1" s="194"/>
      <c r="C1" s="198" t="s">
        <v>273</v>
      </c>
      <c r="D1" s="199"/>
      <c r="E1" s="199"/>
      <c r="F1" s="199"/>
      <c r="G1" s="199"/>
      <c r="H1" s="200"/>
    </row>
    <row r="2" spans="1:37">
      <c r="A2" s="194" t="s">
        <v>151</v>
      </c>
      <c r="B2" s="194"/>
      <c r="C2" s="201" t="s">
        <v>277</v>
      </c>
      <c r="D2" s="201"/>
      <c r="E2" s="201"/>
      <c r="F2" s="201"/>
      <c r="G2" s="201"/>
      <c r="H2" s="201"/>
    </row>
    <row r="3" spans="1:37">
      <c r="A3" s="194" t="s">
        <v>152</v>
      </c>
      <c r="B3" s="194"/>
      <c r="C3" s="170"/>
      <c r="D3" s="170"/>
      <c r="E3" s="170"/>
      <c r="F3" s="169"/>
      <c r="G3" s="169"/>
      <c r="H3" s="195" t="s">
        <v>24</v>
      </c>
    </row>
    <row r="4" spans="1:37">
      <c r="A4" s="194" t="s">
        <v>153</v>
      </c>
      <c r="B4" s="194"/>
      <c r="C4" s="22"/>
      <c r="D4" s="22"/>
      <c r="E4" s="11"/>
      <c r="F4" s="169"/>
      <c r="G4" s="169"/>
      <c r="H4" s="196"/>
    </row>
    <row r="5" spans="1:37">
      <c r="A5" s="194" t="s">
        <v>154</v>
      </c>
      <c r="B5" s="194"/>
      <c r="C5" s="59"/>
      <c r="D5" s="59"/>
      <c r="E5" s="59"/>
      <c r="F5" s="59"/>
      <c r="G5" s="59"/>
      <c r="H5" s="197"/>
      <c r="AK5" s="55" t="s">
        <v>25</v>
      </c>
    </row>
    <row r="6" spans="1:37" ht="17.25">
      <c r="A6" s="60" t="s">
        <v>18</v>
      </c>
      <c r="B6" s="61" t="s">
        <v>155</v>
      </c>
      <c r="C6" s="27">
        <f>销量!C10</f>
        <v>1000</v>
      </c>
      <c r="D6" s="27">
        <f>销量!D10</f>
        <v>0</v>
      </c>
      <c r="E6" s="27">
        <f>销量!E10</f>
        <v>0</v>
      </c>
      <c r="F6" s="27">
        <f>销量!F9</f>
        <v>0</v>
      </c>
      <c r="G6" s="27">
        <f>销量!G9</f>
        <v>0</v>
      </c>
      <c r="H6" s="62">
        <f t="shared" ref="H6:H15" si="0">+SUM(C6:G6)</f>
        <v>1000</v>
      </c>
      <c r="S6" s="61" t="s">
        <v>3</v>
      </c>
      <c r="AI6" s="60" t="s">
        <v>18</v>
      </c>
      <c r="AJ6" s="61" t="s">
        <v>3</v>
      </c>
      <c r="AK6" s="55" t="s">
        <v>26</v>
      </c>
    </row>
    <row r="7" spans="1:37">
      <c r="A7" s="168">
        <v>1</v>
      </c>
      <c r="B7" s="61" t="s">
        <v>27</v>
      </c>
      <c r="C7" s="62">
        <f>C6*销量!C8</f>
        <v>2084000</v>
      </c>
      <c r="D7" s="62">
        <f>D6*销量!D8</f>
        <v>0</v>
      </c>
      <c r="E7" s="62">
        <f>E6*销量!E8</f>
        <v>0</v>
      </c>
      <c r="F7" s="62">
        <f>F6*销量!F8</f>
        <v>0</v>
      </c>
      <c r="G7" s="62">
        <f>G6*销量!G8</f>
        <v>0</v>
      </c>
      <c r="H7" s="62">
        <f>+SUM(C7:G7)</f>
        <v>2084000</v>
      </c>
      <c r="I7" s="56"/>
      <c r="S7" s="61" t="s">
        <v>27</v>
      </c>
      <c r="AI7" s="60" t="s">
        <v>28</v>
      </c>
      <c r="AJ7" s="61" t="s">
        <v>27</v>
      </c>
      <c r="AK7" s="55" t="s">
        <v>26</v>
      </c>
    </row>
    <row r="8" spans="1:37">
      <c r="A8" s="168">
        <v>2</v>
      </c>
      <c r="B8" s="168" t="s">
        <v>29</v>
      </c>
      <c r="C8" s="62">
        <f>C7*(1-销量!$L$7)</f>
        <v>104200.00000000009</v>
      </c>
      <c r="D8" s="62">
        <f>D7*(1-销量!$L$7)</f>
        <v>0</v>
      </c>
      <c r="E8" s="62">
        <f>E7*(1-销量!$L$7)</f>
        <v>0</v>
      </c>
      <c r="F8" s="62"/>
      <c r="G8" s="62"/>
      <c r="H8" s="62">
        <f t="shared" si="0"/>
        <v>104200.00000000009</v>
      </c>
      <c r="I8" s="77"/>
      <c r="S8" s="168" t="s">
        <v>31</v>
      </c>
      <c r="AI8" s="60" t="s">
        <v>30</v>
      </c>
      <c r="AJ8" s="168" t="s">
        <v>31</v>
      </c>
      <c r="AK8" s="55" t="s">
        <v>26</v>
      </c>
    </row>
    <row r="9" spans="1:37">
      <c r="A9" s="168">
        <v>3</v>
      </c>
      <c r="B9" s="61" t="s">
        <v>32</v>
      </c>
      <c r="C9" s="62">
        <f>+C7-C8</f>
        <v>1979800</v>
      </c>
      <c r="D9" s="62">
        <f t="shared" ref="D9:G9" si="1">+D7-D8</f>
        <v>0</v>
      </c>
      <c r="E9" s="62">
        <f t="shared" si="1"/>
        <v>0</v>
      </c>
      <c r="F9" s="62">
        <f t="shared" si="1"/>
        <v>0</v>
      </c>
      <c r="G9" s="62">
        <f t="shared" si="1"/>
        <v>0</v>
      </c>
      <c r="H9" s="62">
        <f t="shared" si="0"/>
        <v>1979800</v>
      </c>
      <c r="S9" s="61" t="s">
        <v>32</v>
      </c>
      <c r="AI9" s="60" t="s">
        <v>33</v>
      </c>
      <c r="AJ9" s="61" t="s">
        <v>32</v>
      </c>
      <c r="AK9" s="55" t="s">
        <v>34</v>
      </c>
    </row>
    <row r="10" spans="1:37">
      <c r="A10" s="168">
        <v>4</v>
      </c>
      <c r="B10" s="60" t="s">
        <v>35</v>
      </c>
      <c r="C10" s="62">
        <f>C6*材料成本!D24</f>
        <v>0</v>
      </c>
      <c r="D10" s="62">
        <f>D6*材料成本!E24</f>
        <v>0</v>
      </c>
      <c r="E10" s="62">
        <f>E6*材料成本!F24</f>
        <v>0</v>
      </c>
      <c r="F10" s="62">
        <f>F6*材料成本!G24</f>
        <v>0</v>
      </c>
      <c r="G10" s="62">
        <f>G6*材料成本!H24</f>
        <v>0</v>
      </c>
      <c r="H10" s="62">
        <f t="shared" si="0"/>
        <v>0</v>
      </c>
      <c r="S10" s="60" t="s">
        <v>35</v>
      </c>
      <c r="AI10" s="60" t="s">
        <v>36</v>
      </c>
      <c r="AJ10" s="60" t="s">
        <v>35</v>
      </c>
      <c r="AK10" s="55" t="s">
        <v>37</v>
      </c>
    </row>
    <row r="11" spans="1:37">
      <c r="A11" s="168">
        <v>5</v>
      </c>
      <c r="B11" s="60" t="s">
        <v>38</v>
      </c>
      <c r="C11" s="62">
        <f>+C6*C36</f>
        <v>58926.320000000007</v>
      </c>
      <c r="D11" s="62">
        <f>+D6*D36</f>
        <v>0</v>
      </c>
      <c r="E11" s="62">
        <f>+E6*E36</f>
        <v>0</v>
      </c>
      <c r="F11" s="62">
        <f>+F6*F36</f>
        <v>0</v>
      </c>
      <c r="G11" s="62">
        <f>+G6*G36</f>
        <v>0</v>
      </c>
      <c r="H11" s="62">
        <f t="shared" si="0"/>
        <v>58926.320000000007</v>
      </c>
      <c r="S11" s="60" t="s">
        <v>38</v>
      </c>
      <c r="AI11" s="60" t="s">
        <v>39</v>
      </c>
      <c r="AJ11" s="60" t="s">
        <v>38</v>
      </c>
    </row>
    <row r="12" spans="1:37">
      <c r="A12" s="168">
        <v>6</v>
      </c>
      <c r="B12" s="60" t="s">
        <v>40</v>
      </c>
      <c r="C12" s="62">
        <f>+C6*C37</f>
        <v>29668.240000000002</v>
      </c>
      <c r="D12" s="62">
        <f>+D6*D37</f>
        <v>0</v>
      </c>
      <c r="E12" s="62">
        <f>+E6*E37</f>
        <v>0</v>
      </c>
      <c r="F12" s="62">
        <f>+F6*F37</f>
        <v>0</v>
      </c>
      <c r="G12" s="62">
        <f>+G6*G37</f>
        <v>0</v>
      </c>
      <c r="H12" s="62">
        <f t="shared" si="0"/>
        <v>29668.240000000002</v>
      </c>
      <c r="S12" s="60" t="s">
        <v>40</v>
      </c>
      <c r="AI12" s="60" t="s">
        <v>41</v>
      </c>
      <c r="AJ12" s="60" t="s">
        <v>40</v>
      </c>
    </row>
    <row r="13" spans="1:37">
      <c r="A13" s="168">
        <v>7</v>
      </c>
      <c r="B13" s="60" t="s">
        <v>42</v>
      </c>
      <c r="C13" s="62">
        <f>+C6*C38</f>
        <v>60156.799999999996</v>
      </c>
      <c r="D13" s="62">
        <f t="shared" ref="D13:G13" si="2">+D6*D38</f>
        <v>0</v>
      </c>
      <c r="E13" s="62">
        <f t="shared" si="2"/>
        <v>0</v>
      </c>
      <c r="F13" s="62">
        <f t="shared" si="2"/>
        <v>0</v>
      </c>
      <c r="G13" s="62">
        <f t="shared" si="2"/>
        <v>0</v>
      </c>
      <c r="H13" s="62">
        <f t="shared" si="0"/>
        <v>60156.799999999996</v>
      </c>
      <c r="S13" s="60" t="s">
        <v>42</v>
      </c>
      <c r="AI13" s="60" t="s">
        <v>43</v>
      </c>
      <c r="AJ13" s="60" t="s">
        <v>42</v>
      </c>
      <c r="AK13" s="55" t="s">
        <v>26</v>
      </c>
    </row>
    <row r="14" spans="1:37">
      <c r="A14" s="168">
        <v>8</v>
      </c>
      <c r="B14" s="63" t="s">
        <v>44</v>
      </c>
      <c r="C14" s="62">
        <f>SUM(C11:C13)</f>
        <v>148751.36000000002</v>
      </c>
      <c r="D14" s="62">
        <f t="shared" ref="D14:G14" si="3">SUM(D11:D13)</f>
        <v>0</v>
      </c>
      <c r="E14" s="62">
        <f t="shared" si="3"/>
        <v>0</v>
      </c>
      <c r="F14" s="62">
        <f t="shared" si="3"/>
        <v>0</v>
      </c>
      <c r="G14" s="62">
        <f t="shared" si="3"/>
        <v>0</v>
      </c>
      <c r="H14" s="62">
        <f t="shared" si="0"/>
        <v>148751.36000000002</v>
      </c>
      <c r="S14" s="63" t="s">
        <v>44</v>
      </c>
      <c r="AI14" s="60" t="s">
        <v>45</v>
      </c>
      <c r="AJ14" s="63" t="s">
        <v>44</v>
      </c>
    </row>
    <row r="15" spans="1:37">
      <c r="A15" s="168">
        <v>9</v>
      </c>
      <c r="B15" s="63" t="s">
        <v>46</v>
      </c>
      <c r="C15" s="62">
        <f>+C9-C10-C14</f>
        <v>1831048.64</v>
      </c>
      <c r="D15" s="62">
        <f t="shared" ref="D15:G15" si="4">+D9-D10-D14</f>
        <v>0</v>
      </c>
      <c r="E15" s="62">
        <f t="shared" si="4"/>
        <v>0</v>
      </c>
      <c r="F15" s="62">
        <f t="shared" si="4"/>
        <v>0</v>
      </c>
      <c r="G15" s="62">
        <f t="shared" si="4"/>
        <v>0</v>
      </c>
      <c r="H15" s="62">
        <f t="shared" si="0"/>
        <v>1831048.64</v>
      </c>
      <c r="S15" s="63" t="s">
        <v>46</v>
      </c>
      <c r="AI15" s="60" t="s">
        <v>47</v>
      </c>
      <c r="AJ15" s="63" t="s">
        <v>46</v>
      </c>
    </row>
    <row r="16" spans="1:37">
      <c r="A16" s="168">
        <v>10</v>
      </c>
      <c r="B16" s="60" t="s">
        <v>48</v>
      </c>
      <c r="C16" s="64">
        <f>+C15/C9</f>
        <v>0.92486546115769264</v>
      </c>
      <c r="D16" s="64" t="e">
        <f t="shared" ref="D16:H16" si="5">+D15/D9</f>
        <v>#DIV/0!</v>
      </c>
      <c r="E16" s="64" t="e">
        <f t="shared" si="5"/>
        <v>#DIV/0!</v>
      </c>
      <c r="F16" s="64" t="e">
        <f t="shared" si="5"/>
        <v>#DIV/0!</v>
      </c>
      <c r="G16" s="64" t="e">
        <f t="shared" si="5"/>
        <v>#DIV/0!</v>
      </c>
      <c r="H16" s="64">
        <f t="shared" si="5"/>
        <v>0.92486546115769264</v>
      </c>
      <c r="S16" s="60" t="s">
        <v>48</v>
      </c>
      <c r="AI16" s="60" t="s">
        <v>49</v>
      </c>
      <c r="AJ16" s="60" t="s">
        <v>48</v>
      </c>
    </row>
    <row r="17" spans="1:37">
      <c r="A17" s="168">
        <v>11</v>
      </c>
      <c r="B17" s="60" t="s">
        <v>50</v>
      </c>
      <c r="C17" s="62">
        <f>C6*C43+C18</f>
        <v>779195.2</v>
      </c>
      <c r="D17" s="62">
        <f>D6*D43+D18</f>
        <v>0</v>
      </c>
      <c r="E17" s="62">
        <f>E6*E43+E18</f>
        <v>0</v>
      </c>
      <c r="F17" s="62">
        <f>F6*F43+F18</f>
        <v>0</v>
      </c>
      <c r="G17" s="62">
        <f>G6*G43+G18</f>
        <v>0</v>
      </c>
      <c r="H17" s="62">
        <f>SUM(C17:G17)</f>
        <v>779195.2</v>
      </c>
      <c r="I17" s="77"/>
      <c r="S17" s="60" t="s">
        <v>50</v>
      </c>
      <c r="AI17" s="60" t="s">
        <v>51</v>
      </c>
      <c r="AJ17" s="60" t="s">
        <v>50</v>
      </c>
    </row>
    <row r="18" spans="1:37" s="53" customFormat="1">
      <c r="A18" s="168">
        <v>12</v>
      </c>
      <c r="B18" s="65" t="s">
        <v>156</v>
      </c>
      <c r="C18" s="66">
        <f>$H$18/$H$6*C6</f>
        <v>723140</v>
      </c>
      <c r="D18" s="66">
        <f>$H$18/$H$6*D6</f>
        <v>0</v>
      </c>
      <c r="E18" s="66">
        <f>$H$18/$H$6*E6</f>
        <v>0</v>
      </c>
      <c r="F18" s="66">
        <f>$H$18/$H$6*F6</f>
        <v>0</v>
      </c>
      <c r="G18" s="66">
        <f>$H$18/$H$6*G6</f>
        <v>0</v>
      </c>
      <c r="H18" s="66">
        <f>项目投资!D26</f>
        <v>723140</v>
      </c>
      <c r="I18" s="78" t="s">
        <v>157</v>
      </c>
      <c r="J18" s="78"/>
      <c r="K18" s="78"/>
    </row>
    <row r="19" spans="1:37">
      <c r="A19" s="168">
        <v>13</v>
      </c>
      <c r="B19" s="60" t="s">
        <v>52</v>
      </c>
      <c r="C19" s="62">
        <f>C6*C44</f>
        <v>9570.4000000000015</v>
      </c>
      <c r="D19" s="62">
        <f>D6*D44</f>
        <v>0</v>
      </c>
      <c r="E19" s="62">
        <f>E6*E44</f>
        <v>0</v>
      </c>
      <c r="F19" s="62">
        <f>F6*F44</f>
        <v>0</v>
      </c>
      <c r="G19" s="62">
        <f>G6*G44</f>
        <v>0</v>
      </c>
      <c r="H19" s="62">
        <f>SUM(C19:G19)</f>
        <v>9570.4000000000015</v>
      </c>
      <c r="I19" s="53"/>
      <c r="S19" s="60" t="s">
        <v>52</v>
      </c>
      <c r="AI19" s="60" t="s">
        <v>53</v>
      </c>
      <c r="AJ19" s="60" t="s">
        <v>52</v>
      </c>
      <c r="AK19" s="55" t="s">
        <v>26</v>
      </c>
    </row>
    <row r="20" spans="1:37">
      <c r="A20" s="168">
        <v>14</v>
      </c>
      <c r="B20" s="60" t="s">
        <v>54</v>
      </c>
      <c r="C20" s="62">
        <f>C6*C45</f>
        <v>30000</v>
      </c>
      <c r="D20" s="62">
        <f>D6*D45</f>
        <v>0</v>
      </c>
      <c r="E20" s="62">
        <f>E6*E45</f>
        <v>0</v>
      </c>
      <c r="F20" s="62">
        <f>F6*F45</f>
        <v>0</v>
      </c>
      <c r="G20" s="62">
        <f>G6*G45</f>
        <v>0</v>
      </c>
      <c r="H20" s="62">
        <f>SUM(C20:G20)</f>
        <v>30000</v>
      </c>
      <c r="S20" s="60" t="s">
        <v>54</v>
      </c>
      <c r="AI20" s="60" t="s">
        <v>55</v>
      </c>
      <c r="AJ20" s="60" t="s">
        <v>54</v>
      </c>
    </row>
    <row r="21" spans="1:37">
      <c r="A21" s="168">
        <v>15</v>
      </c>
      <c r="B21" s="60" t="s">
        <v>56</v>
      </c>
      <c r="C21" s="67">
        <f>$H$21/$H$6*C6</f>
        <v>26550</v>
      </c>
      <c r="D21" s="67">
        <f>$H$21/$H$6*D6</f>
        <v>0</v>
      </c>
      <c r="E21" s="67">
        <f>$H$21/$H$6*E6</f>
        <v>0</v>
      </c>
      <c r="F21" s="67">
        <f>$H$21/$H$6*F6</f>
        <v>0</v>
      </c>
      <c r="G21" s="67">
        <f>$H$21/$H$6*G6</f>
        <v>0</v>
      </c>
      <c r="H21" s="62">
        <f>项目投资!D27</f>
        <v>26550</v>
      </c>
      <c r="S21" s="60" t="s">
        <v>56</v>
      </c>
      <c r="AI21" s="60"/>
      <c r="AJ21" s="60"/>
    </row>
    <row r="22" spans="1:37">
      <c r="A22" s="168">
        <v>16</v>
      </c>
      <c r="B22" s="60" t="s">
        <v>57</v>
      </c>
      <c r="C22" s="62">
        <f>C6*C47</f>
        <v>41016</v>
      </c>
      <c r="D22" s="62">
        <f>D6*D47</f>
        <v>0</v>
      </c>
      <c r="E22" s="62">
        <f>E6*E47</f>
        <v>0</v>
      </c>
      <c r="F22" s="62">
        <f>F6*F47</f>
        <v>0</v>
      </c>
      <c r="G22" s="62">
        <f>G6*G47</f>
        <v>0</v>
      </c>
      <c r="H22" s="62">
        <f>+SUM(C22:G22)</f>
        <v>41016</v>
      </c>
      <c r="S22" s="60" t="s">
        <v>57</v>
      </c>
      <c r="AI22" s="60" t="s">
        <v>58</v>
      </c>
      <c r="AJ22" s="60" t="s">
        <v>57</v>
      </c>
    </row>
    <row r="23" spans="1:37">
      <c r="A23" s="168">
        <v>17</v>
      </c>
      <c r="B23" s="63" t="s">
        <v>59</v>
      </c>
      <c r="C23" s="67">
        <f>+C22+C21+C20+C19+C17</f>
        <v>886331.6</v>
      </c>
      <c r="D23" s="67">
        <f>+D22+D21+D20+D19+D17</f>
        <v>0</v>
      </c>
      <c r="E23" s="67">
        <f>+E22+E21+E20+E19+E17</f>
        <v>0</v>
      </c>
      <c r="F23" s="67">
        <f>+F22+F21+F20+F19+F17</f>
        <v>0</v>
      </c>
      <c r="G23" s="67">
        <f>+G22+G21+G20+G19+G17</f>
        <v>0</v>
      </c>
      <c r="H23" s="67">
        <f t="shared" ref="H23" si="6">+H22+H21+H20+H19+H17</f>
        <v>886331.6</v>
      </c>
      <c r="S23" s="63" t="s">
        <v>59</v>
      </c>
      <c r="AI23" s="60" t="s">
        <v>60</v>
      </c>
      <c r="AJ23" s="63" t="s">
        <v>59</v>
      </c>
    </row>
    <row r="24" spans="1:37">
      <c r="A24" s="168">
        <v>18</v>
      </c>
      <c r="B24" s="68" t="s">
        <v>61</v>
      </c>
      <c r="C24" s="67">
        <f>+C15-C23</f>
        <v>944717.03999999992</v>
      </c>
      <c r="D24" s="67">
        <f>+D15-D23</f>
        <v>0</v>
      </c>
      <c r="E24" s="67">
        <f>+E15-E23</f>
        <v>0</v>
      </c>
      <c r="F24" s="67">
        <f>+F15-F23</f>
        <v>0</v>
      </c>
      <c r="G24" s="67">
        <f>+G15-G23</f>
        <v>0</v>
      </c>
      <c r="H24" s="67">
        <f t="shared" ref="H24" si="7">+H15-H23</f>
        <v>944717.03999999992</v>
      </c>
      <c r="J24" s="79"/>
      <c r="S24" s="60" t="s">
        <v>61</v>
      </c>
      <c r="AI24" s="60" t="s">
        <v>62</v>
      </c>
      <c r="AJ24" s="60" t="s">
        <v>61</v>
      </c>
    </row>
    <row r="25" spans="1:37">
      <c r="A25" s="168">
        <v>19</v>
      </c>
      <c r="B25" s="60" t="s">
        <v>158</v>
      </c>
      <c r="C25" s="67">
        <f>IF(C24&lt;0,0,C24*0.25)</f>
        <v>236179.25999999998</v>
      </c>
      <c r="D25" s="67">
        <f>IF(D24&lt;0,0,D24*0.25)</f>
        <v>0</v>
      </c>
      <c r="E25" s="67">
        <f>IF(E24&lt;0,0,E24*0.25)</f>
        <v>0</v>
      </c>
      <c r="F25" s="67">
        <f>IF(F24&lt;0,0,F24*0.25)</f>
        <v>0</v>
      </c>
      <c r="G25" s="67">
        <f>IF(G24&lt;0,0,G24*0.25)</f>
        <v>0</v>
      </c>
      <c r="H25" s="67">
        <f t="shared" ref="H25" si="8">IF(H24&lt;0,0,H24*0.25)</f>
        <v>236179.25999999998</v>
      </c>
      <c r="I25" s="75"/>
      <c r="J25" s="75"/>
      <c r="K25" s="75"/>
      <c r="S25" s="60" t="s">
        <v>63</v>
      </c>
      <c r="AI25" s="60" t="s">
        <v>64</v>
      </c>
      <c r="AJ25" s="60" t="s">
        <v>63</v>
      </c>
    </row>
    <row r="26" spans="1:37">
      <c r="A26" s="168">
        <v>20</v>
      </c>
      <c r="B26" s="60" t="s">
        <v>65</v>
      </c>
      <c r="C26" s="67">
        <f t="shared" ref="C26" si="9">C24-C25</f>
        <v>708537.77999999991</v>
      </c>
      <c r="D26" s="67">
        <f>D24-D25</f>
        <v>0</v>
      </c>
      <c r="E26" s="67">
        <f>E24-E25</f>
        <v>0</v>
      </c>
      <c r="F26" s="67">
        <f>F24-F25</f>
        <v>0</v>
      </c>
      <c r="G26" s="67">
        <f>G24-G25</f>
        <v>0</v>
      </c>
      <c r="H26" s="62">
        <f>+SUM(C26:G26)</f>
        <v>708537.77999999991</v>
      </c>
      <c r="I26" s="75"/>
      <c r="J26" s="75"/>
      <c r="K26" s="75"/>
      <c r="S26" s="60" t="s">
        <v>65</v>
      </c>
      <c r="AI26" s="60" t="s">
        <v>66</v>
      </c>
      <c r="AJ26" s="60" t="s">
        <v>65</v>
      </c>
    </row>
    <row r="27" spans="1:37">
      <c r="A27" s="168">
        <v>21</v>
      </c>
      <c r="B27" s="60" t="s">
        <v>69</v>
      </c>
      <c r="C27" s="69">
        <f t="shared" ref="C27:H27" si="10">C26/C7</f>
        <v>0.33998933781190016</v>
      </c>
      <c r="D27" s="69" t="e">
        <f t="shared" si="10"/>
        <v>#DIV/0!</v>
      </c>
      <c r="E27" s="69" t="e">
        <f t="shared" si="10"/>
        <v>#DIV/0!</v>
      </c>
      <c r="F27" s="69" t="e">
        <f t="shared" si="10"/>
        <v>#DIV/0!</v>
      </c>
      <c r="G27" s="69" t="e">
        <f t="shared" si="10"/>
        <v>#DIV/0!</v>
      </c>
      <c r="H27" s="69">
        <f t="shared" si="10"/>
        <v>0.33998933781190016</v>
      </c>
      <c r="I27" s="75"/>
      <c r="J27" s="75"/>
      <c r="K27" s="75"/>
      <c r="S27" s="60" t="s">
        <v>69</v>
      </c>
      <c r="AI27" s="60" t="s">
        <v>68</v>
      </c>
      <c r="AJ27" s="60" t="s">
        <v>69</v>
      </c>
    </row>
    <row r="28" spans="1:37">
      <c r="I28" s="75"/>
      <c r="J28" s="75"/>
      <c r="K28" s="75"/>
      <c r="S28" s="60"/>
    </row>
    <row r="29" spans="1:37">
      <c r="A29" s="55" t="s">
        <v>70</v>
      </c>
      <c r="H29" s="56" t="s">
        <v>159</v>
      </c>
      <c r="I29" s="75"/>
      <c r="J29" s="75"/>
      <c r="K29" s="75"/>
      <c r="S29" s="60"/>
      <c r="AI29" s="55" t="s">
        <v>70</v>
      </c>
    </row>
    <row r="30" spans="1:37">
      <c r="A30" s="60" t="s">
        <v>75</v>
      </c>
      <c r="B30" s="63" t="s">
        <v>76</v>
      </c>
      <c r="C30" s="67"/>
      <c r="D30" s="67"/>
      <c r="E30" s="67"/>
      <c r="F30" s="67"/>
      <c r="G30" s="67"/>
      <c r="H30" s="67"/>
      <c r="I30" s="75"/>
      <c r="J30" s="75"/>
      <c r="K30" s="75"/>
      <c r="M30" s="75"/>
      <c r="S30" s="63" t="s">
        <v>76</v>
      </c>
      <c r="AI30" s="60" t="s">
        <v>77</v>
      </c>
      <c r="AJ30" s="63" t="s">
        <v>76</v>
      </c>
    </row>
    <row r="31" spans="1:37">
      <c r="A31" s="168">
        <v>1</v>
      </c>
      <c r="B31" s="65" t="s">
        <v>78</v>
      </c>
      <c r="C31" s="71">
        <f>销量!C8</f>
        <v>2084</v>
      </c>
      <c r="D31" s="71">
        <f>销量!D8</f>
        <v>0</v>
      </c>
      <c r="E31" s="71">
        <f>销量!E8</f>
        <v>0</v>
      </c>
      <c r="F31" s="71">
        <f>销量!F8</f>
        <v>0</v>
      </c>
      <c r="G31" s="71">
        <f>销量!G8</f>
        <v>0</v>
      </c>
      <c r="H31" s="67"/>
      <c r="I31" s="75"/>
      <c r="J31" s="75"/>
      <c r="K31" s="75"/>
      <c r="M31" s="75"/>
      <c r="S31" s="60" t="s">
        <v>78</v>
      </c>
      <c r="AI31" s="60" t="s">
        <v>28</v>
      </c>
      <c r="AJ31" s="60" t="s">
        <v>78</v>
      </c>
    </row>
    <row r="32" spans="1:37">
      <c r="A32" s="168">
        <v>2</v>
      </c>
      <c r="B32" s="60" t="s">
        <v>160</v>
      </c>
      <c r="C32" s="62">
        <f>C9/C6</f>
        <v>1979.8</v>
      </c>
      <c r="D32" s="62" t="e">
        <f>D9/D6</f>
        <v>#DIV/0!</v>
      </c>
      <c r="E32" s="62">
        <f t="shared" ref="E32:G32" si="11">E31*1</f>
        <v>0</v>
      </c>
      <c r="F32" s="62">
        <f t="shared" si="11"/>
        <v>0</v>
      </c>
      <c r="G32" s="62">
        <f t="shared" si="11"/>
        <v>0</v>
      </c>
      <c r="H32" s="67"/>
      <c r="I32" s="75"/>
      <c r="J32" s="75"/>
      <c r="K32" s="75"/>
      <c r="L32" s="75"/>
      <c r="M32" s="75"/>
      <c r="N32" s="75"/>
      <c r="O32" s="75"/>
      <c r="AI32" s="60"/>
      <c r="AJ32" s="60"/>
    </row>
    <row r="33" spans="1:36">
      <c r="A33" s="168">
        <v>3</v>
      </c>
      <c r="B33" s="65" t="s">
        <v>79</v>
      </c>
      <c r="C33" s="62">
        <f>材料成本!D24</f>
        <v>0</v>
      </c>
      <c r="D33" s="62">
        <f>材料成本!E24</f>
        <v>0</v>
      </c>
      <c r="E33" s="62">
        <f>材料成本!F24</f>
        <v>0</v>
      </c>
      <c r="F33" s="62">
        <f>材料成本!G24</f>
        <v>0</v>
      </c>
      <c r="G33" s="62">
        <f>材料成本!H24</f>
        <v>0</v>
      </c>
      <c r="H33" s="67"/>
      <c r="J33" s="75"/>
      <c r="K33" s="75"/>
      <c r="L33" s="75"/>
      <c r="M33" s="75"/>
      <c r="N33" s="75"/>
      <c r="O33" s="75"/>
      <c r="S33" s="60" t="s">
        <v>79</v>
      </c>
      <c r="AI33" s="60" t="s">
        <v>30</v>
      </c>
      <c r="AJ33" s="60" t="s">
        <v>79</v>
      </c>
    </row>
    <row r="34" spans="1:36" ht="17.25" customHeight="1">
      <c r="A34" s="168">
        <v>4</v>
      </c>
      <c r="B34" s="60" t="s">
        <v>81</v>
      </c>
      <c r="C34" s="72">
        <f>C32-C33</f>
        <v>1979.8</v>
      </c>
      <c r="D34" s="72" t="e">
        <f t="shared" ref="D34:G34" si="12">D32-D33</f>
        <v>#DIV/0!</v>
      </c>
      <c r="E34" s="72">
        <f t="shared" si="12"/>
        <v>0</v>
      </c>
      <c r="F34" s="72">
        <f t="shared" si="12"/>
        <v>0</v>
      </c>
      <c r="G34" s="72">
        <f t="shared" si="12"/>
        <v>0</v>
      </c>
      <c r="H34" s="67"/>
      <c r="J34" s="75"/>
      <c r="K34" s="75"/>
      <c r="L34" s="75"/>
      <c r="M34" s="75"/>
      <c r="N34" s="75"/>
      <c r="O34" s="75"/>
      <c r="S34" s="60" t="s">
        <v>81</v>
      </c>
      <c r="AI34" s="60" t="s">
        <v>80</v>
      </c>
      <c r="AJ34" s="60" t="s">
        <v>81</v>
      </c>
    </row>
    <row r="35" spans="1:36">
      <c r="A35" s="60" t="s">
        <v>77</v>
      </c>
      <c r="B35" s="63" t="s">
        <v>10</v>
      </c>
      <c r="C35" s="67"/>
      <c r="D35" s="67"/>
      <c r="E35" s="67"/>
      <c r="F35" s="67"/>
      <c r="G35" s="67"/>
      <c r="H35" s="67"/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63" t="s">
        <v>10</v>
      </c>
      <c r="AI35" s="60" t="s">
        <v>83</v>
      </c>
      <c r="AJ35" s="63" t="s">
        <v>10</v>
      </c>
    </row>
    <row r="36" spans="1:36">
      <c r="A36" s="168">
        <v>1</v>
      </c>
      <c r="B36" s="60" t="s">
        <v>84</v>
      </c>
      <c r="C36" s="66">
        <f>标准成本!E4</f>
        <v>58.926320000000004</v>
      </c>
      <c r="D36" s="66">
        <f t="shared" ref="D36:G38" si="13">C36</f>
        <v>58.926320000000004</v>
      </c>
      <c r="E36" s="66">
        <f t="shared" si="13"/>
        <v>58.926320000000004</v>
      </c>
      <c r="F36" s="66">
        <f t="shared" si="13"/>
        <v>58.926320000000004</v>
      </c>
      <c r="G36" s="66">
        <f t="shared" si="13"/>
        <v>58.926320000000004</v>
      </c>
      <c r="H36" s="71"/>
      <c r="I36" s="75"/>
      <c r="J36" s="75"/>
      <c r="K36" s="75"/>
      <c r="L36" s="75"/>
      <c r="M36" s="75"/>
      <c r="N36" s="75"/>
      <c r="O36" s="75"/>
      <c r="P36" s="75"/>
      <c r="Q36" s="75"/>
      <c r="R36" s="75"/>
      <c r="S36" s="60" t="s">
        <v>84</v>
      </c>
      <c r="AI36" s="60" t="s">
        <v>80</v>
      </c>
      <c r="AJ36" s="60" t="s">
        <v>84</v>
      </c>
    </row>
    <row r="37" spans="1:36">
      <c r="A37" s="168">
        <v>2</v>
      </c>
      <c r="B37" s="60" t="s">
        <v>85</v>
      </c>
      <c r="C37" s="66">
        <f>标准成本!E6</f>
        <v>29.668240000000001</v>
      </c>
      <c r="D37" s="66">
        <f t="shared" si="13"/>
        <v>29.668240000000001</v>
      </c>
      <c r="E37" s="66">
        <f t="shared" si="13"/>
        <v>29.668240000000001</v>
      </c>
      <c r="F37" s="66">
        <f t="shared" si="13"/>
        <v>29.668240000000001</v>
      </c>
      <c r="G37" s="66">
        <f t="shared" si="13"/>
        <v>29.668240000000001</v>
      </c>
      <c r="H37" s="71"/>
      <c r="I37" s="75"/>
      <c r="J37" s="75"/>
      <c r="K37" s="75"/>
      <c r="L37" s="75"/>
      <c r="M37" s="75"/>
      <c r="N37" s="75"/>
      <c r="O37" s="75"/>
      <c r="P37" s="75"/>
      <c r="Q37" s="75"/>
      <c r="R37" s="75"/>
      <c r="S37" s="60" t="s">
        <v>85</v>
      </c>
      <c r="AI37" s="60" t="s">
        <v>33</v>
      </c>
      <c r="AJ37" s="60" t="s">
        <v>85</v>
      </c>
    </row>
    <row r="38" spans="1:36">
      <c r="A38" s="168">
        <v>3</v>
      </c>
      <c r="B38" s="60" t="s">
        <v>86</v>
      </c>
      <c r="C38" s="66">
        <f>标准成本!E10</f>
        <v>60.156799999999997</v>
      </c>
      <c r="D38" s="66">
        <f t="shared" si="13"/>
        <v>60.156799999999997</v>
      </c>
      <c r="E38" s="66">
        <f t="shared" si="13"/>
        <v>60.156799999999997</v>
      </c>
      <c r="F38" s="66">
        <f t="shared" si="13"/>
        <v>60.156799999999997</v>
      </c>
      <c r="G38" s="66">
        <f t="shared" si="13"/>
        <v>60.156799999999997</v>
      </c>
      <c r="H38" s="71"/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60" t="s">
        <v>86</v>
      </c>
      <c r="AI38" s="60" t="s">
        <v>39</v>
      </c>
      <c r="AJ38" s="60" t="s">
        <v>86</v>
      </c>
    </row>
    <row r="39" spans="1:36">
      <c r="A39" s="60" t="s">
        <v>83</v>
      </c>
      <c r="B39" s="63" t="s">
        <v>88</v>
      </c>
      <c r="C39" s="67"/>
      <c r="D39" s="67"/>
      <c r="E39" s="67"/>
      <c r="F39" s="67"/>
      <c r="G39" s="67"/>
      <c r="H39" s="67"/>
      <c r="S39" s="63" t="s">
        <v>88</v>
      </c>
      <c r="AI39" s="60" t="s">
        <v>87</v>
      </c>
      <c r="AJ39" s="63" t="s">
        <v>88</v>
      </c>
    </row>
    <row r="40" spans="1:36">
      <c r="A40" s="168">
        <v>1</v>
      </c>
      <c r="B40" s="60" t="s">
        <v>89</v>
      </c>
      <c r="C40" s="67">
        <f>C34-C36-C37-C38</f>
        <v>1831.04864</v>
      </c>
      <c r="D40" s="67" t="e">
        <f t="shared" ref="D40:G40" si="14">D34-D36-D37-D38</f>
        <v>#DIV/0!</v>
      </c>
      <c r="E40" s="67">
        <f t="shared" si="14"/>
        <v>-148.75136000000001</v>
      </c>
      <c r="F40" s="67">
        <f t="shared" si="14"/>
        <v>-148.75136000000001</v>
      </c>
      <c r="G40" s="67">
        <f t="shared" si="14"/>
        <v>-148.75136000000001</v>
      </c>
      <c r="H40" s="67"/>
      <c r="S40" s="60" t="s">
        <v>89</v>
      </c>
      <c r="AI40" s="60" t="s">
        <v>28</v>
      </c>
      <c r="AJ40" s="60" t="s">
        <v>89</v>
      </c>
    </row>
    <row r="41" spans="1:36">
      <c r="A41" s="168">
        <v>2</v>
      </c>
      <c r="B41" s="60" t="s">
        <v>90</v>
      </c>
      <c r="C41" s="67"/>
      <c r="D41" s="67"/>
      <c r="E41" s="67"/>
      <c r="F41" s="67"/>
      <c r="G41" s="67"/>
      <c r="H41" s="67"/>
      <c r="S41" s="60" t="s">
        <v>90</v>
      </c>
      <c r="AI41" s="60" t="s">
        <v>30</v>
      </c>
      <c r="AJ41" s="60" t="s">
        <v>90</v>
      </c>
    </row>
    <row r="42" spans="1:36">
      <c r="A42" s="60" t="s">
        <v>87</v>
      </c>
      <c r="B42" s="63" t="s">
        <v>92</v>
      </c>
      <c r="C42" s="67"/>
      <c r="D42" s="67"/>
      <c r="E42" s="67"/>
      <c r="F42" s="67"/>
      <c r="G42" s="67"/>
      <c r="H42" s="67"/>
      <c r="S42" s="63" t="s">
        <v>92</v>
      </c>
      <c r="AI42" s="60" t="s">
        <v>91</v>
      </c>
      <c r="AJ42" s="63" t="s">
        <v>92</v>
      </c>
    </row>
    <row r="43" spans="1:36">
      <c r="A43" s="168">
        <v>1</v>
      </c>
      <c r="B43" s="68" t="s">
        <v>93</v>
      </c>
      <c r="C43" s="66">
        <f>标准成本!E5</f>
        <v>56.055200000000006</v>
      </c>
      <c r="D43" s="66">
        <f t="shared" ref="D43:G45" si="15">C43</f>
        <v>56.055200000000006</v>
      </c>
      <c r="E43" s="66">
        <f t="shared" si="15"/>
        <v>56.055200000000006</v>
      </c>
      <c r="F43" s="66">
        <f t="shared" si="15"/>
        <v>56.055200000000006</v>
      </c>
      <c r="G43" s="66">
        <f t="shared" si="15"/>
        <v>56.055200000000006</v>
      </c>
      <c r="H43" s="67"/>
      <c r="S43" s="60" t="s">
        <v>93</v>
      </c>
      <c r="AI43" s="60" t="s">
        <v>28</v>
      </c>
      <c r="AJ43" s="60" t="s">
        <v>93</v>
      </c>
    </row>
    <row r="44" spans="1:36">
      <c r="A44" s="168">
        <v>2</v>
      </c>
      <c r="B44" s="68" t="s">
        <v>94</v>
      </c>
      <c r="C44" s="66">
        <f>标准成本!E9</f>
        <v>9.5704000000000011</v>
      </c>
      <c r="D44" s="66">
        <f t="shared" si="15"/>
        <v>9.5704000000000011</v>
      </c>
      <c r="E44" s="66">
        <f t="shared" si="15"/>
        <v>9.5704000000000011</v>
      </c>
      <c r="F44" s="66">
        <f t="shared" si="15"/>
        <v>9.5704000000000011</v>
      </c>
      <c r="G44" s="66">
        <f t="shared" si="15"/>
        <v>9.5704000000000011</v>
      </c>
      <c r="H44" s="67"/>
      <c r="S44" s="60" t="s">
        <v>94</v>
      </c>
      <c r="AI44" s="60" t="s">
        <v>30</v>
      </c>
      <c r="AJ44" s="60" t="s">
        <v>94</v>
      </c>
    </row>
    <row r="45" spans="1:36">
      <c r="A45" s="168">
        <v>3</v>
      </c>
      <c r="B45" s="68" t="s">
        <v>95</v>
      </c>
      <c r="C45" s="66">
        <v>30</v>
      </c>
      <c r="D45" s="66">
        <f t="shared" si="15"/>
        <v>30</v>
      </c>
      <c r="E45" s="66">
        <f t="shared" si="15"/>
        <v>30</v>
      </c>
      <c r="F45" s="66">
        <f t="shared" si="15"/>
        <v>30</v>
      </c>
      <c r="G45" s="66">
        <f t="shared" si="15"/>
        <v>30</v>
      </c>
      <c r="H45" s="67"/>
      <c r="S45" s="60" t="s">
        <v>95</v>
      </c>
      <c r="AI45" s="60" t="s">
        <v>80</v>
      </c>
      <c r="AJ45" s="60" t="s">
        <v>95</v>
      </c>
    </row>
    <row r="46" spans="1:36" s="54" customFormat="1">
      <c r="A46" s="168">
        <v>4</v>
      </c>
      <c r="B46" s="68" t="s">
        <v>96</v>
      </c>
      <c r="C46" s="73">
        <f>C21/C6</f>
        <v>26.55</v>
      </c>
      <c r="D46" s="73" t="e">
        <f>D21/D6</f>
        <v>#DIV/0!</v>
      </c>
      <c r="E46" s="73" t="e">
        <f>E21/E6</f>
        <v>#DIV/0!</v>
      </c>
      <c r="F46" s="73" t="e">
        <f>F21/F6</f>
        <v>#DIV/0!</v>
      </c>
      <c r="G46" s="73" t="e">
        <f>G21/G6</f>
        <v>#DIV/0!</v>
      </c>
      <c r="H46" s="73"/>
      <c r="S46" s="68" t="s">
        <v>98</v>
      </c>
      <c r="AI46" s="68" t="s">
        <v>36</v>
      </c>
      <c r="AJ46" s="68" t="s">
        <v>98</v>
      </c>
    </row>
    <row r="47" spans="1:36" s="54" customFormat="1">
      <c r="A47" s="168">
        <v>5</v>
      </c>
      <c r="B47" s="68" t="s">
        <v>98</v>
      </c>
      <c r="C47" s="73">
        <f>标准成本!E11</f>
        <v>41.015999999999998</v>
      </c>
      <c r="D47" s="73">
        <f>C47</f>
        <v>41.015999999999998</v>
      </c>
      <c r="E47" s="73">
        <f>D47</f>
        <v>41.015999999999998</v>
      </c>
      <c r="F47" s="73">
        <f>E47</f>
        <v>41.015999999999998</v>
      </c>
      <c r="G47" s="73">
        <f>F47</f>
        <v>41.015999999999998</v>
      </c>
      <c r="H47" s="73"/>
      <c r="S47" s="68" t="s">
        <v>98</v>
      </c>
      <c r="AI47" s="68" t="s">
        <v>36</v>
      </c>
      <c r="AJ47" s="68" t="s">
        <v>98</v>
      </c>
    </row>
    <row r="48" spans="1:36">
      <c r="A48" s="60" t="s">
        <v>91</v>
      </c>
      <c r="B48" s="63" t="s">
        <v>109</v>
      </c>
      <c r="C48" s="67">
        <f>C40-C43-C44-C45-C47-C46</f>
        <v>1667.8570399999999</v>
      </c>
      <c r="D48" s="67" t="e">
        <f>D40-D43-D44-D45-D47-D46</f>
        <v>#DIV/0!</v>
      </c>
      <c r="E48" s="67" t="e">
        <f>E40-E43-E44-E45-E47-E46</f>
        <v>#DIV/0!</v>
      </c>
      <c r="F48" s="67" t="e">
        <f>F40-F43-F44-F45-F47-F46</f>
        <v>#DIV/0!</v>
      </c>
      <c r="G48" s="67" t="e">
        <f>G40-G43-G44-G45-G47-G46</f>
        <v>#DIV/0!</v>
      </c>
      <c r="H48" s="67"/>
      <c r="S48" s="63" t="s">
        <v>109</v>
      </c>
      <c r="AI48" s="60" t="s">
        <v>108</v>
      </c>
      <c r="AJ48" s="63" t="s">
        <v>109</v>
      </c>
    </row>
    <row r="51" spans="2:13">
      <c r="C51" s="74"/>
      <c r="D51" s="74"/>
      <c r="E51" s="74"/>
      <c r="F51" s="74"/>
      <c r="G51" s="74"/>
    </row>
    <row r="54" spans="2:13">
      <c r="B54" s="75"/>
      <c r="C54" s="76"/>
      <c r="D54" s="76"/>
      <c r="E54" s="76"/>
      <c r="F54" s="76"/>
      <c r="G54" s="76"/>
      <c r="H54" s="76"/>
      <c r="I54" s="75"/>
      <c r="J54" s="75"/>
      <c r="K54" s="75"/>
      <c r="L54" s="75"/>
      <c r="M54" s="75"/>
    </row>
    <row r="55" spans="2:13">
      <c r="B55" s="75"/>
      <c r="C55" s="76"/>
      <c r="D55" s="76"/>
      <c r="E55" s="76"/>
      <c r="F55" s="76"/>
      <c r="G55" s="76"/>
      <c r="H55" s="76"/>
      <c r="I55" s="75"/>
      <c r="J55" s="75"/>
      <c r="K55" s="75"/>
      <c r="L55" s="75"/>
      <c r="M55" s="75"/>
    </row>
    <row r="56" spans="2:13">
      <c r="B56" s="75"/>
      <c r="C56" s="76"/>
      <c r="D56" s="76"/>
      <c r="E56" s="76"/>
      <c r="F56" s="76"/>
      <c r="G56" s="76"/>
      <c r="H56" s="76"/>
      <c r="I56" s="75"/>
      <c r="J56" s="75"/>
      <c r="K56" s="75"/>
      <c r="L56" s="75"/>
      <c r="M56" s="75"/>
    </row>
    <row r="57" spans="2:13">
      <c r="B57" s="75"/>
      <c r="C57" s="76"/>
      <c r="D57" s="76"/>
      <c r="E57" s="76"/>
      <c r="F57" s="76"/>
      <c r="G57" s="76"/>
      <c r="H57" s="76"/>
      <c r="I57" s="75"/>
      <c r="J57" s="75"/>
      <c r="K57" s="75"/>
      <c r="L57" s="75"/>
      <c r="M57" s="75"/>
    </row>
    <row r="58" spans="2:13">
      <c r="B58" s="75"/>
      <c r="C58" s="76"/>
      <c r="D58" s="76"/>
      <c r="E58" s="76"/>
      <c r="F58" s="76"/>
      <c r="G58" s="76"/>
      <c r="H58" s="76"/>
      <c r="I58" s="75"/>
      <c r="J58" s="75"/>
      <c r="K58" s="75"/>
      <c r="L58" s="75"/>
      <c r="M58" s="75"/>
    </row>
    <row r="59" spans="2:13">
      <c r="B59" s="75"/>
      <c r="C59" s="76"/>
      <c r="D59" s="76"/>
      <c r="E59" s="76"/>
      <c r="F59" s="76"/>
      <c r="G59" s="76"/>
      <c r="H59" s="76"/>
      <c r="I59" s="75"/>
      <c r="J59" s="75"/>
      <c r="K59" s="75"/>
      <c r="L59" s="75"/>
      <c r="M59" s="75"/>
    </row>
    <row r="60" spans="2:13">
      <c r="B60" s="75"/>
      <c r="C60" s="76"/>
      <c r="D60" s="76"/>
      <c r="E60" s="76"/>
      <c r="F60" s="76"/>
      <c r="G60" s="76"/>
      <c r="H60" s="76"/>
      <c r="I60" s="75"/>
      <c r="J60" s="75"/>
      <c r="K60" s="75"/>
      <c r="L60" s="75"/>
      <c r="M60" s="75"/>
    </row>
    <row r="61" spans="2:13">
      <c r="B61" s="75"/>
      <c r="C61" s="76"/>
      <c r="D61" s="76"/>
      <c r="E61" s="76"/>
      <c r="F61" s="76"/>
      <c r="G61" s="76"/>
      <c r="H61" s="76"/>
      <c r="I61" s="75"/>
      <c r="J61" s="75"/>
      <c r="K61" s="75"/>
      <c r="L61" s="75"/>
      <c r="M61" s="75"/>
    </row>
    <row r="62" spans="2:13">
      <c r="B62" s="75"/>
      <c r="C62" s="76"/>
      <c r="D62" s="76"/>
      <c r="E62" s="76"/>
      <c r="F62" s="76"/>
      <c r="G62" s="76"/>
      <c r="H62" s="76"/>
      <c r="I62" s="75"/>
      <c r="J62" s="75"/>
      <c r="K62" s="75"/>
      <c r="L62" s="75"/>
      <c r="M62" s="75"/>
    </row>
    <row r="63" spans="2:13">
      <c r="B63" s="75"/>
      <c r="C63" s="76"/>
      <c r="D63" s="76"/>
      <c r="E63" s="76"/>
      <c r="F63" s="76"/>
      <c r="G63" s="76"/>
      <c r="H63" s="76"/>
      <c r="I63" s="75"/>
      <c r="J63" s="75"/>
      <c r="K63" s="75"/>
      <c r="L63" s="75"/>
      <c r="M63" s="75"/>
    </row>
    <row r="64" spans="2:13">
      <c r="B64" s="75"/>
      <c r="C64" s="76"/>
      <c r="D64" s="76"/>
      <c r="E64" s="76"/>
      <c r="F64" s="76"/>
      <c r="G64" s="76"/>
      <c r="H64" s="76"/>
      <c r="I64" s="75"/>
      <c r="J64" s="75"/>
      <c r="K64" s="75"/>
      <c r="L64" s="75"/>
      <c r="M64" s="75"/>
    </row>
    <row r="65" spans="2:13">
      <c r="B65" s="75"/>
      <c r="C65" s="76"/>
      <c r="D65" s="76"/>
      <c r="E65" s="76"/>
      <c r="F65" s="76"/>
      <c r="G65" s="76"/>
      <c r="H65" s="76"/>
      <c r="I65" s="75"/>
      <c r="J65" s="75"/>
      <c r="K65" s="75"/>
      <c r="L65" s="75"/>
      <c r="M65" s="75"/>
    </row>
    <row r="66" spans="2:13">
      <c r="B66" s="75"/>
      <c r="C66" s="76"/>
      <c r="D66" s="76"/>
      <c r="E66" s="76"/>
      <c r="F66" s="76"/>
      <c r="G66" s="76"/>
      <c r="H66" s="76"/>
      <c r="I66" s="75"/>
      <c r="J66" s="75"/>
      <c r="K66" s="75"/>
      <c r="L66" s="75"/>
      <c r="M66" s="75"/>
    </row>
    <row r="67" spans="2:13">
      <c r="B67" s="75"/>
      <c r="C67" s="76"/>
      <c r="D67" s="76"/>
      <c r="E67" s="76"/>
      <c r="F67" s="76"/>
      <c r="G67" s="76"/>
      <c r="H67" s="76"/>
      <c r="I67" s="75"/>
    </row>
    <row r="68" spans="2:13">
      <c r="B68" s="75"/>
      <c r="C68" s="76"/>
      <c r="D68" s="76"/>
      <c r="E68" s="76"/>
      <c r="F68" s="76"/>
      <c r="G68" s="76"/>
      <c r="H68" s="76"/>
      <c r="I68" s="75"/>
    </row>
    <row r="69" spans="2:13">
      <c r="B69" s="75"/>
      <c r="C69" s="76"/>
      <c r="D69" s="76"/>
      <c r="E69" s="76"/>
      <c r="F69" s="76"/>
      <c r="G69" s="76"/>
      <c r="H69" s="76"/>
      <c r="I69" s="75"/>
    </row>
    <row r="70" spans="2:13">
      <c r="B70" s="75"/>
      <c r="C70" s="76"/>
      <c r="D70" s="76"/>
      <c r="E70" s="76"/>
      <c r="F70" s="76"/>
      <c r="G70" s="76"/>
      <c r="H70" s="76"/>
      <c r="I70" s="75"/>
    </row>
    <row r="71" spans="2:13">
      <c r="B71" s="75"/>
      <c r="C71" s="76"/>
      <c r="D71" s="76"/>
      <c r="E71" s="76"/>
      <c r="F71" s="76"/>
      <c r="G71" s="76"/>
      <c r="H71" s="76"/>
      <c r="I71" s="75"/>
    </row>
    <row r="72" spans="2:13">
      <c r="B72" s="75"/>
      <c r="C72" s="76"/>
      <c r="D72" s="76"/>
      <c r="E72" s="76"/>
      <c r="F72" s="76"/>
      <c r="G72" s="76"/>
      <c r="H72" s="76"/>
      <c r="I72" s="75"/>
    </row>
    <row r="73" spans="2:13">
      <c r="B73" s="75"/>
      <c r="C73" s="76"/>
      <c r="D73" s="76"/>
      <c r="E73" s="76"/>
      <c r="F73" s="76"/>
      <c r="G73" s="76"/>
      <c r="H73" s="76"/>
      <c r="I73" s="75"/>
    </row>
    <row r="74" spans="2:13">
      <c r="B74" s="75"/>
      <c r="C74" s="76"/>
      <c r="D74" s="76"/>
      <c r="E74" s="76"/>
      <c r="F74" s="76"/>
      <c r="G74" s="76"/>
      <c r="H74" s="76"/>
      <c r="I74" s="75"/>
    </row>
  </sheetData>
  <mergeCells count="8">
    <mergeCell ref="A1:B1"/>
    <mergeCell ref="C1:H1"/>
    <mergeCell ref="A2:B2"/>
    <mergeCell ref="C2:H2"/>
    <mergeCell ref="A3:B3"/>
    <mergeCell ref="H3:H5"/>
    <mergeCell ref="A4:B4"/>
    <mergeCell ref="A5:B5"/>
  </mergeCells>
  <phoneticPr fontId="39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7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74"/>
  <sheetViews>
    <sheetView workbookViewId="0">
      <pane xSplit="2" ySplit="7" topLeftCell="C8" activePane="bottomRight" state="frozen"/>
      <selection pane="topRight"/>
      <selection pane="bottomLeft"/>
      <selection pane="bottomRight" activeCell="C22" sqref="C22"/>
    </sheetView>
  </sheetViews>
  <sheetFormatPr defaultColWidth="9" defaultRowHeight="16.5"/>
  <cols>
    <col min="1" max="1" width="5.125" style="55" customWidth="1"/>
    <col min="2" max="2" width="17.5" style="55" customWidth="1"/>
    <col min="3" max="3" width="13.25" style="56" customWidth="1"/>
    <col min="4" max="7" width="15.5" style="56" customWidth="1"/>
    <col min="8" max="8" width="18.75" style="56" customWidth="1"/>
    <col min="9" max="9" width="12.375" style="55" customWidth="1"/>
    <col min="10" max="10" width="10.125" style="55" customWidth="1"/>
    <col min="11" max="17" width="9" style="55" customWidth="1"/>
    <col min="18" max="34" width="9" style="55"/>
    <col min="35" max="35" width="4.375" style="55" customWidth="1"/>
    <col min="36" max="36" width="13.875" style="55" customWidth="1"/>
    <col min="37" max="16384" width="9" style="55"/>
  </cols>
  <sheetData>
    <row r="1" spans="1:37">
      <c r="A1" s="194" t="s">
        <v>149</v>
      </c>
      <c r="B1" s="194"/>
      <c r="C1" s="198" t="s">
        <v>274</v>
      </c>
      <c r="D1" s="199"/>
      <c r="E1" s="199"/>
      <c r="F1" s="199"/>
      <c r="G1" s="199"/>
      <c r="H1" s="200"/>
    </row>
    <row r="2" spans="1:37">
      <c r="A2" s="194" t="s">
        <v>151</v>
      </c>
      <c r="B2" s="194"/>
      <c r="C2" s="201" t="s">
        <v>277</v>
      </c>
      <c r="D2" s="201"/>
      <c r="E2" s="201"/>
      <c r="F2" s="201"/>
      <c r="G2" s="201"/>
      <c r="H2" s="201"/>
    </row>
    <row r="3" spans="1:37">
      <c r="A3" s="194" t="s">
        <v>152</v>
      </c>
      <c r="B3" s="194"/>
      <c r="C3" s="170"/>
      <c r="D3" s="170"/>
      <c r="E3" s="170"/>
      <c r="F3" s="169"/>
      <c r="G3" s="169"/>
      <c r="H3" s="195" t="s">
        <v>24</v>
      </c>
    </row>
    <row r="4" spans="1:37">
      <c r="A4" s="194" t="s">
        <v>153</v>
      </c>
      <c r="B4" s="194"/>
      <c r="C4" s="22"/>
      <c r="D4" s="22"/>
      <c r="E4" s="22"/>
      <c r="F4" s="169"/>
      <c r="G4" s="169"/>
      <c r="H4" s="196"/>
    </row>
    <row r="5" spans="1:37">
      <c r="A5" s="194" t="s">
        <v>154</v>
      </c>
      <c r="B5" s="194"/>
      <c r="C5" s="59"/>
      <c r="D5" s="59"/>
      <c r="E5" s="59"/>
      <c r="F5" s="59"/>
      <c r="G5" s="59"/>
      <c r="H5" s="197"/>
      <c r="AK5" s="55" t="s">
        <v>25</v>
      </c>
    </row>
    <row r="6" spans="1:37" ht="17.25">
      <c r="A6" s="60" t="s">
        <v>18</v>
      </c>
      <c r="B6" s="61" t="s">
        <v>155</v>
      </c>
      <c r="C6" s="27">
        <f>销量!C11</f>
        <v>5000</v>
      </c>
      <c r="D6" s="27">
        <f>销量!D11</f>
        <v>0</v>
      </c>
      <c r="E6" s="27">
        <f>销量!E11</f>
        <v>0</v>
      </c>
      <c r="F6" s="27">
        <f>销量!F9</f>
        <v>0</v>
      </c>
      <c r="G6" s="27">
        <f>销量!G9</f>
        <v>0</v>
      </c>
      <c r="H6" s="62">
        <f t="shared" ref="H6:H15" si="0">+SUM(C6:G6)</f>
        <v>5000</v>
      </c>
      <c r="S6" s="61" t="s">
        <v>3</v>
      </c>
      <c r="AI6" s="60" t="s">
        <v>18</v>
      </c>
      <c r="AJ6" s="61" t="s">
        <v>3</v>
      </c>
      <c r="AK6" s="55" t="s">
        <v>26</v>
      </c>
    </row>
    <row r="7" spans="1:37">
      <c r="A7" s="168">
        <v>1</v>
      </c>
      <c r="B7" s="61" t="s">
        <v>27</v>
      </c>
      <c r="C7" s="62">
        <f>C6*销量!C8</f>
        <v>10420000</v>
      </c>
      <c r="D7" s="62">
        <f>D6*销量!D8</f>
        <v>0</v>
      </c>
      <c r="E7" s="62">
        <f>E6*销量!E8</f>
        <v>0</v>
      </c>
      <c r="F7" s="62">
        <f>F6*销量!F8</f>
        <v>0</v>
      </c>
      <c r="G7" s="62">
        <f>G6*销量!G8</f>
        <v>0</v>
      </c>
      <c r="H7" s="62">
        <f t="shared" si="0"/>
        <v>10420000</v>
      </c>
      <c r="I7" s="56"/>
      <c r="S7" s="61" t="s">
        <v>27</v>
      </c>
      <c r="AI7" s="60" t="s">
        <v>28</v>
      </c>
      <c r="AJ7" s="61" t="s">
        <v>27</v>
      </c>
      <c r="AK7" s="55" t="s">
        <v>26</v>
      </c>
    </row>
    <row r="8" spans="1:37">
      <c r="A8" s="168">
        <v>2</v>
      </c>
      <c r="B8" s="168" t="s">
        <v>29</v>
      </c>
      <c r="C8" s="62">
        <f>C7*(1-销量!$L$8)</f>
        <v>1015950.0000000003</v>
      </c>
      <c r="D8" s="62">
        <f>D7*(1-销量!$L$8)</f>
        <v>0</v>
      </c>
      <c r="E8" s="62">
        <f>E7*(1-销量!$L$8)</f>
        <v>0</v>
      </c>
      <c r="F8" s="62"/>
      <c r="G8" s="62"/>
      <c r="H8" s="62">
        <f t="shared" si="0"/>
        <v>1015950.0000000003</v>
      </c>
      <c r="I8" s="77"/>
      <c r="S8" s="168" t="s">
        <v>31</v>
      </c>
      <c r="AI8" s="60" t="s">
        <v>30</v>
      </c>
      <c r="AJ8" s="168" t="s">
        <v>31</v>
      </c>
      <c r="AK8" s="55" t="s">
        <v>26</v>
      </c>
    </row>
    <row r="9" spans="1:37">
      <c r="A9" s="168">
        <v>3</v>
      </c>
      <c r="B9" s="61" t="s">
        <v>32</v>
      </c>
      <c r="C9" s="62">
        <f>+C7-C8</f>
        <v>9404050</v>
      </c>
      <c r="D9" s="62">
        <f t="shared" ref="D9:G9" si="1">+D7-D8</f>
        <v>0</v>
      </c>
      <c r="E9" s="62">
        <f t="shared" si="1"/>
        <v>0</v>
      </c>
      <c r="F9" s="62">
        <f t="shared" si="1"/>
        <v>0</v>
      </c>
      <c r="G9" s="62">
        <f t="shared" si="1"/>
        <v>0</v>
      </c>
      <c r="H9" s="62">
        <f t="shared" si="0"/>
        <v>9404050</v>
      </c>
      <c r="S9" s="61" t="s">
        <v>32</v>
      </c>
      <c r="AI9" s="60" t="s">
        <v>33</v>
      </c>
      <c r="AJ9" s="61" t="s">
        <v>32</v>
      </c>
      <c r="AK9" s="55" t="s">
        <v>34</v>
      </c>
    </row>
    <row r="10" spans="1:37">
      <c r="A10" s="168">
        <v>4</v>
      </c>
      <c r="B10" s="60" t="s">
        <v>35</v>
      </c>
      <c r="C10" s="62">
        <f>C6*材料成本!D24</f>
        <v>0</v>
      </c>
      <c r="D10" s="62">
        <f>D6*材料成本!E24</f>
        <v>0</v>
      </c>
      <c r="E10" s="62">
        <f>E6*材料成本!F24</f>
        <v>0</v>
      </c>
      <c r="F10" s="62">
        <f>F6*材料成本!G24</f>
        <v>0</v>
      </c>
      <c r="G10" s="62">
        <f>G6*材料成本!H24</f>
        <v>0</v>
      </c>
      <c r="H10" s="62">
        <f t="shared" si="0"/>
        <v>0</v>
      </c>
      <c r="S10" s="60" t="s">
        <v>35</v>
      </c>
      <c r="AI10" s="60" t="s">
        <v>36</v>
      </c>
      <c r="AJ10" s="60" t="s">
        <v>35</v>
      </c>
      <c r="AK10" s="55" t="s">
        <v>37</v>
      </c>
    </row>
    <row r="11" spans="1:37">
      <c r="A11" s="168">
        <v>5</v>
      </c>
      <c r="B11" s="60" t="s">
        <v>38</v>
      </c>
      <c r="C11" s="62">
        <f>+C6*C36</f>
        <v>294631.60000000003</v>
      </c>
      <c r="D11" s="62">
        <f>+D6*D36</f>
        <v>0</v>
      </c>
      <c r="E11" s="62">
        <f>+E6*E36</f>
        <v>0</v>
      </c>
      <c r="F11" s="62">
        <f>+F6*F36</f>
        <v>0</v>
      </c>
      <c r="G11" s="62">
        <f>+G6*G36</f>
        <v>0</v>
      </c>
      <c r="H11" s="62">
        <f t="shared" si="0"/>
        <v>294631.60000000003</v>
      </c>
      <c r="S11" s="60" t="s">
        <v>38</v>
      </c>
      <c r="AI11" s="60" t="s">
        <v>39</v>
      </c>
      <c r="AJ11" s="60" t="s">
        <v>38</v>
      </c>
    </row>
    <row r="12" spans="1:37">
      <c r="A12" s="168">
        <v>6</v>
      </c>
      <c r="B12" s="60" t="s">
        <v>40</v>
      </c>
      <c r="C12" s="62">
        <f>+C6*C37</f>
        <v>148341.20000000001</v>
      </c>
      <c r="D12" s="62">
        <f>+D6*D37</f>
        <v>0</v>
      </c>
      <c r="E12" s="62">
        <f>+E6*E37</f>
        <v>0</v>
      </c>
      <c r="F12" s="62">
        <f>+F6*F37</f>
        <v>0</v>
      </c>
      <c r="G12" s="62">
        <f>+G6*G37</f>
        <v>0</v>
      </c>
      <c r="H12" s="62">
        <f t="shared" si="0"/>
        <v>148341.20000000001</v>
      </c>
      <c r="S12" s="60" t="s">
        <v>40</v>
      </c>
      <c r="AI12" s="60" t="s">
        <v>41</v>
      </c>
      <c r="AJ12" s="60" t="s">
        <v>40</v>
      </c>
    </row>
    <row r="13" spans="1:37">
      <c r="A13" s="168">
        <v>7</v>
      </c>
      <c r="B13" s="60" t="s">
        <v>42</v>
      </c>
      <c r="C13" s="62">
        <f>+C6*C38</f>
        <v>300784</v>
      </c>
      <c r="D13" s="62">
        <f t="shared" ref="D13:G13" si="2">+D6*D38</f>
        <v>0</v>
      </c>
      <c r="E13" s="62">
        <f t="shared" si="2"/>
        <v>0</v>
      </c>
      <c r="F13" s="62">
        <f t="shared" si="2"/>
        <v>0</v>
      </c>
      <c r="G13" s="62">
        <f t="shared" si="2"/>
        <v>0</v>
      </c>
      <c r="H13" s="62">
        <f t="shared" si="0"/>
        <v>300784</v>
      </c>
      <c r="S13" s="60" t="s">
        <v>42</v>
      </c>
      <c r="AI13" s="60" t="s">
        <v>43</v>
      </c>
      <c r="AJ13" s="60" t="s">
        <v>42</v>
      </c>
      <c r="AK13" s="55" t="s">
        <v>26</v>
      </c>
    </row>
    <row r="14" spans="1:37">
      <c r="A14" s="168">
        <v>8</v>
      </c>
      <c r="B14" s="63" t="s">
        <v>44</v>
      </c>
      <c r="C14" s="62">
        <f>SUM(C11:C13)</f>
        <v>743756.80000000005</v>
      </c>
      <c r="D14" s="62">
        <f t="shared" ref="D14:G14" si="3">SUM(D11:D13)</f>
        <v>0</v>
      </c>
      <c r="E14" s="62">
        <f t="shared" si="3"/>
        <v>0</v>
      </c>
      <c r="F14" s="62">
        <f t="shared" si="3"/>
        <v>0</v>
      </c>
      <c r="G14" s="62">
        <f t="shared" si="3"/>
        <v>0</v>
      </c>
      <c r="H14" s="62">
        <f t="shared" si="0"/>
        <v>743756.80000000005</v>
      </c>
      <c r="S14" s="63" t="s">
        <v>44</v>
      </c>
      <c r="AI14" s="60" t="s">
        <v>45</v>
      </c>
      <c r="AJ14" s="63" t="s">
        <v>44</v>
      </c>
    </row>
    <row r="15" spans="1:37">
      <c r="A15" s="168">
        <v>9</v>
      </c>
      <c r="B15" s="63" t="s">
        <v>46</v>
      </c>
      <c r="C15" s="62">
        <f>+C9-C10-C14</f>
        <v>8660293.1999999993</v>
      </c>
      <c r="D15" s="62">
        <f t="shared" ref="D15:G15" si="4">+D9-D10-D14</f>
        <v>0</v>
      </c>
      <c r="E15" s="62">
        <f t="shared" si="4"/>
        <v>0</v>
      </c>
      <c r="F15" s="62">
        <f t="shared" si="4"/>
        <v>0</v>
      </c>
      <c r="G15" s="62">
        <f t="shared" si="4"/>
        <v>0</v>
      </c>
      <c r="H15" s="62">
        <f t="shared" si="0"/>
        <v>8660293.1999999993</v>
      </c>
      <c r="S15" s="63" t="s">
        <v>46</v>
      </c>
      <c r="AI15" s="60" t="s">
        <v>47</v>
      </c>
      <c r="AJ15" s="63" t="s">
        <v>46</v>
      </c>
    </row>
    <row r="16" spans="1:37">
      <c r="A16" s="168">
        <v>10</v>
      </c>
      <c r="B16" s="60" t="s">
        <v>48</v>
      </c>
      <c r="C16" s="64">
        <f>+C15/C9</f>
        <v>0.92091101174493961</v>
      </c>
      <c r="D16" s="64" t="e">
        <f t="shared" ref="D16:H16" si="5">+D15/D9</f>
        <v>#DIV/0!</v>
      </c>
      <c r="E16" s="64" t="e">
        <f t="shared" si="5"/>
        <v>#DIV/0!</v>
      </c>
      <c r="F16" s="64" t="e">
        <f t="shared" si="5"/>
        <v>#DIV/0!</v>
      </c>
      <c r="G16" s="64" t="e">
        <f t="shared" si="5"/>
        <v>#DIV/0!</v>
      </c>
      <c r="H16" s="64">
        <f t="shared" si="5"/>
        <v>0.92091101174493961</v>
      </c>
      <c r="S16" s="60" t="s">
        <v>48</v>
      </c>
      <c r="AI16" s="60" t="s">
        <v>49</v>
      </c>
      <c r="AJ16" s="60" t="s">
        <v>48</v>
      </c>
    </row>
    <row r="17" spans="1:37">
      <c r="A17" s="168">
        <v>11</v>
      </c>
      <c r="B17" s="60" t="s">
        <v>50</v>
      </c>
      <c r="C17" s="62">
        <f>C6*C43+C18</f>
        <v>1003416</v>
      </c>
      <c r="D17" s="62">
        <f>D6*D43+D18</f>
        <v>0</v>
      </c>
      <c r="E17" s="62">
        <f>E6*E43+E18</f>
        <v>0</v>
      </c>
      <c r="F17" s="62">
        <f>F6*F43+F18</f>
        <v>0</v>
      </c>
      <c r="G17" s="62">
        <f>G6*G43+G18</f>
        <v>0</v>
      </c>
      <c r="H17" s="62">
        <f>SUM(C17:G17)</f>
        <v>1003416</v>
      </c>
      <c r="I17" s="77"/>
      <c r="S17" s="60" t="s">
        <v>50</v>
      </c>
      <c r="AI17" s="60" t="s">
        <v>51</v>
      </c>
      <c r="AJ17" s="60" t="s">
        <v>50</v>
      </c>
    </row>
    <row r="18" spans="1:37" s="53" customFormat="1">
      <c r="A18" s="168">
        <v>12</v>
      </c>
      <c r="B18" s="65" t="s">
        <v>156</v>
      </c>
      <c r="C18" s="66">
        <f>$H$18/$H$6*C6</f>
        <v>723139.99999999988</v>
      </c>
      <c r="D18" s="66">
        <f>$H$18/$H$6*D6</f>
        <v>0</v>
      </c>
      <c r="E18" s="66">
        <f>$H$18/$H$6*E6</f>
        <v>0</v>
      </c>
      <c r="F18" s="66">
        <f>$H$18/$H$6*F6</f>
        <v>0</v>
      </c>
      <c r="G18" s="66">
        <f>$H$18/$H$6*G6</f>
        <v>0</v>
      </c>
      <c r="H18" s="66">
        <f>项目投资!D26</f>
        <v>723140</v>
      </c>
      <c r="I18" s="78" t="s">
        <v>157</v>
      </c>
      <c r="J18" s="78"/>
      <c r="K18" s="78"/>
    </row>
    <row r="19" spans="1:37">
      <c r="A19" s="168">
        <v>13</v>
      </c>
      <c r="B19" s="60" t="s">
        <v>52</v>
      </c>
      <c r="C19" s="62">
        <f>C6*C44</f>
        <v>47852.000000000007</v>
      </c>
      <c r="D19" s="62">
        <f>D6*D44</f>
        <v>0</v>
      </c>
      <c r="E19" s="62">
        <f>E6*E44</f>
        <v>0</v>
      </c>
      <c r="F19" s="62">
        <f>F6*F44</f>
        <v>0</v>
      </c>
      <c r="G19" s="62">
        <f>G6*G44</f>
        <v>0</v>
      </c>
      <c r="H19" s="62">
        <f>SUM(C19:G19)</f>
        <v>47852.000000000007</v>
      </c>
      <c r="I19" s="53"/>
      <c r="S19" s="60" t="s">
        <v>52</v>
      </c>
      <c r="AI19" s="60" t="s">
        <v>53</v>
      </c>
      <c r="AJ19" s="60" t="s">
        <v>52</v>
      </c>
      <c r="AK19" s="55" t="s">
        <v>26</v>
      </c>
    </row>
    <row r="20" spans="1:37">
      <c r="A20" s="168">
        <v>14</v>
      </c>
      <c r="B20" s="60" t="s">
        <v>54</v>
      </c>
      <c r="C20" s="62">
        <f>C6*C45</f>
        <v>150000</v>
      </c>
      <c r="D20" s="62">
        <f>D6*D45</f>
        <v>0</v>
      </c>
      <c r="E20" s="62">
        <f>E6*E45</f>
        <v>0</v>
      </c>
      <c r="F20" s="62">
        <f>F6*F45</f>
        <v>0</v>
      </c>
      <c r="G20" s="62">
        <f>G6*G45</f>
        <v>0</v>
      </c>
      <c r="H20" s="62">
        <f>SUM(C20:G20)</f>
        <v>150000</v>
      </c>
      <c r="S20" s="60" t="s">
        <v>54</v>
      </c>
      <c r="AI20" s="60" t="s">
        <v>55</v>
      </c>
      <c r="AJ20" s="60" t="s">
        <v>54</v>
      </c>
    </row>
    <row r="21" spans="1:37">
      <c r="A21" s="168">
        <v>15</v>
      </c>
      <c r="B21" s="60" t="s">
        <v>56</v>
      </c>
      <c r="C21" s="67">
        <f>$H$21/$H$6*C6</f>
        <v>26549.999999999996</v>
      </c>
      <c r="D21" s="67">
        <f>$H$21/$H$6*D6</f>
        <v>0</v>
      </c>
      <c r="E21" s="67">
        <f>$H$21/$H$6*E6</f>
        <v>0</v>
      </c>
      <c r="F21" s="67">
        <f>$H$21/$H$6*F6</f>
        <v>0</v>
      </c>
      <c r="G21" s="67">
        <f>$H$21/$H$6*G6</f>
        <v>0</v>
      </c>
      <c r="H21" s="62">
        <f>项目投资!D27</f>
        <v>26550</v>
      </c>
      <c r="S21" s="60" t="s">
        <v>56</v>
      </c>
      <c r="AI21" s="60"/>
      <c r="AJ21" s="60"/>
    </row>
    <row r="22" spans="1:37">
      <c r="A22" s="168">
        <v>16</v>
      </c>
      <c r="B22" s="60" t="s">
        <v>57</v>
      </c>
      <c r="C22" s="62">
        <f>C6*C47</f>
        <v>205080</v>
      </c>
      <c r="D22" s="62">
        <f>D6*D47</f>
        <v>0</v>
      </c>
      <c r="E22" s="62">
        <f>E6*E47</f>
        <v>0</v>
      </c>
      <c r="F22" s="62">
        <f>F6*F47</f>
        <v>0</v>
      </c>
      <c r="G22" s="62">
        <f>G6*G47</f>
        <v>0</v>
      </c>
      <c r="H22" s="62">
        <f>+SUM(C22:G22)</f>
        <v>205080</v>
      </c>
      <c r="S22" s="60" t="s">
        <v>57</v>
      </c>
      <c r="AI22" s="60" t="s">
        <v>58</v>
      </c>
      <c r="AJ22" s="60" t="s">
        <v>57</v>
      </c>
    </row>
    <row r="23" spans="1:37">
      <c r="A23" s="168">
        <v>17</v>
      </c>
      <c r="B23" s="63" t="s">
        <v>59</v>
      </c>
      <c r="C23" s="67">
        <f>+C22+C21+C20+C19+C17</f>
        <v>1432898</v>
      </c>
      <c r="D23" s="67">
        <f>+D22+D21+D20+D19+D17</f>
        <v>0</v>
      </c>
      <c r="E23" s="67">
        <f>+E22+E21+E20+E19+E17</f>
        <v>0</v>
      </c>
      <c r="F23" s="67">
        <f>+F22+F21+F20+F19+F17</f>
        <v>0</v>
      </c>
      <c r="G23" s="67">
        <f>+G22+G21+G20+G19+G17</f>
        <v>0</v>
      </c>
      <c r="H23" s="67">
        <f t="shared" ref="H23" si="6">+H22+H21+H20+H19+H17</f>
        <v>1432898</v>
      </c>
      <c r="S23" s="63" t="s">
        <v>59</v>
      </c>
      <c r="AI23" s="60" t="s">
        <v>60</v>
      </c>
      <c r="AJ23" s="63" t="s">
        <v>59</v>
      </c>
    </row>
    <row r="24" spans="1:37">
      <c r="A24" s="168">
        <v>18</v>
      </c>
      <c r="B24" s="68" t="s">
        <v>61</v>
      </c>
      <c r="C24" s="67">
        <f>+C15-C23</f>
        <v>7227395.1999999993</v>
      </c>
      <c r="D24" s="67">
        <f>+D15-D23</f>
        <v>0</v>
      </c>
      <c r="E24" s="67">
        <f>+E15-E23</f>
        <v>0</v>
      </c>
      <c r="F24" s="67">
        <f>+F15-F23</f>
        <v>0</v>
      </c>
      <c r="G24" s="67">
        <f>+G15-G23</f>
        <v>0</v>
      </c>
      <c r="H24" s="67">
        <f t="shared" ref="H24" si="7">+H15-H23</f>
        <v>7227395.1999999993</v>
      </c>
      <c r="J24" s="79"/>
      <c r="S24" s="60" t="s">
        <v>61</v>
      </c>
      <c r="AI24" s="60" t="s">
        <v>62</v>
      </c>
      <c r="AJ24" s="60" t="s">
        <v>61</v>
      </c>
    </row>
    <row r="25" spans="1:37">
      <c r="A25" s="168">
        <v>19</v>
      </c>
      <c r="B25" s="60" t="s">
        <v>158</v>
      </c>
      <c r="C25" s="67">
        <f>IF(C24&lt;0,0,C24*0.25)</f>
        <v>1806848.7999999998</v>
      </c>
      <c r="D25" s="67">
        <f>IF(D24&lt;0,0,D24*0.25)</f>
        <v>0</v>
      </c>
      <c r="E25" s="67">
        <f>IF(E24&lt;0,0,E24*0.25)</f>
        <v>0</v>
      </c>
      <c r="F25" s="67">
        <f>IF(F24&lt;0,0,F24*0.25)</f>
        <v>0</v>
      </c>
      <c r="G25" s="67">
        <f>IF(G24&lt;0,0,G24*0.25)</f>
        <v>0</v>
      </c>
      <c r="H25" s="67">
        <f t="shared" ref="H25" si="8">IF(H24&lt;0,0,H24*0.25)</f>
        <v>1806848.7999999998</v>
      </c>
      <c r="I25" s="75"/>
      <c r="J25" s="75"/>
      <c r="K25" s="75"/>
      <c r="S25" s="60" t="s">
        <v>63</v>
      </c>
      <c r="AI25" s="60" t="s">
        <v>64</v>
      </c>
      <c r="AJ25" s="60" t="s">
        <v>63</v>
      </c>
    </row>
    <row r="26" spans="1:37">
      <c r="A26" s="168">
        <v>20</v>
      </c>
      <c r="B26" s="60" t="s">
        <v>65</v>
      </c>
      <c r="C26" s="67">
        <f t="shared" ref="C26" si="9">C24-C25</f>
        <v>5420546.3999999994</v>
      </c>
      <c r="D26" s="67">
        <f>D24-D25</f>
        <v>0</v>
      </c>
      <c r="E26" s="67">
        <f>E24-E25</f>
        <v>0</v>
      </c>
      <c r="F26" s="67">
        <f>F24-F25</f>
        <v>0</v>
      </c>
      <c r="G26" s="67">
        <f>G24-G25</f>
        <v>0</v>
      </c>
      <c r="H26" s="62">
        <f>+SUM(C26:G26)</f>
        <v>5420546.3999999994</v>
      </c>
      <c r="I26" s="75"/>
      <c r="J26" s="75"/>
      <c r="K26" s="75"/>
      <c r="S26" s="60" t="s">
        <v>65</v>
      </c>
      <c r="AI26" s="60" t="s">
        <v>66</v>
      </c>
      <c r="AJ26" s="60" t="s">
        <v>65</v>
      </c>
    </row>
    <row r="27" spans="1:37">
      <c r="A27" s="168">
        <v>21</v>
      </c>
      <c r="B27" s="60" t="s">
        <v>69</v>
      </c>
      <c r="C27" s="69">
        <f t="shared" ref="C27:H27" si="10">C26/C7</f>
        <v>0.52020598848368516</v>
      </c>
      <c r="D27" s="69" t="e">
        <f t="shared" si="10"/>
        <v>#DIV/0!</v>
      </c>
      <c r="E27" s="69" t="e">
        <f t="shared" si="10"/>
        <v>#DIV/0!</v>
      </c>
      <c r="F27" s="69" t="e">
        <f t="shared" si="10"/>
        <v>#DIV/0!</v>
      </c>
      <c r="G27" s="69" t="e">
        <f t="shared" si="10"/>
        <v>#DIV/0!</v>
      </c>
      <c r="H27" s="69">
        <f t="shared" si="10"/>
        <v>0.52020598848368516</v>
      </c>
      <c r="I27" s="75"/>
      <c r="J27" s="75"/>
      <c r="K27" s="75"/>
      <c r="S27" s="60" t="s">
        <v>69</v>
      </c>
      <c r="AI27" s="60" t="s">
        <v>68</v>
      </c>
      <c r="AJ27" s="60" t="s">
        <v>69</v>
      </c>
    </row>
    <row r="28" spans="1:37">
      <c r="I28" s="75"/>
      <c r="J28" s="75"/>
      <c r="K28" s="75"/>
      <c r="S28" s="60"/>
    </row>
    <row r="29" spans="1:37">
      <c r="A29" s="55" t="s">
        <v>70</v>
      </c>
      <c r="H29" s="56" t="s">
        <v>159</v>
      </c>
      <c r="I29" s="75"/>
      <c r="J29" s="75"/>
      <c r="K29" s="75"/>
      <c r="S29" s="60"/>
      <c r="AI29" s="55" t="s">
        <v>70</v>
      </c>
    </row>
    <row r="30" spans="1:37">
      <c r="A30" s="60" t="s">
        <v>75</v>
      </c>
      <c r="B30" s="63" t="s">
        <v>76</v>
      </c>
      <c r="C30" s="67"/>
      <c r="D30" s="67"/>
      <c r="E30" s="67"/>
      <c r="F30" s="67"/>
      <c r="G30" s="67"/>
      <c r="H30" s="67"/>
      <c r="I30" s="75"/>
      <c r="J30" s="75"/>
      <c r="K30" s="75"/>
      <c r="M30" s="75"/>
      <c r="S30" s="63" t="s">
        <v>76</v>
      </c>
      <c r="AI30" s="60" t="s">
        <v>77</v>
      </c>
      <c r="AJ30" s="63" t="s">
        <v>76</v>
      </c>
    </row>
    <row r="31" spans="1:37">
      <c r="A31" s="168">
        <v>1</v>
      </c>
      <c r="B31" s="65" t="s">
        <v>78</v>
      </c>
      <c r="C31" s="71">
        <f>销量!C8</f>
        <v>2084</v>
      </c>
      <c r="D31" s="71">
        <f>销量!D8</f>
        <v>0</v>
      </c>
      <c r="E31" s="71">
        <f>销量!E8</f>
        <v>0</v>
      </c>
      <c r="F31" s="71">
        <f>销量!F8</f>
        <v>0</v>
      </c>
      <c r="G31" s="71">
        <f>销量!G8</f>
        <v>0</v>
      </c>
      <c r="H31" s="67"/>
      <c r="I31" s="75"/>
      <c r="J31" s="75"/>
      <c r="K31" s="75"/>
      <c r="M31" s="75"/>
      <c r="S31" s="60" t="s">
        <v>78</v>
      </c>
      <c r="AI31" s="60" t="s">
        <v>28</v>
      </c>
      <c r="AJ31" s="60" t="s">
        <v>78</v>
      </c>
    </row>
    <row r="32" spans="1:37">
      <c r="A32" s="168">
        <v>2</v>
      </c>
      <c r="B32" s="60" t="s">
        <v>160</v>
      </c>
      <c r="C32" s="62">
        <f>C9/C6</f>
        <v>1880.81</v>
      </c>
      <c r="D32" s="62" t="e">
        <f>D9/D6</f>
        <v>#DIV/0!</v>
      </c>
      <c r="E32" s="62">
        <f t="shared" ref="E32:G32" si="11">E31*1</f>
        <v>0</v>
      </c>
      <c r="F32" s="62">
        <f t="shared" si="11"/>
        <v>0</v>
      </c>
      <c r="G32" s="62">
        <f t="shared" si="11"/>
        <v>0</v>
      </c>
      <c r="H32" s="67"/>
      <c r="I32" s="75"/>
      <c r="J32" s="75"/>
      <c r="K32" s="75"/>
      <c r="L32" s="75"/>
      <c r="M32" s="75"/>
      <c r="N32" s="75"/>
      <c r="O32" s="75"/>
      <c r="AI32" s="60"/>
      <c r="AJ32" s="60"/>
    </row>
    <row r="33" spans="1:36">
      <c r="A33" s="168">
        <v>3</v>
      </c>
      <c r="B33" s="65" t="s">
        <v>79</v>
      </c>
      <c r="C33" s="62">
        <f>材料成本!D24</f>
        <v>0</v>
      </c>
      <c r="D33" s="62">
        <f>材料成本!E24</f>
        <v>0</v>
      </c>
      <c r="E33" s="62">
        <f>材料成本!F24</f>
        <v>0</v>
      </c>
      <c r="F33" s="62">
        <f>材料成本!G24</f>
        <v>0</v>
      </c>
      <c r="G33" s="62">
        <f>材料成本!H24</f>
        <v>0</v>
      </c>
      <c r="H33" s="67"/>
      <c r="J33" s="75"/>
      <c r="K33" s="75"/>
      <c r="L33" s="75"/>
      <c r="M33" s="75"/>
      <c r="N33" s="75"/>
      <c r="O33" s="75"/>
      <c r="S33" s="60" t="s">
        <v>79</v>
      </c>
      <c r="AI33" s="60" t="s">
        <v>30</v>
      </c>
      <c r="AJ33" s="60" t="s">
        <v>79</v>
      </c>
    </row>
    <row r="34" spans="1:36" ht="17.25" customHeight="1">
      <c r="A34" s="168">
        <v>4</v>
      </c>
      <c r="B34" s="60" t="s">
        <v>81</v>
      </c>
      <c r="C34" s="72">
        <f>C32-C33</f>
        <v>1880.81</v>
      </c>
      <c r="D34" s="72" t="e">
        <f t="shared" ref="D34:G34" si="12">D32-D33</f>
        <v>#DIV/0!</v>
      </c>
      <c r="E34" s="72">
        <f t="shared" si="12"/>
        <v>0</v>
      </c>
      <c r="F34" s="72">
        <f t="shared" si="12"/>
        <v>0</v>
      </c>
      <c r="G34" s="72">
        <f t="shared" si="12"/>
        <v>0</v>
      </c>
      <c r="H34" s="67"/>
      <c r="J34" s="75"/>
      <c r="K34" s="75"/>
      <c r="L34" s="75"/>
      <c r="M34" s="75"/>
      <c r="N34" s="75"/>
      <c r="O34" s="75"/>
      <c r="S34" s="60" t="s">
        <v>81</v>
      </c>
      <c r="AI34" s="60" t="s">
        <v>80</v>
      </c>
      <c r="AJ34" s="60" t="s">
        <v>81</v>
      </c>
    </row>
    <row r="35" spans="1:36">
      <c r="A35" s="60" t="s">
        <v>77</v>
      </c>
      <c r="B35" s="63" t="s">
        <v>10</v>
      </c>
      <c r="C35" s="67"/>
      <c r="D35" s="67"/>
      <c r="E35" s="67"/>
      <c r="F35" s="67"/>
      <c r="G35" s="67"/>
      <c r="H35" s="67"/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63" t="s">
        <v>10</v>
      </c>
      <c r="AI35" s="60" t="s">
        <v>83</v>
      </c>
      <c r="AJ35" s="63" t="s">
        <v>10</v>
      </c>
    </row>
    <row r="36" spans="1:36">
      <c r="A36" s="168">
        <v>1</v>
      </c>
      <c r="B36" s="60" t="s">
        <v>84</v>
      </c>
      <c r="C36" s="66">
        <f>标准成本!E4</f>
        <v>58.926320000000004</v>
      </c>
      <c r="D36" s="66">
        <f t="shared" ref="D36:G38" si="13">C36</f>
        <v>58.926320000000004</v>
      </c>
      <c r="E36" s="66">
        <f t="shared" si="13"/>
        <v>58.926320000000004</v>
      </c>
      <c r="F36" s="66">
        <f t="shared" si="13"/>
        <v>58.926320000000004</v>
      </c>
      <c r="G36" s="66">
        <f t="shared" si="13"/>
        <v>58.926320000000004</v>
      </c>
      <c r="H36" s="71"/>
      <c r="I36" s="75"/>
      <c r="J36" s="75"/>
      <c r="K36" s="75"/>
      <c r="L36" s="75"/>
      <c r="M36" s="75"/>
      <c r="N36" s="75"/>
      <c r="O36" s="75"/>
      <c r="P36" s="75"/>
      <c r="Q36" s="75"/>
      <c r="R36" s="75"/>
      <c r="S36" s="60" t="s">
        <v>84</v>
      </c>
      <c r="AI36" s="60" t="s">
        <v>80</v>
      </c>
      <c r="AJ36" s="60" t="s">
        <v>84</v>
      </c>
    </row>
    <row r="37" spans="1:36">
      <c r="A37" s="168">
        <v>2</v>
      </c>
      <c r="B37" s="60" t="s">
        <v>85</v>
      </c>
      <c r="C37" s="66">
        <f>标准成本!E6</f>
        <v>29.668240000000001</v>
      </c>
      <c r="D37" s="66">
        <f t="shared" si="13"/>
        <v>29.668240000000001</v>
      </c>
      <c r="E37" s="66">
        <f t="shared" si="13"/>
        <v>29.668240000000001</v>
      </c>
      <c r="F37" s="66">
        <f t="shared" si="13"/>
        <v>29.668240000000001</v>
      </c>
      <c r="G37" s="66">
        <f t="shared" si="13"/>
        <v>29.668240000000001</v>
      </c>
      <c r="H37" s="71"/>
      <c r="I37" s="75"/>
      <c r="J37" s="75"/>
      <c r="K37" s="75"/>
      <c r="L37" s="75"/>
      <c r="M37" s="75"/>
      <c r="N37" s="75"/>
      <c r="O37" s="75"/>
      <c r="P37" s="75"/>
      <c r="Q37" s="75"/>
      <c r="R37" s="75"/>
      <c r="S37" s="60" t="s">
        <v>85</v>
      </c>
      <c r="AI37" s="60" t="s">
        <v>33</v>
      </c>
      <c r="AJ37" s="60" t="s">
        <v>85</v>
      </c>
    </row>
    <row r="38" spans="1:36">
      <c r="A38" s="168">
        <v>3</v>
      </c>
      <c r="B38" s="60" t="s">
        <v>86</v>
      </c>
      <c r="C38" s="66">
        <f>标准成本!E10</f>
        <v>60.156799999999997</v>
      </c>
      <c r="D38" s="66">
        <f t="shared" si="13"/>
        <v>60.156799999999997</v>
      </c>
      <c r="E38" s="66">
        <f t="shared" si="13"/>
        <v>60.156799999999997</v>
      </c>
      <c r="F38" s="66">
        <f t="shared" si="13"/>
        <v>60.156799999999997</v>
      </c>
      <c r="G38" s="66">
        <f t="shared" si="13"/>
        <v>60.156799999999997</v>
      </c>
      <c r="H38" s="71"/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60" t="s">
        <v>86</v>
      </c>
      <c r="AI38" s="60" t="s">
        <v>39</v>
      </c>
      <c r="AJ38" s="60" t="s">
        <v>86</v>
      </c>
    </row>
    <row r="39" spans="1:36">
      <c r="A39" s="60" t="s">
        <v>83</v>
      </c>
      <c r="B39" s="63" t="s">
        <v>88</v>
      </c>
      <c r="C39" s="67"/>
      <c r="D39" s="67"/>
      <c r="E39" s="67"/>
      <c r="F39" s="67"/>
      <c r="G39" s="67"/>
      <c r="H39" s="67"/>
      <c r="S39" s="63" t="s">
        <v>88</v>
      </c>
      <c r="AI39" s="60" t="s">
        <v>87</v>
      </c>
      <c r="AJ39" s="63" t="s">
        <v>88</v>
      </c>
    </row>
    <row r="40" spans="1:36">
      <c r="A40" s="168">
        <v>1</v>
      </c>
      <c r="B40" s="60" t="s">
        <v>89</v>
      </c>
      <c r="C40" s="67">
        <f>C34-C36-C37-C38</f>
        <v>1732.05864</v>
      </c>
      <c r="D40" s="67" t="e">
        <f t="shared" ref="D40:G40" si="14">D34-D36-D37-D38</f>
        <v>#DIV/0!</v>
      </c>
      <c r="E40" s="67">
        <f t="shared" si="14"/>
        <v>-148.75136000000001</v>
      </c>
      <c r="F40" s="67">
        <f t="shared" si="14"/>
        <v>-148.75136000000001</v>
      </c>
      <c r="G40" s="67">
        <f t="shared" si="14"/>
        <v>-148.75136000000001</v>
      </c>
      <c r="H40" s="67"/>
      <c r="S40" s="60" t="s">
        <v>89</v>
      </c>
      <c r="AI40" s="60" t="s">
        <v>28</v>
      </c>
      <c r="AJ40" s="60" t="s">
        <v>89</v>
      </c>
    </row>
    <row r="41" spans="1:36">
      <c r="A41" s="168">
        <v>2</v>
      </c>
      <c r="B41" s="60" t="s">
        <v>90</v>
      </c>
      <c r="C41" s="67"/>
      <c r="D41" s="67"/>
      <c r="E41" s="67"/>
      <c r="F41" s="67"/>
      <c r="G41" s="67"/>
      <c r="H41" s="67"/>
      <c r="S41" s="60" t="s">
        <v>90</v>
      </c>
      <c r="AI41" s="60" t="s">
        <v>30</v>
      </c>
      <c r="AJ41" s="60" t="s">
        <v>90</v>
      </c>
    </row>
    <row r="42" spans="1:36">
      <c r="A42" s="60" t="s">
        <v>87</v>
      </c>
      <c r="B42" s="63" t="s">
        <v>92</v>
      </c>
      <c r="C42" s="67"/>
      <c r="D42" s="67"/>
      <c r="E42" s="67"/>
      <c r="F42" s="67"/>
      <c r="G42" s="67"/>
      <c r="H42" s="67"/>
      <c r="S42" s="63" t="s">
        <v>92</v>
      </c>
      <c r="AI42" s="60" t="s">
        <v>91</v>
      </c>
      <c r="AJ42" s="63" t="s">
        <v>92</v>
      </c>
    </row>
    <row r="43" spans="1:36">
      <c r="A43" s="168">
        <v>1</v>
      </c>
      <c r="B43" s="68" t="s">
        <v>93</v>
      </c>
      <c r="C43" s="66">
        <f>标准成本!E5</f>
        <v>56.055200000000006</v>
      </c>
      <c r="D43" s="66">
        <f t="shared" ref="D43:G45" si="15">C43</f>
        <v>56.055200000000006</v>
      </c>
      <c r="E43" s="66">
        <f t="shared" si="15"/>
        <v>56.055200000000006</v>
      </c>
      <c r="F43" s="66">
        <f t="shared" si="15"/>
        <v>56.055200000000006</v>
      </c>
      <c r="G43" s="66">
        <f t="shared" si="15"/>
        <v>56.055200000000006</v>
      </c>
      <c r="H43" s="67"/>
      <c r="S43" s="60" t="s">
        <v>93</v>
      </c>
      <c r="AI43" s="60" t="s">
        <v>28</v>
      </c>
      <c r="AJ43" s="60" t="s">
        <v>93</v>
      </c>
    </row>
    <row r="44" spans="1:36">
      <c r="A44" s="168">
        <v>2</v>
      </c>
      <c r="B44" s="68" t="s">
        <v>94</v>
      </c>
      <c r="C44" s="66">
        <f>标准成本!E9</f>
        <v>9.5704000000000011</v>
      </c>
      <c r="D44" s="66">
        <f t="shared" si="15"/>
        <v>9.5704000000000011</v>
      </c>
      <c r="E44" s="66">
        <f t="shared" si="15"/>
        <v>9.5704000000000011</v>
      </c>
      <c r="F44" s="66">
        <f t="shared" si="15"/>
        <v>9.5704000000000011</v>
      </c>
      <c r="G44" s="66">
        <f t="shared" si="15"/>
        <v>9.5704000000000011</v>
      </c>
      <c r="H44" s="67"/>
      <c r="S44" s="60" t="s">
        <v>94</v>
      </c>
      <c r="AI44" s="60" t="s">
        <v>30</v>
      </c>
      <c r="AJ44" s="60" t="s">
        <v>94</v>
      </c>
    </row>
    <row r="45" spans="1:36">
      <c r="A45" s="168">
        <v>3</v>
      </c>
      <c r="B45" s="68" t="s">
        <v>95</v>
      </c>
      <c r="C45" s="66">
        <v>30</v>
      </c>
      <c r="D45" s="66">
        <f t="shared" si="15"/>
        <v>30</v>
      </c>
      <c r="E45" s="66">
        <f t="shared" si="15"/>
        <v>30</v>
      </c>
      <c r="F45" s="66">
        <f t="shared" si="15"/>
        <v>30</v>
      </c>
      <c r="G45" s="66">
        <f t="shared" si="15"/>
        <v>30</v>
      </c>
      <c r="H45" s="67"/>
      <c r="S45" s="60" t="s">
        <v>95</v>
      </c>
      <c r="AI45" s="60" t="s">
        <v>80</v>
      </c>
      <c r="AJ45" s="60" t="s">
        <v>95</v>
      </c>
    </row>
    <row r="46" spans="1:36" s="54" customFormat="1">
      <c r="A46" s="168">
        <v>4</v>
      </c>
      <c r="B46" s="68" t="s">
        <v>96</v>
      </c>
      <c r="C46" s="73">
        <f>C21/C6</f>
        <v>5.31</v>
      </c>
      <c r="D46" s="73" t="e">
        <f>D21/D6</f>
        <v>#DIV/0!</v>
      </c>
      <c r="E46" s="73" t="e">
        <f>E21/E6</f>
        <v>#DIV/0!</v>
      </c>
      <c r="F46" s="73" t="e">
        <f>F21/F6</f>
        <v>#DIV/0!</v>
      </c>
      <c r="G46" s="73" t="e">
        <f>G21/G6</f>
        <v>#DIV/0!</v>
      </c>
      <c r="H46" s="73"/>
      <c r="S46" s="68" t="s">
        <v>98</v>
      </c>
      <c r="AI46" s="68" t="s">
        <v>36</v>
      </c>
      <c r="AJ46" s="68" t="s">
        <v>98</v>
      </c>
    </row>
    <row r="47" spans="1:36" s="54" customFormat="1">
      <c r="A47" s="168">
        <v>5</v>
      </c>
      <c r="B47" s="68" t="s">
        <v>98</v>
      </c>
      <c r="C47" s="73">
        <f>标准成本!E11</f>
        <v>41.015999999999998</v>
      </c>
      <c r="D47" s="73">
        <f>C47</f>
        <v>41.015999999999998</v>
      </c>
      <c r="E47" s="73">
        <f>D47</f>
        <v>41.015999999999998</v>
      </c>
      <c r="F47" s="73">
        <f>E47</f>
        <v>41.015999999999998</v>
      </c>
      <c r="G47" s="73">
        <f>F47</f>
        <v>41.015999999999998</v>
      </c>
      <c r="H47" s="73"/>
      <c r="S47" s="68" t="s">
        <v>98</v>
      </c>
      <c r="AI47" s="68" t="s">
        <v>36</v>
      </c>
      <c r="AJ47" s="68" t="s">
        <v>98</v>
      </c>
    </row>
    <row r="48" spans="1:36">
      <c r="A48" s="60" t="s">
        <v>91</v>
      </c>
      <c r="B48" s="63" t="s">
        <v>109</v>
      </c>
      <c r="C48" s="67">
        <f>C40-C43-C44-C45-C47-C46</f>
        <v>1590.1070399999999</v>
      </c>
      <c r="D48" s="67" t="e">
        <f>D40-D43-D44-D45-D47-D46</f>
        <v>#DIV/0!</v>
      </c>
      <c r="E48" s="67" t="e">
        <f>E40-E43-E44-E45-E47-E46</f>
        <v>#DIV/0!</v>
      </c>
      <c r="F48" s="67" t="e">
        <f>F40-F43-F44-F45-F47-F46</f>
        <v>#DIV/0!</v>
      </c>
      <c r="G48" s="67" t="e">
        <f>G40-G43-G44-G45-G47-G46</f>
        <v>#DIV/0!</v>
      </c>
      <c r="H48" s="67"/>
      <c r="S48" s="63" t="s">
        <v>109</v>
      </c>
      <c r="AI48" s="60" t="s">
        <v>108</v>
      </c>
      <c r="AJ48" s="63" t="s">
        <v>109</v>
      </c>
    </row>
    <row r="51" spans="2:13">
      <c r="C51" s="74"/>
      <c r="D51" s="74"/>
      <c r="E51" s="74"/>
      <c r="F51" s="74"/>
      <c r="G51" s="74"/>
    </row>
    <row r="54" spans="2:13">
      <c r="B54" s="75"/>
      <c r="C54" s="76"/>
      <c r="D54" s="76"/>
      <c r="E54" s="76"/>
      <c r="F54" s="76"/>
      <c r="G54" s="76"/>
      <c r="H54" s="76"/>
      <c r="I54" s="75"/>
      <c r="J54" s="75"/>
      <c r="K54" s="75"/>
      <c r="L54" s="75"/>
      <c r="M54" s="75"/>
    </row>
    <row r="55" spans="2:13">
      <c r="B55" s="75"/>
      <c r="C55" s="76"/>
      <c r="D55" s="76"/>
      <c r="E55" s="76"/>
      <c r="F55" s="76"/>
      <c r="G55" s="76"/>
      <c r="H55" s="76"/>
      <c r="I55" s="75"/>
      <c r="J55" s="75"/>
      <c r="K55" s="75"/>
      <c r="L55" s="75"/>
      <c r="M55" s="75"/>
    </row>
    <row r="56" spans="2:13">
      <c r="B56" s="75"/>
      <c r="C56" s="76"/>
      <c r="D56" s="76"/>
      <c r="E56" s="76"/>
      <c r="F56" s="76"/>
      <c r="G56" s="76"/>
      <c r="H56" s="76"/>
      <c r="I56" s="75"/>
      <c r="J56" s="75"/>
      <c r="K56" s="75"/>
      <c r="L56" s="75"/>
      <c r="M56" s="75"/>
    </row>
    <row r="57" spans="2:13">
      <c r="B57" s="75"/>
      <c r="C57" s="76"/>
      <c r="D57" s="76"/>
      <c r="E57" s="76"/>
      <c r="F57" s="76"/>
      <c r="G57" s="76"/>
      <c r="H57" s="76"/>
      <c r="I57" s="75"/>
      <c r="J57" s="75"/>
      <c r="K57" s="75"/>
      <c r="L57" s="75"/>
      <c r="M57" s="75"/>
    </row>
    <row r="58" spans="2:13">
      <c r="B58" s="75"/>
      <c r="C58" s="76"/>
      <c r="D58" s="76"/>
      <c r="E58" s="76"/>
      <c r="F58" s="76"/>
      <c r="G58" s="76"/>
      <c r="H58" s="76"/>
      <c r="I58" s="75"/>
      <c r="J58" s="75"/>
      <c r="K58" s="75"/>
      <c r="L58" s="75"/>
      <c r="M58" s="75"/>
    </row>
    <row r="59" spans="2:13">
      <c r="B59" s="75"/>
      <c r="C59" s="76"/>
      <c r="D59" s="76"/>
      <c r="E59" s="76"/>
      <c r="F59" s="76"/>
      <c r="G59" s="76"/>
      <c r="H59" s="76"/>
      <c r="I59" s="75"/>
      <c r="J59" s="75"/>
      <c r="K59" s="75"/>
      <c r="L59" s="75"/>
      <c r="M59" s="75"/>
    </row>
    <row r="60" spans="2:13">
      <c r="B60" s="75"/>
      <c r="C60" s="76"/>
      <c r="D60" s="76"/>
      <c r="E60" s="76"/>
      <c r="F60" s="76"/>
      <c r="G60" s="76"/>
      <c r="H60" s="76"/>
      <c r="I60" s="75"/>
      <c r="J60" s="75"/>
      <c r="K60" s="75"/>
      <c r="L60" s="75"/>
      <c r="M60" s="75"/>
    </row>
    <row r="61" spans="2:13">
      <c r="B61" s="75"/>
      <c r="C61" s="76"/>
      <c r="D61" s="76"/>
      <c r="E61" s="76"/>
      <c r="F61" s="76"/>
      <c r="G61" s="76"/>
      <c r="H61" s="76"/>
      <c r="I61" s="75"/>
      <c r="J61" s="75"/>
      <c r="K61" s="75"/>
      <c r="L61" s="75"/>
      <c r="M61" s="75"/>
    </row>
    <row r="62" spans="2:13">
      <c r="B62" s="75"/>
      <c r="C62" s="76"/>
      <c r="D62" s="76"/>
      <c r="E62" s="76"/>
      <c r="F62" s="76"/>
      <c r="G62" s="76"/>
      <c r="H62" s="76"/>
      <c r="I62" s="75"/>
      <c r="J62" s="75"/>
      <c r="K62" s="75"/>
      <c r="L62" s="75"/>
      <c r="M62" s="75"/>
    </row>
    <row r="63" spans="2:13">
      <c r="B63" s="75"/>
      <c r="C63" s="76"/>
      <c r="D63" s="76"/>
      <c r="E63" s="76"/>
      <c r="F63" s="76"/>
      <c r="G63" s="76"/>
      <c r="H63" s="76"/>
      <c r="I63" s="75"/>
      <c r="J63" s="75"/>
      <c r="K63" s="75"/>
      <c r="L63" s="75"/>
      <c r="M63" s="75"/>
    </row>
    <row r="64" spans="2:13">
      <c r="B64" s="75"/>
      <c r="C64" s="76"/>
      <c r="D64" s="76"/>
      <c r="E64" s="76"/>
      <c r="F64" s="76"/>
      <c r="G64" s="76"/>
      <c r="H64" s="76"/>
      <c r="I64" s="75"/>
      <c r="J64" s="75"/>
      <c r="K64" s="75"/>
      <c r="L64" s="75"/>
      <c r="M64" s="75"/>
    </row>
    <row r="65" spans="2:13">
      <c r="B65" s="75"/>
      <c r="C65" s="76"/>
      <c r="D65" s="76"/>
      <c r="E65" s="76"/>
      <c r="F65" s="76"/>
      <c r="G65" s="76"/>
      <c r="H65" s="76"/>
      <c r="I65" s="75"/>
      <c r="J65" s="75"/>
      <c r="K65" s="75"/>
      <c r="L65" s="75"/>
      <c r="M65" s="75"/>
    </row>
    <row r="66" spans="2:13">
      <c r="B66" s="75"/>
      <c r="C66" s="76"/>
      <c r="D66" s="76"/>
      <c r="E66" s="76"/>
      <c r="F66" s="76"/>
      <c r="G66" s="76"/>
      <c r="H66" s="76"/>
      <c r="I66" s="75"/>
      <c r="J66" s="75"/>
      <c r="K66" s="75"/>
      <c r="L66" s="75"/>
      <c r="M66" s="75"/>
    </row>
    <row r="67" spans="2:13">
      <c r="B67" s="75"/>
      <c r="C67" s="76"/>
      <c r="D67" s="76"/>
      <c r="E67" s="76"/>
      <c r="F67" s="76"/>
      <c r="G67" s="76"/>
      <c r="H67" s="76"/>
      <c r="I67" s="75"/>
    </row>
    <row r="68" spans="2:13">
      <c r="B68" s="75"/>
      <c r="C68" s="76"/>
      <c r="D68" s="76"/>
      <c r="E68" s="76"/>
      <c r="F68" s="76"/>
      <c r="G68" s="76"/>
      <c r="H68" s="76"/>
      <c r="I68" s="75"/>
    </row>
    <row r="69" spans="2:13">
      <c r="B69" s="75"/>
      <c r="C69" s="76"/>
      <c r="D69" s="76"/>
      <c r="E69" s="76"/>
      <c r="F69" s="76"/>
      <c r="G69" s="76"/>
      <c r="H69" s="76"/>
      <c r="I69" s="75"/>
    </row>
    <row r="70" spans="2:13">
      <c r="B70" s="75"/>
      <c r="C70" s="76"/>
      <c r="D70" s="76"/>
      <c r="E70" s="76"/>
      <c r="F70" s="76"/>
      <c r="G70" s="76"/>
      <c r="H70" s="76"/>
      <c r="I70" s="75"/>
    </row>
    <row r="71" spans="2:13">
      <c r="B71" s="75"/>
      <c r="C71" s="76"/>
      <c r="D71" s="76"/>
      <c r="E71" s="76"/>
      <c r="F71" s="76"/>
      <c r="G71" s="76"/>
      <c r="H71" s="76"/>
      <c r="I71" s="75"/>
    </row>
    <row r="72" spans="2:13">
      <c r="B72" s="75"/>
      <c r="C72" s="76"/>
      <c r="D72" s="76"/>
      <c r="E72" s="76"/>
      <c r="F72" s="76"/>
      <c r="G72" s="76"/>
      <c r="H72" s="76"/>
      <c r="I72" s="75"/>
    </row>
    <row r="73" spans="2:13">
      <c r="B73" s="75"/>
      <c r="C73" s="76"/>
      <c r="D73" s="76"/>
      <c r="E73" s="76"/>
      <c r="F73" s="76"/>
      <c r="G73" s="76"/>
      <c r="H73" s="76"/>
      <c r="I73" s="75"/>
    </row>
    <row r="74" spans="2:13">
      <c r="B74" s="75"/>
      <c r="C74" s="76"/>
      <c r="D74" s="76"/>
      <c r="E74" s="76"/>
      <c r="F74" s="76"/>
      <c r="G74" s="76"/>
      <c r="H74" s="76"/>
      <c r="I74" s="75"/>
    </row>
  </sheetData>
  <mergeCells count="8">
    <mergeCell ref="A1:B1"/>
    <mergeCell ref="C1:H1"/>
    <mergeCell ref="A2:B2"/>
    <mergeCell ref="C2:H2"/>
    <mergeCell ref="A3:B3"/>
    <mergeCell ref="H3:H5"/>
    <mergeCell ref="A4:B4"/>
    <mergeCell ref="A5:B5"/>
  </mergeCells>
  <phoneticPr fontId="39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7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74"/>
  <sheetViews>
    <sheetView workbookViewId="0">
      <pane xSplit="2" ySplit="7" topLeftCell="C14" activePane="bottomRight" state="frozen"/>
      <selection pane="topRight"/>
      <selection pane="bottomLeft"/>
      <selection pane="bottomRight" activeCell="C3" sqref="C3:E4"/>
    </sheetView>
  </sheetViews>
  <sheetFormatPr defaultColWidth="9" defaultRowHeight="16.5"/>
  <cols>
    <col min="1" max="1" width="5.125" style="55" customWidth="1"/>
    <col min="2" max="2" width="17.5" style="55" customWidth="1"/>
    <col min="3" max="3" width="15.125" style="56" bestFit="1" customWidth="1"/>
    <col min="4" max="7" width="15.5" style="56" customWidth="1"/>
    <col min="8" max="8" width="18.75" style="56" customWidth="1"/>
    <col min="9" max="9" width="12.375" style="55" customWidth="1"/>
    <col min="10" max="10" width="10.125" style="55" customWidth="1"/>
    <col min="11" max="17" width="9" style="55" customWidth="1"/>
    <col min="18" max="34" width="9" style="55"/>
    <col min="35" max="35" width="4.375" style="55" customWidth="1"/>
    <col min="36" max="36" width="13.875" style="55" customWidth="1"/>
    <col min="37" max="16384" width="9" style="55"/>
  </cols>
  <sheetData>
    <row r="1" spans="1:37">
      <c r="A1" s="194" t="s">
        <v>149</v>
      </c>
      <c r="B1" s="194"/>
      <c r="C1" s="198" t="s">
        <v>275</v>
      </c>
      <c r="D1" s="199"/>
      <c r="E1" s="199"/>
      <c r="F1" s="199"/>
      <c r="G1" s="199"/>
      <c r="H1" s="200"/>
    </row>
    <row r="2" spans="1:37">
      <c r="A2" s="194" t="s">
        <v>151</v>
      </c>
      <c r="B2" s="194"/>
      <c r="C2" s="201" t="s">
        <v>277</v>
      </c>
      <c r="D2" s="201"/>
      <c r="E2" s="201"/>
      <c r="F2" s="201"/>
      <c r="G2" s="201"/>
      <c r="H2" s="201"/>
    </row>
    <row r="3" spans="1:37">
      <c r="A3" s="194" t="s">
        <v>152</v>
      </c>
      <c r="B3" s="194"/>
      <c r="C3" s="170"/>
      <c r="D3" s="170"/>
      <c r="E3" s="170"/>
      <c r="F3" s="169"/>
      <c r="G3" s="169"/>
      <c r="H3" s="195" t="s">
        <v>24</v>
      </c>
    </row>
    <row r="4" spans="1:37">
      <c r="A4" s="194" t="s">
        <v>153</v>
      </c>
      <c r="B4" s="194"/>
      <c r="C4" s="22"/>
      <c r="D4" s="22"/>
      <c r="E4" s="22"/>
      <c r="F4" s="169"/>
      <c r="G4" s="169"/>
      <c r="H4" s="196"/>
    </row>
    <row r="5" spans="1:37">
      <c r="A5" s="194" t="s">
        <v>154</v>
      </c>
      <c r="B5" s="194"/>
      <c r="C5" s="59"/>
      <c r="D5" s="59"/>
      <c r="E5" s="59"/>
      <c r="F5" s="59"/>
      <c r="G5" s="59"/>
      <c r="H5" s="197"/>
      <c r="AK5" s="55" t="s">
        <v>25</v>
      </c>
    </row>
    <row r="6" spans="1:37" ht="17.25">
      <c r="A6" s="60" t="s">
        <v>18</v>
      </c>
      <c r="B6" s="61" t="s">
        <v>155</v>
      </c>
      <c r="C6" s="27">
        <f>销量!C12</f>
        <v>20000</v>
      </c>
      <c r="D6" s="27">
        <f>销量!D12</f>
        <v>0</v>
      </c>
      <c r="E6" s="27">
        <f>销量!E12</f>
        <v>0</v>
      </c>
      <c r="F6" s="27">
        <f>销量!F9</f>
        <v>0</v>
      </c>
      <c r="G6" s="27">
        <f>销量!G9</f>
        <v>0</v>
      </c>
      <c r="H6" s="62">
        <f t="shared" ref="H6:H15" si="0">+SUM(C6:G6)</f>
        <v>20000</v>
      </c>
      <c r="S6" s="61" t="s">
        <v>3</v>
      </c>
      <c r="AI6" s="60" t="s">
        <v>18</v>
      </c>
      <c r="AJ6" s="61" t="s">
        <v>3</v>
      </c>
      <c r="AK6" s="55" t="s">
        <v>26</v>
      </c>
    </row>
    <row r="7" spans="1:37">
      <c r="A7" s="168">
        <v>1</v>
      </c>
      <c r="B7" s="61" t="s">
        <v>27</v>
      </c>
      <c r="C7" s="62">
        <f>C6*销量!C8</f>
        <v>41680000</v>
      </c>
      <c r="D7" s="62">
        <f>D6*销量!D8</f>
        <v>0</v>
      </c>
      <c r="E7" s="62">
        <f>E6*销量!E8</f>
        <v>0</v>
      </c>
      <c r="F7" s="62">
        <f>F6*销量!F8</f>
        <v>0</v>
      </c>
      <c r="G7" s="62">
        <f>G6*销量!G8</f>
        <v>0</v>
      </c>
      <c r="H7" s="62">
        <f t="shared" si="0"/>
        <v>41680000</v>
      </c>
      <c r="I7" s="56"/>
      <c r="S7" s="61" t="s">
        <v>27</v>
      </c>
      <c r="AI7" s="60" t="s">
        <v>28</v>
      </c>
      <c r="AJ7" s="61" t="s">
        <v>27</v>
      </c>
      <c r="AK7" s="55" t="s">
        <v>26</v>
      </c>
    </row>
    <row r="8" spans="1:37">
      <c r="A8" s="168">
        <v>2</v>
      </c>
      <c r="B8" s="168" t="s">
        <v>29</v>
      </c>
      <c r="C8" s="62">
        <f>C7*(1-销量!$L$9)</f>
        <v>5944610</v>
      </c>
      <c r="D8" s="62">
        <f>D7*(1-销量!$L$9)</f>
        <v>0</v>
      </c>
      <c r="E8" s="62">
        <f>E7*(1-销量!$L$9)</f>
        <v>0</v>
      </c>
      <c r="F8" s="62"/>
      <c r="G8" s="62"/>
      <c r="H8" s="62">
        <f t="shared" si="0"/>
        <v>5944610</v>
      </c>
      <c r="I8" s="77"/>
      <c r="S8" s="168" t="s">
        <v>31</v>
      </c>
      <c r="AI8" s="60" t="s">
        <v>30</v>
      </c>
      <c r="AJ8" s="168" t="s">
        <v>31</v>
      </c>
      <c r="AK8" s="55" t="s">
        <v>26</v>
      </c>
    </row>
    <row r="9" spans="1:37">
      <c r="A9" s="168">
        <v>3</v>
      </c>
      <c r="B9" s="61" t="s">
        <v>32</v>
      </c>
      <c r="C9" s="62">
        <f>+C7-C8</f>
        <v>35735390</v>
      </c>
      <c r="D9" s="62">
        <f t="shared" ref="D9:G9" si="1">+D7-D8</f>
        <v>0</v>
      </c>
      <c r="E9" s="62">
        <f t="shared" si="1"/>
        <v>0</v>
      </c>
      <c r="F9" s="62">
        <f t="shared" si="1"/>
        <v>0</v>
      </c>
      <c r="G9" s="62">
        <f t="shared" si="1"/>
        <v>0</v>
      </c>
      <c r="H9" s="62">
        <f t="shared" si="0"/>
        <v>35735390</v>
      </c>
      <c r="S9" s="61" t="s">
        <v>32</v>
      </c>
      <c r="AI9" s="60" t="s">
        <v>33</v>
      </c>
      <c r="AJ9" s="61" t="s">
        <v>32</v>
      </c>
      <c r="AK9" s="55" t="s">
        <v>34</v>
      </c>
    </row>
    <row r="10" spans="1:37">
      <c r="A10" s="168">
        <v>4</v>
      </c>
      <c r="B10" s="60" t="s">
        <v>35</v>
      </c>
      <c r="C10" s="62">
        <f>C6*材料成本!D24</f>
        <v>0</v>
      </c>
      <c r="D10" s="62">
        <f>D6*材料成本!E24</f>
        <v>0</v>
      </c>
      <c r="E10" s="62">
        <f>E6*材料成本!F24</f>
        <v>0</v>
      </c>
      <c r="F10" s="62">
        <f>F6*材料成本!G24</f>
        <v>0</v>
      </c>
      <c r="G10" s="62">
        <f>G6*材料成本!H24</f>
        <v>0</v>
      </c>
      <c r="H10" s="62">
        <f t="shared" si="0"/>
        <v>0</v>
      </c>
      <c r="S10" s="60" t="s">
        <v>35</v>
      </c>
      <c r="AI10" s="60" t="s">
        <v>36</v>
      </c>
      <c r="AJ10" s="60" t="s">
        <v>35</v>
      </c>
      <c r="AK10" s="55" t="s">
        <v>37</v>
      </c>
    </row>
    <row r="11" spans="1:37">
      <c r="A11" s="168">
        <v>5</v>
      </c>
      <c r="B11" s="60" t="s">
        <v>38</v>
      </c>
      <c r="C11" s="62">
        <f>+C6*C36</f>
        <v>1178526.4000000001</v>
      </c>
      <c r="D11" s="62">
        <f>+D6*D36</f>
        <v>0</v>
      </c>
      <c r="E11" s="62">
        <f>+E6*E36</f>
        <v>0</v>
      </c>
      <c r="F11" s="62">
        <f>+F6*F36</f>
        <v>0</v>
      </c>
      <c r="G11" s="62">
        <f>+G6*G36</f>
        <v>0</v>
      </c>
      <c r="H11" s="62">
        <f t="shared" si="0"/>
        <v>1178526.4000000001</v>
      </c>
      <c r="S11" s="60" t="s">
        <v>38</v>
      </c>
      <c r="AI11" s="60" t="s">
        <v>39</v>
      </c>
      <c r="AJ11" s="60" t="s">
        <v>38</v>
      </c>
    </row>
    <row r="12" spans="1:37">
      <c r="A12" s="168">
        <v>6</v>
      </c>
      <c r="B12" s="60" t="s">
        <v>40</v>
      </c>
      <c r="C12" s="62">
        <f>+C6*C37</f>
        <v>593364.80000000005</v>
      </c>
      <c r="D12" s="62">
        <f>+D6*D37</f>
        <v>0</v>
      </c>
      <c r="E12" s="62">
        <f>+E6*E37</f>
        <v>0</v>
      </c>
      <c r="F12" s="62">
        <f>+F6*F37</f>
        <v>0</v>
      </c>
      <c r="G12" s="62">
        <f>+G6*G37</f>
        <v>0</v>
      </c>
      <c r="H12" s="62">
        <f t="shared" si="0"/>
        <v>593364.80000000005</v>
      </c>
      <c r="S12" s="60" t="s">
        <v>40</v>
      </c>
      <c r="AI12" s="60" t="s">
        <v>41</v>
      </c>
      <c r="AJ12" s="60" t="s">
        <v>40</v>
      </c>
    </row>
    <row r="13" spans="1:37">
      <c r="A13" s="168">
        <v>7</v>
      </c>
      <c r="B13" s="60" t="s">
        <v>42</v>
      </c>
      <c r="C13" s="62">
        <f>+C6*C38</f>
        <v>1203136</v>
      </c>
      <c r="D13" s="62">
        <f t="shared" ref="D13:G13" si="2">+D6*D38</f>
        <v>0</v>
      </c>
      <c r="E13" s="62">
        <f t="shared" si="2"/>
        <v>0</v>
      </c>
      <c r="F13" s="62">
        <f t="shared" si="2"/>
        <v>0</v>
      </c>
      <c r="G13" s="62">
        <f t="shared" si="2"/>
        <v>0</v>
      </c>
      <c r="H13" s="62">
        <f t="shared" si="0"/>
        <v>1203136</v>
      </c>
      <c r="S13" s="60" t="s">
        <v>42</v>
      </c>
      <c r="AI13" s="60" t="s">
        <v>43</v>
      </c>
      <c r="AJ13" s="60" t="s">
        <v>42</v>
      </c>
      <c r="AK13" s="55" t="s">
        <v>26</v>
      </c>
    </row>
    <row r="14" spans="1:37">
      <c r="A14" s="168">
        <v>8</v>
      </c>
      <c r="B14" s="63" t="s">
        <v>44</v>
      </c>
      <c r="C14" s="62">
        <f>SUM(C11:C13)</f>
        <v>2975027.2000000002</v>
      </c>
      <c r="D14" s="62">
        <f t="shared" ref="D14:G14" si="3">SUM(D11:D13)</f>
        <v>0</v>
      </c>
      <c r="E14" s="62">
        <f t="shared" si="3"/>
        <v>0</v>
      </c>
      <c r="F14" s="62">
        <f t="shared" si="3"/>
        <v>0</v>
      </c>
      <c r="G14" s="62">
        <f t="shared" si="3"/>
        <v>0</v>
      </c>
      <c r="H14" s="62">
        <f t="shared" si="0"/>
        <v>2975027.2000000002</v>
      </c>
      <c r="S14" s="63" t="s">
        <v>44</v>
      </c>
      <c r="AI14" s="60" t="s">
        <v>45</v>
      </c>
      <c r="AJ14" s="63" t="s">
        <v>44</v>
      </c>
    </row>
    <row r="15" spans="1:37">
      <c r="A15" s="168">
        <v>9</v>
      </c>
      <c r="B15" s="63" t="s">
        <v>46</v>
      </c>
      <c r="C15" s="62">
        <f>+C9-C10-C14</f>
        <v>32760362.800000001</v>
      </c>
      <c r="D15" s="62">
        <f t="shared" ref="D15:G15" si="4">+D9-D10-D14</f>
        <v>0</v>
      </c>
      <c r="E15" s="62">
        <f t="shared" si="4"/>
        <v>0</v>
      </c>
      <c r="F15" s="62">
        <f t="shared" si="4"/>
        <v>0</v>
      </c>
      <c r="G15" s="62">
        <f t="shared" si="4"/>
        <v>0</v>
      </c>
      <c r="H15" s="62">
        <f t="shared" si="0"/>
        <v>32760362.800000001</v>
      </c>
      <c r="S15" s="63" t="s">
        <v>46</v>
      </c>
      <c r="AI15" s="60" t="s">
        <v>47</v>
      </c>
      <c r="AJ15" s="63" t="s">
        <v>46</v>
      </c>
    </row>
    <row r="16" spans="1:37">
      <c r="A16" s="168">
        <v>10</v>
      </c>
      <c r="B16" s="60" t="s">
        <v>48</v>
      </c>
      <c r="C16" s="64">
        <f>+C15/C9</f>
        <v>0.91674843341572598</v>
      </c>
      <c r="D16" s="64" t="e">
        <f t="shared" ref="D16:H16" si="5">+D15/D9</f>
        <v>#DIV/0!</v>
      </c>
      <c r="E16" s="64" t="e">
        <f t="shared" si="5"/>
        <v>#DIV/0!</v>
      </c>
      <c r="F16" s="64" t="e">
        <f t="shared" si="5"/>
        <v>#DIV/0!</v>
      </c>
      <c r="G16" s="64" t="e">
        <f t="shared" si="5"/>
        <v>#DIV/0!</v>
      </c>
      <c r="H16" s="64">
        <f t="shared" si="5"/>
        <v>0.91674843341572598</v>
      </c>
      <c r="S16" s="60" t="s">
        <v>48</v>
      </c>
      <c r="AI16" s="60" t="s">
        <v>49</v>
      </c>
      <c r="AJ16" s="60" t="s">
        <v>48</v>
      </c>
    </row>
    <row r="17" spans="1:37">
      <c r="A17" s="168">
        <v>11</v>
      </c>
      <c r="B17" s="60" t="s">
        <v>50</v>
      </c>
      <c r="C17" s="62">
        <f>C6*C43+C18</f>
        <v>1844244</v>
      </c>
      <c r="D17" s="62">
        <f>D6*D43+D18</f>
        <v>0</v>
      </c>
      <c r="E17" s="62">
        <f>E6*E43+E18</f>
        <v>0</v>
      </c>
      <c r="F17" s="62">
        <f>F6*F43+F18</f>
        <v>0</v>
      </c>
      <c r="G17" s="62">
        <f>G6*G43+G18</f>
        <v>0</v>
      </c>
      <c r="H17" s="62">
        <f>SUM(C17:G17)</f>
        <v>1844244</v>
      </c>
      <c r="I17" s="77"/>
      <c r="S17" s="60" t="s">
        <v>50</v>
      </c>
      <c r="AI17" s="60" t="s">
        <v>51</v>
      </c>
      <c r="AJ17" s="60" t="s">
        <v>50</v>
      </c>
    </row>
    <row r="18" spans="1:37" s="53" customFormat="1">
      <c r="A18" s="168">
        <v>12</v>
      </c>
      <c r="B18" s="65" t="s">
        <v>156</v>
      </c>
      <c r="C18" s="66">
        <f>$H$18/$H$6*C6</f>
        <v>723139.99999999988</v>
      </c>
      <c r="D18" s="66">
        <f>$H$18/$H$6*D6</f>
        <v>0</v>
      </c>
      <c r="E18" s="66">
        <f>$H$18/$H$6*E6</f>
        <v>0</v>
      </c>
      <c r="F18" s="66">
        <f>$H$18/$H$6*F6</f>
        <v>0</v>
      </c>
      <c r="G18" s="66">
        <f>$H$18/$H$6*G6</f>
        <v>0</v>
      </c>
      <c r="H18" s="66">
        <f>项目投资!D26</f>
        <v>723140</v>
      </c>
      <c r="I18" s="78" t="s">
        <v>157</v>
      </c>
      <c r="J18" s="78"/>
      <c r="K18" s="78"/>
    </row>
    <row r="19" spans="1:37">
      <c r="A19" s="168">
        <v>13</v>
      </c>
      <c r="B19" s="60" t="s">
        <v>52</v>
      </c>
      <c r="C19" s="62">
        <f>C6*C44</f>
        <v>191408.00000000003</v>
      </c>
      <c r="D19" s="62">
        <f>D6*D44</f>
        <v>0</v>
      </c>
      <c r="E19" s="62">
        <f>E6*E44</f>
        <v>0</v>
      </c>
      <c r="F19" s="62">
        <f>F6*F44</f>
        <v>0</v>
      </c>
      <c r="G19" s="62">
        <f>G6*G44</f>
        <v>0</v>
      </c>
      <c r="H19" s="62">
        <f>SUM(C19:G19)</f>
        <v>191408.00000000003</v>
      </c>
      <c r="I19" s="53"/>
      <c r="S19" s="60" t="s">
        <v>52</v>
      </c>
      <c r="AI19" s="60" t="s">
        <v>53</v>
      </c>
      <c r="AJ19" s="60" t="s">
        <v>52</v>
      </c>
      <c r="AK19" s="55" t="s">
        <v>26</v>
      </c>
    </row>
    <row r="20" spans="1:37">
      <c r="A20" s="168">
        <v>14</v>
      </c>
      <c r="B20" s="60" t="s">
        <v>54</v>
      </c>
      <c r="C20" s="62">
        <f>C6*C45</f>
        <v>600000</v>
      </c>
      <c r="D20" s="62">
        <f>D6*D45</f>
        <v>0</v>
      </c>
      <c r="E20" s="62">
        <f>E6*E45</f>
        <v>0</v>
      </c>
      <c r="F20" s="62">
        <f>F6*F45</f>
        <v>0</v>
      </c>
      <c r="G20" s="62">
        <f>G6*G45</f>
        <v>0</v>
      </c>
      <c r="H20" s="62">
        <f>SUM(C20:G20)</f>
        <v>600000</v>
      </c>
      <c r="S20" s="60" t="s">
        <v>54</v>
      </c>
      <c r="AI20" s="60" t="s">
        <v>55</v>
      </c>
      <c r="AJ20" s="60" t="s">
        <v>54</v>
      </c>
    </row>
    <row r="21" spans="1:37">
      <c r="A21" s="168">
        <v>15</v>
      </c>
      <c r="B21" s="60" t="s">
        <v>56</v>
      </c>
      <c r="C21" s="67">
        <f>$H$21/$H$6*C6</f>
        <v>26549.999999999996</v>
      </c>
      <c r="D21" s="67">
        <f>$H$21/$H$6*D6</f>
        <v>0</v>
      </c>
      <c r="E21" s="67">
        <f>$H$21/$H$6*E6</f>
        <v>0</v>
      </c>
      <c r="F21" s="67">
        <f>$H$21/$H$6*F6</f>
        <v>0</v>
      </c>
      <c r="G21" s="67">
        <f>$H$21/$H$6*G6</f>
        <v>0</v>
      </c>
      <c r="H21" s="62">
        <f>项目投资!D27</f>
        <v>26550</v>
      </c>
      <c r="S21" s="60" t="s">
        <v>56</v>
      </c>
      <c r="AI21" s="60"/>
      <c r="AJ21" s="60"/>
    </row>
    <row r="22" spans="1:37">
      <c r="A22" s="168">
        <v>16</v>
      </c>
      <c r="B22" s="60" t="s">
        <v>57</v>
      </c>
      <c r="C22" s="62">
        <f>C6*C47</f>
        <v>820320</v>
      </c>
      <c r="D22" s="62">
        <f>D6*D47</f>
        <v>0</v>
      </c>
      <c r="E22" s="62">
        <f>E6*E47</f>
        <v>0</v>
      </c>
      <c r="F22" s="62">
        <f>F6*F47</f>
        <v>0</v>
      </c>
      <c r="G22" s="62">
        <f>G6*G47</f>
        <v>0</v>
      </c>
      <c r="H22" s="62">
        <f>+SUM(C22:G22)</f>
        <v>820320</v>
      </c>
      <c r="S22" s="60" t="s">
        <v>57</v>
      </c>
      <c r="AI22" s="60" t="s">
        <v>58</v>
      </c>
      <c r="AJ22" s="60" t="s">
        <v>57</v>
      </c>
    </row>
    <row r="23" spans="1:37">
      <c r="A23" s="168">
        <v>17</v>
      </c>
      <c r="B23" s="63" t="s">
        <v>59</v>
      </c>
      <c r="C23" s="67">
        <f>+C22+C21+C20+C19+C17</f>
        <v>3482522</v>
      </c>
      <c r="D23" s="67">
        <f>+D22+D21+D20+D19+D17</f>
        <v>0</v>
      </c>
      <c r="E23" s="67">
        <f>+E22+E21+E20+E19+E17</f>
        <v>0</v>
      </c>
      <c r="F23" s="67">
        <f>+F22+F21+F20+F19+F17</f>
        <v>0</v>
      </c>
      <c r="G23" s="67">
        <f>+G22+G21+G20+G19+G17</f>
        <v>0</v>
      </c>
      <c r="H23" s="67">
        <f t="shared" ref="H23" si="6">+H22+H21+H20+H19+H17</f>
        <v>3482522</v>
      </c>
      <c r="S23" s="63" t="s">
        <v>59</v>
      </c>
      <c r="AI23" s="60" t="s">
        <v>60</v>
      </c>
      <c r="AJ23" s="63" t="s">
        <v>59</v>
      </c>
    </row>
    <row r="24" spans="1:37">
      <c r="A24" s="168">
        <v>18</v>
      </c>
      <c r="B24" s="68" t="s">
        <v>61</v>
      </c>
      <c r="C24" s="67">
        <f>+C15-C23</f>
        <v>29277840.800000001</v>
      </c>
      <c r="D24" s="67">
        <f>+D15-D23</f>
        <v>0</v>
      </c>
      <c r="E24" s="67">
        <f>+E15-E23</f>
        <v>0</v>
      </c>
      <c r="F24" s="67">
        <f>+F15-F23</f>
        <v>0</v>
      </c>
      <c r="G24" s="67">
        <f>+G15-G23</f>
        <v>0</v>
      </c>
      <c r="H24" s="67">
        <f t="shared" ref="H24" si="7">+H15-H23</f>
        <v>29277840.800000001</v>
      </c>
      <c r="J24" s="79"/>
      <c r="S24" s="60" t="s">
        <v>61</v>
      </c>
      <c r="AI24" s="60" t="s">
        <v>62</v>
      </c>
      <c r="AJ24" s="60" t="s">
        <v>61</v>
      </c>
    </row>
    <row r="25" spans="1:37">
      <c r="A25" s="168">
        <v>19</v>
      </c>
      <c r="B25" s="60" t="s">
        <v>158</v>
      </c>
      <c r="C25" s="67">
        <f>IF(C24&lt;0,0,C24*0.25)</f>
        <v>7319460.2000000002</v>
      </c>
      <c r="D25" s="67">
        <f>IF(D24&lt;0,0,D24*0.25)</f>
        <v>0</v>
      </c>
      <c r="E25" s="67">
        <f>IF(E24&lt;0,0,E24*0.25)</f>
        <v>0</v>
      </c>
      <c r="F25" s="67">
        <f>IF(F24&lt;0,0,F24*0.25)</f>
        <v>0</v>
      </c>
      <c r="G25" s="67">
        <f>IF(G24&lt;0,0,G24*0.25)</f>
        <v>0</v>
      </c>
      <c r="H25" s="67">
        <f t="shared" ref="H25" si="8">IF(H24&lt;0,0,H24*0.25)</f>
        <v>7319460.2000000002</v>
      </c>
      <c r="I25" s="75"/>
      <c r="J25" s="75"/>
      <c r="K25" s="75"/>
      <c r="S25" s="60" t="s">
        <v>63</v>
      </c>
      <c r="AI25" s="60" t="s">
        <v>64</v>
      </c>
      <c r="AJ25" s="60" t="s">
        <v>63</v>
      </c>
    </row>
    <row r="26" spans="1:37">
      <c r="A26" s="168">
        <v>20</v>
      </c>
      <c r="B26" s="60" t="s">
        <v>65</v>
      </c>
      <c r="C26" s="67">
        <f t="shared" ref="C26" si="9">C24-C25</f>
        <v>21958380.600000001</v>
      </c>
      <c r="D26" s="67">
        <f>D24-D25</f>
        <v>0</v>
      </c>
      <c r="E26" s="67">
        <f>E24-E25</f>
        <v>0</v>
      </c>
      <c r="F26" s="67">
        <f>F24-F25</f>
        <v>0</v>
      </c>
      <c r="G26" s="67">
        <f>G24-G25</f>
        <v>0</v>
      </c>
      <c r="H26" s="62">
        <f>+SUM(C26:G26)</f>
        <v>21958380.600000001</v>
      </c>
      <c r="I26" s="75"/>
      <c r="J26" s="75"/>
      <c r="K26" s="75"/>
      <c r="S26" s="60" t="s">
        <v>65</v>
      </c>
      <c r="AI26" s="60" t="s">
        <v>66</v>
      </c>
      <c r="AJ26" s="60" t="s">
        <v>65</v>
      </c>
    </row>
    <row r="27" spans="1:37">
      <c r="A27" s="168">
        <v>21</v>
      </c>
      <c r="B27" s="60" t="s">
        <v>69</v>
      </c>
      <c r="C27" s="69">
        <f t="shared" ref="C27:H27" si="10">C26/C7</f>
        <v>0.52683254798464496</v>
      </c>
      <c r="D27" s="69" t="e">
        <f t="shared" si="10"/>
        <v>#DIV/0!</v>
      </c>
      <c r="E27" s="69" t="e">
        <f t="shared" si="10"/>
        <v>#DIV/0!</v>
      </c>
      <c r="F27" s="69" t="e">
        <f t="shared" si="10"/>
        <v>#DIV/0!</v>
      </c>
      <c r="G27" s="69" t="e">
        <f t="shared" si="10"/>
        <v>#DIV/0!</v>
      </c>
      <c r="H27" s="69">
        <f t="shared" si="10"/>
        <v>0.52683254798464496</v>
      </c>
      <c r="I27" s="75"/>
      <c r="J27" s="75"/>
      <c r="K27" s="75"/>
      <c r="S27" s="60" t="s">
        <v>69</v>
      </c>
      <c r="AI27" s="60" t="s">
        <v>68</v>
      </c>
      <c r="AJ27" s="60" t="s">
        <v>69</v>
      </c>
    </row>
    <row r="28" spans="1:37">
      <c r="I28" s="75"/>
      <c r="J28" s="75"/>
      <c r="K28" s="75"/>
      <c r="S28" s="60"/>
    </row>
    <row r="29" spans="1:37">
      <c r="A29" s="55" t="s">
        <v>70</v>
      </c>
      <c r="H29" s="56" t="s">
        <v>159</v>
      </c>
      <c r="I29" s="75"/>
      <c r="J29" s="75"/>
      <c r="K29" s="75"/>
      <c r="S29" s="60"/>
      <c r="AI29" s="55" t="s">
        <v>70</v>
      </c>
    </row>
    <row r="30" spans="1:37">
      <c r="A30" s="60" t="s">
        <v>75</v>
      </c>
      <c r="B30" s="63" t="s">
        <v>76</v>
      </c>
      <c r="C30" s="67"/>
      <c r="D30" s="67"/>
      <c r="E30" s="67"/>
      <c r="F30" s="67"/>
      <c r="G30" s="67"/>
      <c r="H30" s="67"/>
      <c r="I30" s="75"/>
      <c r="J30" s="75"/>
      <c r="K30" s="75"/>
      <c r="M30" s="75"/>
      <c r="S30" s="63" t="s">
        <v>76</v>
      </c>
      <c r="AI30" s="60" t="s">
        <v>77</v>
      </c>
      <c r="AJ30" s="63" t="s">
        <v>76</v>
      </c>
    </row>
    <row r="31" spans="1:37">
      <c r="A31" s="168">
        <v>1</v>
      </c>
      <c r="B31" s="65" t="s">
        <v>78</v>
      </c>
      <c r="C31" s="71">
        <f>销量!C8</f>
        <v>2084</v>
      </c>
      <c r="D31" s="71">
        <f>销量!D8</f>
        <v>0</v>
      </c>
      <c r="E31" s="71">
        <f>销量!E8</f>
        <v>0</v>
      </c>
      <c r="F31" s="71">
        <f>销量!F8</f>
        <v>0</v>
      </c>
      <c r="G31" s="71">
        <f>销量!G8</f>
        <v>0</v>
      </c>
      <c r="H31" s="67"/>
      <c r="I31" s="75"/>
      <c r="J31" s="75"/>
      <c r="K31" s="75"/>
      <c r="M31" s="75"/>
      <c r="S31" s="60" t="s">
        <v>78</v>
      </c>
      <c r="AI31" s="60" t="s">
        <v>28</v>
      </c>
      <c r="AJ31" s="60" t="s">
        <v>78</v>
      </c>
    </row>
    <row r="32" spans="1:37">
      <c r="A32" s="168">
        <v>2</v>
      </c>
      <c r="B32" s="60" t="s">
        <v>160</v>
      </c>
      <c r="C32" s="62">
        <f>C9/C6</f>
        <v>1786.7695000000001</v>
      </c>
      <c r="D32" s="62" t="e">
        <f>D9/D6</f>
        <v>#DIV/0!</v>
      </c>
      <c r="E32" s="62">
        <f t="shared" ref="E32:G32" si="11">E31*1</f>
        <v>0</v>
      </c>
      <c r="F32" s="62">
        <f t="shared" si="11"/>
        <v>0</v>
      </c>
      <c r="G32" s="62">
        <f t="shared" si="11"/>
        <v>0</v>
      </c>
      <c r="H32" s="67"/>
      <c r="I32" s="75"/>
      <c r="J32" s="75"/>
      <c r="K32" s="75"/>
      <c r="L32" s="75"/>
      <c r="M32" s="75"/>
      <c r="N32" s="75"/>
      <c r="O32" s="75"/>
      <c r="AI32" s="60"/>
      <c r="AJ32" s="60"/>
    </row>
    <row r="33" spans="1:36">
      <c r="A33" s="168">
        <v>3</v>
      </c>
      <c r="B33" s="65" t="s">
        <v>79</v>
      </c>
      <c r="C33" s="62">
        <f>材料成本!D24</f>
        <v>0</v>
      </c>
      <c r="D33" s="62">
        <f>材料成本!E24</f>
        <v>0</v>
      </c>
      <c r="E33" s="62">
        <f>材料成本!F24</f>
        <v>0</v>
      </c>
      <c r="F33" s="62">
        <f>材料成本!G24</f>
        <v>0</v>
      </c>
      <c r="G33" s="62">
        <f>材料成本!H24</f>
        <v>0</v>
      </c>
      <c r="H33" s="67"/>
      <c r="J33" s="75"/>
      <c r="K33" s="75"/>
      <c r="L33" s="75"/>
      <c r="M33" s="75"/>
      <c r="N33" s="75"/>
      <c r="O33" s="75"/>
      <c r="S33" s="60" t="s">
        <v>79</v>
      </c>
      <c r="AI33" s="60" t="s">
        <v>30</v>
      </c>
      <c r="AJ33" s="60" t="s">
        <v>79</v>
      </c>
    </row>
    <row r="34" spans="1:36" ht="17.25" customHeight="1">
      <c r="A34" s="168">
        <v>4</v>
      </c>
      <c r="B34" s="60" t="s">
        <v>81</v>
      </c>
      <c r="C34" s="72">
        <f>C32-C33</f>
        <v>1786.7695000000001</v>
      </c>
      <c r="D34" s="72" t="e">
        <f t="shared" ref="D34:G34" si="12">D32-D33</f>
        <v>#DIV/0!</v>
      </c>
      <c r="E34" s="72">
        <f t="shared" si="12"/>
        <v>0</v>
      </c>
      <c r="F34" s="72">
        <f t="shared" si="12"/>
        <v>0</v>
      </c>
      <c r="G34" s="72">
        <f t="shared" si="12"/>
        <v>0</v>
      </c>
      <c r="H34" s="67"/>
      <c r="J34" s="75"/>
      <c r="K34" s="75"/>
      <c r="L34" s="75"/>
      <c r="M34" s="75"/>
      <c r="N34" s="75"/>
      <c r="O34" s="75"/>
      <c r="S34" s="60" t="s">
        <v>81</v>
      </c>
      <c r="AI34" s="60" t="s">
        <v>80</v>
      </c>
      <c r="AJ34" s="60" t="s">
        <v>81</v>
      </c>
    </row>
    <row r="35" spans="1:36">
      <c r="A35" s="60" t="s">
        <v>77</v>
      </c>
      <c r="B35" s="63" t="s">
        <v>10</v>
      </c>
      <c r="C35" s="67"/>
      <c r="D35" s="67"/>
      <c r="E35" s="67"/>
      <c r="F35" s="67"/>
      <c r="G35" s="67"/>
      <c r="H35" s="67"/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63" t="s">
        <v>10</v>
      </c>
      <c r="AI35" s="60" t="s">
        <v>83</v>
      </c>
      <c r="AJ35" s="63" t="s">
        <v>10</v>
      </c>
    </row>
    <row r="36" spans="1:36">
      <c r="A36" s="168">
        <v>1</v>
      </c>
      <c r="B36" s="60" t="s">
        <v>84</v>
      </c>
      <c r="C36" s="66">
        <f>标准成本!E4</f>
        <v>58.926320000000004</v>
      </c>
      <c r="D36" s="66">
        <f t="shared" ref="D36:G38" si="13">C36</f>
        <v>58.926320000000004</v>
      </c>
      <c r="E36" s="66">
        <f t="shared" si="13"/>
        <v>58.926320000000004</v>
      </c>
      <c r="F36" s="66">
        <f t="shared" si="13"/>
        <v>58.926320000000004</v>
      </c>
      <c r="G36" s="66">
        <f t="shared" si="13"/>
        <v>58.926320000000004</v>
      </c>
      <c r="H36" s="71"/>
      <c r="I36" s="75"/>
      <c r="J36" s="75"/>
      <c r="K36" s="75"/>
      <c r="L36" s="75"/>
      <c r="M36" s="75"/>
      <c r="N36" s="75"/>
      <c r="O36" s="75"/>
      <c r="P36" s="75"/>
      <c r="Q36" s="75"/>
      <c r="R36" s="75"/>
      <c r="S36" s="60" t="s">
        <v>84</v>
      </c>
      <c r="AI36" s="60" t="s">
        <v>80</v>
      </c>
      <c r="AJ36" s="60" t="s">
        <v>84</v>
      </c>
    </row>
    <row r="37" spans="1:36">
      <c r="A37" s="168">
        <v>2</v>
      </c>
      <c r="B37" s="60" t="s">
        <v>85</v>
      </c>
      <c r="C37" s="66">
        <f>标准成本!E6</f>
        <v>29.668240000000001</v>
      </c>
      <c r="D37" s="66">
        <f t="shared" si="13"/>
        <v>29.668240000000001</v>
      </c>
      <c r="E37" s="66">
        <f t="shared" si="13"/>
        <v>29.668240000000001</v>
      </c>
      <c r="F37" s="66">
        <f t="shared" si="13"/>
        <v>29.668240000000001</v>
      </c>
      <c r="G37" s="66">
        <f t="shared" si="13"/>
        <v>29.668240000000001</v>
      </c>
      <c r="H37" s="71"/>
      <c r="I37" s="75"/>
      <c r="J37" s="75"/>
      <c r="K37" s="75"/>
      <c r="L37" s="75"/>
      <c r="M37" s="75"/>
      <c r="N37" s="75"/>
      <c r="O37" s="75"/>
      <c r="P37" s="75"/>
      <c r="Q37" s="75"/>
      <c r="R37" s="75"/>
      <c r="S37" s="60" t="s">
        <v>85</v>
      </c>
      <c r="AI37" s="60" t="s">
        <v>33</v>
      </c>
      <c r="AJ37" s="60" t="s">
        <v>85</v>
      </c>
    </row>
    <row r="38" spans="1:36">
      <c r="A38" s="168">
        <v>3</v>
      </c>
      <c r="B38" s="60" t="s">
        <v>86</v>
      </c>
      <c r="C38" s="66">
        <f>标准成本!E10</f>
        <v>60.156799999999997</v>
      </c>
      <c r="D38" s="66">
        <f t="shared" si="13"/>
        <v>60.156799999999997</v>
      </c>
      <c r="E38" s="66">
        <f t="shared" si="13"/>
        <v>60.156799999999997</v>
      </c>
      <c r="F38" s="66">
        <f t="shared" si="13"/>
        <v>60.156799999999997</v>
      </c>
      <c r="G38" s="66">
        <f t="shared" si="13"/>
        <v>60.156799999999997</v>
      </c>
      <c r="H38" s="71"/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60" t="s">
        <v>86</v>
      </c>
      <c r="AI38" s="60" t="s">
        <v>39</v>
      </c>
      <c r="AJ38" s="60" t="s">
        <v>86</v>
      </c>
    </row>
    <row r="39" spans="1:36">
      <c r="A39" s="60" t="s">
        <v>83</v>
      </c>
      <c r="B39" s="63" t="s">
        <v>88</v>
      </c>
      <c r="C39" s="67"/>
      <c r="D39" s="67"/>
      <c r="E39" s="67"/>
      <c r="F39" s="67"/>
      <c r="G39" s="67"/>
      <c r="H39" s="67"/>
      <c r="S39" s="63" t="s">
        <v>88</v>
      </c>
      <c r="AI39" s="60" t="s">
        <v>87</v>
      </c>
      <c r="AJ39" s="63" t="s">
        <v>88</v>
      </c>
    </row>
    <row r="40" spans="1:36">
      <c r="A40" s="168">
        <v>1</v>
      </c>
      <c r="B40" s="60" t="s">
        <v>89</v>
      </c>
      <c r="C40" s="67">
        <f>C34-C36-C37-C38</f>
        <v>1638.0181400000001</v>
      </c>
      <c r="D40" s="67" t="e">
        <f t="shared" ref="D40:G40" si="14">D34-D36-D37-D38</f>
        <v>#DIV/0!</v>
      </c>
      <c r="E40" s="67">
        <f t="shared" si="14"/>
        <v>-148.75136000000001</v>
      </c>
      <c r="F40" s="67">
        <f t="shared" si="14"/>
        <v>-148.75136000000001</v>
      </c>
      <c r="G40" s="67">
        <f t="shared" si="14"/>
        <v>-148.75136000000001</v>
      </c>
      <c r="H40" s="67"/>
      <c r="S40" s="60" t="s">
        <v>89</v>
      </c>
      <c r="AI40" s="60" t="s">
        <v>28</v>
      </c>
      <c r="AJ40" s="60" t="s">
        <v>89</v>
      </c>
    </row>
    <row r="41" spans="1:36">
      <c r="A41" s="168">
        <v>2</v>
      </c>
      <c r="B41" s="60" t="s">
        <v>90</v>
      </c>
      <c r="C41" s="67"/>
      <c r="D41" s="67"/>
      <c r="E41" s="67"/>
      <c r="F41" s="67"/>
      <c r="G41" s="67"/>
      <c r="H41" s="67"/>
      <c r="S41" s="60" t="s">
        <v>90</v>
      </c>
      <c r="AI41" s="60" t="s">
        <v>30</v>
      </c>
      <c r="AJ41" s="60" t="s">
        <v>90</v>
      </c>
    </row>
    <row r="42" spans="1:36">
      <c r="A42" s="60" t="s">
        <v>87</v>
      </c>
      <c r="B42" s="63" t="s">
        <v>92</v>
      </c>
      <c r="C42" s="67"/>
      <c r="D42" s="67"/>
      <c r="E42" s="67"/>
      <c r="F42" s="67"/>
      <c r="G42" s="67"/>
      <c r="H42" s="67"/>
      <c r="S42" s="63" t="s">
        <v>92</v>
      </c>
      <c r="AI42" s="60" t="s">
        <v>91</v>
      </c>
      <c r="AJ42" s="63" t="s">
        <v>92</v>
      </c>
    </row>
    <row r="43" spans="1:36">
      <c r="A43" s="168">
        <v>1</v>
      </c>
      <c r="B43" s="68" t="s">
        <v>93</v>
      </c>
      <c r="C43" s="66">
        <f>标准成本!E5</f>
        <v>56.055200000000006</v>
      </c>
      <c r="D43" s="66">
        <f t="shared" ref="D43:G45" si="15">C43</f>
        <v>56.055200000000006</v>
      </c>
      <c r="E43" s="66">
        <f t="shared" si="15"/>
        <v>56.055200000000006</v>
      </c>
      <c r="F43" s="66">
        <f t="shared" si="15"/>
        <v>56.055200000000006</v>
      </c>
      <c r="G43" s="66">
        <f t="shared" si="15"/>
        <v>56.055200000000006</v>
      </c>
      <c r="H43" s="67"/>
      <c r="S43" s="60" t="s">
        <v>93</v>
      </c>
      <c r="AI43" s="60" t="s">
        <v>28</v>
      </c>
      <c r="AJ43" s="60" t="s">
        <v>93</v>
      </c>
    </row>
    <row r="44" spans="1:36">
      <c r="A44" s="168">
        <v>2</v>
      </c>
      <c r="B44" s="68" t="s">
        <v>94</v>
      </c>
      <c r="C44" s="66">
        <f>标准成本!E9</f>
        <v>9.5704000000000011</v>
      </c>
      <c r="D44" s="66">
        <f t="shared" si="15"/>
        <v>9.5704000000000011</v>
      </c>
      <c r="E44" s="66">
        <f t="shared" si="15"/>
        <v>9.5704000000000011</v>
      </c>
      <c r="F44" s="66">
        <f t="shared" si="15"/>
        <v>9.5704000000000011</v>
      </c>
      <c r="G44" s="66">
        <f t="shared" si="15"/>
        <v>9.5704000000000011</v>
      </c>
      <c r="H44" s="67"/>
      <c r="S44" s="60" t="s">
        <v>94</v>
      </c>
      <c r="AI44" s="60" t="s">
        <v>30</v>
      </c>
      <c r="AJ44" s="60" t="s">
        <v>94</v>
      </c>
    </row>
    <row r="45" spans="1:36">
      <c r="A45" s="168">
        <v>3</v>
      </c>
      <c r="B45" s="68" t="s">
        <v>95</v>
      </c>
      <c r="C45" s="66">
        <v>30</v>
      </c>
      <c r="D45" s="66">
        <f t="shared" si="15"/>
        <v>30</v>
      </c>
      <c r="E45" s="66">
        <f t="shared" si="15"/>
        <v>30</v>
      </c>
      <c r="F45" s="66">
        <f t="shared" si="15"/>
        <v>30</v>
      </c>
      <c r="G45" s="66">
        <f t="shared" si="15"/>
        <v>30</v>
      </c>
      <c r="H45" s="67"/>
      <c r="S45" s="60" t="s">
        <v>95</v>
      </c>
      <c r="AI45" s="60" t="s">
        <v>80</v>
      </c>
      <c r="AJ45" s="60" t="s">
        <v>95</v>
      </c>
    </row>
    <row r="46" spans="1:36" s="54" customFormat="1">
      <c r="A46" s="168">
        <v>4</v>
      </c>
      <c r="B46" s="68" t="s">
        <v>96</v>
      </c>
      <c r="C46" s="73">
        <f>C21/C6</f>
        <v>1.3274999999999999</v>
      </c>
      <c r="D46" s="73" t="e">
        <f>D21/D6</f>
        <v>#DIV/0!</v>
      </c>
      <c r="E46" s="73" t="e">
        <f>E21/E6</f>
        <v>#DIV/0!</v>
      </c>
      <c r="F46" s="73" t="e">
        <f>F21/F6</f>
        <v>#DIV/0!</v>
      </c>
      <c r="G46" s="73" t="e">
        <f>G21/G6</f>
        <v>#DIV/0!</v>
      </c>
      <c r="H46" s="73"/>
      <c r="S46" s="68" t="s">
        <v>98</v>
      </c>
      <c r="AI46" s="68" t="s">
        <v>36</v>
      </c>
      <c r="AJ46" s="68" t="s">
        <v>98</v>
      </c>
    </row>
    <row r="47" spans="1:36" s="54" customFormat="1">
      <c r="A47" s="168">
        <v>5</v>
      </c>
      <c r="B47" s="68" t="s">
        <v>98</v>
      </c>
      <c r="C47" s="73">
        <f>标准成本!E11</f>
        <v>41.015999999999998</v>
      </c>
      <c r="D47" s="73">
        <f>C47</f>
        <v>41.015999999999998</v>
      </c>
      <c r="E47" s="73">
        <f>D47</f>
        <v>41.015999999999998</v>
      </c>
      <c r="F47" s="73">
        <f>E47</f>
        <v>41.015999999999998</v>
      </c>
      <c r="G47" s="73">
        <f>F47</f>
        <v>41.015999999999998</v>
      </c>
      <c r="H47" s="73"/>
      <c r="S47" s="68" t="s">
        <v>98</v>
      </c>
      <c r="AI47" s="68" t="s">
        <v>36</v>
      </c>
      <c r="AJ47" s="68" t="s">
        <v>98</v>
      </c>
    </row>
    <row r="48" spans="1:36">
      <c r="A48" s="60" t="s">
        <v>91</v>
      </c>
      <c r="B48" s="63" t="s">
        <v>109</v>
      </c>
      <c r="C48" s="67">
        <f>C40-C43-C44-C45-C47-C46</f>
        <v>1500.0490399999999</v>
      </c>
      <c r="D48" s="67" t="e">
        <f>D40-D43-D44-D45-D47-D46</f>
        <v>#DIV/0!</v>
      </c>
      <c r="E48" s="67" t="e">
        <f>E40-E43-E44-E45-E47-E46</f>
        <v>#DIV/0!</v>
      </c>
      <c r="F48" s="67" t="e">
        <f>F40-F43-F44-F45-F47-F46</f>
        <v>#DIV/0!</v>
      </c>
      <c r="G48" s="67" t="e">
        <f>G40-G43-G44-G45-G47-G46</f>
        <v>#DIV/0!</v>
      </c>
      <c r="H48" s="67"/>
      <c r="S48" s="63" t="s">
        <v>109</v>
      </c>
      <c r="AI48" s="60" t="s">
        <v>108</v>
      </c>
      <c r="AJ48" s="63" t="s">
        <v>109</v>
      </c>
    </row>
    <row r="51" spans="2:13">
      <c r="C51" s="74"/>
      <c r="D51" s="74"/>
      <c r="E51" s="74"/>
      <c r="F51" s="74"/>
      <c r="G51" s="74"/>
    </row>
    <row r="54" spans="2:13">
      <c r="B54" s="75"/>
      <c r="C54" s="76"/>
      <c r="D54" s="76"/>
      <c r="E54" s="76"/>
      <c r="F54" s="76"/>
      <c r="G54" s="76"/>
      <c r="H54" s="76"/>
      <c r="I54" s="75"/>
      <c r="J54" s="75"/>
      <c r="K54" s="75"/>
      <c r="L54" s="75"/>
      <c r="M54" s="75"/>
    </row>
    <row r="55" spans="2:13">
      <c r="B55" s="75"/>
      <c r="C55" s="76"/>
      <c r="D55" s="76"/>
      <c r="E55" s="76"/>
      <c r="F55" s="76"/>
      <c r="G55" s="76"/>
      <c r="H55" s="76"/>
      <c r="I55" s="75"/>
      <c r="J55" s="75"/>
      <c r="K55" s="75"/>
      <c r="L55" s="75"/>
      <c r="M55" s="75"/>
    </row>
    <row r="56" spans="2:13">
      <c r="B56" s="75"/>
      <c r="C56" s="76"/>
      <c r="D56" s="76"/>
      <c r="E56" s="76"/>
      <c r="F56" s="76"/>
      <c r="G56" s="76"/>
      <c r="H56" s="76"/>
      <c r="I56" s="75"/>
      <c r="J56" s="75"/>
      <c r="K56" s="75"/>
      <c r="L56" s="75"/>
      <c r="M56" s="75"/>
    </row>
    <row r="57" spans="2:13">
      <c r="B57" s="75"/>
      <c r="C57" s="76"/>
      <c r="D57" s="76"/>
      <c r="E57" s="76"/>
      <c r="F57" s="76"/>
      <c r="G57" s="76"/>
      <c r="H57" s="76"/>
      <c r="I57" s="75"/>
      <c r="J57" s="75"/>
      <c r="K57" s="75"/>
      <c r="L57" s="75"/>
      <c r="M57" s="75"/>
    </row>
    <row r="58" spans="2:13">
      <c r="B58" s="75"/>
      <c r="C58" s="76"/>
      <c r="D58" s="76"/>
      <c r="E58" s="76"/>
      <c r="F58" s="76"/>
      <c r="G58" s="76"/>
      <c r="H58" s="76"/>
      <c r="I58" s="75"/>
      <c r="J58" s="75"/>
      <c r="K58" s="75"/>
      <c r="L58" s="75"/>
      <c r="M58" s="75"/>
    </row>
    <row r="59" spans="2:13">
      <c r="B59" s="75"/>
      <c r="C59" s="76"/>
      <c r="D59" s="76"/>
      <c r="E59" s="76"/>
      <c r="F59" s="76"/>
      <c r="G59" s="76"/>
      <c r="H59" s="76"/>
      <c r="I59" s="75"/>
      <c r="J59" s="75"/>
      <c r="K59" s="75"/>
      <c r="L59" s="75"/>
      <c r="M59" s="75"/>
    </row>
    <row r="60" spans="2:13">
      <c r="B60" s="75"/>
      <c r="C60" s="76"/>
      <c r="D60" s="76"/>
      <c r="E60" s="76"/>
      <c r="F60" s="76"/>
      <c r="G60" s="76"/>
      <c r="H60" s="76"/>
      <c r="I60" s="75"/>
      <c r="J60" s="75"/>
      <c r="K60" s="75"/>
      <c r="L60" s="75"/>
      <c r="M60" s="75"/>
    </row>
    <row r="61" spans="2:13">
      <c r="B61" s="75"/>
      <c r="C61" s="76"/>
      <c r="D61" s="76"/>
      <c r="E61" s="76"/>
      <c r="F61" s="76"/>
      <c r="G61" s="76"/>
      <c r="H61" s="76"/>
      <c r="I61" s="75"/>
      <c r="J61" s="75"/>
      <c r="K61" s="75"/>
      <c r="L61" s="75"/>
      <c r="M61" s="75"/>
    </row>
    <row r="62" spans="2:13">
      <c r="B62" s="75"/>
      <c r="C62" s="76"/>
      <c r="D62" s="76"/>
      <c r="E62" s="76"/>
      <c r="F62" s="76"/>
      <c r="G62" s="76"/>
      <c r="H62" s="76"/>
      <c r="I62" s="75"/>
      <c r="J62" s="75"/>
      <c r="K62" s="75"/>
      <c r="L62" s="75"/>
      <c r="M62" s="75"/>
    </row>
    <row r="63" spans="2:13">
      <c r="B63" s="75"/>
      <c r="C63" s="76"/>
      <c r="D63" s="76"/>
      <c r="E63" s="76"/>
      <c r="F63" s="76"/>
      <c r="G63" s="76"/>
      <c r="H63" s="76"/>
      <c r="I63" s="75"/>
      <c r="J63" s="75"/>
      <c r="K63" s="75"/>
      <c r="L63" s="75"/>
      <c r="M63" s="75"/>
    </row>
    <row r="64" spans="2:13">
      <c r="B64" s="75"/>
      <c r="C64" s="76"/>
      <c r="D64" s="76"/>
      <c r="E64" s="76"/>
      <c r="F64" s="76"/>
      <c r="G64" s="76"/>
      <c r="H64" s="76"/>
      <c r="I64" s="75"/>
      <c r="J64" s="75"/>
      <c r="K64" s="75"/>
      <c r="L64" s="75"/>
      <c r="M64" s="75"/>
    </row>
    <row r="65" spans="2:13">
      <c r="B65" s="75"/>
      <c r="C65" s="76"/>
      <c r="D65" s="76"/>
      <c r="E65" s="76"/>
      <c r="F65" s="76"/>
      <c r="G65" s="76"/>
      <c r="H65" s="76"/>
      <c r="I65" s="75"/>
      <c r="J65" s="75"/>
      <c r="K65" s="75"/>
      <c r="L65" s="75"/>
      <c r="M65" s="75"/>
    </row>
    <row r="66" spans="2:13">
      <c r="B66" s="75"/>
      <c r="C66" s="76"/>
      <c r="D66" s="76"/>
      <c r="E66" s="76"/>
      <c r="F66" s="76"/>
      <c r="G66" s="76"/>
      <c r="H66" s="76"/>
      <c r="I66" s="75"/>
      <c r="J66" s="75"/>
      <c r="K66" s="75"/>
      <c r="L66" s="75"/>
      <c r="M66" s="75"/>
    </row>
    <row r="67" spans="2:13">
      <c r="B67" s="75"/>
      <c r="C67" s="76"/>
      <c r="D67" s="76"/>
      <c r="E67" s="76"/>
      <c r="F67" s="76"/>
      <c r="G67" s="76"/>
      <c r="H67" s="76"/>
      <c r="I67" s="75"/>
    </row>
    <row r="68" spans="2:13">
      <c r="B68" s="75"/>
      <c r="C68" s="76"/>
      <c r="D68" s="76"/>
      <c r="E68" s="76"/>
      <c r="F68" s="76"/>
      <c r="G68" s="76"/>
      <c r="H68" s="76"/>
      <c r="I68" s="75"/>
    </row>
    <row r="69" spans="2:13">
      <c r="B69" s="75"/>
      <c r="C69" s="76"/>
      <c r="D69" s="76"/>
      <c r="E69" s="76"/>
      <c r="F69" s="76"/>
      <c r="G69" s="76"/>
      <c r="H69" s="76"/>
      <c r="I69" s="75"/>
    </row>
    <row r="70" spans="2:13">
      <c r="B70" s="75"/>
      <c r="C70" s="76"/>
      <c r="D70" s="76"/>
      <c r="E70" s="76"/>
      <c r="F70" s="76"/>
      <c r="G70" s="76"/>
      <c r="H70" s="76"/>
      <c r="I70" s="75"/>
    </row>
    <row r="71" spans="2:13">
      <c r="B71" s="75"/>
      <c r="C71" s="76"/>
      <c r="D71" s="76"/>
      <c r="E71" s="76"/>
      <c r="F71" s="76"/>
      <c r="G71" s="76"/>
      <c r="H71" s="76"/>
      <c r="I71" s="75"/>
    </row>
    <row r="72" spans="2:13">
      <c r="B72" s="75"/>
      <c r="C72" s="76"/>
      <c r="D72" s="76"/>
      <c r="E72" s="76"/>
      <c r="F72" s="76"/>
      <c r="G72" s="76"/>
      <c r="H72" s="76"/>
      <c r="I72" s="75"/>
    </row>
    <row r="73" spans="2:13">
      <c r="B73" s="75"/>
      <c r="C73" s="76"/>
      <c r="D73" s="76"/>
      <c r="E73" s="76"/>
      <c r="F73" s="76"/>
      <c r="G73" s="76"/>
      <c r="H73" s="76"/>
      <c r="I73" s="75"/>
    </row>
    <row r="74" spans="2:13">
      <c r="B74" s="75"/>
      <c r="C74" s="76"/>
      <c r="D74" s="76"/>
      <c r="E74" s="76"/>
      <c r="F74" s="76"/>
      <c r="G74" s="76"/>
      <c r="H74" s="76"/>
      <c r="I74" s="75"/>
    </row>
  </sheetData>
  <mergeCells count="8">
    <mergeCell ref="A1:B1"/>
    <mergeCell ref="C1:H1"/>
    <mergeCell ref="A2:B2"/>
    <mergeCell ref="C2:H2"/>
    <mergeCell ref="A3:B3"/>
    <mergeCell ref="H3:H5"/>
    <mergeCell ref="A4:B4"/>
    <mergeCell ref="A5:B5"/>
  </mergeCells>
  <phoneticPr fontId="39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7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74"/>
  <sheetViews>
    <sheetView workbookViewId="0">
      <pane xSplit="2" ySplit="7" topLeftCell="C8" activePane="bottomRight" state="frozen"/>
      <selection pane="topRight"/>
      <selection pane="bottomLeft"/>
      <selection pane="bottomRight" activeCell="F23" sqref="F23"/>
    </sheetView>
  </sheetViews>
  <sheetFormatPr defaultColWidth="9" defaultRowHeight="16.5"/>
  <cols>
    <col min="1" max="1" width="5.125" style="55" customWidth="1"/>
    <col min="2" max="2" width="17.5" style="55" customWidth="1"/>
    <col min="3" max="3" width="13.25" style="56" customWidth="1"/>
    <col min="4" max="7" width="15.5" style="56" customWidth="1"/>
    <col min="8" max="8" width="18.75" style="56" customWidth="1"/>
    <col min="9" max="9" width="12.375" style="55" customWidth="1"/>
    <col min="10" max="10" width="10.125" style="55" customWidth="1"/>
    <col min="11" max="17" width="9" style="55" customWidth="1"/>
    <col min="18" max="34" width="9" style="55"/>
    <col min="35" max="35" width="4.375" style="55" customWidth="1"/>
    <col min="36" max="36" width="13.875" style="55" customWidth="1"/>
    <col min="37" max="16384" width="9" style="55"/>
  </cols>
  <sheetData>
    <row r="1" spans="1:37">
      <c r="A1" s="194" t="s">
        <v>149</v>
      </c>
      <c r="B1" s="194"/>
      <c r="C1" s="198" t="s">
        <v>276</v>
      </c>
      <c r="D1" s="199"/>
      <c r="E1" s="199"/>
      <c r="F1" s="199"/>
      <c r="G1" s="199"/>
      <c r="H1" s="200"/>
    </row>
    <row r="2" spans="1:37">
      <c r="A2" s="194" t="s">
        <v>151</v>
      </c>
      <c r="B2" s="194"/>
      <c r="C2" s="201"/>
      <c r="D2" s="201"/>
      <c r="E2" s="201"/>
      <c r="F2" s="201"/>
      <c r="G2" s="201"/>
      <c r="H2" s="201"/>
    </row>
    <row r="3" spans="1:37">
      <c r="A3" s="194" t="s">
        <v>152</v>
      </c>
      <c r="B3" s="194"/>
      <c r="C3" s="170"/>
      <c r="D3" s="170"/>
      <c r="E3" s="169"/>
      <c r="F3" s="169"/>
      <c r="G3" s="169"/>
      <c r="H3" s="195" t="s">
        <v>24</v>
      </c>
    </row>
    <row r="4" spans="1:37">
      <c r="A4" s="194" t="s">
        <v>153</v>
      </c>
      <c r="B4" s="194"/>
      <c r="C4" s="22"/>
      <c r="D4" s="22"/>
      <c r="E4" s="169"/>
      <c r="F4" s="169"/>
      <c r="G4" s="169"/>
      <c r="H4" s="196"/>
    </row>
    <row r="5" spans="1:37">
      <c r="A5" s="194" t="s">
        <v>154</v>
      </c>
      <c r="B5" s="194"/>
      <c r="C5" s="59"/>
      <c r="D5" s="59"/>
      <c r="E5" s="59"/>
      <c r="F5" s="59"/>
      <c r="G5" s="59"/>
      <c r="H5" s="197"/>
      <c r="AK5" s="55" t="s">
        <v>25</v>
      </c>
    </row>
    <row r="6" spans="1:37" ht="17.25">
      <c r="A6" s="60" t="s">
        <v>18</v>
      </c>
      <c r="B6" s="61" t="s">
        <v>155</v>
      </c>
      <c r="C6" s="27">
        <f>销量!C13</f>
        <v>30000</v>
      </c>
      <c r="D6" s="27">
        <f>销量!D13</f>
        <v>0</v>
      </c>
      <c r="E6" s="27">
        <f>销量!E9</f>
        <v>0</v>
      </c>
      <c r="F6" s="27">
        <f>销量!F9</f>
        <v>0</v>
      </c>
      <c r="G6" s="27">
        <f>销量!G9</f>
        <v>0</v>
      </c>
      <c r="H6" s="62">
        <f t="shared" ref="H6:H15" si="0">+SUM(C6:G6)</f>
        <v>30000</v>
      </c>
      <c r="S6" s="61" t="s">
        <v>3</v>
      </c>
      <c r="AI6" s="60" t="s">
        <v>18</v>
      </c>
      <c r="AJ6" s="61" t="s">
        <v>3</v>
      </c>
      <c r="AK6" s="55" t="s">
        <v>26</v>
      </c>
    </row>
    <row r="7" spans="1:37">
      <c r="A7" s="168">
        <v>1</v>
      </c>
      <c r="B7" s="61" t="s">
        <v>27</v>
      </c>
      <c r="C7" s="62">
        <f>C6*销量!C8</f>
        <v>62520000</v>
      </c>
      <c r="D7" s="62">
        <f>D6*销量!D8</f>
        <v>0</v>
      </c>
      <c r="E7" s="62">
        <f>E6*销量!E8</f>
        <v>0</v>
      </c>
      <c r="F7" s="62">
        <f>F6*销量!F8</f>
        <v>0</v>
      </c>
      <c r="G7" s="62">
        <f>G6*销量!G8</f>
        <v>0</v>
      </c>
      <c r="H7" s="62">
        <f t="shared" si="0"/>
        <v>62520000</v>
      </c>
      <c r="I7" s="56"/>
      <c r="S7" s="61" t="s">
        <v>27</v>
      </c>
      <c r="AI7" s="60" t="s">
        <v>28</v>
      </c>
      <c r="AJ7" s="61" t="s">
        <v>27</v>
      </c>
      <c r="AK7" s="55" t="s">
        <v>26</v>
      </c>
    </row>
    <row r="8" spans="1:37">
      <c r="A8" s="168">
        <v>2</v>
      </c>
      <c r="B8" s="168" t="s">
        <v>29</v>
      </c>
      <c r="C8" s="62">
        <f>C7*(1-销量!$L$10)</f>
        <v>11597069.250000007</v>
      </c>
      <c r="D8" s="62">
        <f>D7*(1-销量!$L$10)</f>
        <v>0</v>
      </c>
      <c r="E8" s="62"/>
      <c r="F8" s="62"/>
      <c r="G8" s="62"/>
      <c r="H8" s="62">
        <f t="shared" si="0"/>
        <v>11597069.250000007</v>
      </c>
      <c r="I8" s="77"/>
      <c r="S8" s="168" t="s">
        <v>31</v>
      </c>
      <c r="AI8" s="60" t="s">
        <v>30</v>
      </c>
      <c r="AJ8" s="168" t="s">
        <v>31</v>
      </c>
      <c r="AK8" s="55" t="s">
        <v>26</v>
      </c>
    </row>
    <row r="9" spans="1:37">
      <c r="A9" s="168">
        <v>3</v>
      </c>
      <c r="B9" s="61" t="s">
        <v>32</v>
      </c>
      <c r="C9" s="62">
        <f>+C7-C8</f>
        <v>50922930.749999993</v>
      </c>
      <c r="D9" s="62">
        <f t="shared" ref="D9:G9" si="1">+D7-D8</f>
        <v>0</v>
      </c>
      <c r="E9" s="62">
        <f t="shared" si="1"/>
        <v>0</v>
      </c>
      <c r="F9" s="62">
        <f t="shared" si="1"/>
        <v>0</v>
      </c>
      <c r="G9" s="62">
        <f t="shared" si="1"/>
        <v>0</v>
      </c>
      <c r="H9" s="62">
        <f t="shared" si="0"/>
        <v>50922930.749999993</v>
      </c>
      <c r="S9" s="61" t="s">
        <v>32</v>
      </c>
      <c r="AI9" s="60" t="s">
        <v>33</v>
      </c>
      <c r="AJ9" s="61" t="s">
        <v>32</v>
      </c>
      <c r="AK9" s="55" t="s">
        <v>34</v>
      </c>
    </row>
    <row r="10" spans="1:37">
      <c r="A10" s="168">
        <v>4</v>
      </c>
      <c r="B10" s="60" t="s">
        <v>35</v>
      </c>
      <c r="C10" s="62">
        <f>C6*材料成本!D24</f>
        <v>0</v>
      </c>
      <c r="D10" s="62">
        <f>D6*材料成本!E24</f>
        <v>0</v>
      </c>
      <c r="E10" s="62">
        <f>E6*材料成本!F24</f>
        <v>0</v>
      </c>
      <c r="F10" s="62">
        <f>F6*材料成本!G24</f>
        <v>0</v>
      </c>
      <c r="G10" s="62">
        <f>G6*材料成本!H24</f>
        <v>0</v>
      </c>
      <c r="H10" s="62">
        <f t="shared" si="0"/>
        <v>0</v>
      </c>
      <c r="S10" s="60" t="s">
        <v>35</v>
      </c>
      <c r="AI10" s="60" t="s">
        <v>36</v>
      </c>
      <c r="AJ10" s="60" t="s">
        <v>35</v>
      </c>
      <c r="AK10" s="55" t="s">
        <v>37</v>
      </c>
    </row>
    <row r="11" spans="1:37">
      <c r="A11" s="168">
        <v>5</v>
      </c>
      <c r="B11" s="60" t="s">
        <v>38</v>
      </c>
      <c r="C11" s="62">
        <f>+C6*C36</f>
        <v>1767789.6</v>
      </c>
      <c r="D11" s="62">
        <f>+D6*D36</f>
        <v>0</v>
      </c>
      <c r="E11" s="62">
        <f>+E6*E36</f>
        <v>0</v>
      </c>
      <c r="F11" s="62">
        <f>+F6*F36</f>
        <v>0</v>
      </c>
      <c r="G11" s="62">
        <f>+G6*G36</f>
        <v>0</v>
      </c>
      <c r="H11" s="62">
        <f t="shared" si="0"/>
        <v>1767789.6</v>
      </c>
      <c r="S11" s="60" t="s">
        <v>38</v>
      </c>
      <c r="AI11" s="60" t="s">
        <v>39</v>
      </c>
      <c r="AJ11" s="60" t="s">
        <v>38</v>
      </c>
    </row>
    <row r="12" spans="1:37">
      <c r="A12" s="168">
        <v>6</v>
      </c>
      <c r="B12" s="60" t="s">
        <v>40</v>
      </c>
      <c r="C12" s="62">
        <f>+C6*C37</f>
        <v>890047.20000000007</v>
      </c>
      <c r="D12" s="62">
        <f>+D6*D37</f>
        <v>0</v>
      </c>
      <c r="E12" s="62">
        <f>+E6*E37</f>
        <v>0</v>
      </c>
      <c r="F12" s="62">
        <f>+F6*F37</f>
        <v>0</v>
      </c>
      <c r="G12" s="62">
        <f>+G6*G37</f>
        <v>0</v>
      </c>
      <c r="H12" s="62">
        <f t="shared" si="0"/>
        <v>890047.20000000007</v>
      </c>
      <c r="S12" s="60" t="s">
        <v>40</v>
      </c>
      <c r="AI12" s="60" t="s">
        <v>41</v>
      </c>
      <c r="AJ12" s="60" t="s">
        <v>40</v>
      </c>
    </row>
    <row r="13" spans="1:37">
      <c r="A13" s="168">
        <v>7</v>
      </c>
      <c r="B13" s="60" t="s">
        <v>42</v>
      </c>
      <c r="C13" s="62">
        <f>+C6*C38</f>
        <v>1804704</v>
      </c>
      <c r="D13" s="62">
        <f t="shared" ref="D13:G13" si="2">+D6*D38</f>
        <v>0</v>
      </c>
      <c r="E13" s="62">
        <f t="shared" si="2"/>
        <v>0</v>
      </c>
      <c r="F13" s="62">
        <f t="shared" si="2"/>
        <v>0</v>
      </c>
      <c r="G13" s="62">
        <f t="shared" si="2"/>
        <v>0</v>
      </c>
      <c r="H13" s="62">
        <f t="shared" si="0"/>
        <v>1804704</v>
      </c>
      <c r="S13" s="60" t="s">
        <v>42</v>
      </c>
      <c r="AI13" s="60" t="s">
        <v>43</v>
      </c>
      <c r="AJ13" s="60" t="s">
        <v>42</v>
      </c>
      <c r="AK13" s="55" t="s">
        <v>26</v>
      </c>
    </row>
    <row r="14" spans="1:37">
      <c r="A14" s="168">
        <v>8</v>
      </c>
      <c r="B14" s="63" t="s">
        <v>44</v>
      </c>
      <c r="C14" s="62">
        <f>SUM(C11:C13)</f>
        <v>4462540.8000000007</v>
      </c>
      <c r="D14" s="62">
        <f t="shared" ref="D14:G14" si="3">SUM(D11:D13)</f>
        <v>0</v>
      </c>
      <c r="E14" s="62">
        <f t="shared" si="3"/>
        <v>0</v>
      </c>
      <c r="F14" s="62">
        <f t="shared" si="3"/>
        <v>0</v>
      </c>
      <c r="G14" s="62">
        <f t="shared" si="3"/>
        <v>0</v>
      </c>
      <c r="H14" s="62">
        <f t="shared" si="0"/>
        <v>4462540.8000000007</v>
      </c>
      <c r="S14" s="63" t="s">
        <v>44</v>
      </c>
      <c r="AI14" s="60" t="s">
        <v>45</v>
      </c>
      <c r="AJ14" s="63" t="s">
        <v>44</v>
      </c>
    </row>
    <row r="15" spans="1:37">
      <c r="A15" s="168">
        <v>9</v>
      </c>
      <c r="B15" s="63" t="s">
        <v>46</v>
      </c>
      <c r="C15" s="62">
        <f>+C9-C10-C14</f>
        <v>46460389.949999988</v>
      </c>
      <c r="D15" s="62">
        <f t="shared" ref="D15:G15" si="4">+D9-D10-D14</f>
        <v>0</v>
      </c>
      <c r="E15" s="62">
        <f t="shared" si="4"/>
        <v>0</v>
      </c>
      <c r="F15" s="62">
        <f t="shared" si="4"/>
        <v>0</v>
      </c>
      <c r="G15" s="62">
        <f t="shared" si="4"/>
        <v>0</v>
      </c>
      <c r="H15" s="62">
        <f t="shared" si="0"/>
        <v>46460389.949999988</v>
      </c>
      <c r="S15" s="63" t="s">
        <v>46</v>
      </c>
      <c r="AI15" s="60" t="s">
        <v>47</v>
      </c>
      <c r="AJ15" s="63" t="s">
        <v>46</v>
      </c>
    </row>
    <row r="16" spans="1:37">
      <c r="A16" s="168">
        <v>10</v>
      </c>
      <c r="B16" s="60" t="s">
        <v>48</v>
      </c>
      <c r="C16" s="64">
        <f>+C15/C9</f>
        <v>0.91236677201655358</v>
      </c>
      <c r="D16" s="64" t="e">
        <f t="shared" ref="D16:H16" si="5">+D15/D9</f>
        <v>#DIV/0!</v>
      </c>
      <c r="E16" s="64" t="e">
        <f t="shared" si="5"/>
        <v>#DIV/0!</v>
      </c>
      <c r="F16" s="64" t="e">
        <f t="shared" si="5"/>
        <v>#DIV/0!</v>
      </c>
      <c r="G16" s="64" t="e">
        <f t="shared" si="5"/>
        <v>#DIV/0!</v>
      </c>
      <c r="H16" s="64">
        <f t="shared" si="5"/>
        <v>0.91236677201655358</v>
      </c>
      <c r="S16" s="60" t="s">
        <v>48</v>
      </c>
      <c r="AI16" s="60" t="s">
        <v>49</v>
      </c>
      <c r="AJ16" s="60" t="s">
        <v>48</v>
      </c>
    </row>
    <row r="17" spans="1:37">
      <c r="A17" s="168">
        <v>11</v>
      </c>
      <c r="B17" s="60" t="s">
        <v>50</v>
      </c>
      <c r="C17" s="62">
        <f>C6*C43+C18</f>
        <v>2404796</v>
      </c>
      <c r="D17" s="62">
        <f>D6*D43+D18</f>
        <v>0</v>
      </c>
      <c r="E17" s="62">
        <f>E6*E43+E18</f>
        <v>0</v>
      </c>
      <c r="F17" s="62">
        <f>F6*F43+F18</f>
        <v>0</v>
      </c>
      <c r="G17" s="62">
        <f>G6*G43+G18</f>
        <v>0</v>
      </c>
      <c r="H17" s="62">
        <f>SUM(C17:G17)</f>
        <v>2404796</v>
      </c>
      <c r="I17" s="77"/>
      <c r="S17" s="60" t="s">
        <v>50</v>
      </c>
      <c r="AI17" s="60" t="s">
        <v>51</v>
      </c>
      <c r="AJ17" s="60" t="s">
        <v>50</v>
      </c>
    </row>
    <row r="18" spans="1:37" s="53" customFormat="1">
      <c r="A18" s="168">
        <v>12</v>
      </c>
      <c r="B18" s="65" t="s">
        <v>156</v>
      </c>
      <c r="C18" s="66">
        <f>$H$18/$H$6*C6</f>
        <v>723140</v>
      </c>
      <c r="D18" s="66">
        <f>$H$18/$H$6*D6</f>
        <v>0</v>
      </c>
      <c r="E18" s="66">
        <f>$H$18/$H$6*E6</f>
        <v>0</v>
      </c>
      <c r="F18" s="66">
        <f>$H$18/$H$6*F6</f>
        <v>0</v>
      </c>
      <c r="G18" s="66">
        <f>$H$18/$H$6*G6</f>
        <v>0</v>
      </c>
      <c r="H18" s="66">
        <f>项目投资!D26</f>
        <v>723140</v>
      </c>
      <c r="I18" s="78" t="s">
        <v>157</v>
      </c>
      <c r="J18" s="78"/>
      <c r="K18" s="78"/>
    </row>
    <row r="19" spans="1:37">
      <c r="A19" s="168">
        <v>13</v>
      </c>
      <c r="B19" s="60" t="s">
        <v>52</v>
      </c>
      <c r="C19" s="62">
        <f>C6*C44</f>
        <v>287112.00000000006</v>
      </c>
      <c r="D19" s="62">
        <f>D6*D44</f>
        <v>0</v>
      </c>
      <c r="E19" s="62">
        <f>E6*E44</f>
        <v>0</v>
      </c>
      <c r="F19" s="62">
        <f>F6*F44</f>
        <v>0</v>
      </c>
      <c r="G19" s="62">
        <f>G6*G44</f>
        <v>0</v>
      </c>
      <c r="H19" s="62">
        <f>SUM(C19:G19)</f>
        <v>287112.00000000006</v>
      </c>
      <c r="I19" s="53"/>
      <c r="S19" s="60" t="s">
        <v>52</v>
      </c>
      <c r="AI19" s="60" t="s">
        <v>53</v>
      </c>
      <c r="AJ19" s="60" t="s">
        <v>52</v>
      </c>
      <c r="AK19" s="55" t="s">
        <v>26</v>
      </c>
    </row>
    <row r="20" spans="1:37">
      <c r="A20" s="168">
        <v>14</v>
      </c>
      <c r="B20" s="60" t="s">
        <v>54</v>
      </c>
      <c r="C20" s="62">
        <f>C6*C45</f>
        <v>900000</v>
      </c>
      <c r="D20" s="62">
        <f>D6*D45</f>
        <v>0</v>
      </c>
      <c r="E20" s="62">
        <f>E6*E45</f>
        <v>0</v>
      </c>
      <c r="F20" s="62">
        <f>F6*F45</f>
        <v>0</v>
      </c>
      <c r="G20" s="62">
        <f>G6*G45</f>
        <v>0</v>
      </c>
      <c r="H20" s="62">
        <f>SUM(C20:G20)</f>
        <v>900000</v>
      </c>
      <c r="S20" s="60" t="s">
        <v>54</v>
      </c>
      <c r="AI20" s="60" t="s">
        <v>55</v>
      </c>
      <c r="AJ20" s="60" t="s">
        <v>54</v>
      </c>
    </row>
    <row r="21" spans="1:37">
      <c r="A21" s="168">
        <v>15</v>
      </c>
      <c r="B21" s="60" t="s">
        <v>56</v>
      </c>
      <c r="C21" s="67">
        <f>$H$21/$H$6*C6</f>
        <v>26550</v>
      </c>
      <c r="D21" s="67">
        <f>$H$21/$H$6*D6</f>
        <v>0</v>
      </c>
      <c r="E21" s="67">
        <f>$H$21/$H$6*E6</f>
        <v>0</v>
      </c>
      <c r="F21" s="67">
        <f>$H$21/$H$6*F6</f>
        <v>0</v>
      </c>
      <c r="G21" s="67">
        <f>$H$21/$H$6*G6</f>
        <v>0</v>
      </c>
      <c r="H21" s="62">
        <f>项目投资!D27</f>
        <v>26550</v>
      </c>
      <c r="S21" s="60" t="s">
        <v>56</v>
      </c>
      <c r="AI21" s="60"/>
      <c r="AJ21" s="60"/>
    </row>
    <row r="22" spans="1:37">
      <c r="A22" s="168">
        <v>16</v>
      </c>
      <c r="B22" s="60" t="s">
        <v>57</v>
      </c>
      <c r="C22" s="62">
        <f>C6*C47</f>
        <v>1230480</v>
      </c>
      <c r="D22" s="62">
        <f>D6*D47</f>
        <v>0</v>
      </c>
      <c r="E22" s="62">
        <f>E6*E47</f>
        <v>0</v>
      </c>
      <c r="F22" s="62">
        <f>F6*F47</f>
        <v>0</v>
      </c>
      <c r="G22" s="62">
        <f>G6*G47</f>
        <v>0</v>
      </c>
      <c r="H22" s="62">
        <f>+SUM(C22:G22)</f>
        <v>1230480</v>
      </c>
      <c r="S22" s="60" t="s">
        <v>57</v>
      </c>
      <c r="AI22" s="60" t="s">
        <v>58</v>
      </c>
      <c r="AJ22" s="60" t="s">
        <v>57</v>
      </c>
    </row>
    <row r="23" spans="1:37">
      <c r="A23" s="168">
        <v>17</v>
      </c>
      <c r="B23" s="63" t="s">
        <v>59</v>
      </c>
      <c r="C23" s="67">
        <f>+C22+C21+C20+C19+C17</f>
        <v>4848938</v>
      </c>
      <c r="D23" s="67">
        <f>+D22+D21+D20+D19+D17</f>
        <v>0</v>
      </c>
      <c r="E23" s="67">
        <f>+E22+E21+E20+E19+E17</f>
        <v>0</v>
      </c>
      <c r="F23" s="67">
        <f>+F22+F21+F20+F19+F17</f>
        <v>0</v>
      </c>
      <c r="G23" s="67">
        <f>+G22+G21+G20+G19+G17</f>
        <v>0</v>
      </c>
      <c r="H23" s="67">
        <f t="shared" ref="H23" si="6">+H22+H21+H20+H19+H17</f>
        <v>4848938</v>
      </c>
      <c r="S23" s="63" t="s">
        <v>59</v>
      </c>
      <c r="AI23" s="60" t="s">
        <v>60</v>
      </c>
      <c r="AJ23" s="63" t="s">
        <v>59</v>
      </c>
    </row>
    <row r="24" spans="1:37">
      <c r="A24" s="168">
        <v>18</v>
      </c>
      <c r="B24" s="68" t="s">
        <v>61</v>
      </c>
      <c r="C24" s="67">
        <f>+C15-C23</f>
        <v>41611451.949999988</v>
      </c>
      <c r="D24" s="67">
        <f>+D15-D23</f>
        <v>0</v>
      </c>
      <c r="E24" s="67">
        <f>+E15-E23</f>
        <v>0</v>
      </c>
      <c r="F24" s="67">
        <f>+F15-F23</f>
        <v>0</v>
      </c>
      <c r="G24" s="67">
        <f>+G15-G23</f>
        <v>0</v>
      </c>
      <c r="H24" s="67">
        <f t="shared" ref="H24" si="7">+H15-H23</f>
        <v>41611451.949999988</v>
      </c>
      <c r="J24" s="79"/>
      <c r="S24" s="60" t="s">
        <v>61</v>
      </c>
      <c r="AI24" s="60" t="s">
        <v>62</v>
      </c>
      <c r="AJ24" s="60" t="s">
        <v>61</v>
      </c>
    </row>
    <row r="25" spans="1:37">
      <c r="A25" s="168">
        <v>19</v>
      </c>
      <c r="B25" s="60" t="s">
        <v>158</v>
      </c>
      <c r="C25" s="67">
        <f>IF(C24&lt;0,0,C24*0.25)</f>
        <v>10402862.987499997</v>
      </c>
      <c r="D25" s="67">
        <f>IF(D24&lt;0,0,D24*0.25)</f>
        <v>0</v>
      </c>
      <c r="E25" s="67">
        <f>IF(E24&lt;0,0,E24*0.25)</f>
        <v>0</v>
      </c>
      <c r="F25" s="67">
        <f>IF(F24&lt;0,0,F24*0.25)</f>
        <v>0</v>
      </c>
      <c r="G25" s="67">
        <f>IF(G24&lt;0,0,G24*0.25)</f>
        <v>0</v>
      </c>
      <c r="H25" s="67">
        <f t="shared" ref="H25" si="8">IF(H24&lt;0,0,H24*0.25)</f>
        <v>10402862.987499997</v>
      </c>
      <c r="I25" s="75"/>
      <c r="J25" s="75"/>
      <c r="K25" s="75"/>
      <c r="S25" s="60" t="s">
        <v>63</v>
      </c>
      <c r="AI25" s="60" t="s">
        <v>64</v>
      </c>
      <c r="AJ25" s="60" t="s">
        <v>63</v>
      </c>
    </row>
    <row r="26" spans="1:37">
      <c r="A26" s="168">
        <v>20</v>
      </c>
      <c r="B26" s="60" t="s">
        <v>65</v>
      </c>
      <c r="C26" s="67">
        <f t="shared" ref="C26" si="9">C24-C25</f>
        <v>31208588.962499991</v>
      </c>
      <c r="D26" s="67">
        <f>D24-D25</f>
        <v>0</v>
      </c>
      <c r="E26" s="67">
        <f>E24-E25</f>
        <v>0</v>
      </c>
      <c r="F26" s="67">
        <f>F24-F25</f>
        <v>0</v>
      </c>
      <c r="G26" s="67">
        <f>G24-G25</f>
        <v>0</v>
      </c>
      <c r="H26" s="62">
        <f>+SUM(C26:G26)</f>
        <v>31208588.962499991</v>
      </c>
      <c r="I26" s="75"/>
      <c r="J26" s="75"/>
      <c r="K26" s="75"/>
      <c r="S26" s="60" t="s">
        <v>65</v>
      </c>
      <c r="AI26" s="60" t="s">
        <v>66</v>
      </c>
      <c r="AJ26" s="60" t="s">
        <v>65</v>
      </c>
    </row>
    <row r="27" spans="1:37">
      <c r="A27" s="168">
        <v>21</v>
      </c>
      <c r="B27" s="60" t="s">
        <v>69</v>
      </c>
      <c r="C27" s="69">
        <f t="shared" ref="C27:H27" si="10">C26/C7</f>
        <v>0.49917768654030698</v>
      </c>
      <c r="D27" s="69" t="e">
        <f t="shared" si="10"/>
        <v>#DIV/0!</v>
      </c>
      <c r="E27" s="69" t="e">
        <f t="shared" si="10"/>
        <v>#DIV/0!</v>
      </c>
      <c r="F27" s="69" t="e">
        <f t="shared" si="10"/>
        <v>#DIV/0!</v>
      </c>
      <c r="G27" s="69" t="e">
        <f t="shared" si="10"/>
        <v>#DIV/0!</v>
      </c>
      <c r="H27" s="69">
        <f t="shared" si="10"/>
        <v>0.49917768654030698</v>
      </c>
      <c r="I27" s="75"/>
      <c r="J27" s="75"/>
      <c r="K27" s="75"/>
      <c r="S27" s="60" t="s">
        <v>69</v>
      </c>
      <c r="AI27" s="60" t="s">
        <v>68</v>
      </c>
      <c r="AJ27" s="60" t="s">
        <v>69</v>
      </c>
    </row>
    <row r="28" spans="1:37">
      <c r="I28" s="75"/>
      <c r="J28" s="75"/>
      <c r="K28" s="75"/>
      <c r="S28" s="60"/>
    </row>
    <row r="29" spans="1:37">
      <c r="A29" s="55" t="s">
        <v>70</v>
      </c>
      <c r="H29" s="56" t="s">
        <v>159</v>
      </c>
      <c r="I29" s="75"/>
      <c r="J29" s="75"/>
      <c r="K29" s="75"/>
      <c r="S29" s="60"/>
      <c r="AI29" s="55" t="s">
        <v>70</v>
      </c>
    </row>
    <row r="30" spans="1:37">
      <c r="A30" s="60" t="s">
        <v>75</v>
      </c>
      <c r="B30" s="63" t="s">
        <v>76</v>
      </c>
      <c r="C30" s="67"/>
      <c r="D30" s="67"/>
      <c r="E30" s="67"/>
      <c r="F30" s="67"/>
      <c r="G30" s="67"/>
      <c r="H30" s="67"/>
      <c r="I30" s="75"/>
      <c r="J30" s="75"/>
      <c r="K30" s="75"/>
      <c r="M30" s="75"/>
      <c r="S30" s="63" t="s">
        <v>76</v>
      </c>
      <c r="AI30" s="60" t="s">
        <v>77</v>
      </c>
      <c r="AJ30" s="63" t="s">
        <v>76</v>
      </c>
    </row>
    <row r="31" spans="1:37">
      <c r="A31" s="168">
        <v>1</v>
      </c>
      <c r="B31" s="65" t="s">
        <v>78</v>
      </c>
      <c r="C31" s="71">
        <f>销量!C8</f>
        <v>2084</v>
      </c>
      <c r="D31" s="71">
        <f>销量!D8</f>
        <v>0</v>
      </c>
      <c r="E31" s="71">
        <f>销量!E8</f>
        <v>0</v>
      </c>
      <c r="F31" s="71">
        <f>销量!F8</f>
        <v>0</v>
      </c>
      <c r="G31" s="71">
        <f>销量!G8</f>
        <v>0</v>
      </c>
      <c r="H31" s="67"/>
      <c r="I31" s="75"/>
      <c r="J31" s="75"/>
      <c r="K31" s="75"/>
      <c r="M31" s="75"/>
      <c r="S31" s="60" t="s">
        <v>78</v>
      </c>
      <c r="AI31" s="60" t="s">
        <v>28</v>
      </c>
      <c r="AJ31" s="60" t="s">
        <v>78</v>
      </c>
    </row>
    <row r="32" spans="1:37">
      <c r="A32" s="168">
        <v>2</v>
      </c>
      <c r="B32" s="60" t="s">
        <v>160</v>
      </c>
      <c r="C32" s="62">
        <f>C9/C6</f>
        <v>1697.4310249999999</v>
      </c>
      <c r="D32" s="62" t="e">
        <f>D9/D6</f>
        <v>#DIV/0!</v>
      </c>
      <c r="E32" s="62">
        <f t="shared" ref="E32:G32" si="11">E31*1</f>
        <v>0</v>
      </c>
      <c r="F32" s="62">
        <f t="shared" si="11"/>
        <v>0</v>
      </c>
      <c r="G32" s="62">
        <f t="shared" si="11"/>
        <v>0</v>
      </c>
      <c r="H32" s="67"/>
      <c r="I32" s="75"/>
      <c r="J32" s="75"/>
      <c r="K32" s="75"/>
      <c r="L32" s="75"/>
      <c r="M32" s="75"/>
      <c r="N32" s="75"/>
      <c r="O32" s="75"/>
      <c r="AI32" s="60"/>
      <c r="AJ32" s="60"/>
    </row>
    <row r="33" spans="1:36">
      <c r="A33" s="168">
        <v>3</v>
      </c>
      <c r="B33" s="65" t="s">
        <v>79</v>
      </c>
      <c r="C33" s="62">
        <f>材料成本!D24</f>
        <v>0</v>
      </c>
      <c r="D33" s="62">
        <f>材料成本!E24</f>
        <v>0</v>
      </c>
      <c r="E33" s="62">
        <f>材料成本!F24</f>
        <v>0</v>
      </c>
      <c r="F33" s="62">
        <f>材料成本!G24</f>
        <v>0</v>
      </c>
      <c r="G33" s="62">
        <f>材料成本!H24</f>
        <v>0</v>
      </c>
      <c r="H33" s="67"/>
      <c r="J33" s="75"/>
      <c r="K33" s="75"/>
      <c r="L33" s="75"/>
      <c r="M33" s="75"/>
      <c r="N33" s="75"/>
      <c r="O33" s="75"/>
      <c r="S33" s="60" t="s">
        <v>79</v>
      </c>
      <c r="AI33" s="60" t="s">
        <v>30</v>
      </c>
      <c r="AJ33" s="60" t="s">
        <v>79</v>
      </c>
    </row>
    <row r="34" spans="1:36" ht="17.25" customHeight="1">
      <c r="A34" s="168">
        <v>4</v>
      </c>
      <c r="B34" s="60" t="s">
        <v>81</v>
      </c>
      <c r="C34" s="72">
        <f>C32-C33</f>
        <v>1697.4310249999999</v>
      </c>
      <c r="D34" s="72" t="e">
        <f t="shared" ref="D34:G34" si="12">D32-D33</f>
        <v>#DIV/0!</v>
      </c>
      <c r="E34" s="72">
        <f t="shared" si="12"/>
        <v>0</v>
      </c>
      <c r="F34" s="72">
        <f t="shared" si="12"/>
        <v>0</v>
      </c>
      <c r="G34" s="72">
        <f t="shared" si="12"/>
        <v>0</v>
      </c>
      <c r="H34" s="67"/>
      <c r="J34" s="75"/>
      <c r="K34" s="75"/>
      <c r="L34" s="75"/>
      <c r="M34" s="75"/>
      <c r="N34" s="75"/>
      <c r="O34" s="75"/>
      <c r="S34" s="60" t="s">
        <v>81</v>
      </c>
      <c r="AI34" s="60" t="s">
        <v>80</v>
      </c>
      <c r="AJ34" s="60" t="s">
        <v>81</v>
      </c>
    </row>
    <row r="35" spans="1:36">
      <c r="A35" s="60" t="s">
        <v>77</v>
      </c>
      <c r="B35" s="63" t="s">
        <v>10</v>
      </c>
      <c r="C35" s="67"/>
      <c r="D35" s="67"/>
      <c r="E35" s="67"/>
      <c r="F35" s="67"/>
      <c r="G35" s="67"/>
      <c r="H35" s="67"/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63" t="s">
        <v>10</v>
      </c>
      <c r="AI35" s="60" t="s">
        <v>83</v>
      </c>
      <c r="AJ35" s="63" t="s">
        <v>10</v>
      </c>
    </row>
    <row r="36" spans="1:36">
      <c r="A36" s="168">
        <v>1</v>
      </c>
      <c r="B36" s="60" t="s">
        <v>84</v>
      </c>
      <c r="C36" s="66">
        <f>标准成本!E4</f>
        <v>58.926320000000004</v>
      </c>
      <c r="D36" s="66">
        <f t="shared" ref="D36:G38" si="13">C36</f>
        <v>58.926320000000004</v>
      </c>
      <c r="E36" s="66">
        <f t="shared" si="13"/>
        <v>58.926320000000004</v>
      </c>
      <c r="F36" s="66">
        <f t="shared" si="13"/>
        <v>58.926320000000004</v>
      </c>
      <c r="G36" s="66">
        <f t="shared" si="13"/>
        <v>58.926320000000004</v>
      </c>
      <c r="H36" s="71"/>
      <c r="I36" s="75"/>
      <c r="J36" s="75"/>
      <c r="K36" s="75"/>
      <c r="L36" s="75"/>
      <c r="M36" s="75"/>
      <c r="N36" s="75"/>
      <c r="O36" s="75"/>
      <c r="P36" s="75"/>
      <c r="Q36" s="75"/>
      <c r="R36" s="75"/>
      <c r="S36" s="60" t="s">
        <v>84</v>
      </c>
      <c r="AI36" s="60" t="s">
        <v>80</v>
      </c>
      <c r="AJ36" s="60" t="s">
        <v>84</v>
      </c>
    </row>
    <row r="37" spans="1:36">
      <c r="A37" s="168">
        <v>2</v>
      </c>
      <c r="B37" s="60" t="s">
        <v>85</v>
      </c>
      <c r="C37" s="66">
        <f>标准成本!E6</f>
        <v>29.668240000000001</v>
      </c>
      <c r="D37" s="66">
        <f t="shared" si="13"/>
        <v>29.668240000000001</v>
      </c>
      <c r="E37" s="66">
        <f t="shared" si="13"/>
        <v>29.668240000000001</v>
      </c>
      <c r="F37" s="66">
        <f t="shared" si="13"/>
        <v>29.668240000000001</v>
      </c>
      <c r="G37" s="66">
        <f t="shared" si="13"/>
        <v>29.668240000000001</v>
      </c>
      <c r="H37" s="71"/>
      <c r="I37" s="75"/>
      <c r="J37" s="75"/>
      <c r="K37" s="75"/>
      <c r="L37" s="75"/>
      <c r="M37" s="75"/>
      <c r="N37" s="75"/>
      <c r="O37" s="75"/>
      <c r="P37" s="75"/>
      <c r="Q37" s="75"/>
      <c r="R37" s="75"/>
      <c r="S37" s="60" t="s">
        <v>85</v>
      </c>
      <c r="AI37" s="60" t="s">
        <v>33</v>
      </c>
      <c r="AJ37" s="60" t="s">
        <v>85</v>
      </c>
    </row>
    <row r="38" spans="1:36">
      <c r="A38" s="168">
        <v>3</v>
      </c>
      <c r="B38" s="60" t="s">
        <v>86</v>
      </c>
      <c r="C38" s="66">
        <f>标准成本!E10</f>
        <v>60.156799999999997</v>
      </c>
      <c r="D38" s="66">
        <f t="shared" si="13"/>
        <v>60.156799999999997</v>
      </c>
      <c r="E38" s="66">
        <f t="shared" si="13"/>
        <v>60.156799999999997</v>
      </c>
      <c r="F38" s="66">
        <f t="shared" si="13"/>
        <v>60.156799999999997</v>
      </c>
      <c r="G38" s="66">
        <f t="shared" si="13"/>
        <v>60.156799999999997</v>
      </c>
      <c r="H38" s="71"/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60" t="s">
        <v>86</v>
      </c>
      <c r="AI38" s="60" t="s">
        <v>39</v>
      </c>
      <c r="AJ38" s="60" t="s">
        <v>86</v>
      </c>
    </row>
    <row r="39" spans="1:36">
      <c r="A39" s="60" t="s">
        <v>83</v>
      </c>
      <c r="B39" s="63" t="s">
        <v>88</v>
      </c>
      <c r="C39" s="67"/>
      <c r="D39" s="67"/>
      <c r="E39" s="67"/>
      <c r="F39" s="67"/>
      <c r="G39" s="67"/>
      <c r="H39" s="67"/>
      <c r="S39" s="63" t="s">
        <v>88</v>
      </c>
      <c r="AI39" s="60" t="s">
        <v>87</v>
      </c>
      <c r="AJ39" s="63" t="s">
        <v>88</v>
      </c>
    </row>
    <row r="40" spans="1:36">
      <c r="A40" s="168">
        <v>1</v>
      </c>
      <c r="B40" s="60" t="s">
        <v>89</v>
      </c>
      <c r="C40" s="67">
        <f>C34-C36-C37-C38</f>
        <v>1548.6796649999999</v>
      </c>
      <c r="D40" s="67" t="e">
        <f t="shared" ref="D40:G40" si="14">D34-D36-D37-D38</f>
        <v>#DIV/0!</v>
      </c>
      <c r="E40" s="67">
        <f t="shared" si="14"/>
        <v>-148.75136000000001</v>
      </c>
      <c r="F40" s="67">
        <f t="shared" si="14"/>
        <v>-148.75136000000001</v>
      </c>
      <c r="G40" s="67">
        <f t="shared" si="14"/>
        <v>-148.75136000000001</v>
      </c>
      <c r="H40" s="67"/>
      <c r="S40" s="60" t="s">
        <v>89</v>
      </c>
      <c r="AI40" s="60" t="s">
        <v>28</v>
      </c>
      <c r="AJ40" s="60" t="s">
        <v>89</v>
      </c>
    </row>
    <row r="41" spans="1:36">
      <c r="A41" s="168">
        <v>2</v>
      </c>
      <c r="B41" s="60" t="s">
        <v>90</v>
      </c>
      <c r="C41" s="67"/>
      <c r="D41" s="67"/>
      <c r="E41" s="67"/>
      <c r="F41" s="67"/>
      <c r="G41" s="67"/>
      <c r="H41" s="67"/>
      <c r="S41" s="60" t="s">
        <v>90</v>
      </c>
      <c r="AI41" s="60" t="s">
        <v>30</v>
      </c>
      <c r="AJ41" s="60" t="s">
        <v>90</v>
      </c>
    </row>
    <row r="42" spans="1:36">
      <c r="A42" s="60" t="s">
        <v>87</v>
      </c>
      <c r="B42" s="63" t="s">
        <v>92</v>
      </c>
      <c r="C42" s="67"/>
      <c r="D42" s="67"/>
      <c r="E42" s="67"/>
      <c r="F42" s="67"/>
      <c r="G42" s="67"/>
      <c r="H42" s="67"/>
      <c r="S42" s="63" t="s">
        <v>92</v>
      </c>
      <c r="AI42" s="60" t="s">
        <v>91</v>
      </c>
      <c r="AJ42" s="63" t="s">
        <v>92</v>
      </c>
    </row>
    <row r="43" spans="1:36">
      <c r="A43" s="168">
        <v>1</v>
      </c>
      <c r="B43" s="68" t="s">
        <v>93</v>
      </c>
      <c r="C43" s="66">
        <f>标准成本!E5</f>
        <v>56.055200000000006</v>
      </c>
      <c r="D43" s="66">
        <f t="shared" ref="D43:G45" si="15">C43</f>
        <v>56.055200000000006</v>
      </c>
      <c r="E43" s="66">
        <f t="shared" si="15"/>
        <v>56.055200000000006</v>
      </c>
      <c r="F43" s="66">
        <f t="shared" si="15"/>
        <v>56.055200000000006</v>
      </c>
      <c r="G43" s="66">
        <f t="shared" si="15"/>
        <v>56.055200000000006</v>
      </c>
      <c r="H43" s="67"/>
      <c r="S43" s="60" t="s">
        <v>93</v>
      </c>
      <c r="AI43" s="60" t="s">
        <v>28</v>
      </c>
      <c r="AJ43" s="60" t="s">
        <v>93</v>
      </c>
    </row>
    <row r="44" spans="1:36">
      <c r="A44" s="168">
        <v>2</v>
      </c>
      <c r="B44" s="68" t="s">
        <v>94</v>
      </c>
      <c r="C44" s="66">
        <f>标准成本!E9</f>
        <v>9.5704000000000011</v>
      </c>
      <c r="D44" s="66">
        <f t="shared" si="15"/>
        <v>9.5704000000000011</v>
      </c>
      <c r="E44" s="66">
        <f t="shared" si="15"/>
        <v>9.5704000000000011</v>
      </c>
      <c r="F44" s="66">
        <f t="shared" si="15"/>
        <v>9.5704000000000011</v>
      </c>
      <c r="G44" s="66">
        <f t="shared" si="15"/>
        <v>9.5704000000000011</v>
      </c>
      <c r="H44" s="67"/>
      <c r="S44" s="60" t="s">
        <v>94</v>
      </c>
      <c r="AI44" s="60" t="s">
        <v>30</v>
      </c>
      <c r="AJ44" s="60" t="s">
        <v>94</v>
      </c>
    </row>
    <row r="45" spans="1:36">
      <c r="A45" s="168">
        <v>3</v>
      </c>
      <c r="B45" s="68" t="s">
        <v>95</v>
      </c>
      <c r="C45" s="66">
        <v>30</v>
      </c>
      <c r="D45" s="66">
        <f t="shared" si="15"/>
        <v>30</v>
      </c>
      <c r="E45" s="66">
        <f t="shared" si="15"/>
        <v>30</v>
      </c>
      <c r="F45" s="66">
        <f t="shared" si="15"/>
        <v>30</v>
      </c>
      <c r="G45" s="66">
        <f t="shared" si="15"/>
        <v>30</v>
      </c>
      <c r="H45" s="67"/>
      <c r="S45" s="60" t="s">
        <v>95</v>
      </c>
      <c r="AI45" s="60" t="s">
        <v>80</v>
      </c>
      <c r="AJ45" s="60" t="s">
        <v>95</v>
      </c>
    </row>
    <row r="46" spans="1:36" s="54" customFormat="1">
      <c r="A46" s="168">
        <v>4</v>
      </c>
      <c r="B46" s="68" t="s">
        <v>96</v>
      </c>
      <c r="C46" s="73">
        <f>C21/C6</f>
        <v>0.88500000000000001</v>
      </c>
      <c r="D46" s="73" t="e">
        <f>D21/D6</f>
        <v>#DIV/0!</v>
      </c>
      <c r="E46" s="73" t="e">
        <f>E21/E6</f>
        <v>#DIV/0!</v>
      </c>
      <c r="F46" s="73" t="e">
        <f>F21/F6</f>
        <v>#DIV/0!</v>
      </c>
      <c r="G46" s="73" t="e">
        <f>G21/G6</f>
        <v>#DIV/0!</v>
      </c>
      <c r="H46" s="73"/>
      <c r="S46" s="68" t="s">
        <v>98</v>
      </c>
      <c r="AI46" s="68" t="s">
        <v>36</v>
      </c>
      <c r="AJ46" s="68" t="s">
        <v>98</v>
      </c>
    </row>
    <row r="47" spans="1:36" s="54" customFormat="1">
      <c r="A47" s="168">
        <v>5</v>
      </c>
      <c r="B47" s="68" t="s">
        <v>98</v>
      </c>
      <c r="C47" s="73">
        <f>标准成本!E11</f>
        <v>41.015999999999998</v>
      </c>
      <c r="D47" s="73">
        <f>C47</f>
        <v>41.015999999999998</v>
      </c>
      <c r="E47" s="73">
        <f>D47</f>
        <v>41.015999999999998</v>
      </c>
      <c r="F47" s="73">
        <f>E47</f>
        <v>41.015999999999998</v>
      </c>
      <c r="G47" s="73">
        <f>F47</f>
        <v>41.015999999999998</v>
      </c>
      <c r="H47" s="73"/>
      <c r="S47" s="68" t="s">
        <v>98</v>
      </c>
      <c r="AI47" s="68" t="s">
        <v>36</v>
      </c>
      <c r="AJ47" s="68" t="s">
        <v>98</v>
      </c>
    </row>
    <row r="48" spans="1:36">
      <c r="A48" s="60" t="s">
        <v>91</v>
      </c>
      <c r="B48" s="63" t="s">
        <v>109</v>
      </c>
      <c r="C48" s="67">
        <f>C40-C43-C44-C45-C47-C46</f>
        <v>1411.1530649999997</v>
      </c>
      <c r="D48" s="67" t="e">
        <f>D40-D43-D44-D45-D47-D46</f>
        <v>#DIV/0!</v>
      </c>
      <c r="E48" s="67" t="e">
        <f>E40-E43-E44-E45-E47-E46</f>
        <v>#DIV/0!</v>
      </c>
      <c r="F48" s="67" t="e">
        <f>F40-F43-F44-F45-F47-F46</f>
        <v>#DIV/0!</v>
      </c>
      <c r="G48" s="67" t="e">
        <f>G40-G43-G44-G45-G47-G46</f>
        <v>#DIV/0!</v>
      </c>
      <c r="H48" s="67"/>
      <c r="S48" s="63" t="s">
        <v>109</v>
      </c>
      <c r="AI48" s="60" t="s">
        <v>108</v>
      </c>
      <c r="AJ48" s="63" t="s">
        <v>109</v>
      </c>
    </row>
    <row r="51" spans="2:13">
      <c r="C51" s="74"/>
      <c r="D51" s="74"/>
      <c r="E51" s="74"/>
      <c r="F51" s="74"/>
      <c r="G51" s="74"/>
    </row>
    <row r="54" spans="2:13">
      <c r="B54" s="75"/>
      <c r="C54" s="76"/>
      <c r="D54" s="76"/>
      <c r="E54" s="76"/>
      <c r="F54" s="76"/>
      <c r="G54" s="76"/>
      <c r="H54" s="76"/>
      <c r="I54" s="75"/>
      <c r="J54" s="75"/>
      <c r="K54" s="75"/>
      <c r="L54" s="75"/>
      <c r="M54" s="75"/>
    </row>
    <row r="55" spans="2:13">
      <c r="B55" s="75"/>
      <c r="C55" s="76"/>
      <c r="D55" s="76"/>
      <c r="E55" s="76"/>
      <c r="F55" s="76"/>
      <c r="G55" s="76"/>
      <c r="H55" s="76"/>
      <c r="I55" s="75"/>
      <c r="J55" s="75"/>
      <c r="K55" s="75"/>
      <c r="L55" s="75"/>
      <c r="M55" s="75"/>
    </row>
    <row r="56" spans="2:13">
      <c r="B56" s="75"/>
      <c r="C56" s="76"/>
      <c r="D56" s="76"/>
      <c r="E56" s="76"/>
      <c r="F56" s="76"/>
      <c r="G56" s="76"/>
      <c r="H56" s="76"/>
      <c r="I56" s="75"/>
      <c r="J56" s="75"/>
      <c r="K56" s="75"/>
      <c r="L56" s="75"/>
      <c r="M56" s="75"/>
    </row>
    <row r="57" spans="2:13">
      <c r="B57" s="75"/>
      <c r="C57" s="76"/>
      <c r="D57" s="76"/>
      <c r="E57" s="76"/>
      <c r="F57" s="76"/>
      <c r="G57" s="76"/>
      <c r="H57" s="76"/>
      <c r="I57" s="75"/>
      <c r="J57" s="75"/>
      <c r="K57" s="75"/>
      <c r="L57" s="75"/>
      <c r="M57" s="75"/>
    </row>
    <row r="58" spans="2:13">
      <c r="B58" s="75"/>
      <c r="C58" s="76"/>
      <c r="D58" s="76"/>
      <c r="E58" s="76"/>
      <c r="F58" s="76"/>
      <c r="G58" s="76"/>
      <c r="H58" s="76"/>
      <c r="I58" s="75"/>
      <c r="J58" s="75"/>
      <c r="K58" s="75"/>
      <c r="L58" s="75"/>
      <c r="M58" s="75"/>
    </row>
    <row r="59" spans="2:13">
      <c r="B59" s="75"/>
      <c r="C59" s="76"/>
      <c r="D59" s="76"/>
      <c r="E59" s="76"/>
      <c r="F59" s="76"/>
      <c r="G59" s="76"/>
      <c r="H59" s="76"/>
      <c r="I59" s="75"/>
      <c r="J59" s="75"/>
      <c r="K59" s="75"/>
      <c r="L59" s="75"/>
      <c r="M59" s="75"/>
    </row>
    <row r="60" spans="2:13">
      <c r="B60" s="75"/>
      <c r="C60" s="76"/>
      <c r="D60" s="76"/>
      <c r="E60" s="76"/>
      <c r="F60" s="76"/>
      <c r="G60" s="76"/>
      <c r="H60" s="76"/>
      <c r="I60" s="75"/>
      <c r="J60" s="75"/>
      <c r="K60" s="75"/>
      <c r="L60" s="75"/>
      <c r="M60" s="75"/>
    </row>
    <row r="61" spans="2:13">
      <c r="B61" s="75"/>
      <c r="C61" s="76"/>
      <c r="D61" s="76"/>
      <c r="E61" s="76"/>
      <c r="F61" s="76"/>
      <c r="G61" s="76"/>
      <c r="H61" s="76"/>
      <c r="I61" s="75"/>
      <c r="J61" s="75"/>
      <c r="K61" s="75"/>
      <c r="L61" s="75"/>
      <c r="M61" s="75"/>
    </row>
    <row r="62" spans="2:13">
      <c r="B62" s="75"/>
      <c r="C62" s="76"/>
      <c r="D62" s="76"/>
      <c r="E62" s="76"/>
      <c r="F62" s="76"/>
      <c r="G62" s="76"/>
      <c r="H62" s="76"/>
      <c r="I62" s="75"/>
      <c r="J62" s="75"/>
      <c r="K62" s="75"/>
      <c r="L62" s="75"/>
      <c r="M62" s="75"/>
    </row>
    <row r="63" spans="2:13">
      <c r="B63" s="75"/>
      <c r="C63" s="76"/>
      <c r="D63" s="76"/>
      <c r="E63" s="76"/>
      <c r="F63" s="76"/>
      <c r="G63" s="76"/>
      <c r="H63" s="76"/>
      <c r="I63" s="75"/>
      <c r="J63" s="75"/>
      <c r="K63" s="75"/>
      <c r="L63" s="75"/>
      <c r="M63" s="75"/>
    </row>
    <row r="64" spans="2:13">
      <c r="B64" s="75"/>
      <c r="C64" s="76"/>
      <c r="D64" s="76"/>
      <c r="E64" s="76"/>
      <c r="F64" s="76"/>
      <c r="G64" s="76"/>
      <c r="H64" s="76"/>
      <c r="I64" s="75"/>
      <c r="J64" s="75"/>
      <c r="K64" s="75"/>
      <c r="L64" s="75"/>
      <c r="M64" s="75"/>
    </row>
    <row r="65" spans="2:13">
      <c r="B65" s="75"/>
      <c r="C65" s="76"/>
      <c r="D65" s="76"/>
      <c r="E65" s="76"/>
      <c r="F65" s="76"/>
      <c r="G65" s="76"/>
      <c r="H65" s="76"/>
      <c r="I65" s="75"/>
      <c r="J65" s="75"/>
      <c r="K65" s="75"/>
      <c r="L65" s="75"/>
      <c r="M65" s="75"/>
    </row>
    <row r="66" spans="2:13">
      <c r="B66" s="75"/>
      <c r="C66" s="76"/>
      <c r="D66" s="76"/>
      <c r="E66" s="76"/>
      <c r="F66" s="76"/>
      <c r="G66" s="76"/>
      <c r="H66" s="76"/>
      <c r="I66" s="75"/>
      <c r="J66" s="75"/>
      <c r="K66" s="75"/>
      <c r="L66" s="75"/>
      <c r="M66" s="75"/>
    </row>
    <row r="67" spans="2:13">
      <c r="B67" s="75"/>
      <c r="C67" s="76"/>
      <c r="D67" s="76"/>
      <c r="E67" s="76"/>
      <c r="F67" s="76"/>
      <c r="G67" s="76"/>
      <c r="H67" s="76"/>
      <c r="I67" s="75"/>
    </row>
    <row r="68" spans="2:13">
      <c r="B68" s="75"/>
      <c r="C68" s="76"/>
      <c r="D68" s="76"/>
      <c r="E68" s="76"/>
      <c r="F68" s="76"/>
      <c r="G68" s="76"/>
      <c r="H68" s="76"/>
      <c r="I68" s="75"/>
    </row>
    <row r="69" spans="2:13">
      <c r="B69" s="75"/>
      <c r="C69" s="76"/>
      <c r="D69" s="76"/>
      <c r="E69" s="76"/>
      <c r="F69" s="76"/>
      <c r="G69" s="76"/>
      <c r="H69" s="76"/>
      <c r="I69" s="75"/>
    </row>
    <row r="70" spans="2:13">
      <c r="B70" s="75"/>
      <c r="C70" s="76"/>
      <c r="D70" s="76"/>
      <c r="E70" s="76"/>
      <c r="F70" s="76"/>
      <c r="G70" s="76"/>
      <c r="H70" s="76"/>
      <c r="I70" s="75"/>
    </row>
    <row r="71" spans="2:13">
      <c r="B71" s="75"/>
      <c r="C71" s="76"/>
      <c r="D71" s="76"/>
      <c r="E71" s="76"/>
      <c r="F71" s="76"/>
      <c r="G71" s="76"/>
      <c r="H71" s="76"/>
      <c r="I71" s="75"/>
    </row>
    <row r="72" spans="2:13">
      <c r="B72" s="75"/>
      <c r="C72" s="76"/>
      <c r="D72" s="76"/>
      <c r="E72" s="76"/>
      <c r="F72" s="76"/>
      <c r="G72" s="76"/>
      <c r="H72" s="76"/>
      <c r="I72" s="75"/>
    </row>
    <row r="73" spans="2:13">
      <c r="B73" s="75"/>
      <c r="C73" s="76"/>
      <c r="D73" s="76"/>
      <c r="E73" s="76"/>
      <c r="F73" s="76"/>
      <c r="G73" s="76"/>
      <c r="H73" s="76"/>
      <c r="I73" s="75"/>
    </row>
    <row r="74" spans="2:13">
      <c r="B74" s="75"/>
      <c r="C74" s="76"/>
      <c r="D74" s="76"/>
      <c r="E74" s="76"/>
      <c r="F74" s="76"/>
      <c r="G74" s="76"/>
      <c r="H74" s="76"/>
      <c r="I74" s="75"/>
    </row>
  </sheetData>
  <mergeCells count="8">
    <mergeCell ref="A1:B1"/>
    <mergeCell ref="C1:H1"/>
    <mergeCell ref="A2:B2"/>
    <mergeCell ref="C2:H2"/>
    <mergeCell ref="A3:B3"/>
    <mergeCell ref="H3:H5"/>
    <mergeCell ref="A4:B4"/>
    <mergeCell ref="A5:B5"/>
  </mergeCells>
  <phoneticPr fontId="39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7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1"/>
  <sheetViews>
    <sheetView workbookViewId="0">
      <pane xSplit="6" ySplit="2" topLeftCell="G3" activePane="bottomRight" state="frozen"/>
      <selection pane="topRight"/>
      <selection pane="bottomLeft"/>
      <selection pane="bottomRight" activeCell="E33" sqref="E33"/>
    </sheetView>
  </sheetViews>
  <sheetFormatPr defaultColWidth="9" defaultRowHeight="13.5"/>
  <cols>
    <col min="1" max="1" width="19.5" bestFit="1" customWidth="1"/>
    <col min="2" max="2" width="14.875" style="32" bestFit="1" customWidth="1"/>
    <col min="3" max="3" width="9.25" bestFit="1" customWidth="1"/>
    <col min="4" max="4" width="13" bestFit="1" customWidth="1"/>
    <col min="5" max="5" width="19.25" bestFit="1" customWidth="1"/>
    <col min="6" max="6" width="13" bestFit="1" customWidth="1"/>
    <col min="7" max="7" width="19.375" bestFit="1" customWidth="1"/>
    <col min="8" max="8" width="13" bestFit="1" customWidth="1"/>
    <col min="9" max="9" width="14.875" bestFit="1" customWidth="1"/>
    <col min="10" max="10" width="13" bestFit="1" customWidth="1"/>
  </cols>
  <sheetData>
    <row r="1" spans="1:8" ht="20.25">
      <c r="A1" s="202" t="s">
        <v>161</v>
      </c>
      <c r="B1" s="202"/>
      <c r="C1" s="202"/>
      <c r="E1" s="203" t="s">
        <v>278</v>
      </c>
      <c r="F1" s="204"/>
      <c r="G1" s="204"/>
      <c r="H1" s="205"/>
    </row>
    <row r="2" spans="1:8" ht="23.45" customHeight="1">
      <c r="A2" s="33" t="s">
        <v>1</v>
      </c>
      <c r="B2" s="34" t="s">
        <v>162</v>
      </c>
      <c r="C2" s="35" t="s">
        <v>163</v>
      </c>
      <c r="E2" s="1" t="s">
        <v>164</v>
      </c>
      <c r="F2" s="1" t="s">
        <v>1</v>
      </c>
      <c r="G2" s="36" t="s">
        <v>165</v>
      </c>
      <c r="H2" s="1" t="s">
        <v>163</v>
      </c>
    </row>
    <row r="3" spans="1:8" ht="15.75" customHeight="1">
      <c r="A3" s="37" t="s">
        <v>166</v>
      </c>
      <c r="B3" s="38"/>
      <c r="C3" s="39"/>
      <c r="E3" s="210" t="s">
        <v>167</v>
      </c>
      <c r="F3" s="2" t="s">
        <v>168</v>
      </c>
      <c r="G3" s="40"/>
      <c r="H3" s="2"/>
    </row>
    <row r="4" spans="1:8" ht="15.75" customHeight="1">
      <c r="A4" s="37" t="s">
        <v>169</v>
      </c>
      <c r="B4" s="38"/>
      <c r="C4" s="41"/>
      <c r="E4" s="211"/>
      <c r="F4" s="2" t="s">
        <v>170</v>
      </c>
      <c r="G4" s="40"/>
      <c r="H4" s="2"/>
    </row>
    <row r="5" spans="1:8" ht="15.75" customHeight="1">
      <c r="A5" s="37" t="s">
        <v>171</v>
      </c>
      <c r="B5" s="42">
        <f>SUM(G3:G4)</f>
        <v>0</v>
      </c>
      <c r="C5" s="39"/>
      <c r="E5" s="212" t="s">
        <v>172</v>
      </c>
      <c r="F5" s="43" t="s">
        <v>173</v>
      </c>
      <c r="G5" s="184">
        <v>250</v>
      </c>
      <c r="H5" s="43"/>
    </row>
    <row r="6" spans="1:8" ht="15.75" customHeight="1">
      <c r="A6" s="37" t="s">
        <v>174</v>
      </c>
      <c r="B6" s="38"/>
      <c r="C6" s="39"/>
      <c r="E6" s="213"/>
      <c r="F6" s="43" t="s">
        <v>175</v>
      </c>
      <c r="G6" s="185">
        <v>65</v>
      </c>
      <c r="H6" s="2"/>
    </row>
    <row r="7" spans="1:8" ht="15.75" customHeight="1">
      <c r="A7" s="44" t="s">
        <v>176</v>
      </c>
      <c r="B7" s="42">
        <f>SUM(B3:B6)</f>
        <v>0</v>
      </c>
      <c r="C7" s="39"/>
      <c r="E7" s="213"/>
      <c r="F7" s="43" t="s">
        <v>177</v>
      </c>
      <c r="G7" s="184">
        <v>24</v>
      </c>
      <c r="H7" s="2"/>
    </row>
    <row r="8" spans="1:8" ht="15.75" customHeight="1">
      <c r="A8" s="45" t="s">
        <v>178</v>
      </c>
      <c r="B8" s="42">
        <f>SUM(G5:G12)</f>
        <v>380.6</v>
      </c>
      <c r="C8" s="46"/>
      <c r="E8" s="213"/>
      <c r="F8" s="43" t="s">
        <v>179</v>
      </c>
      <c r="G8" s="184"/>
      <c r="H8" s="2"/>
    </row>
    <row r="9" spans="1:8" ht="15.75" customHeight="1">
      <c r="A9" s="37" t="s">
        <v>180</v>
      </c>
      <c r="B9" s="42">
        <f>SUM(G13:G21)</f>
        <v>13.275</v>
      </c>
      <c r="C9" s="39"/>
      <c r="E9" s="213"/>
      <c r="F9" s="2" t="s">
        <v>181</v>
      </c>
      <c r="G9" s="185">
        <v>20</v>
      </c>
      <c r="H9" s="171"/>
    </row>
    <row r="10" spans="1:8" ht="15.75" customHeight="1">
      <c r="A10" s="41" t="s">
        <v>24</v>
      </c>
      <c r="B10" s="42">
        <f>B7+B8+B9</f>
        <v>393.875</v>
      </c>
      <c r="C10" s="39"/>
      <c r="E10" s="213"/>
      <c r="F10" s="2" t="s">
        <v>182</v>
      </c>
      <c r="G10" s="186">
        <v>21.6</v>
      </c>
      <c r="H10" s="2"/>
    </row>
    <row r="11" spans="1:8" ht="15.75" customHeight="1">
      <c r="E11" s="213"/>
      <c r="F11" s="2" t="s">
        <v>183</v>
      </c>
      <c r="G11" s="186"/>
      <c r="H11" s="2"/>
    </row>
    <row r="12" spans="1:8" ht="15.75" customHeight="1">
      <c r="E12" s="214"/>
      <c r="F12" s="2" t="s">
        <v>184</v>
      </c>
      <c r="G12" s="184"/>
      <c r="H12" s="171"/>
    </row>
    <row r="13" spans="1:8" ht="15.75" customHeight="1">
      <c r="E13" s="210" t="s">
        <v>56</v>
      </c>
      <c r="F13" s="2" t="s">
        <v>185</v>
      </c>
      <c r="G13" s="184"/>
      <c r="H13" s="47"/>
    </row>
    <row r="14" spans="1:8" ht="15.75" customHeight="1">
      <c r="E14" s="211"/>
      <c r="F14" s="2" t="s">
        <v>186</v>
      </c>
      <c r="G14" s="184">
        <v>0.75</v>
      </c>
      <c r="H14" s="2"/>
    </row>
    <row r="15" spans="1:8" ht="15.75" customHeight="1">
      <c r="E15" s="211"/>
      <c r="F15" s="2" t="s">
        <v>187</v>
      </c>
      <c r="G15" s="184"/>
      <c r="H15" s="2"/>
    </row>
    <row r="16" spans="1:8" ht="15.75" customHeight="1">
      <c r="E16" s="211"/>
      <c r="F16" s="2" t="s">
        <v>188</v>
      </c>
      <c r="G16" s="184">
        <v>0.75</v>
      </c>
      <c r="H16" s="2"/>
    </row>
    <row r="17" spans="1:10" ht="15.75" customHeight="1">
      <c r="E17" s="211"/>
      <c r="F17" s="2" t="s">
        <v>189</v>
      </c>
      <c r="G17" s="184">
        <v>3.2749999999999999</v>
      </c>
      <c r="H17" s="2"/>
    </row>
    <row r="18" spans="1:10" ht="15.75" customHeight="1">
      <c r="E18" s="211"/>
      <c r="F18" s="2" t="s">
        <v>190</v>
      </c>
      <c r="G18" s="184">
        <v>2.5</v>
      </c>
      <c r="H18" s="2"/>
    </row>
    <row r="19" spans="1:10" ht="15.75" customHeight="1">
      <c r="E19" s="211"/>
      <c r="F19" s="2" t="s">
        <v>191</v>
      </c>
      <c r="G19" s="187">
        <v>6</v>
      </c>
      <c r="H19" s="2"/>
    </row>
    <row r="20" spans="1:10" ht="15.75" customHeight="1">
      <c r="E20" s="211"/>
      <c r="F20" s="2" t="s">
        <v>192</v>
      </c>
      <c r="G20" s="184"/>
      <c r="H20" s="2"/>
    </row>
    <row r="21" spans="1:10" ht="15.75" customHeight="1">
      <c r="E21" s="215"/>
      <c r="F21" s="2" t="s">
        <v>137</v>
      </c>
      <c r="G21" s="184"/>
      <c r="H21" s="2"/>
    </row>
    <row r="22" spans="1:10" ht="15.75" customHeight="1">
      <c r="E22" s="1" t="s">
        <v>24</v>
      </c>
      <c r="F22" s="2"/>
      <c r="G22" s="36">
        <f>SUM(G3:G21)</f>
        <v>393.875</v>
      </c>
      <c r="H22" s="2"/>
    </row>
    <row r="23" spans="1:10" ht="30.75" customHeight="1">
      <c r="E23" s="206" t="s">
        <v>193</v>
      </c>
      <c r="F23" s="206"/>
      <c r="G23" s="206"/>
      <c r="H23" s="206"/>
    </row>
    <row r="25" spans="1:10" ht="17.25">
      <c r="A25" s="21" t="s">
        <v>1</v>
      </c>
      <c r="B25" s="21" t="s">
        <v>162</v>
      </c>
      <c r="C25" s="21" t="s">
        <v>194</v>
      </c>
      <c r="D25" s="26" t="s">
        <v>19</v>
      </c>
      <c r="E25" s="26" t="s">
        <v>20</v>
      </c>
      <c r="F25" s="26" t="s">
        <v>195</v>
      </c>
      <c r="G25" s="26" t="s">
        <v>196</v>
      </c>
      <c r="H25" s="26" t="s">
        <v>197</v>
      </c>
      <c r="I25" s="26" t="s">
        <v>24</v>
      </c>
      <c r="J25" s="51" t="s">
        <v>198</v>
      </c>
    </row>
    <row r="26" spans="1:10" ht="16.5">
      <c r="A26" s="48" t="s">
        <v>156</v>
      </c>
      <c r="B26" s="49">
        <f>(B5+B8)*10000</f>
        <v>3806000</v>
      </c>
      <c r="C26" s="50">
        <v>0.05</v>
      </c>
      <c r="D26" s="15">
        <f>B26*(1-C26)/5</f>
        <v>723140</v>
      </c>
      <c r="E26" s="15">
        <f t="shared" ref="E26:H27" si="0">D26</f>
        <v>723140</v>
      </c>
      <c r="F26" s="15">
        <f t="shared" si="0"/>
        <v>723140</v>
      </c>
      <c r="G26" s="15">
        <f t="shared" si="0"/>
        <v>723140</v>
      </c>
      <c r="H26" s="15">
        <f t="shared" si="0"/>
        <v>723140</v>
      </c>
      <c r="I26" s="15">
        <f>SUM(D26:H26)</f>
        <v>3615700</v>
      </c>
      <c r="J26" s="15">
        <f>B26*0.05</f>
        <v>190300</v>
      </c>
    </row>
    <row r="27" spans="1:10" ht="16.5">
      <c r="A27" s="48" t="s">
        <v>199</v>
      </c>
      <c r="B27" s="49">
        <f>B9*10000</f>
        <v>132750</v>
      </c>
      <c r="C27" s="15"/>
      <c r="D27" s="15">
        <f>B27/5</f>
        <v>26550</v>
      </c>
      <c r="E27" s="15">
        <f t="shared" si="0"/>
        <v>26550</v>
      </c>
      <c r="F27" s="15">
        <f t="shared" si="0"/>
        <v>26550</v>
      </c>
      <c r="G27" s="15">
        <f t="shared" si="0"/>
        <v>26550</v>
      </c>
      <c r="H27" s="15">
        <f t="shared" si="0"/>
        <v>26550</v>
      </c>
      <c r="I27" s="15">
        <f>SUM(D27:H27)</f>
        <v>132750</v>
      </c>
      <c r="J27" s="15">
        <f>B27*0.05</f>
        <v>6637.5</v>
      </c>
    </row>
    <row r="28" spans="1:10" ht="16.5">
      <c r="A28" s="207" t="s">
        <v>117</v>
      </c>
      <c r="B28" s="208"/>
      <c r="C28" s="209"/>
      <c r="D28" s="15">
        <f>SUM(D26:D27)</f>
        <v>749690</v>
      </c>
      <c r="E28" s="15">
        <f t="shared" ref="E28:H28" si="1">SUM(E26:E27)</f>
        <v>749690</v>
      </c>
      <c r="F28" s="15">
        <f t="shared" si="1"/>
        <v>749690</v>
      </c>
      <c r="G28" s="15">
        <f t="shared" si="1"/>
        <v>749690</v>
      </c>
      <c r="H28" s="15">
        <f t="shared" si="1"/>
        <v>749690</v>
      </c>
      <c r="I28" s="52"/>
      <c r="J28" s="52"/>
    </row>
    <row r="41" ht="37.5" customHeight="1"/>
  </sheetData>
  <mergeCells count="7">
    <mergeCell ref="A1:C1"/>
    <mergeCell ref="E1:H1"/>
    <mergeCell ref="E23:H23"/>
    <mergeCell ref="A28:C28"/>
    <mergeCell ref="E3:E4"/>
    <mergeCell ref="E5:E12"/>
    <mergeCell ref="E13:E21"/>
  </mergeCells>
  <phoneticPr fontId="39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13</vt:i4>
      </vt:variant>
      <vt:variant>
        <vt:lpstr>命名范围</vt:lpstr>
      </vt:variant>
      <vt:variant>
        <vt:i4>7</vt:i4>
      </vt:variant>
    </vt:vector>
  </HeadingPairs>
  <TitlesOfParts>
    <vt:vector size="20" baseType="lpstr">
      <vt:lpstr>假设条件</vt:lpstr>
      <vt:lpstr>损益表</vt:lpstr>
      <vt:lpstr>现金</vt:lpstr>
      <vt:lpstr>2021年</vt:lpstr>
      <vt:lpstr>2022年</vt:lpstr>
      <vt:lpstr>2023年</vt:lpstr>
      <vt:lpstr>2024年</vt:lpstr>
      <vt:lpstr>2025年</vt:lpstr>
      <vt:lpstr>项目投资</vt:lpstr>
      <vt:lpstr>销量</vt:lpstr>
      <vt:lpstr>材料成本</vt:lpstr>
      <vt:lpstr>其他</vt:lpstr>
      <vt:lpstr>标准成本</vt:lpstr>
      <vt:lpstr>'2021年'!Print_Area</vt:lpstr>
      <vt:lpstr>'2022年'!Print_Area</vt:lpstr>
      <vt:lpstr>'2023年'!Print_Area</vt:lpstr>
      <vt:lpstr>'2024年'!Print_Area</vt:lpstr>
      <vt:lpstr>'2025年'!Print_Area</vt:lpstr>
      <vt:lpstr>损益表!Print_Area</vt:lpstr>
      <vt:lpstr>项目投资!Print_Area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2022-04-26T02:28:08Z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2052-11.1.0.9501</vt:lpwstr>
  </property>
</Properties>
</file>