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8525" windowHeight="6300" tabRatio="810" activeTab="1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'2022年'!$A$1:$G$48</definedName>
    <definedName name="_xlnm.Print_Area" localSheetId="4">'2023年'!$A$1:$G$48</definedName>
    <definedName name="_xlnm.Print_Area" localSheetId="5">'2024年'!$A$1:$G$48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6" i="53" l="1"/>
  <c r="C4" i="61" l="1"/>
  <c r="C8" i="55" l="1"/>
  <c r="E5" i="61" l="1"/>
  <c r="E7" i="61" l="1"/>
  <c r="E6" i="61"/>
  <c r="E4" i="61"/>
  <c r="B5" i="61"/>
  <c r="I21" i="58" l="1"/>
  <c r="J59" i="2" l="1"/>
  <c r="F77" i="50" l="1"/>
  <c r="F64" i="50"/>
  <c r="F10" i="50"/>
  <c r="F24" i="50"/>
  <c r="F38" i="50"/>
  <c r="F51" i="50"/>
  <c r="D33" i="53" l="1"/>
  <c r="D4" i="61" s="1"/>
  <c r="F4" i="61" s="1"/>
  <c r="G4" i="61" s="1"/>
  <c r="F33" i="53"/>
  <c r="D6" i="61" s="1"/>
  <c r="F6" i="61" s="1"/>
  <c r="G6" i="61" s="1"/>
  <c r="G33" i="53"/>
  <c r="D7" i="61" s="1"/>
  <c r="F7" i="61" s="1"/>
  <c r="G7" i="61" s="1"/>
  <c r="H33" i="53"/>
  <c r="I33" i="53"/>
  <c r="F74" i="50" l="1"/>
  <c r="F61" i="50"/>
  <c r="F48" i="50"/>
  <c r="F35" i="50"/>
  <c r="F7" i="50"/>
  <c r="F21" i="50"/>
  <c r="D6" i="59" l="1"/>
  <c r="D7" i="59" s="1"/>
  <c r="E6" i="59"/>
  <c r="F6" i="59"/>
  <c r="F12" i="59" s="1"/>
  <c r="G6" i="59"/>
  <c r="H6" i="59"/>
  <c r="H7" i="59" s="1"/>
  <c r="C6" i="59"/>
  <c r="G8" i="43"/>
  <c r="I70" i="50"/>
  <c r="E77" i="50" s="1"/>
  <c r="I77" i="50"/>
  <c r="H75" i="50"/>
  <c r="I74" i="50"/>
  <c r="H74" i="50"/>
  <c r="I57" i="50"/>
  <c r="I64" i="50"/>
  <c r="H62" i="50"/>
  <c r="I61" i="50"/>
  <c r="H61" i="50"/>
  <c r="I44" i="50"/>
  <c r="I51" i="50"/>
  <c r="H49" i="50"/>
  <c r="I48" i="50"/>
  <c r="H48" i="50"/>
  <c r="I31" i="50"/>
  <c r="E38" i="50" s="1"/>
  <c r="I38" i="50"/>
  <c r="H36" i="50"/>
  <c r="I35" i="50"/>
  <c r="H35" i="50"/>
  <c r="I17" i="50"/>
  <c r="I24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3" i="57"/>
  <c r="E3" i="57"/>
  <c r="F3" i="57"/>
  <c r="D4" i="57"/>
  <c r="E4" i="57"/>
  <c r="F4" i="57"/>
  <c r="D6" i="57"/>
  <c r="D7" i="57" s="1"/>
  <c r="E6" i="57"/>
  <c r="F6" i="57"/>
  <c r="E7" i="57"/>
  <c r="D31" i="57"/>
  <c r="E31" i="57"/>
  <c r="F31" i="57"/>
  <c r="D31" i="56"/>
  <c r="E31" i="56"/>
  <c r="F31" i="56"/>
  <c r="D3" i="56"/>
  <c r="E3" i="56"/>
  <c r="F3" i="56"/>
  <c r="D4" i="56"/>
  <c r="E4" i="56"/>
  <c r="F4" i="56"/>
  <c r="D6" i="56"/>
  <c r="E6" i="56"/>
  <c r="E7" i="56" s="1"/>
  <c r="F6" i="56"/>
  <c r="E46" i="53"/>
  <c r="F46" i="53" s="1"/>
  <c r="G46" i="53" s="1"/>
  <c r="H46" i="53" s="1"/>
  <c r="I4" i="53"/>
  <c r="I5" i="53"/>
  <c r="E4" i="53"/>
  <c r="F4" i="53"/>
  <c r="G4" i="53"/>
  <c r="H4" i="53"/>
  <c r="F5" i="53"/>
  <c r="B6" i="61" s="1"/>
  <c r="G5" i="53"/>
  <c r="B7" i="61" s="1"/>
  <c r="H5" i="53"/>
  <c r="D5" i="53"/>
  <c r="B4" i="61" s="1"/>
  <c r="D4" i="53"/>
  <c r="E51" i="50" l="1"/>
  <c r="F38" i="43" s="1"/>
  <c r="E24" i="50"/>
  <c r="E64" i="50"/>
  <c r="I46" i="53"/>
  <c r="H33" i="59" s="1"/>
  <c r="H33" i="58"/>
  <c r="E75" i="50"/>
  <c r="E71" i="50"/>
  <c r="E72" i="50"/>
  <c r="E76" i="50"/>
  <c r="E73" i="50"/>
  <c r="E74" i="50"/>
  <c r="E78" i="50"/>
  <c r="G22" i="59"/>
  <c r="E34" i="50"/>
  <c r="E38" i="43"/>
  <c r="E35" i="50"/>
  <c r="E39" i="50"/>
  <c r="E47" i="43" s="1"/>
  <c r="E36" i="50"/>
  <c r="E45" i="43" s="1"/>
  <c r="E32" i="50"/>
  <c r="E36" i="43" s="1"/>
  <c r="E33" i="50"/>
  <c r="E43" i="43" s="1"/>
  <c r="E37" i="50"/>
  <c r="E44" i="43" s="1"/>
  <c r="E48" i="50"/>
  <c r="E52" i="50"/>
  <c r="F47" i="43" s="1"/>
  <c r="E49" i="50"/>
  <c r="F45" i="43" s="1"/>
  <c r="E45" i="50"/>
  <c r="E46" i="50"/>
  <c r="F43" i="43" s="1"/>
  <c r="E50" i="50"/>
  <c r="F44" i="43" s="1"/>
  <c r="E47" i="50"/>
  <c r="F37" i="43" s="1"/>
  <c r="E13" i="59"/>
  <c r="E7" i="59"/>
  <c r="E7" i="50"/>
  <c r="E6" i="50"/>
  <c r="E11" i="50"/>
  <c r="E4" i="50"/>
  <c r="C36" i="43" s="1"/>
  <c r="E9" i="50"/>
  <c r="C44" i="43" s="1"/>
  <c r="E8" i="50"/>
  <c r="C45" i="43" s="1"/>
  <c r="E5" i="50"/>
  <c r="C43" i="43" s="1"/>
  <c r="E61" i="50"/>
  <c r="E65" i="50"/>
  <c r="E62" i="50"/>
  <c r="E58" i="50"/>
  <c r="E59" i="50"/>
  <c r="E63" i="50"/>
  <c r="E60" i="50"/>
  <c r="E22" i="50"/>
  <c r="D45" i="43" s="1"/>
  <c r="E19" i="50"/>
  <c r="D43" i="43" s="1"/>
  <c r="E23" i="50"/>
  <c r="D44" i="43" s="1"/>
  <c r="D44" i="57" s="1"/>
  <c r="E20" i="50"/>
  <c r="D37" i="43" s="1"/>
  <c r="D38" i="43"/>
  <c r="E21" i="50"/>
  <c r="E25" i="50"/>
  <c r="D47" i="43" s="1"/>
  <c r="E18" i="50"/>
  <c r="I6" i="59"/>
  <c r="E37" i="43"/>
  <c r="F7" i="57"/>
  <c r="E7" i="58"/>
  <c r="F36" i="43"/>
  <c r="F11" i="59"/>
  <c r="D22" i="58"/>
  <c r="H22" i="58"/>
  <c r="E22" i="59"/>
  <c r="H22" i="59"/>
  <c r="D22" i="59"/>
  <c r="H12" i="59"/>
  <c r="D12" i="59"/>
  <c r="E11" i="59"/>
  <c r="E19" i="59"/>
  <c r="D19" i="57"/>
  <c r="G19" i="58"/>
  <c r="G7" i="58"/>
  <c r="G11" i="58"/>
  <c r="G22" i="58"/>
  <c r="F13" i="58"/>
  <c r="D7" i="56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7" i="56"/>
  <c r="F22" i="58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C43" i="59" l="1"/>
  <c r="C43" i="58"/>
  <c r="C36" i="59"/>
  <c r="C36" i="58"/>
  <c r="C45" i="59"/>
  <c r="C45" i="58"/>
  <c r="C44" i="58"/>
  <c r="C44" i="59"/>
  <c r="F36" i="57"/>
  <c r="F11" i="57" s="1"/>
  <c r="F36" i="56"/>
  <c r="F11" i="56" s="1"/>
  <c r="F47" i="57"/>
  <c r="F22" i="57" s="1"/>
  <c r="F47" i="56"/>
  <c r="F22" i="56" s="1"/>
  <c r="E37" i="56"/>
  <c r="E12" i="56" s="1"/>
  <c r="E37" i="57"/>
  <c r="E12" i="57" s="1"/>
  <c r="E14" i="57" s="1"/>
  <c r="D47" i="56"/>
  <c r="D22" i="56" s="1"/>
  <c r="D47" i="57"/>
  <c r="D22" i="57" s="1"/>
  <c r="F37" i="57"/>
  <c r="F12" i="57" s="1"/>
  <c r="F14" i="57" s="1"/>
  <c r="F37" i="56"/>
  <c r="F12" i="56" s="1"/>
  <c r="F45" i="57"/>
  <c r="F45" i="56"/>
  <c r="E43" i="57"/>
  <c r="E43" i="56"/>
  <c r="F44" i="57"/>
  <c r="F19" i="57" s="1"/>
  <c r="F44" i="56"/>
  <c r="F19" i="56" s="1"/>
  <c r="E38" i="57"/>
  <c r="E13" i="57" s="1"/>
  <c r="E38" i="56"/>
  <c r="E13" i="56" s="1"/>
  <c r="D38" i="56"/>
  <c r="D13" i="56" s="1"/>
  <c r="D38" i="57"/>
  <c r="D13" i="57" s="1"/>
  <c r="D45" i="56"/>
  <c r="D45" i="57"/>
  <c r="F43" i="56"/>
  <c r="F43" i="57"/>
  <c r="E45" i="57"/>
  <c r="E45" i="56"/>
  <c r="D43" i="56"/>
  <c r="D43" i="57"/>
  <c r="E36" i="57"/>
  <c r="E11" i="57" s="1"/>
  <c r="E36" i="56"/>
  <c r="E11" i="56" s="1"/>
  <c r="E14" i="56" s="1"/>
  <c r="D37" i="56"/>
  <c r="D12" i="56" s="1"/>
  <c r="D37" i="57"/>
  <c r="D12" i="57" s="1"/>
  <c r="F38" i="56"/>
  <c r="F13" i="56" s="1"/>
  <c r="F14" i="56" s="1"/>
  <c r="F38" i="57"/>
  <c r="F13" i="57" s="1"/>
  <c r="E44" i="57"/>
  <c r="E19" i="57" s="1"/>
  <c r="E44" i="56"/>
  <c r="E19" i="56" s="1"/>
  <c r="E47" i="56"/>
  <c r="E22" i="56" s="1"/>
  <c r="E47" i="57"/>
  <c r="E22" i="57" s="1"/>
  <c r="D36" i="43"/>
  <c r="D44" i="56"/>
  <c r="D19" i="56" s="1"/>
  <c r="C43" i="57"/>
  <c r="C43" i="56"/>
  <c r="C45" i="57"/>
  <c r="C45" i="56"/>
  <c r="C44" i="56"/>
  <c r="C44" i="57"/>
  <c r="C36" i="57"/>
  <c r="C36" i="56"/>
  <c r="H10" i="59"/>
  <c r="E14" i="58"/>
  <c r="D14" i="59"/>
  <c r="H14" i="59"/>
  <c r="E14" i="59"/>
  <c r="F14" i="58"/>
  <c r="G14" i="58"/>
  <c r="D14" i="58"/>
  <c r="H14" i="58"/>
  <c r="G14" i="59"/>
  <c r="D36" i="56" l="1"/>
  <c r="D11" i="56" s="1"/>
  <c r="D14" i="56" s="1"/>
  <c r="D36" i="57"/>
  <c r="D11" i="57" s="1"/>
  <c r="D14" i="57" s="1"/>
  <c r="H10" i="58"/>
  <c r="D31" i="43"/>
  <c r="D32" i="43" s="1"/>
  <c r="E31" i="43"/>
  <c r="E32" i="43" s="1"/>
  <c r="F31" i="43"/>
  <c r="F32" i="43" s="1"/>
  <c r="D6" i="43"/>
  <c r="D19" i="43" s="1"/>
  <c r="E6" i="43"/>
  <c r="E19" i="43" s="1"/>
  <c r="F6" i="43"/>
  <c r="E3" i="43"/>
  <c r="F3" i="43"/>
  <c r="E4" i="43"/>
  <c r="F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E12" i="43" l="1"/>
  <c r="E7" i="43"/>
  <c r="E9" i="43" s="1"/>
  <c r="E22" i="43"/>
  <c r="E13" i="43"/>
  <c r="F19" i="43"/>
  <c r="F11" i="43"/>
  <c r="D22" i="43"/>
  <c r="D13" i="43"/>
  <c r="D12" i="43"/>
  <c r="D11" i="43"/>
  <c r="D20" i="43"/>
  <c r="F20" i="43"/>
  <c r="F7" i="43"/>
  <c r="F9" i="43" s="1"/>
  <c r="F22" i="43"/>
  <c r="D7" i="43"/>
  <c r="D9" i="43" s="1"/>
  <c r="F13" i="43"/>
  <c r="F12" i="43"/>
  <c r="E11" i="43"/>
  <c r="E20" i="43"/>
  <c r="E14" i="43" l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E10" i="50" s="1"/>
  <c r="B9" i="51"/>
  <c r="L8" i="55" l="1"/>
  <c r="K9" i="55"/>
  <c r="L7" i="55"/>
  <c r="C31" i="59"/>
  <c r="C6" i="58"/>
  <c r="C31" i="58"/>
  <c r="C6" i="57"/>
  <c r="C31" i="57"/>
  <c r="C6" i="56"/>
  <c r="G6" i="56" s="1"/>
  <c r="C31" i="56"/>
  <c r="E8" i="56" l="1"/>
  <c r="E9" i="56" s="1"/>
  <c r="D8" i="56"/>
  <c r="D9" i="56" s="1"/>
  <c r="F8" i="56"/>
  <c r="F9" i="56" s="1"/>
  <c r="E8" i="57"/>
  <c r="E9" i="57" s="1"/>
  <c r="E32" i="57" s="1"/>
  <c r="D8" i="57"/>
  <c r="D9" i="57" s="1"/>
  <c r="D32" i="57" s="1"/>
  <c r="F8" i="57"/>
  <c r="F9" i="57" s="1"/>
  <c r="F32" i="57" s="1"/>
  <c r="G6" i="57"/>
  <c r="E3" i="2" s="1"/>
  <c r="I6" i="58"/>
  <c r="D3" i="2"/>
  <c r="C7" i="56"/>
  <c r="C7" i="57"/>
  <c r="G7" i="57" s="1"/>
  <c r="C7" i="58"/>
  <c r="I7" i="58" s="1"/>
  <c r="C38" i="43"/>
  <c r="C19" i="59"/>
  <c r="I19" i="59" s="1"/>
  <c r="C37" i="43"/>
  <c r="L9" i="55"/>
  <c r="K10" i="55"/>
  <c r="L10" i="55" s="1"/>
  <c r="C7" i="59"/>
  <c r="I7" i="59" s="1"/>
  <c r="G3" i="2"/>
  <c r="C11" i="58"/>
  <c r="I11" i="58" s="1"/>
  <c r="C11" i="56"/>
  <c r="G11" i="56" s="1"/>
  <c r="C37" i="58" l="1"/>
  <c r="C37" i="59"/>
  <c r="C12" i="59" s="1"/>
  <c r="I12" i="59" s="1"/>
  <c r="G9" i="2" s="1"/>
  <c r="G35" i="2" s="1"/>
  <c r="C38" i="59"/>
  <c r="C13" i="59" s="1"/>
  <c r="I13" i="59" s="1"/>
  <c r="C38" i="58"/>
  <c r="C38" i="56"/>
  <c r="C13" i="56" s="1"/>
  <c r="G13" i="56" s="1"/>
  <c r="C38" i="57"/>
  <c r="C13" i="57" s="1"/>
  <c r="G13" i="57" s="1"/>
  <c r="E10" i="2" s="1"/>
  <c r="C37" i="56"/>
  <c r="C37" i="57"/>
  <c r="E8" i="59"/>
  <c r="E9" i="59" s="1"/>
  <c r="H8" i="59"/>
  <c r="H9" i="59" s="1"/>
  <c r="D8" i="59"/>
  <c r="D9" i="59" s="1"/>
  <c r="F8" i="59"/>
  <c r="F9" i="59" s="1"/>
  <c r="G8" i="59"/>
  <c r="G9" i="59" s="1"/>
  <c r="F8" i="58"/>
  <c r="F9" i="58" s="1"/>
  <c r="H8" i="58"/>
  <c r="H9" i="58" s="1"/>
  <c r="G8" i="58"/>
  <c r="G9" i="58" s="1"/>
  <c r="D8" i="58"/>
  <c r="D9" i="58" s="1"/>
  <c r="E8" i="58"/>
  <c r="E9" i="58" s="1"/>
  <c r="F32" i="56"/>
  <c r="D32" i="56"/>
  <c r="E32" i="56"/>
  <c r="C8" i="56"/>
  <c r="C9" i="56" s="1"/>
  <c r="G7" i="56"/>
  <c r="D4" i="2" s="1"/>
  <c r="E4" i="2"/>
  <c r="C8" i="57"/>
  <c r="C8" i="58"/>
  <c r="C11" i="57"/>
  <c r="D8" i="2"/>
  <c r="C19" i="58"/>
  <c r="I19" i="58" s="1"/>
  <c r="C19" i="57"/>
  <c r="C13" i="58"/>
  <c r="I13" i="58" s="1"/>
  <c r="C11" i="59"/>
  <c r="C19" i="56"/>
  <c r="G19" i="56" s="1"/>
  <c r="C12" i="57"/>
  <c r="G12" i="57" s="1"/>
  <c r="C12" i="58"/>
  <c r="I12" i="58" s="1"/>
  <c r="C8" i="59"/>
  <c r="F3" i="2"/>
  <c r="C12" i="56"/>
  <c r="G16" i="2"/>
  <c r="G42" i="2" s="1"/>
  <c r="G10" i="2"/>
  <c r="G4" i="2"/>
  <c r="F4" i="2"/>
  <c r="D34" i="2" l="1"/>
  <c r="G36" i="2"/>
  <c r="E36" i="2"/>
  <c r="F20" i="56"/>
  <c r="E32" i="58"/>
  <c r="H32" i="58"/>
  <c r="H15" i="58"/>
  <c r="H16" i="58" s="1"/>
  <c r="F32" i="59"/>
  <c r="E32" i="59"/>
  <c r="I8" i="59"/>
  <c r="G5" i="2" s="1"/>
  <c r="I8" i="58"/>
  <c r="F5" i="2" s="1"/>
  <c r="E20" i="56"/>
  <c r="D20" i="56"/>
  <c r="D32" i="58"/>
  <c r="F32" i="58"/>
  <c r="D32" i="59"/>
  <c r="D20" i="57"/>
  <c r="F20" i="57"/>
  <c r="G32" i="58"/>
  <c r="E20" i="57"/>
  <c r="G32" i="59"/>
  <c r="H32" i="59"/>
  <c r="H15" i="59"/>
  <c r="H16" i="59" s="1"/>
  <c r="C14" i="59"/>
  <c r="I14" i="59" s="1"/>
  <c r="G11" i="2" s="1"/>
  <c r="I11" i="59"/>
  <c r="G8" i="2" s="1"/>
  <c r="C32" i="56"/>
  <c r="C20" i="56" s="1"/>
  <c r="G9" i="56"/>
  <c r="D6" i="2" s="1"/>
  <c r="D29" i="2" s="1"/>
  <c r="C9" i="57"/>
  <c r="G8" i="57"/>
  <c r="E5" i="2" s="1"/>
  <c r="G11" i="57"/>
  <c r="E8" i="2" s="1"/>
  <c r="G8" i="56"/>
  <c r="D5" i="2" s="1"/>
  <c r="C14" i="56"/>
  <c r="G14" i="56" s="1"/>
  <c r="G12" i="56"/>
  <c r="C9" i="58"/>
  <c r="I9" i="58" s="1"/>
  <c r="C14" i="57"/>
  <c r="G14" i="57" s="1"/>
  <c r="C14" i="58"/>
  <c r="I14" i="58" s="1"/>
  <c r="G19" i="57"/>
  <c r="E16" i="2" s="1"/>
  <c r="E42" i="2" s="1"/>
  <c r="F10" i="2"/>
  <c r="D10" i="2"/>
  <c r="D16" i="2"/>
  <c r="D42" i="2" s="1"/>
  <c r="C9" i="59"/>
  <c r="I9" i="59" s="1"/>
  <c r="F8" i="2"/>
  <c r="G34" i="2" l="1"/>
  <c r="D36" i="2"/>
  <c r="D47" i="2"/>
  <c r="F34" i="2"/>
  <c r="F36" i="2"/>
  <c r="E34" i="2"/>
  <c r="G20" i="59"/>
  <c r="D20" i="59"/>
  <c r="F20" i="59"/>
  <c r="E20" i="58"/>
  <c r="G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G9" i="57"/>
  <c r="E6" i="2" s="1"/>
  <c r="E29" i="2" s="1"/>
  <c r="C32" i="58"/>
  <c r="C20" i="58" s="1"/>
  <c r="F6" i="2"/>
  <c r="F29" i="2" s="1"/>
  <c r="C32" i="59"/>
  <c r="G6" i="2"/>
  <c r="E47" i="2" l="1"/>
  <c r="G29" i="2"/>
  <c r="G47" i="2"/>
  <c r="I20" i="58"/>
  <c r="F17" i="2" s="1"/>
  <c r="G20" i="57"/>
  <c r="E17" i="2" s="1"/>
  <c r="F9" i="2"/>
  <c r="C20" i="59"/>
  <c r="I20" i="59" s="1"/>
  <c r="F11" i="2"/>
  <c r="D11" i="2"/>
  <c r="D9" i="2"/>
  <c r="E49" i="2" l="1"/>
  <c r="E43" i="2"/>
  <c r="F49" i="2"/>
  <c r="F43" i="2"/>
  <c r="D35" i="2"/>
  <c r="F35" i="2"/>
  <c r="E11" i="2"/>
  <c r="E9" i="2"/>
  <c r="F16" i="2"/>
  <c r="F42" i="2" l="1"/>
  <c r="F47" i="2"/>
  <c r="E35" i="2"/>
  <c r="D17" i="2"/>
  <c r="D43" i="2" l="1"/>
  <c r="D49" i="2"/>
  <c r="G17" i="2"/>
  <c r="B5" i="51"/>
  <c r="G49" i="2" l="1"/>
  <c r="G43" i="2"/>
  <c r="H8" i="50"/>
  <c r="I7" i="50"/>
  <c r="E45" i="53" l="1"/>
  <c r="F45" i="53" s="1"/>
  <c r="G45" i="53" s="1"/>
  <c r="H45" i="53" s="1"/>
  <c r="E44" i="53"/>
  <c r="F44" i="53" s="1"/>
  <c r="G44" i="53" s="1"/>
  <c r="H44" i="53" s="1"/>
  <c r="E43" i="53"/>
  <c r="F43" i="53" s="1"/>
  <c r="G43" i="53" s="1"/>
  <c r="H43" i="53" s="1"/>
  <c r="E33" i="53"/>
  <c r="E41" i="53"/>
  <c r="F41" i="53" s="1"/>
  <c r="G41" i="53" s="1"/>
  <c r="H41" i="53" s="1"/>
  <c r="I41" i="53" s="1"/>
  <c r="I9" i="55"/>
  <c r="G22" i="51"/>
  <c r="B27" i="5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J5" i="36" s="1"/>
  <c r="I6" i="36"/>
  <c r="H6" i="36"/>
  <c r="G6" i="36"/>
  <c r="E6" i="36"/>
  <c r="E5" i="36" s="1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10" i="36" l="1"/>
  <c r="C47" i="59"/>
  <c r="C22" i="59" s="1"/>
  <c r="I22" i="59" s="1"/>
  <c r="G19" i="2" s="1"/>
  <c r="G51" i="2" s="1"/>
  <c r="C47" i="58"/>
  <c r="C22" i="58" s="1"/>
  <c r="I22" i="58" s="1"/>
  <c r="F19" i="2" s="1"/>
  <c r="C56" i="2"/>
  <c r="D27" i="51"/>
  <c r="E42" i="53"/>
  <c r="F42" i="53" s="1"/>
  <c r="G42" i="53" s="1"/>
  <c r="H42" i="53" s="1"/>
  <c r="D5" i="61"/>
  <c r="F5" i="61" s="1"/>
  <c r="G5" i="61" s="1"/>
  <c r="C47" i="56"/>
  <c r="C22" i="56" s="1"/>
  <c r="G22" i="56" s="1"/>
  <c r="D19" i="2" s="1"/>
  <c r="D51" i="2" s="1"/>
  <c r="C47" i="57"/>
  <c r="C22" i="57" s="1"/>
  <c r="G22" i="57" s="1"/>
  <c r="E19" i="2" s="1"/>
  <c r="E51" i="2" s="1"/>
  <c r="I43" i="53"/>
  <c r="E33" i="58"/>
  <c r="C33" i="59"/>
  <c r="C10" i="59"/>
  <c r="I45" i="53"/>
  <c r="G33" i="58"/>
  <c r="G34" i="58" s="1"/>
  <c r="G40" i="58" s="1"/>
  <c r="I44" i="53"/>
  <c r="F33" i="58"/>
  <c r="F34" i="58" s="1"/>
  <c r="F40" i="58" s="1"/>
  <c r="I42" i="53"/>
  <c r="D33" i="58"/>
  <c r="E33" i="43"/>
  <c r="E10" i="43"/>
  <c r="K10" i="36"/>
  <c r="F33" i="43"/>
  <c r="F10" i="43"/>
  <c r="D10" i="43"/>
  <c r="C22" i="43"/>
  <c r="G22" i="43" s="1"/>
  <c r="C3" i="2"/>
  <c r="H3" i="2" s="1"/>
  <c r="C19" i="43"/>
  <c r="G19" i="43" s="1"/>
  <c r="C10" i="56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G11" i="43" s="1"/>
  <c r="C12" i="43"/>
  <c r="G12" i="43" s="1"/>
  <c r="C13" i="43"/>
  <c r="G13" i="43" s="1"/>
  <c r="C20" i="43"/>
  <c r="G20" i="43" s="1"/>
  <c r="F51" i="2" l="1"/>
  <c r="D33" i="43"/>
  <c r="G10" i="43"/>
  <c r="C7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33" i="59"/>
  <c r="D34" i="59" s="1"/>
  <c r="D40" i="59" s="1"/>
  <c r="F33" i="56"/>
  <c r="F34" i="56" s="1"/>
  <c r="F40" i="56" s="1"/>
  <c r="F10" i="56"/>
  <c r="F15" i="56" s="1"/>
  <c r="F16" i="56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G9" i="43" s="1"/>
  <c r="G7" i="43"/>
  <c r="C4" i="2" s="1"/>
  <c r="H4" i="2" s="1"/>
  <c r="G18" i="43"/>
  <c r="E21" i="58"/>
  <c r="F21" i="58"/>
  <c r="G21" i="58"/>
  <c r="H21" i="58"/>
  <c r="D21" i="58"/>
  <c r="D34" i="43"/>
  <c r="D40" i="43" s="1"/>
  <c r="D15" i="43"/>
  <c r="D16" i="43" s="1"/>
  <c r="C33" i="56"/>
  <c r="C34" i="56" s="1"/>
  <c r="C40" i="56" s="1"/>
  <c r="C14" i="43"/>
  <c r="G14" i="43" s="1"/>
  <c r="G17" i="36"/>
  <c r="G19" i="36" s="1"/>
  <c r="E26" i="51"/>
  <c r="J26" i="51"/>
  <c r="E23" i="36"/>
  <c r="C18" i="36"/>
  <c r="D18" i="36" s="1"/>
  <c r="E18" i="36" s="1"/>
  <c r="C19" i="36"/>
  <c r="M10" i="36"/>
  <c r="D19" i="36"/>
  <c r="E22" i="36"/>
  <c r="H17" i="36"/>
  <c r="H19" i="36" s="1"/>
  <c r="G21" i="56"/>
  <c r="G21" i="57"/>
  <c r="C17" i="2"/>
  <c r="H17" i="2" s="1"/>
  <c r="C9" i="2"/>
  <c r="H9" i="2" s="1"/>
  <c r="G21" i="43"/>
  <c r="E27" i="51"/>
  <c r="F27" i="51" s="1"/>
  <c r="H27" i="51" s="1"/>
  <c r="I21" i="59" s="1"/>
  <c r="D28" i="51"/>
  <c r="M17" i="36"/>
  <c r="F26" i="51" l="1"/>
  <c r="G18" i="56"/>
  <c r="D60" i="2" s="1"/>
  <c r="C30" i="2"/>
  <c r="C35" i="2"/>
  <c r="C43" i="2"/>
  <c r="H43" i="2"/>
  <c r="C18" i="43"/>
  <c r="C60" i="2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H35" i="2"/>
  <c r="I22" i="36"/>
  <c r="G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F6" i="36"/>
  <c r="F5" i="36" s="1"/>
  <c r="F17" i="36" s="1"/>
  <c r="F19" i="36" s="1"/>
  <c r="L6" i="36"/>
  <c r="L5" i="36" s="1"/>
  <c r="L17" i="36" s="1"/>
  <c r="L19" i="36" s="1"/>
  <c r="F33" i="57"/>
  <c r="F34" i="57" s="1"/>
  <c r="F40" i="57" s="1"/>
  <c r="F10" i="57"/>
  <c r="F15" i="57" s="1"/>
  <c r="F16" i="57" s="1"/>
  <c r="I23" i="36"/>
  <c r="F46" i="58"/>
  <c r="F48" i="58" s="1"/>
  <c r="H46" i="58"/>
  <c r="H48" i="58" s="1"/>
  <c r="D46" i="58"/>
  <c r="E46" i="58"/>
  <c r="G46" i="58"/>
  <c r="G48" i="58" s="1"/>
  <c r="D21" i="56"/>
  <c r="E21" i="56"/>
  <c r="F21" i="56"/>
  <c r="C21" i="43"/>
  <c r="D21" i="43"/>
  <c r="E21" i="43"/>
  <c r="E46" i="43" s="1"/>
  <c r="F21" i="43"/>
  <c r="F46" i="43" s="1"/>
  <c r="D21" i="59"/>
  <c r="H21" i="59"/>
  <c r="E21" i="59"/>
  <c r="G21" i="59"/>
  <c r="F21" i="59"/>
  <c r="E21" i="57"/>
  <c r="E46" i="57" s="1"/>
  <c r="D21" i="57"/>
  <c r="D46" i="57" s="1"/>
  <c r="F21" i="57"/>
  <c r="F46" i="57" s="1"/>
  <c r="E34" i="43"/>
  <c r="E40" i="43" s="1"/>
  <c r="E15" i="43"/>
  <c r="E16" i="43" s="1"/>
  <c r="C6" i="2"/>
  <c r="H6" i="2" s="1"/>
  <c r="C15" i="56"/>
  <c r="C20" i="36"/>
  <c r="D20" i="36" s="1"/>
  <c r="E20" i="36" s="1"/>
  <c r="C16" i="2"/>
  <c r="H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H8" i="2" s="1"/>
  <c r="C10" i="2"/>
  <c r="H10" i="2" s="1"/>
  <c r="C15" i="43"/>
  <c r="E28" i="51"/>
  <c r="I27" i="51"/>
  <c r="C19" i="2"/>
  <c r="H19" i="2" s="1"/>
  <c r="F28" i="51"/>
  <c r="C18" i="2"/>
  <c r="H18" i="2" l="1"/>
  <c r="G18" i="57"/>
  <c r="F18" i="57" s="1"/>
  <c r="F17" i="57" s="1"/>
  <c r="F23" i="57" s="1"/>
  <c r="F24" i="57" s="1"/>
  <c r="F25" i="57" s="1"/>
  <c r="G26" i="51"/>
  <c r="D46" i="43"/>
  <c r="D48" i="43" s="1"/>
  <c r="C36" i="2"/>
  <c r="C34" i="2"/>
  <c r="H34" i="2"/>
  <c r="H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36"/>
  <c r="G18" i="36" s="1"/>
  <c r="H18" i="36" s="1"/>
  <c r="E24" i="36" s="1"/>
  <c r="G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C10" i="58"/>
  <c r="E15" i="59"/>
  <c r="E16" i="59" s="1"/>
  <c r="E10" i="58"/>
  <c r="E15" i="58" s="1"/>
  <c r="E16" i="58" s="1"/>
  <c r="E48" i="43"/>
  <c r="C16" i="43"/>
  <c r="F48" i="57"/>
  <c r="E48" i="57"/>
  <c r="E46" i="59"/>
  <c r="E48" i="59" s="1"/>
  <c r="E46" i="56"/>
  <c r="E48" i="56" s="1"/>
  <c r="D46" i="59"/>
  <c r="D48" i="59" s="1"/>
  <c r="H46" i="59"/>
  <c r="H48" i="59" s="1"/>
  <c r="F46" i="59"/>
  <c r="F48" i="59" s="1"/>
  <c r="D48" i="57"/>
  <c r="G46" i="59"/>
  <c r="G48" i="59" s="1"/>
  <c r="F46" i="56"/>
  <c r="F48" i="56" s="1"/>
  <c r="D46" i="56"/>
  <c r="D48" i="56" s="1"/>
  <c r="C16" i="56"/>
  <c r="G15" i="56"/>
  <c r="G16" i="56" s="1"/>
  <c r="D13" i="2" s="1"/>
  <c r="F34" i="43"/>
  <c r="F40" i="43" s="1"/>
  <c r="F48" i="43" s="1"/>
  <c r="F15" i="43"/>
  <c r="C48" i="57"/>
  <c r="C15" i="57"/>
  <c r="G15" i="57" s="1"/>
  <c r="C33" i="58"/>
  <c r="C34" i="58" s="1"/>
  <c r="C40" i="58" s="1"/>
  <c r="C48" i="58" s="1"/>
  <c r="C11" i="2"/>
  <c r="H11" i="2" s="1"/>
  <c r="C46" i="43"/>
  <c r="C48" i="43" s="1"/>
  <c r="G28" i="51"/>
  <c r="I18" i="58" l="1"/>
  <c r="H26" i="51"/>
  <c r="I18" i="59" s="1"/>
  <c r="E60" i="2"/>
  <c r="D18" i="57"/>
  <c r="D17" i="57" s="1"/>
  <c r="D23" i="57" s="1"/>
  <c r="D24" i="57" s="1"/>
  <c r="C18" i="57"/>
  <c r="C17" i="57" s="1"/>
  <c r="E18" i="57"/>
  <c r="E17" i="57" s="1"/>
  <c r="E23" i="57" s="1"/>
  <c r="E24" i="57" s="1"/>
  <c r="E25" i="57" s="1"/>
  <c r="E26" i="57" s="1"/>
  <c r="E27" i="57" s="1"/>
  <c r="G15" i="43"/>
  <c r="F16" i="43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I10" i="58"/>
  <c r="F7" i="2" s="1"/>
  <c r="F30" i="2" s="1"/>
  <c r="F31" i="2" s="1"/>
  <c r="F32" i="2" s="1"/>
  <c r="H47" i="2"/>
  <c r="H36" i="2"/>
  <c r="D34" i="58"/>
  <c r="D40" i="58" s="1"/>
  <c r="D48" i="58" s="1"/>
  <c r="H29" i="2"/>
  <c r="H51" i="2"/>
  <c r="H49" i="2"/>
  <c r="H50" i="2"/>
  <c r="F26" i="57"/>
  <c r="F27" i="57" s="1"/>
  <c r="D12" i="2"/>
  <c r="D38" i="2" s="1"/>
  <c r="C16" i="57"/>
  <c r="C15" i="58"/>
  <c r="I15" i="58" s="1"/>
  <c r="C34" i="59"/>
  <c r="C40" i="59" s="1"/>
  <c r="C48" i="59" s="1"/>
  <c r="I26" i="51"/>
  <c r="H60" i="2" s="1"/>
  <c r="H28" i="51" l="1"/>
  <c r="G60" i="2"/>
  <c r="F18" i="59"/>
  <c r="F17" i="59" s="1"/>
  <c r="F23" i="59" s="1"/>
  <c r="F24" i="59" s="1"/>
  <c r="E18" i="59"/>
  <c r="E17" i="59" s="1"/>
  <c r="E23" i="59" s="1"/>
  <c r="E24" i="59" s="1"/>
  <c r="E25" i="59" s="1"/>
  <c r="E26" i="59" s="1"/>
  <c r="E27" i="59" s="1"/>
  <c r="D18" i="59"/>
  <c r="D17" i="59" s="1"/>
  <c r="D23" i="59" s="1"/>
  <c r="D24" i="59" s="1"/>
  <c r="D25" i="59" s="1"/>
  <c r="D26" i="59" s="1"/>
  <c r="D27" i="59" s="1"/>
  <c r="H18" i="59"/>
  <c r="H17" i="59" s="1"/>
  <c r="H23" i="59" s="1"/>
  <c r="H24" i="59" s="1"/>
  <c r="H25" i="59" s="1"/>
  <c r="H26" i="59" s="1"/>
  <c r="H27" i="59" s="1"/>
  <c r="C18" i="59"/>
  <c r="C17" i="59" s="1"/>
  <c r="G18" i="59"/>
  <c r="G17" i="59" s="1"/>
  <c r="G23" i="59" s="1"/>
  <c r="G24" i="59" s="1"/>
  <c r="G25" i="59" s="1"/>
  <c r="G26" i="59" s="1"/>
  <c r="G27" i="59" s="1"/>
  <c r="G17" i="57"/>
  <c r="C23" i="57"/>
  <c r="C24" i="57" s="1"/>
  <c r="C25" i="57" s="1"/>
  <c r="C26" i="57" s="1"/>
  <c r="F60" i="2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D24" i="58" s="1"/>
  <c r="D25" i="58" s="1"/>
  <c r="D26" i="58" s="1"/>
  <c r="D27" i="58" s="1"/>
  <c r="C18" i="58"/>
  <c r="C17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G18" i="58"/>
  <c r="G17" i="58" s="1"/>
  <c r="G23" i="58" s="1"/>
  <c r="G24" i="58" s="1"/>
  <c r="G25" i="58" s="1"/>
  <c r="G26" i="58" s="1"/>
  <c r="G27" i="58" s="1"/>
  <c r="F25" i="59"/>
  <c r="F26" i="59" s="1"/>
  <c r="F27" i="59" s="1"/>
  <c r="E34" i="58"/>
  <c r="E40" i="58" s="1"/>
  <c r="E48" i="58" s="1"/>
  <c r="I10" i="59"/>
  <c r="G7" i="2" s="1"/>
  <c r="G30" i="2" s="1"/>
  <c r="G31" i="2" s="1"/>
  <c r="G32" i="2" s="1"/>
  <c r="G16" i="43"/>
  <c r="C12" i="2"/>
  <c r="C38" i="2" s="1"/>
  <c r="I16" i="58"/>
  <c r="C16" i="58"/>
  <c r="E12" i="2"/>
  <c r="E38" i="2" s="1"/>
  <c r="G16" i="57"/>
  <c r="E13" i="2" s="1"/>
  <c r="H7" i="2" l="1"/>
  <c r="H12" i="2" s="1"/>
  <c r="E14" i="2"/>
  <c r="G23" i="57"/>
  <c r="I17" i="59"/>
  <c r="C23" i="59"/>
  <c r="C23" i="58"/>
  <c r="C24" i="58" s="1"/>
  <c r="C25" i="58" s="1"/>
  <c r="C26" i="58" s="1"/>
  <c r="I26" i="58" s="1"/>
  <c r="I27" i="58" s="1"/>
  <c r="I17" i="58"/>
  <c r="C27" i="57"/>
  <c r="G26" i="57"/>
  <c r="G27" i="57" s="1"/>
  <c r="E24" i="2" s="1"/>
  <c r="C15" i="59"/>
  <c r="I15" i="59" s="1"/>
  <c r="C13" i="2"/>
  <c r="F13" i="2"/>
  <c r="F12" i="2"/>
  <c r="F38" i="2" s="1"/>
  <c r="C27" i="58" l="1"/>
  <c r="I23" i="59"/>
  <c r="G20" i="2" s="1"/>
  <c r="G14" i="2"/>
  <c r="I23" i="58"/>
  <c r="F14" i="2"/>
  <c r="G24" i="57"/>
  <c r="E20" i="2"/>
  <c r="E39" i="2" s="1"/>
  <c r="E48" i="2"/>
  <c r="E41" i="2"/>
  <c r="E23" i="2"/>
  <c r="E59" i="2" s="1"/>
  <c r="E58" i="2" s="1"/>
  <c r="C24" i="59"/>
  <c r="C25" i="59" s="1"/>
  <c r="C26" i="59" s="1"/>
  <c r="I26" i="59" s="1"/>
  <c r="C16" i="59"/>
  <c r="H30" i="2"/>
  <c r="H31" i="2" s="1"/>
  <c r="H32" i="2" s="1"/>
  <c r="F24" i="2"/>
  <c r="F23" i="2"/>
  <c r="G12" i="2"/>
  <c r="G38" i="2" s="1"/>
  <c r="G39" i="2" s="1"/>
  <c r="I16" i="59"/>
  <c r="G13" i="2" s="1"/>
  <c r="I24" i="59"/>
  <c r="I25" i="59" s="1"/>
  <c r="F48" i="2" l="1"/>
  <c r="F41" i="2"/>
  <c r="F20" i="2"/>
  <c r="F39" i="2" s="1"/>
  <c r="I24" i="58"/>
  <c r="G41" i="2"/>
  <c r="G48" i="2"/>
  <c r="G25" i="57"/>
  <c r="E22" i="2" s="1"/>
  <c r="E21" i="2"/>
  <c r="E53" i="2" s="1"/>
  <c r="E52" i="2"/>
  <c r="F59" i="2"/>
  <c r="F58" i="2" s="1"/>
  <c r="F52" i="2"/>
  <c r="C27" i="59"/>
  <c r="H13" i="2"/>
  <c r="H38" i="2"/>
  <c r="G21" i="2"/>
  <c r="G53" i="2" s="1"/>
  <c r="G22" i="2"/>
  <c r="G23" i="2"/>
  <c r="I27" i="59"/>
  <c r="G24" i="2" s="1"/>
  <c r="I25" i="58" l="1"/>
  <c r="F22" i="2" s="1"/>
  <c r="F21" i="2"/>
  <c r="F53" i="2" s="1"/>
  <c r="G59" i="2"/>
  <c r="G58" i="2" s="1"/>
  <c r="G52" i="2"/>
  <c r="E18" i="43"/>
  <c r="E17" i="43" s="1"/>
  <c r="E23" i="43" s="1"/>
  <c r="E24" i="43" s="1"/>
  <c r="E25" i="43" s="1"/>
  <c r="D18" i="43"/>
  <c r="D17" i="43" s="1"/>
  <c r="D23" i="43" s="1"/>
  <c r="D24" i="43" s="1"/>
  <c r="D25" i="43" s="1"/>
  <c r="F18" i="43"/>
  <c r="F17" i="43" s="1"/>
  <c r="F23" i="43" s="1"/>
  <c r="F24" i="43" s="1"/>
  <c r="F25" i="43" s="1"/>
  <c r="C17" i="43"/>
  <c r="G17" i="43" l="1"/>
  <c r="C23" i="43"/>
  <c r="C24" i="43" s="1"/>
  <c r="C25" i="43" s="1"/>
  <c r="D26" i="43"/>
  <c r="D27" i="43" s="1"/>
  <c r="E26" i="43"/>
  <c r="E27" i="43" s="1"/>
  <c r="F26" i="43"/>
  <c r="F27" i="43" s="1"/>
  <c r="G23" i="43" l="1"/>
  <c r="G24" i="43" s="1"/>
  <c r="G25" i="43" s="1"/>
  <c r="C14" i="2"/>
  <c r="C26" i="43"/>
  <c r="G26" i="43" s="1"/>
  <c r="C41" i="2" l="1"/>
  <c r="C48" i="2"/>
  <c r="C27" i="43"/>
  <c r="G27" i="43"/>
  <c r="C20" i="2"/>
  <c r="C39" i="2" l="1"/>
  <c r="C21" i="2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F18" i="56"/>
  <c r="F17" i="56" s="1"/>
  <c r="F23" i="56" s="1"/>
  <c r="F24" i="56" s="1"/>
  <c r="F25" i="56" s="1"/>
  <c r="C18" i="56"/>
  <c r="C17" i="56" s="1"/>
  <c r="F26" i="56" l="1"/>
  <c r="F27" i="56" s="1"/>
  <c r="E26" i="56"/>
  <c r="E27" i="56" s="1"/>
  <c r="C23" i="56"/>
  <c r="C24" i="56" s="1"/>
  <c r="C25" i="56" s="1"/>
  <c r="G17" i="56"/>
  <c r="D26" i="56"/>
  <c r="D27" i="56" s="1"/>
  <c r="D14" i="2" l="1"/>
  <c r="H14" i="2" s="1"/>
  <c r="G23" i="56"/>
  <c r="C26" i="56"/>
  <c r="G26" i="56" s="1"/>
  <c r="D41" i="2" l="1"/>
  <c r="D48" i="2"/>
  <c r="C27" i="56"/>
  <c r="G24" i="56"/>
  <c r="G25" i="56" s="1"/>
  <c r="D20" i="2"/>
  <c r="H20" i="2" s="1"/>
  <c r="D39" i="2" l="1"/>
  <c r="H41" i="2"/>
  <c r="H48" i="2"/>
  <c r="D23" i="2"/>
  <c r="G27" i="56"/>
  <c r="D24" i="2" s="1"/>
  <c r="D21" i="2"/>
  <c r="D53" i="2" s="1"/>
  <c r="D22" i="2"/>
  <c r="D59" i="2" l="1"/>
  <c r="D58" i="2" s="1"/>
  <c r="D52" i="2"/>
  <c r="H39" i="2"/>
  <c r="H21" i="2"/>
  <c r="H22" i="2" s="1"/>
  <c r="H23" i="2" l="1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<sst xmlns="http://schemas.openxmlformats.org/spreadsheetml/2006/main" count="1438" uniqueCount="295">
  <si>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</si>
  <si>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</si>
  <si>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</si>
  <si>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</si>
  <si>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</si>
  <si>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</si>
  <si>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</si>
  <si>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</si>
  <si>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</si>
  <si>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</si>
  <si>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</si>
  <si>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</si>
  <si>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</si>
  <si>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</si>
  <si>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</si>
  <si>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</si>
  <si>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</si>
  <si>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</si>
  <si>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</si>
  <si>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</si>
  <si>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</si>
  <si>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</si>
  <si>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</si>
  <si>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</si>
  <si>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</si>
  <si>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</si>
  <si>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</si>
  <si>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</si>
  <si>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</si>
  <si>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</si>
  <si>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</si>
  <si>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</si>
  <si>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</si>
  <si>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</si>
  <si>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</si>
  <si>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</si>
  <si>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</si>
  <si>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</si>
  <si>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</si>
  <si>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</si>
  <si>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</si>
  <si>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</si>
  <si>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</si>
  <si>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</si>
  <si>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</si>
  <si>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</si>
  <si>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</si>
  <si>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</si>
  <si>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</si>
  <si>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</si>
  <si>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</si>
  <si>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</si>
  <si>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</si>
  <si>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</si>
  <si>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</si>
  <si>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</si>
  <si>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</si>
  <si>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</si>
  <si>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</si>
  <si>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</si>
  <si>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</si>
  <si>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</si>
  <si>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</si>
  <si>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</si>
  <si>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</si>
  <si>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</si>
  <si>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</si>
  <si>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</si>
  <si>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</si>
  <si>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</si>
  <si>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</si>
  <si>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</si>
  <si>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</si>
  <si>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</si>
  <si>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</si>
  <si>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</si>
  <si>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</si>
  <si>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</si>
  <si>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</si>
  <si>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</si>
  <si>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</si>
  <si>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</si>
  <si>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</si>
  <si>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</si>
  <si>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</si>
  <si>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</si>
  <si>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</si>
  <si>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</si>
  <si>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</si>
  <si>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</si>
  <si>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</si>
  <si>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</si>
  <si>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</si>
  <si>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</si>
  <si>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</si>
  <si>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</si>
  <si>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</si>
  <si>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</si>
  <si>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</si>
  <si>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</si>
  <si>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</si>
  <si>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</si>
  <si>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</si>
  <si>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</si>
  <si>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</si>
  <si>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</si>
  <si>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</si>
  <si>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</si>
  <si>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</si>
  <si>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</si>
  <si>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</si>
  <si>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</si>
  <si>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</si>
  <si>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</si>
  <si>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</si>
  <si>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</si>
  <si>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</si>
  <si>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</si>
  <si>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</si>
  <si>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</si>
  <si>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</si>
  <si>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</si>
  <si>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</si>
  <si>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</si>
  <si>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</si>
  <si>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</si>
  <si>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</si>
  <si>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</si>
  <si>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</si>
  <si>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</si>
  <si>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</si>
  <si>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</si>
  <si>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</si>
  <si>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</si>
  <si>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</si>
  <si>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</si>
  <si>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</si>
  <si>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</si>
  <si>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</si>
  <si>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</si>
  <si>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</si>
  <si>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</si>
  <si>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</si>
  <si>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</si>
  <si>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</si>
  <si>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</si>
  <si>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</si>
  <si>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</si>
  <si>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</si>
  <si>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</si>
  <si>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</si>
  <si>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</si>
  <si>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</si>
  <si>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</si>
  <si>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</si>
  <si>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</si>
  <si>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</si>
  <si>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</si>
  <si>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</si>
  <si>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</si>
  <si>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</si>
  <si>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</si>
  <si>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</si>
  <si>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</si>
  <si>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</si>
  <si>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</si>
  <si>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</si>
  <si>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</si>
  <si>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</si>
  <si>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</si>
  <si>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</si>
  <si>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</si>
  <si>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</si>
  <si>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</si>
  <si>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</si>
  <si>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</si>
  <si>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</si>
  <si>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</si>
  <si>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</si>
  <si>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</si>
  <si>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</si>
  <si>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</si>
  <si>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</si>
  <si>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</si>
  <si>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</si>
  <si>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</si>
  <si>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</si>
  <si>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</si>
  <si>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</si>
  <si>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</si>
  <si>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</si>
  <si>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</si>
  <si>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</si>
  <si>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</si>
  <si>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</si>
  <si>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</si>
  <si>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</si>
  <si>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</si>
  <si>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</si>
  <si>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</si>
  <si>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</si>
  <si>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</si>
  <si>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</si>
  <si>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</si>
  <si>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</si>
  <si>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</si>
  <si>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</si>
  <si>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</si>
  <si>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</si>
  <si>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</si>
  <si>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</si>
  <si>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</si>
  <si>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</si>
  <si>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</si>
  <si>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</si>
  <si>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</si>
  <si>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</si>
  <si>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</si>
  <si>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</si>
  <si>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</si>
  <si>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</si>
  <si>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</si>
  <si>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</si>
  <si>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</si>
  <si>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</si>
  <si>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</si>
  <si>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</si>
  <si>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</si>
  <si>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</si>
  <si>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</si>
  <si>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</si>
  <si>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</si>
  <si>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</si>
  <si>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</si>
  <si>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</si>
  <si>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</si>
  <si>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</si>
  <si>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</si>
  <si>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</si>
  <si>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</si>
  <si>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</si>
  <si>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</si>
  <si>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</si>
  <si>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一汽解放</t>
    <phoneticPr fontId="38" type="noConversion"/>
  </si>
  <si>
    <t>2026年</t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</si>
  <si>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</si>
  <si>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</si>
  <si>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</si>
  <si>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</si>
  <si>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</si>
  <si>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</si>
  <si>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</si>
  <si>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</si>
  <si>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</si>
  <si>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</si>
  <si>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</si>
  <si>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</si>
  <si>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</si>
  <si>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</si>
  <si>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</si>
  <si>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</si>
  <si>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材料成本年降汇总表5%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</si>
  <si>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</si>
  <si>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</si>
  <si>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</si>
  <si>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</si>
  <si>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</si>
  <si>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</si>
  <si>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</si>
  <si>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</si>
  <si>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</si>
  <si>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</si>
  <si>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</si>
  <si>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</si>
  <si>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</si>
  <si>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</si>
  <si>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</si>
  <si>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t>所得税(税率15%）</t>
    <phoneticPr fontId="38" type="noConversion"/>
  </si>
  <si>
    <t>销售价格</t>
    <phoneticPr fontId="38" type="noConversion"/>
  </si>
  <si>
    <t>因此价格为领导根据正常产品指定，未经市场调研，因此持保留意见（理论上市场价格会低于正常产品价格）</t>
    <phoneticPr fontId="38" type="noConversion"/>
  </si>
  <si>
    <t>销售数量</t>
    <phoneticPr fontId="38" type="noConversion"/>
  </si>
  <si>
    <t>根据销售输入资料，销售数据为基本四种产品，其中现无信息的销售全部归到一汽轻卡减震产品里。</t>
  </si>
  <si>
    <r>
      <t xml:space="preserve">图雅诺气襄座椅应用项目（ZY2203)可行性分析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</si>
  <si>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驾驶员座椅</t>
  </si>
  <si>
    <t>V168100000193</t>
  </si>
  <si>
    <t>单扶手  气囊减震  阻尼可调 机械仰角  速降（在X3000分体基础加底座）</t>
  </si>
  <si>
    <t>供应商年降：     5  年0%</t>
    <phoneticPr fontId="38" type="noConversion"/>
  </si>
  <si>
    <t>报价（不含税）</t>
    <phoneticPr fontId="38" type="noConversion"/>
  </si>
  <si>
    <t>预估</t>
    <phoneticPr fontId="38" type="noConversion"/>
  </si>
  <si>
    <t>根据售价，此款产品应为精品，因此在大概测算基础上成本增加30%。</t>
    <phoneticPr fontId="38" type="noConversion"/>
  </si>
  <si>
    <t>K1气囊减震</t>
  </si>
  <si>
    <t>暂停</t>
  </si>
  <si>
    <t xml:space="preserve">图雅诺气襄座椅应用项目（ZY2203)研发费用预算表 </t>
    <phoneticPr fontId="38" type="noConversion"/>
  </si>
  <si>
    <t>滕令超</t>
    <phoneticPr fontId="38" type="noConversion"/>
  </si>
  <si>
    <t>连小雨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</si>
</sst>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_ * #,##0.0_ ;_ * \-#,##0.0_ ;_ * &quot;-&quot;?_ ;_ @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41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10" fontId="0" fillId="0" borderId="1" xfId="0" applyNumberFormat="1" applyBorder="1" applyAlignment="1"/>
    <xf numFmtId="0" fontId="0" fillId="0" borderId="1" xfId="0" applyBorder="1" applyAlignment="1"/>
    <xf numFmtId="0" fontId="51" fillId="0" borderId="1" xfId="0" applyFont="1" applyBorder="1" applyAlignment="1"/>
    <xf numFmtId="180" fontId="16" fillId="0" borderId="1" xfId="3" applyNumberFormat="1" applyFont="1" applyFill="1" applyBorder="1">
      <alignment vertical="center"/>
    </xf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top" wrapText="1"/>
    </xf>
    <xf numFmtId="0" fontId="0" fillId="0" borderId="1" xfId="0" applyNumberFormat="1" applyBorder="1" applyAlignment="1">
      <alignment horizontal="left"/>
    </xf>
    <xf numFmtId="0" fontId="27" fillId="0" borderId="1" xfId="0" applyNumberFormat="1" applyFont="1" applyBorder="1" applyAlignment="1">
      <alignment horizontal="left"/>
    </xf>
    <xf numFmtId="0" fontId="0" fillId="0" borderId="1" xfId="1" applyNumberFormat="1" applyFont="1" applyBorder="1" applyAlignment="1"/>
    <xf numFmtId="0" fontId="50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43" fontId="0" fillId="0" borderId="1" xfId="1" applyNumberFormat="1" applyFont="1" applyBorder="1" applyAlignment="1"/>
    <xf numFmtId="0" fontId="27" fillId="0" borderId="1" xfId="1" applyNumberFormat="1" applyFont="1" applyBorder="1" applyAlignment="1"/>
    <xf numFmtId="0" fontId="42" fillId="7" borderId="17" xfId="0" applyFont="1" applyFill="1" applyBorder="1" applyAlignment="1">
      <alignment horizontal="center" vertical="center" wrapText="1"/>
    </xf>
    <xf numFmtId="0" fontId="4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7" fillId="0" borderId="1" xfId="0" applyFont="1" applyBorder="1" applyAlignment="1"/>
    <xf numFmtId="0" fontId="51" fillId="0" borderId="1" xfId="1" applyNumberFormat="1" applyFont="1" applyFill="1" applyBorder="1" applyAlignment="1"/>
    <xf numFmtId="43" fontId="0" fillId="0" borderId="1" xfId="1" applyFont="1" applyFill="1" applyBorder="1" applyAlignment="1"/>
    <xf numFmtId="10" fontId="0" fillId="0" borderId="1" xfId="0" applyNumberFormat="1" applyFill="1" applyBorder="1" applyAlignment="1"/>
    <xf numFmtId="0" fontId="51" fillId="0" borderId="1" xfId="0" applyFont="1" applyFill="1" applyBorder="1" applyAlignment="1"/>
    <xf numFmtId="43" fontId="0" fillId="0" borderId="0" xfId="0" applyNumberFormat="1">
      <alignment vertical="center"/>
    </xf>
    <xf numFmtId="43" fontId="15" fillId="10" borderId="1" xfId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/>
    <xf numFmtId="0" fontId="53" fillId="0" borderId="1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181" fontId="41" fillId="8" borderId="1" xfId="1" applyNumberFormat="1" applyFont="1" applyFill="1" applyBorder="1" applyAlignment="1" applyProtection="1">
      <alignment horizontal="center" vertical="center"/>
    </xf>
    <xf numFmtId="181" fontId="10" fillId="8" borderId="1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1" fillId="8" borderId="0" xfId="1" applyFont="1" applyFill="1" applyBorder="1" applyAlignment="1" applyProtection="1">
      <alignment horizontal="center" vertical="center"/>
    </xf>
    <xf numFmtId="0" fontId="27" fillId="0" borderId="0" xfId="0" applyFont="1" applyBorder="1">
      <alignment vertical="center"/>
    </xf>
    <xf numFmtId="43" fontId="10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1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2238375</xdr:colOff>
      <xdr:row>0</xdr:row>
      <xdr:rowOff>276225</xdr:rowOff>
    </xdr:from>
    <xdr:to>
      <xdr:col>5</xdr:col>
      <xdr:colOff>104179</xdr:colOff>
      <xdr:row>17</xdr:row>
      <xdr:rowOff>8886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276225"/>
          <a:ext cx="4771429" cy="51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5" sqref="C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6</v>
      </c>
    </row>
    <row r="5" spans="1:4" s="139" customFormat="1" ht="33.75" customHeight="1">
      <c r="A5" s="142">
        <v>3</v>
      </c>
      <c r="B5" s="245" t="s">
        <v>7</v>
      </c>
      <c r="C5" s="144" t="s">
        <v>8</v>
      </c>
    </row>
    <row r="6" spans="1:4" s="139" customFormat="1" ht="33.75" customHeight="1">
      <c r="A6" s="142">
        <v>4</v>
      </c>
      <c r="B6" s="246"/>
      <c r="C6" s="143" t="s">
        <v>9</v>
      </c>
    </row>
    <row r="7" spans="1:4" s="139" customFormat="1" ht="33.75" customHeight="1">
      <c r="A7" s="142">
        <v>5</v>
      </c>
      <c r="B7" s="145" t="s">
        <v>10</v>
      </c>
      <c r="C7" s="143" t="s">
        <v>262</v>
      </c>
    </row>
    <row r="8" spans="1:4" s="139" customFormat="1" ht="33.75" customHeight="1">
      <c r="A8" s="142">
        <v>6</v>
      </c>
      <c r="B8" s="245" t="s">
        <v>11</v>
      </c>
      <c r="C8" s="143" t="s">
        <v>12</v>
      </c>
    </row>
    <row r="9" spans="1:4" s="139" customFormat="1" ht="33.75" customHeight="1">
      <c r="A9" s="142">
        <v>7</v>
      </c>
      <c r="B9" s="246"/>
      <c r="C9" s="143" t="s">
        <v>13</v>
      </c>
    </row>
    <row r="10" spans="1:4" s="139" customFormat="1" ht="33.75" customHeight="1">
      <c r="A10" s="142">
        <v>8</v>
      </c>
      <c r="B10" s="246"/>
      <c r="C10" s="144" t="s">
        <v>14</v>
      </c>
    </row>
    <row r="11" spans="1:4" s="139" customFormat="1" ht="33.75" customHeight="1">
      <c r="A11" s="142">
        <v>9</v>
      </c>
      <c r="B11" s="246"/>
      <c r="C11" s="143" t="s">
        <v>15</v>
      </c>
    </row>
    <row r="12" spans="1:4" s="139" customFormat="1" ht="33.75" customHeight="1">
      <c r="A12" s="142">
        <v>10</v>
      </c>
      <c r="B12" s="145" t="s">
        <v>16</v>
      </c>
      <c r="C12" s="143" t="s">
        <v>17</v>
      </c>
    </row>
    <row r="13" spans="1:4" ht="48.75" customHeight="1">
      <c r="A13" s="223">
        <v>11</v>
      </c>
      <c r="B13" s="188" t="s">
        <v>278</v>
      </c>
      <c r="C13" s="144" t="s">
        <v>279</v>
      </c>
    </row>
    <row r="14" spans="1:4" ht="33.75" customHeight="1">
      <c r="A14" s="223">
        <v>12</v>
      </c>
      <c r="B14" s="188" t="s">
        <v>280</v>
      </c>
      <c r="C14" s="2" t="s">
        <v>281</v>
      </c>
    </row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E10" sqref="E10"/>
    </sheetView>
  </sheetViews>
  <sheetFormatPr defaultColWidth="9" defaultRowHeight="16.5"/>
  <cols>
    <col min="1" max="1" width="14" style="6" customWidth="1"/>
    <col min="2" max="2" width="14.125" style="6" customWidth="1"/>
    <col min="3" max="3" width="14.5" style="6" customWidth="1"/>
    <col min="4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196</v>
      </c>
      <c r="E1" s="17"/>
      <c r="F1" s="17"/>
      <c r="G1" s="17"/>
      <c r="H1" s="17"/>
      <c r="I1" s="17"/>
    </row>
    <row r="2" spans="1:12" ht="24" customHeight="1">
      <c r="A2" s="18" t="s">
        <v>197</v>
      </c>
      <c r="D2" s="6" t="s">
        <v>293</v>
      </c>
      <c r="E2" s="17"/>
      <c r="F2" s="17"/>
      <c r="G2" s="17"/>
      <c r="H2" s="17"/>
      <c r="I2" s="17"/>
    </row>
    <row r="3" spans="1:12">
      <c r="C3" s="6" t="s">
        <v>198</v>
      </c>
      <c r="D3" s="9" t="s">
        <v>240</v>
      </c>
      <c r="E3" s="165">
        <v>0</v>
      </c>
    </row>
    <row r="5" spans="1:12" ht="45" customHeight="1" thickBot="1">
      <c r="A5" s="282" t="s">
        <v>199</v>
      </c>
      <c r="B5" s="8" t="s">
        <v>148</v>
      </c>
      <c r="C5" s="224" t="s">
        <v>283</v>
      </c>
      <c r="D5" s="240" t="s">
        <v>283</v>
      </c>
      <c r="E5" s="203"/>
      <c r="F5" s="203"/>
      <c r="G5" s="214"/>
      <c r="H5" s="15"/>
      <c r="I5" s="281" t="s">
        <v>20</v>
      </c>
    </row>
    <row r="6" spans="1:12" ht="31.5" customHeight="1">
      <c r="A6" s="282"/>
      <c r="B6" s="8" t="s">
        <v>149</v>
      </c>
      <c r="C6" s="225" t="s">
        <v>284</v>
      </c>
      <c r="D6" s="241" t="s">
        <v>290</v>
      </c>
      <c r="E6" s="212"/>
      <c r="F6" s="213"/>
      <c r="G6" s="15"/>
      <c r="H6" s="15"/>
      <c r="I6" s="281"/>
      <c r="K6" s="6">
        <v>100</v>
      </c>
    </row>
    <row r="7" spans="1:12" ht="16.5" customHeight="1">
      <c r="A7" s="282"/>
      <c r="B7" s="21" t="s">
        <v>200</v>
      </c>
      <c r="C7" s="204" t="s">
        <v>285</v>
      </c>
      <c r="D7" s="242" t="s">
        <v>291</v>
      </c>
      <c r="E7" s="204"/>
      <c r="F7" s="204"/>
      <c r="G7" s="20"/>
      <c r="H7" s="20"/>
      <c r="I7" s="281"/>
      <c r="K7" s="6">
        <f>K6*(1-$E$3)</f>
        <v>100</v>
      </c>
      <c r="L7" s="6">
        <f>K7/$K$6</f>
        <v>1</v>
      </c>
    </row>
    <row r="8" spans="1:12" ht="75" customHeight="1">
      <c r="A8" s="282"/>
      <c r="B8" s="21" t="s">
        <v>201</v>
      </c>
      <c r="C8" s="225">
        <f>2938/1.13</f>
        <v>2600.0000000000005</v>
      </c>
      <c r="D8" s="20"/>
      <c r="E8" s="20"/>
      <c r="F8" s="20"/>
      <c r="G8" s="20"/>
      <c r="H8" s="20"/>
      <c r="I8" s="281"/>
      <c r="K8" s="6">
        <f>K7*(1-$E$3)</f>
        <v>100</v>
      </c>
      <c r="L8" s="6">
        <f t="shared" ref="L8:L10" si="0">K8/$K$6</f>
        <v>1</v>
      </c>
    </row>
    <row r="9" spans="1:12" ht="18.75">
      <c r="A9" s="282" t="s">
        <v>202</v>
      </c>
      <c r="B9" s="178" t="s">
        <v>19</v>
      </c>
      <c r="C9" s="185">
        <v>50</v>
      </c>
      <c r="D9" s="185"/>
      <c r="E9" s="185"/>
      <c r="F9" s="186"/>
      <c r="G9" s="186"/>
      <c r="H9" s="187"/>
      <c r="I9" s="26">
        <f>SUM(C9:H9)</f>
        <v>50</v>
      </c>
      <c r="K9" s="6">
        <f t="shared" ref="K9:K10" si="1">K8*(1-$E$3)</f>
        <v>100</v>
      </c>
      <c r="L9" s="6">
        <f t="shared" si="0"/>
        <v>1</v>
      </c>
    </row>
    <row r="10" spans="1:12" ht="18.75">
      <c r="A10" s="282"/>
      <c r="B10" s="178" t="s">
        <v>191</v>
      </c>
      <c r="C10" s="185">
        <v>5000</v>
      </c>
      <c r="D10" s="185"/>
      <c r="E10" s="185"/>
      <c r="F10" s="186"/>
      <c r="G10" s="186"/>
      <c r="H10" s="187"/>
      <c r="I10" s="26">
        <f t="shared" ref="I10:I14" si="2">SUM(C10:H10)</f>
        <v>5000</v>
      </c>
      <c r="K10" s="6">
        <f t="shared" si="1"/>
        <v>100</v>
      </c>
      <c r="L10" s="6">
        <f t="shared" si="0"/>
        <v>1</v>
      </c>
    </row>
    <row r="11" spans="1:12" ht="18.75">
      <c r="A11" s="282"/>
      <c r="B11" s="178" t="s">
        <v>192</v>
      </c>
      <c r="C11" s="185">
        <v>5000</v>
      </c>
      <c r="D11" s="185"/>
      <c r="E11" s="185"/>
      <c r="F11" s="186"/>
      <c r="G11" s="186"/>
      <c r="H11" s="187"/>
      <c r="I11" s="26">
        <f t="shared" si="2"/>
        <v>5000</v>
      </c>
    </row>
    <row r="12" spans="1:12" ht="18.75">
      <c r="A12" s="282"/>
      <c r="B12" s="178" t="s">
        <v>193</v>
      </c>
      <c r="C12" s="185">
        <v>5000</v>
      </c>
      <c r="D12" s="185"/>
      <c r="E12" s="185"/>
      <c r="F12" s="186"/>
      <c r="G12" s="186"/>
      <c r="H12" s="187"/>
      <c r="I12" s="26">
        <f t="shared" si="2"/>
        <v>5000</v>
      </c>
    </row>
    <row r="13" spans="1:12" ht="18.75">
      <c r="A13" s="282"/>
      <c r="B13" s="178" t="s">
        <v>244</v>
      </c>
      <c r="C13" s="185">
        <v>5000</v>
      </c>
      <c r="D13" s="185"/>
      <c r="E13" s="185"/>
      <c r="F13" s="186"/>
      <c r="G13" s="186"/>
      <c r="H13" s="187"/>
      <c r="I13" s="26">
        <f t="shared" si="2"/>
        <v>5000</v>
      </c>
    </row>
    <row r="14" spans="1:12" ht="17.25">
      <c r="A14" s="282"/>
      <c r="B14" s="178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81" t="s">
        <v>20</v>
      </c>
      <c r="B15" s="281"/>
      <c r="C15" s="24">
        <f t="shared" ref="C15:I15" si="3">SUM(C9:C14)</f>
        <v>20050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20050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ColWidth="9" defaultRowHeight="16.5"/>
  <cols>
    <col min="1" max="1" width="8.375" style="6" customWidth="1"/>
    <col min="2" max="2" width="9.875" style="6" customWidth="1"/>
    <col min="3" max="3" width="16.875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91" t="s">
        <v>7</v>
      </c>
      <c r="B1" s="291"/>
      <c r="C1" s="7"/>
      <c r="K1" s="14"/>
    </row>
    <row r="2" spans="1:12">
      <c r="A2" s="292" t="s">
        <v>203</v>
      </c>
      <c r="B2" s="292"/>
      <c r="C2" s="293"/>
      <c r="D2" s="293"/>
      <c r="E2" s="294" t="s">
        <v>286</v>
      </c>
      <c r="F2" s="295"/>
      <c r="G2" s="295"/>
      <c r="H2" s="295"/>
      <c r="I2" s="295"/>
      <c r="J2" s="296"/>
    </row>
    <row r="3" spans="1:12">
      <c r="A3" s="308" t="s">
        <v>18</v>
      </c>
      <c r="B3" s="308" t="s">
        <v>204</v>
      </c>
      <c r="C3" s="8" t="s">
        <v>205</v>
      </c>
      <c r="D3" s="297"/>
      <c r="E3" s="297"/>
      <c r="F3" s="8" t="s">
        <v>206</v>
      </c>
      <c r="G3" s="283"/>
      <c r="H3" s="284"/>
      <c r="I3" s="285"/>
      <c r="J3" s="298" t="s">
        <v>159</v>
      </c>
    </row>
    <row r="4" spans="1:12">
      <c r="A4" s="308"/>
      <c r="B4" s="308"/>
      <c r="C4" s="8" t="s">
        <v>148</v>
      </c>
      <c r="D4" s="161" t="str">
        <f>销量!C5</f>
        <v>驾驶员座椅</v>
      </c>
      <c r="E4" s="161" t="str">
        <f>销量!D5</f>
        <v>驾驶员座椅</v>
      </c>
      <c r="F4" s="161">
        <f>销量!E5</f>
        <v>0</v>
      </c>
      <c r="G4" s="161">
        <f>销量!F5</f>
        <v>0</v>
      </c>
      <c r="H4" s="161">
        <f>销量!G5</f>
        <v>0</v>
      </c>
      <c r="I4" s="161">
        <f>销量!H5</f>
        <v>0</v>
      </c>
      <c r="J4" s="299"/>
    </row>
    <row r="5" spans="1:12">
      <c r="A5" s="308"/>
      <c r="B5" s="308"/>
      <c r="C5" s="8" t="s">
        <v>149</v>
      </c>
      <c r="D5" s="161" t="str">
        <f>销量!C6</f>
        <v>V168100000193</v>
      </c>
      <c r="E5" s="221"/>
      <c r="F5" s="161">
        <f>销量!E6</f>
        <v>0</v>
      </c>
      <c r="G5" s="161">
        <f>销量!F6</f>
        <v>0</v>
      </c>
      <c r="H5" s="161">
        <f>销量!G6</f>
        <v>0</v>
      </c>
      <c r="I5" s="161">
        <f>销量!H6</f>
        <v>0</v>
      </c>
      <c r="J5" s="300"/>
    </row>
    <row r="6" spans="1:12" ht="51.75" customHeight="1">
      <c r="A6" s="11"/>
      <c r="B6" s="301" t="s">
        <v>289</v>
      </c>
      <c r="C6" s="302"/>
      <c r="D6" s="161">
        <f>1127.62*1.3</f>
        <v>1465.9059999999999</v>
      </c>
      <c r="E6" s="12"/>
      <c r="F6" s="12"/>
      <c r="G6" s="12"/>
      <c r="H6" s="12"/>
      <c r="I6" s="12"/>
      <c r="J6" s="180"/>
    </row>
    <row r="7" spans="1:12" ht="16.5" customHeight="1">
      <c r="A7" s="11"/>
      <c r="B7" s="303"/>
      <c r="C7" s="304"/>
      <c r="D7" s="10"/>
      <c r="E7" s="10"/>
      <c r="F7" s="10"/>
      <c r="G7" s="10"/>
      <c r="H7" s="10"/>
      <c r="I7" s="10"/>
      <c r="J7" s="15"/>
    </row>
    <row r="8" spans="1:12" ht="16.5" customHeight="1">
      <c r="A8" s="11"/>
      <c r="B8" s="303"/>
      <c r="C8" s="304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303"/>
      <c r="C9" s="304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303"/>
      <c r="C10" s="304"/>
      <c r="D10" s="12"/>
      <c r="E10" s="10"/>
      <c r="F10" s="12"/>
      <c r="G10" s="10"/>
      <c r="H10" s="10"/>
      <c r="I10" s="10"/>
      <c r="J10" s="15"/>
      <c r="K10" s="309"/>
      <c r="L10" s="310"/>
    </row>
    <row r="11" spans="1:12" ht="16.5" customHeight="1">
      <c r="A11" s="11">
        <v>6</v>
      </c>
      <c r="B11" s="303"/>
      <c r="C11" s="304"/>
      <c r="D11" s="12"/>
      <c r="E11" s="10"/>
      <c r="F11" s="12"/>
      <c r="G11" s="10"/>
      <c r="H11" s="10"/>
      <c r="I11" s="10"/>
      <c r="J11" s="15"/>
      <c r="K11" s="309"/>
      <c r="L11" s="310"/>
    </row>
    <row r="12" spans="1:12" ht="16.5" customHeight="1">
      <c r="A12" s="11">
        <v>7</v>
      </c>
      <c r="B12" s="303"/>
      <c r="C12" s="304"/>
      <c r="D12" s="12"/>
      <c r="E12" s="10"/>
      <c r="F12" s="12"/>
      <c r="G12" s="10"/>
      <c r="H12" s="10"/>
      <c r="I12" s="10"/>
      <c r="J12" s="15"/>
      <c r="K12" s="309"/>
      <c r="L12" s="310"/>
    </row>
    <row r="13" spans="1:12" ht="16.5" customHeight="1">
      <c r="A13" s="11">
        <v>8</v>
      </c>
      <c r="B13" s="303"/>
      <c r="C13" s="304"/>
      <c r="D13" s="12"/>
      <c r="E13" s="10"/>
      <c r="F13" s="12"/>
      <c r="G13" s="10"/>
      <c r="H13" s="10"/>
      <c r="I13" s="10"/>
      <c r="J13" s="15"/>
      <c r="K13" s="309"/>
      <c r="L13" s="310"/>
    </row>
    <row r="14" spans="1:12" ht="16.5" customHeight="1">
      <c r="A14" s="11">
        <v>9</v>
      </c>
      <c r="B14" s="303"/>
      <c r="C14" s="304"/>
      <c r="D14" s="12"/>
      <c r="E14" s="10"/>
      <c r="F14" s="12"/>
      <c r="G14" s="10"/>
      <c r="H14" s="10"/>
      <c r="I14" s="10"/>
      <c r="J14" s="15"/>
      <c r="K14" s="309"/>
      <c r="L14" s="310"/>
    </row>
    <row r="15" spans="1:12" ht="16.5" customHeight="1">
      <c r="A15" s="11">
        <v>10</v>
      </c>
      <c r="B15" s="303"/>
      <c r="C15" s="304"/>
      <c r="D15" s="12"/>
      <c r="E15" s="10"/>
      <c r="F15" s="12"/>
      <c r="G15" s="10"/>
      <c r="H15" s="10"/>
      <c r="I15" s="10"/>
      <c r="J15" s="15"/>
      <c r="K15" s="309"/>
      <c r="L15" s="310"/>
    </row>
    <row r="16" spans="1:12" ht="16.5" customHeight="1">
      <c r="A16" s="11">
        <v>11</v>
      </c>
      <c r="B16" s="303"/>
      <c r="C16" s="304"/>
      <c r="D16" s="12"/>
      <c r="E16" s="10"/>
      <c r="F16" s="12"/>
      <c r="G16" s="10"/>
      <c r="H16" s="10"/>
      <c r="I16" s="10"/>
      <c r="J16" s="15"/>
      <c r="K16" s="309"/>
      <c r="L16" s="310"/>
    </row>
    <row r="17" spans="1:12" ht="16.5" customHeight="1">
      <c r="A17" s="11">
        <v>12</v>
      </c>
      <c r="B17" s="303"/>
      <c r="C17" s="304"/>
      <c r="D17" s="12"/>
      <c r="E17" s="10"/>
      <c r="F17" s="12"/>
      <c r="G17" s="10"/>
      <c r="H17" s="10"/>
      <c r="I17" s="10"/>
      <c r="J17" s="15"/>
      <c r="K17" s="309"/>
      <c r="L17" s="310"/>
    </row>
    <row r="18" spans="1:12" ht="16.5" customHeight="1">
      <c r="A18" s="11">
        <v>13</v>
      </c>
      <c r="B18" s="303"/>
      <c r="C18" s="304"/>
      <c r="D18" s="12"/>
      <c r="E18" s="10"/>
      <c r="F18" s="12"/>
      <c r="G18" s="10"/>
      <c r="H18" s="10"/>
      <c r="I18" s="10"/>
      <c r="J18" s="15"/>
      <c r="K18" s="309"/>
      <c r="L18" s="310"/>
    </row>
    <row r="19" spans="1:12" ht="16.5" customHeight="1">
      <c r="A19" s="11">
        <v>14</v>
      </c>
      <c r="B19" s="303"/>
      <c r="C19" s="304"/>
      <c r="D19" s="12"/>
      <c r="E19" s="10"/>
      <c r="F19" s="12"/>
      <c r="G19" s="10"/>
      <c r="H19" s="10"/>
      <c r="I19" s="10"/>
      <c r="J19" s="15"/>
      <c r="K19" s="309"/>
      <c r="L19" s="310"/>
    </row>
    <row r="20" spans="1:12" ht="16.5" customHeight="1">
      <c r="A20" s="11">
        <v>15</v>
      </c>
      <c r="B20" s="303"/>
      <c r="C20" s="304"/>
      <c r="D20" s="12"/>
      <c r="E20" s="12"/>
      <c r="F20" s="12"/>
      <c r="G20" s="12"/>
      <c r="H20" s="10"/>
      <c r="I20" s="10"/>
      <c r="J20" s="15"/>
      <c r="K20" s="309"/>
      <c r="L20" s="310"/>
    </row>
    <row r="21" spans="1:12" ht="16.5" customHeight="1">
      <c r="A21" s="11">
        <v>16</v>
      </c>
      <c r="B21" s="303"/>
      <c r="C21" s="304"/>
      <c r="D21" s="10"/>
      <c r="E21" s="12"/>
      <c r="F21" s="10"/>
      <c r="G21" s="12"/>
      <c r="H21" s="10"/>
      <c r="I21" s="10"/>
      <c r="J21" s="15"/>
      <c r="K21" s="309"/>
      <c r="L21" s="310"/>
    </row>
    <row r="22" spans="1:12" ht="16.5" customHeight="1">
      <c r="A22" s="11">
        <v>17</v>
      </c>
      <c r="B22" s="303"/>
      <c r="C22" s="304"/>
      <c r="D22" s="10"/>
      <c r="E22" s="12"/>
      <c r="F22" s="10"/>
      <c r="G22" s="12"/>
      <c r="H22" s="10"/>
      <c r="I22" s="10"/>
      <c r="J22" s="15"/>
      <c r="K22" s="309"/>
      <c r="L22" s="310"/>
    </row>
    <row r="23" spans="1:12" ht="16.5" customHeight="1">
      <c r="A23" s="11">
        <v>18</v>
      </c>
      <c r="B23" s="303"/>
      <c r="C23" s="304"/>
      <c r="D23" s="10"/>
      <c r="E23" s="12"/>
      <c r="F23" s="10"/>
      <c r="G23" s="12"/>
      <c r="H23" s="10"/>
      <c r="I23" s="10"/>
      <c r="J23" s="15"/>
      <c r="K23" s="309"/>
      <c r="L23" s="310"/>
    </row>
    <row r="24" spans="1:12" ht="16.5" customHeight="1">
      <c r="A24" s="11">
        <v>19</v>
      </c>
      <c r="B24" s="303"/>
      <c r="C24" s="304"/>
      <c r="D24" s="10"/>
      <c r="E24" s="12"/>
      <c r="F24" s="10"/>
      <c r="G24" s="12"/>
      <c r="H24" s="10"/>
      <c r="I24" s="10"/>
      <c r="J24" s="15"/>
      <c r="K24" s="309"/>
      <c r="L24" s="310"/>
    </row>
    <row r="25" spans="1:12">
      <c r="A25" s="11">
        <v>20</v>
      </c>
      <c r="B25" s="303"/>
      <c r="C25" s="304"/>
      <c r="D25" s="10"/>
      <c r="E25" s="12"/>
      <c r="F25" s="10"/>
      <c r="G25" s="12"/>
      <c r="H25" s="10"/>
      <c r="I25" s="10"/>
      <c r="J25" s="15"/>
      <c r="K25" s="309"/>
      <c r="L25" s="310"/>
    </row>
    <row r="26" spans="1:12">
      <c r="A26" s="11">
        <v>21</v>
      </c>
      <c r="B26" s="303"/>
      <c r="C26" s="304"/>
      <c r="D26" s="10"/>
      <c r="E26" s="12"/>
      <c r="F26" s="10"/>
      <c r="G26" s="12"/>
      <c r="H26" s="10"/>
      <c r="I26" s="10"/>
      <c r="J26" s="15"/>
      <c r="K26" s="309"/>
      <c r="L26" s="310"/>
    </row>
    <row r="27" spans="1:12">
      <c r="A27" s="11">
        <v>22</v>
      </c>
      <c r="B27" s="303"/>
      <c r="C27" s="304"/>
      <c r="D27" s="10"/>
      <c r="E27" s="12"/>
      <c r="F27" s="10"/>
      <c r="G27" s="12"/>
      <c r="H27" s="10"/>
      <c r="I27" s="10"/>
      <c r="J27" s="15"/>
      <c r="K27" s="309"/>
      <c r="L27" s="310"/>
    </row>
    <row r="28" spans="1:12">
      <c r="A28" s="11">
        <v>23</v>
      </c>
      <c r="B28" s="303"/>
      <c r="C28" s="304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303"/>
      <c r="C29" s="304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303"/>
      <c r="C30" s="304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303"/>
      <c r="C31" s="304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303"/>
      <c r="C32" s="304"/>
      <c r="D32" s="10"/>
      <c r="E32" s="10"/>
      <c r="F32" s="10"/>
      <c r="G32" s="10"/>
      <c r="H32" s="10"/>
      <c r="I32" s="10"/>
      <c r="J32" s="15"/>
    </row>
    <row r="33" spans="1:10" ht="31.5" customHeight="1">
      <c r="A33" s="305" t="s">
        <v>207</v>
      </c>
      <c r="B33" s="306"/>
      <c r="C33" s="307"/>
      <c r="D33" s="13">
        <f t="shared" ref="D33:I33" si="0">SUM(D6:D32)</f>
        <v>1465.9059999999999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6"/>
      <c r="E34" s="166"/>
    </row>
    <row r="38" spans="1:10" ht="27.75" customHeight="1">
      <c r="D38" s="282" t="s">
        <v>261</v>
      </c>
      <c r="E38" s="282"/>
      <c r="F38" s="282"/>
      <c r="G38" s="282"/>
      <c r="H38" s="282"/>
      <c r="I38" s="282"/>
      <c r="J38" s="282"/>
    </row>
    <row r="39" spans="1:10">
      <c r="D39" s="286" t="s">
        <v>241</v>
      </c>
      <c r="E39" s="288" t="s">
        <v>242</v>
      </c>
      <c r="F39" s="289"/>
      <c r="G39" s="289"/>
      <c r="H39" s="289"/>
      <c r="I39" s="289"/>
      <c r="J39" s="290"/>
    </row>
    <row r="40" spans="1:10">
      <c r="D40" s="287"/>
      <c r="E40" s="170" t="s">
        <v>263</v>
      </c>
      <c r="F40" s="170" t="s">
        <v>264</v>
      </c>
      <c r="G40" s="170" t="s">
        <v>265</v>
      </c>
      <c r="H40" s="170" t="s">
        <v>266</v>
      </c>
      <c r="I40" s="178" t="s">
        <v>267</v>
      </c>
      <c r="J40" s="170"/>
    </row>
    <row r="41" spans="1:10" ht="28.5">
      <c r="D41" s="161" t="s">
        <v>245</v>
      </c>
      <c r="E41" s="175">
        <f>D33</f>
        <v>1465.9059999999999</v>
      </c>
      <c r="F41" s="175">
        <f>E41*(1-0)</f>
        <v>1465.9059999999999</v>
      </c>
      <c r="G41" s="175">
        <f>F41*(1-0)</f>
        <v>1465.9059999999999</v>
      </c>
      <c r="H41" s="175">
        <f>G41*(1-0)</f>
        <v>1465.9059999999999</v>
      </c>
      <c r="I41" s="175">
        <f>H41*(1-0)</f>
        <v>1465.9059999999999</v>
      </c>
      <c r="J41" s="175"/>
    </row>
    <row r="42" spans="1:10">
      <c r="D42" s="15" t="s">
        <v>246</v>
      </c>
      <c r="E42" s="181">
        <f>E33</f>
        <v>0</v>
      </c>
      <c r="F42" s="175">
        <f t="shared" ref="F42:I46" si="1">E42*(1-0.05)</f>
        <v>0</v>
      </c>
      <c r="G42" s="175">
        <f t="shared" si="1"/>
        <v>0</v>
      </c>
      <c r="H42" s="175">
        <f t="shared" si="1"/>
        <v>0</v>
      </c>
      <c r="I42" s="175">
        <f t="shared" si="1"/>
        <v>0</v>
      </c>
      <c r="J42" s="175"/>
    </row>
    <row r="43" spans="1:10">
      <c r="D43" s="15" t="s">
        <v>247</v>
      </c>
      <c r="E43" s="181">
        <f>F33</f>
        <v>0</v>
      </c>
      <c r="F43" s="175">
        <f t="shared" si="1"/>
        <v>0</v>
      </c>
      <c r="G43" s="175">
        <f t="shared" si="1"/>
        <v>0</v>
      </c>
      <c r="H43" s="175">
        <f t="shared" si="1"/>
        <v>0</v>
      </c>
      <c r="I43" s="175">
        <f t="shared" si="1"/>
        <v>0</v>
      </c>
      <c r="J43" s="175"/>
    </row>
    <row r="44" spans="1:10">
      <c r="D44" s="15" t="s">
        <v>248</v>
      </c>
      <c r="E44" s="181">
        <f>G33</f>
        <v>0</v>
      </c>
      <c r="F44" s="175">
        <f t="shared" si="1"/>
        <v>0</v>
      </c>
      <c r="G44" s="175">
        <f t="shared" si="1"/>
        <v>0</v>
      </c>
      <c r="H44" s="175">
        <f t="shared" si="1"/>
        <v>0</v>
      </c>
      <c r="I44" s="175">
        <f t="shared" si="1"/>
        <v>0</v>
      </c>
      <c r="J44" s="175"/>
    </row>
    <row r="45" spans="1:10">
      <c r="D45" s="15" t="s">
        <v>249</v>
      </c>
      <c r="E45" s="181">
        <f>H33</f>
        <v>0</v>
      </c>
      <c r="F45" s="175">
        <f t="shared" si="1"/>
        <v>0</v>
      </c>
      <c r="G45" s="175">
        <f t="shared" si="1"/>
        <v>0</v>
      </c>
      <c r="H45" s="175">
        <f t="shared" si="1"/>
        <v>0</v>
      </c>
      <c r="I45" s="175">
        <f t="shared" si="1"/>
        <v>0</v>
      </c>
      <c r="J45" s="175"/>
    </row>
    <row r="46" spans="1:10">
      <c r="D46" s="15" t="s">
        <v>250</v>
      </c>
      <c r="E46" s="181">
        <f>I33</f>
        <v>0</v>
      </c>
      <c r="F46" s="175">
        <f t="shared" si="1"/>
        <v>0</v>
      </c>
      <c r="G46" s="175">
        <f t="shared" si="1"/>
        <v>0</v>
      </c>
      <c r="H46" s="175">
        <f t="shared" si="1"/>
        <v>0</v>
      </c>
      <c r="I46" s="175">
        <f t="shared" si="1"/>
        <v>0</v>
      </c>
      <c r="J46" s="175"/>
    </row>
  </sheetData>
  <mergeCells count="57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G6" sqref="G6"/>
    </sheetView>
  </sheetViews>
  <sheetFormatPr defaultColWidth="9" defaultRowHeight="13.5"/>
  <cols>
    <col min="1" max="1" width="9" style="4"/>
    <col min="2" max="2" width="29.625" style="4" customWidth="1"/>
    <col min="3" max="3" width="20.37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208</v>
      </c>
      <c r="C1" s="1" t="s">
        <v>209</v>
      </c>
      <c r="D1" s="1" t="s">
        <v>210</v>
      </c>
      <c r="E1" s="1" t="s">
        <v>211</v>
      </c>
    </row>
    <row r="2" spans="1:6" ht="19.5" customHeight="1">
      <c r="A2" s="1">
        <v>1</v>
      </c>
      <c r="B2" s="1" t="s">
        <v>212</v>
      </c>
      <c r="C2" s="163"/>
      <c r="D2" s="1"/>
      <c r="E2" s="1"/>
    </row>
    <row r="3" spans="1:6" ht="19.5" customHeight="1">
      <c r="A3" s="1">
        <v>2</v>
      </c>
      <c r="B3" s="1" t="s">
        <v>213</v>
      </c>
      <c r="C3" s="163"/>
      <c r="D3" s="1"/>
      <c r="E3" s="1"/>
    </row>
    <row r="4" spans="1:6" ht="19.5" customHeight="1">
      <c r="A4" s="1">
        <v>3</v>
      </c>
      <c r="B4" s="1" t="s">
        <v>214</v>
      </c>
      <c r="C4" s="163"/>
      <c r="D4" s="1"/>
      <c r="E4" s="1"/>
    </row>
    <row r="5" spans="1:6" ht="19.5" customHeight="1">
      <c r="A5" s="1">
        <v>4</v>
      </c>
      <c r="B5" s="1" t="s">
        <v>215</v>
      </c>
      <c r="C5" s="163"/>
      <c r="D5" s="1"/>
      <c r="E5" s="1"/>
    </row>
    <row r="6" spans="1:6" ht="35.25" customHeight="1">
      <c r="A6" s="1">
        <v>5</v>
      </c>
      <c r="B6" s="1" t="s">
        <v>216</v>
      </c>
      <c r="C6" s="163"/>
      <c r="D6" s="1"/>
      <c r="E6" s="1"/>
    </row>
    <row r="7" spans="1:6" ht="37.5" customHeight="1">
      <c r="A7" s="1">
        <v>6</v>
      </c>
      <c r="B7" s="1" t="s">
        <v>217</v>
      </c>
      <c r="C7" s="163"/>
      <c r="D7" s="1"/>
      <c r="E7" s="1"/>
    </row>
    <row r="8" spans="1:6" ht="42.75" customHeight="1">
      <c r="A8" s="1">
        <v>7</v>
      </c>
      <c r="B8" s="1" t="s">
        <v>218</v>
      </c>
      <c r="C8" s="163"/>
      <c r="D8" s="1"/>
      <c r="E8" s="1"/>
    </row>
    <row r="9" spans="1:6" ht="39" customHeight="1">
      <c r="A9" s="1">
        <v>8</v>
      </c>
      <c r="B9" s="1" t="s">
        <v>219</v>
      </c>
      <c r="C9" s="163"/>
      <c r="D9" s="1"/>
      <c r="E9" s="1"/>
    </row>
    <row r="10" spans="1:6" ht="36" customHeight="1">
      <c r="A10" s="1">
        <v>9</v>
      </c>
      <c r="B10" s="1" t="s">
        <v>220</v>
      </c>
      <c r="C10" s="243"/>
      <c r="D10" s="1"/>
      <c r="E10" s="1"/>
    </row>
    <row r="11" spans="1:6" ht="35.25" customHeight="1">
      <c r="A11" s="1">
        <v>10</v>
      </c>
      <c r="B11" s="1" t="s">
        <v>221</v>
      </c>
      <c r="C11" s="163"/>
      <c r="D11" s="1"/>
      <c r="E11" s="1"/>
      <c r="F11" s="164" t="s">
        <v>239</v>
      </c>
    </row>
    <row r="12" spans="1:6" ht="19.5" customHeight="1">
      <c r="A12" s="1">
        <v>11</v>
      </c>
      <c r="B12" s="1" t="s">
        <v>222</v>
      </c>
      <c r="C12" s="163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J17" sqref="J17"/>
    </sheetView>
  </sheetViews>
  <sheetFormatPr defaultColWidth="9" defaultRowHeight="13.5"/>
  <cols>
    <col min="1" max="2" width="9" style="67"/>
    <col min="3" max="5" width="15.75" style="67" customWidth="1"/>
    <col min="6" max="8" width="11.125" style="67" customWidth="1"/>
    <col min="9" max="9" width="12.875" style="150" customWidth="1"/>
    <col min="10" max="16384" width="9" style="67"/>
  </cols>
  <sheetData>
    <row r="1" spans="1:12" s="147" customFormat="1" ht="18.75" customHeight="1">
      <c r="G1" s="316" t="s">
        <v>223</v>
      </c>
      <c r="H1" s="316"/>
      <c r="I1" s="148"/>
    </row>
    <row r="2" spans="1:12" ht="39" customHeight="1">
      <c r="A2" s="317" t="s">
        <v>224</v>
      </c>
      <c r="B2" s="317"/>
      <c r="C2" s="311" t="s">
        <v>225</v>
      </c>
      <c r="D2" s="318"/>
      <c r="E2" s="318"/>
      <c r="F2" s="318"/>
      <c r="G2" s="318"/>
      <c r="H2" s="312"/>
      <c r="I2" s="149" t="s">
        <v>232</v>
      </c>
      <c r="K2" s="169"/>
      <c r="L2" s="169"/>
    </row>
    <row r="3" spans="1:12" ht="34.5" customHeight="1">
      <c r="A3" s="317"/>
      <c r="B3" s="317"/>
      <c r="C3" s="158" t="s">
        <v>234</v>
      </c>
      <c r="D3" s="158" t="s">
        <v>235</v>
      </c>
      <c r="E3" s="158" t="s">
        <v>233</v>
      </c>
      <c r="F3" s="159" t="s">
        <v>238</v>
      </c>
      <c r="G3" s="159" t="s">
        <v>237</v>
      </c>
      <c r="H3" s="159" t="s">
        <v>236</v>
      </c>
      <c r="I3" s="162">
        <f>销量!C8</f>
        <v>2600.0000000000005</v>
      </c>
    </row>
    <row r="4" spans="1:12" ht="24" customHeight="1">
      <c r="A4" s="313" t="s">
        <v>226</v>
      </c>
      <c r="B4" s="313"/>
      <c r="C4" s="3"/>
      <c r="D4" s="151"/>
      <c r="E4" s="152">
        <f>$I$3*F4</f>
        <v>146.17196456838394</v>
      </c>
      <c r="F4" s="183">
        <v>5.6219986372455351E-2</v>
      </c>
      <c r="G4" s="152"/>
      <c r="H4" s="153">
        <v>4.48E-2</v>
      </c>
      <c r="I4" s="150">
        <v>4.3099999999999999E-2</v>
      </c>
      <c r="J4" s="167"/>
      <c r="K4" s="68"/>
      <c r="L4" s="68"/>
    </row>
    <row r="5" spans="1:12" ht="24" customHeight="1">
      <c r="A5" s="313" t="s">
        <v>227</v>
      </c>
      <c r="B5" s="154" t="s">
        <v>228</v>
      </c>
      <c r="C5" s="3"/>
      <c r="D5" s="151"/>
      <c r="E5" s="152">
        <f t="shared" ref="E5:E6" si="0">$I$3*F5</f>
        <v>117.00000000000001</v>
      </c>
      <c r="F5" s="153">
        <v>4.4999999999999998E-2</v>
      </c>
      <c r="G5" s="153"/>
      <c r="H5" s="153">
        <v>4.0399999999999998E-2</v>
      </c>
      <c r="J5" s="168"/>
      <c r="K5" s="68"/>
      <c r="L5" s="68"/>
    </row>
    <row r="6" spans="1:12" ht="24" customHeight="1">
      <c r="A6" s="313"/>
      <c r="B6" s="154" t="s">
        <v>229</v>
      </c>
      <c r="C6" s="3"/>
      <c r="D6" s="151"/>
      <c r="E6" s="152">
        <f t="shared" si="0"/>
        <v>39.197572962799178</v>
      </c>
      <c r="F6" s="183">
        <v>1.5075989601076605E-2</v>
      </c>
      <c r="G6" s="152"/>
      <c r="H6" s="153">
        <v>1.66E-2</v>
      </c>
      <c r="I6" s="150">
        <v>2.1700000000000001E-2</v>
      </c>
      <c r="J6" s="167"/>
      <c r="K6" s="68"/>
      <c r="L6" s="68"/>
    </row>
    <row r="7" spans="1:12" ht="24" customHeight="1">
      <c r="A7" s="311" t="s">
        <v>230</v>
      </c>
      <c r="B7" s="312"/>
      <c r="C7" s="155"/>
      <c r="D7" s="156"/>
      <c r="E7" s="152">
        <f>$I$3*F7</f>
        <v>302.36953753118314</v>
      </c>
      <c r="F7" s="182">
        <f>SUM(F4:F6)</f>
        <v>0.11629597597353196</v>
      </c>
      <c r="G7" s="152"/>
      <c r="H7" s="157">
        <f>SUM(H4:H6)</f>
        <v>0.1018</v>
      </c>
      <c r="I7" s="150">
        <f>SUM(I4:I6)</f>
        <v>6.4799999999999996E-2</v>
      </c>
      <c r="J7" s="167"/>
      <c r="K7" s="68"/>
      <c r="L7" s="68"/>
    </row>
    <row r="8" spans="1:12" ht="24" customHeight="1">
      <c r="A8" s="313" t="s">
        <v>50</v>
      </c>
      <c r="B8" s="313"/>
      <c r="C8" s="3"/>
      <c r="D8" s="151"/>
      <c r="E8" s="152">
        <f>$I$3*F8</f>
        <v>78.000000000000014</v>
      </c>
      <c r="F8" s="184">
        <v>0.03</v>
      </c>
      <c r="G8" s="152"/>
      <c r="H8" s="153">
        <f>1.97%+0.75%</f>
        <v>2.7199999999999998E-2</v>
      </c>
      <c r="J8" s="168"/>
      <c r="K8" s="68"/>
      <c r="L8" s="68"/>
    </row>
    <row r="9" spans="1:12" ht="24" customHeight="1">
      <c r="A9" s="314" t="s">
        <v>231</v>
      </c>
      <c r="B9" s="154" t="s">
        <v>228</v>
      </c>
      <c r="C9" s="3"/>
      <c r="D9" s="151"/>
      <c r="E9" s="152">
        <f>$I$3*F9</f>
        <v>18.200000000000003</v>
      </c>
      <c r="F9" s="153">
        <v>7.0000000000000001E-3</v>
      </c>
      <c r="G9" s="152"/>
      <c r="H9" s="153">
        <v>5.3E-3</v>
      </c>
      <c r="J9" s="150"/>
      <c r="K9" s="68"/>
      <c r="L9" s="68"/>
    </row>
    <row r="10" spans="1:12" ht="24" customHeight="1">
      <c r="A10" s="315"/>
      <c r="B10" s="154" t="s">
        <v>229</v>
      </c>
      <c r="C10" s="3"/>
      <c r="D10" s="151"/>
      <c r="E10" s="152">
        <f>$I$3*I10</f>
        <v>104</v>
      </c>
      <c r="F10" s="150">
        <f>2.8%+1.2%</f>
        <v>3.9999999999999994E-2</v>
      </c>
      <c r="G10" s="152"/>
      <c r="H10" s="153">
        <v>3.4099999999999998E-2</v>
      </c>
      <c r="I10" s="150">
        <f>2.8%+1.2%</f>
        <v>3.9999999999999994E-2</v>
      </c>
      <c r="J10" s="150"/>
      <c r="K10" s="68"/>
      <c r="L10" s="68"/>
    </row>
    <row r="11" spans="1:12" ht="24" customHeight="1">
      <c r="A11" s="313" t="s">
        <v>53</v>
      </c>
      <c r="B11" s="313"/>
      <c r="C11" s="3"/>
      <c r="D11" s="151"/>
      <c r="E11" s="152">
        <f t="shared" ref="E11" si="1">$I$3*F11</f>
        <v>104.00000000000001</v>
      </c>
      <c r="F11" s="153">
        <v>0.04</v>
      </c>
      <c r="G11" s="152"/>
      <c r="H11" s="153">
        <v>1.0999999999999999E-2</v>
      </c>
      <c r="I11" s="150">
        <v>0.03</v>
      </c>
      <c r="J11" s="150"/>
      <c r="K11" s="68"/>
      <c r="L11" s="68"/>
    </row>
    <row r="15" spans="1:12">
      <c r="A15" s="147"/>
      <c r="B15" s="147"/>
      <c r="C15" s="147"/>
      <c r="D15" s="147"/>
      <c r="E15" s="147"/>
      <c r="F15" s="147"/>
      <c r="G15" s="316" t="s">
        <v>223</v>
      </c>
      <c r="H15" s="316"/>
      <c r="I15" s="148"/>
    </row>
    <row r="16" spans="1:12">
      <c r="A16" s="317" t="s">
        <v>224</v>
      </c>
      <c r="B16" s="317"/>
      <c r="C16" s="311" t="s">
        <v>225</v>
      </c>
      <c r="D16" s="318"/>
      <c r="E16" s="318"/>
      <c r="F16" s="318"/>
      <c r="G16" s="318"/>
      <c r="H16" s="312"/>
      <c r="I16" s="149" t="s">
        <v>232</v>
      </c>
    </row>
    <row r="17" spans="1:9" ht="27">
      <c r="A17" s="317"/>
      <c r="B17" s="317"/>
      <c r="C17" s="158" t="s">
        <v>234</v>
      </c>
      <c r="D17" s="158" t="s">
        <v>235</v>
      </c>
      <c r="E17" s="158" t="s">
        <v>233</v>
      </c>
      <c r="F17" s="159" t="s">
        <v>238</v>
      </c>
      <c r="G17" s="159" t="s">
        <v>237</v>
      </c>
      <c r="H17" s="159" t="s">
        <v>236</v>
      </c>
      <c r="I17" s="162">
        <f>销量!D8</f>
        <v>0</v>
      </c>
    </row>
    <row r="18" spans="1:9">
      <c r="A18" s="313" t="s">
        <v>226</v>
      </c>
      <c r="B18" s="313"/>
      <c r="C18" s="3"/>
      <c r="D18" s="151"/>
      <c r="E18" s="152">
        <f>$I$17*F18</f>
        <v>0</v>
      </c>
      <c r="F18" s="183">
        <v>5.6219986372455351E-2</v>
      </c>
      <c r="G18" s="152"/>
      <c r="H18" s="153">
        <v>4.48E-2</v>
      </c>
      <c r="I18" s="150">
        <v>4.3099999999999999E-2</v>
      </c>
    </row>
    <row r="19" spans="1:9">
      <c r="A19" s="313" t="s">
        <v>227</v>
      </c>
      <c r="B19" s="179" t="s">
        <v>228</v>
      </c>
      <c r="C19" s="3"/>
      <c r="D19" s="151"/>
      <c r="E19" s="152">
        <f t="shared" ref="E19:E25" si="2">$I$17*F19</f>
        <v>0</v>
      </c>
      <c r="F19" s="153">
        <v>4.4999999999999998E-2</v>
      </c>
      <c r="G19" s="152"/>
      <c r="H19" s="153">
        <v>4.0399999999999998E-2</v>
      </c>
    </row>
    <row r="20" spans="1:9">
      <c r="A20" s="313"/>
      <c r="B20" s="179" t="s">
        <v>229</v>
      </c>
      <c r="C20" s="3"/>
      <c r="D20" s="151"/>
      <c r="E20" s="152">
        <f t="shared" si="2"/>
        <v>0</v>
      </c>
      <c r="F20" s="183">
        <v>1.5075989601076605E-2</v>
      </c>
      <c r="G20" s="152"/>
      <c r="H20" s="153">
        <v>1.66E-2</v>
      </c>
      <c r="I20" s="150">
        <v>2.1700000000000001E-2</v>
      </c>
    </row>
    <row r="21" spans="1:9">
      <c r="A21" s="311" t="s">
        <v>230</v>
      </c>
      <c r="B21" s="312"/>
      <c r="C21" s="155"/>
      <c r="D21" s="156"/>
      <c r="E21" s="152">
        <f t="shared" si="2"/>
        <v>0</v>
      </c>
      <c r="F21" s="182">
        <f>SUM(F18:F20)</f>
        <v>0.11629597597353196</v>
      </c>
      <c r="G21" s="152"/>
      <c r="H21" s="157">
        <f>SUM(H18:H20)</f>
        <v>0.1018</v>
      </c>
      <c r="I21" s="150">
        <f>SUM(I18:I20)</f>
        <v>6.4799999999999996E-2</v>
      </c>
    </row>
    <row r="22" spans="1:9">
      <c r="A22" s="313" t="s">
        <v>50</v>
      </c>
      <c r="B22" s="313"/>
      <c r="C22" s="3"/>
      <c r="D22" s="151"/>
      <c r="E22" s="152">
        <f t="shared" si="2"/>
        <v>0</v>
      </c>
      <c r="F22" s="184">
        <v>0.03</v>
      </c>
      <c r="G22" s="152"/>
      <c r="H22" s="153">
        <f>1.97%+0.75%</f>
        <v>2.7199999999999998E-2</v>
      </c>
    </row>
    <row r="23" spans="1:9">
      <c r="A23" s="314" t="s">
        <v>231</v>
      </c>
      <c r="B23" s="179" t="s">
        <v>228</v>
      </c>
      <c r="C23" s="3"/>
      <c r="D23" s="151"/>
      <c r="E23" s="152">
        <f t="shared" si="2"/>
        <v>0</v>
      </c>
      <c r="F23" s="153">
        <v>7.0000000000000001E-3</v>
      </c>
      <c r="G23" s="152"/>
      <c r="H23" s="153">
        <v>5.3E-3</v>
      </c>
    </row>
    <row r="24" spans="1:9">
      <c r="A24" s="315"/>
      <c r="B24" s="179" t="s">
        <v>229</v>
      </c>
      <c r="C24" s="3"/>
      <c r="D24" s="151"/>
      <c r="E24" s="152">
        <f>$I$17*I24</f>
        <v>0</v>
      </c>
      <c r="F24" s="150">
        <f>2.8%+1.2%</f>
        <v>3.9999999999999994E-2</v>
      </c>
      <c r="G24" s="152"/>
      <c r="H24" s="153">
        <v>3.4099999999999998E-2</v>
      </c>
      <c r="I24" s="150">
        <f>2.8%+1.2%</f>
        <v>3.9999999999999994E-2</v>
      </c>
    </row>
    <row r="25" spans="1:9">
      <c r="A25" s="313" t="s">
        <v>53</v>
      </c>
      <c r="B25" s="313"/>
      <c r="C25" s="3"/>
      <c r="D25" s="151"/>
      <c r="E25" s="152">
        <f t="shared" si="2"/>
        <v>0</v>
      </c>
      <c r="F25" s="153">
        <v>0.04</v>
      </c>
      <c r="G25" s="152"/>
      <c r="H25" s="153">
        <v>1.0999999999999999E-2</v>
      </c>
      <c r="I25" s="150">
        <v>0.03</v>
      </c>
    </row>
    <row r="29" spans="1:9">
      <c r="A29" s="147"/>
      <c r="B29" s="147"/>
      <c r="C29" s="147"/>
      <c r="D29" s="147"/>
      <c r="E29" s="147"/>
      <c r="F29" s="147"/>
      <c r="G29" s="316" t="s">
        <v>223</v>
      </c>
      <c r="H29" s="316"/>
      <c r="I29" s="148"/>
    </row>
    <row r="30" spans="1:9">
      <c r="A30" s="317" t="s">
        <v>224</v>
      </c>
      <c r="B30" s="317"/>
      <c r="C30" s="311" t="s">
        <v>225</v>
      </c>
      <c r="D30" s="318"/>
      <c r="E30" s="318"/>
      <c r="F30" s="318"/>
      <c r="G30" s="318"/>
      <c r="H30" s="312"/>
      <c r="I30" s="149" t="s">
        <v>232</v>
      </c>
    </row>
    <row r="31" spans="1:9" ht="27">
      <c r="A31" s="317"/>
      <c r="B31" s="317"/>
      <c r="C31" s="158" t="s">
        <v>234</v>
      </c>
      <c r="D31" s="158" t="s">
        <v>235</v>
      </c>
      <c r="E31" s="158" t="s">
        <v>233</v>
      </c>
      <c r="F31" s="159" t="s">
        <v>238</v>
      </c>
      <c r="G31" s="159" t="s">
        <v>237</v>
      </c>
      <c r="H31" s="159" t="s">
        <v>236</v>
      </c>
      <c r="I31" s="162">
        <f>销量!E8</f>
        <v>0</v>
      </c>
    </row>
    <row r="32" spans="1:9">
      <c r="A32" s="313" t="s">
        <v>226</v>
      </c>
      <c r="B32" s="313"/>
      <c r="C32" s="3"/>
      <c r="D32" s="151"/>
      <c r="E32" s="152">
        <f>$I$31*F32</f>
        <v>0</v>
      </c>
      <c r="F32" s="183">
        <v>5.6219986372455351E-2</v>
      </c>
      <c r="G32" s="152"/>
      <c r="H32" s="153">
        <v>4.48E-2</v>
      </c>
      <c r="I32" s="150">
        <v>4.3099999999999999E-2</v>
      </c>
    </row>
    <row r="33" spans="1:9">
      <c r="A33" s="313" t="s">
        <v>227</v>
      </c>
      <c r="B33" s="179" t="s">
        <v>228</v>
      </c>
      <c r="C33" s="3"/>
      <c r="D33" s="151"/>
      <c r="E33" s="152">
        <f t="shared" ref="E33:E39" si="3">$I$31*F33</f>
        <v>0</v>
      </c>
      <c r="F33" s="153">
        <v>4.4999999999999998E-2</v>
      </c>
      <c r="G33" s="152"/>
      <c r="H33" s="153">
        <v>4.0399999999999998E-2</v>
      </c>
    </row>
    <row r="34" spans="1:9">
      <c r="A34" s="313"/>
      <c r="B34" s="179" t="s">
        <v>229</v>
      </c>
      <c r="C34" s="3"/>
      <c r="D34" s="151"/>
      <c r="E34" s="152">
        <f t="shared" si="3"/>
        <v>0</v>
      </c>
      <c r="F34" s="183">
        <v>1.5075989601076605E-2</v>
      </c>
      <c r="G34" s="152"/>
      <c r="H34" s="153">
        <v>1.66E-2</v>
      </c>
      <c r="I34" s="150">
        <v>2.1700000000000001E-2</v>
      </c>
    </row>
    <row r="35" spans="1:9">
      <c r="A35" s="311" t="s">
        <v>230</v>
      </c>
      <c r="B35" s="312"/>
      <c r="C35" s="155"/>
      <c r="D35" s="156"/>
      <c r="E35" s="152">
        <f t="shared" si="3"/>
        <v>0</v>
      </c>
      <c r="F35" s="157">
        <f t="shared" ref="F35" si="4">SUM(F32:F34)</f>
        <v>0.11629597597353196</v>
      </c>
      <c r="G35" s="157"/>
      <c r="H35" s="157">
        <f>SUM(H32:H34)</f>
        <v>0.1018</v>
      </c>
      <c r="I35" s="150">
        <f>SUM(I32:I34)</f>
        <v>6.4799999999999996E-2</v>
      </c>
    </row>
    <row r="36" spans="1:9">
      <c r="A36" s="313" t="s">
        <v>50</v>
      </c>
      <c r="B36" s="313"/>
      <c r="C36" s="3"/>
      <c r="D36" s="151"/>
      <c r="E36" s="152">
        <f t="shared" si="3"/>
        <v>0</v>
      </c>
      <c r="F36" s="184">
        <v>0.03</v>
      </c>
      <c r="G36" s="152"/>
      <c r="H36" s="153">
        <f>1.97%+0.75%</f>
        <v>2.7199999999999998E-2</v>
      </c>
    </row>
    <row r="37" spans="1:9">
      <c r="A37" s="314" t="s">
        <v>231</v>
      </c>
      <c r="B37" s="179" t="s">
        <v>228</v>
      </c>
      <c r="C37" s="3"/>
      <c r="D37" s="151"/>
      <c r="E37" s="152">
        <f t="shared" si="3"/>
        <v>0</v>
      </c>
      <c r="F37" s="153">
        <v>7.0000000000000001E-3</v>
      </c>
      <c r="G37" s="152"/>
      <c r="H37" s="153">
        <v>5.3E-3</v>
      </c>
    </row>
    <row r="38" spans="1:9">
      <c r="A38" s="315"/>
      <c r="B38" s="179" t="s">
        <v>229</v>
      </c>
      <c r="C38" s="3"/>
      <c r="D38" s="151"/>
      <c r="E38" s="152">
        <f>$I$31*I38</f>
        <v>0</v>
      </c>
      <c r="F38" s="150">
        <f>2.8%+1.2%</f>
        <v>3.9999999999999994E-2</v>
      </c>
      <c r="G38" s="152"/>
      <c r="H38" s="153">
        <v>3.4099999999999998E-2</v>
      </c>
      <c r="I38" s="150">
        <f>2.8%+1.2%</f>
        <v>3.9999999999999994E-2</v>
      </c>
    </row>
    <row r="39" spans="1:9">
      <c r="A39" s="313" t="s">
        <v>53</v>
      </c>
      <c r="B39" s="313"/>
      <c r="C39" s="3"/>
      <c r="D39" s="151"/>
      <c r="E39" s="152">
        <f t="shared" si="3"/>
        <v>0</v>
      </c>
      <c r="F39" s="153">
        <v>0.04</v>
      </c>
      <c r="G39" s="152"/>
      <c r="H39" s="153">
        <v>1.0999999999999999E-2</v>
      </c>
      <c r="I39" s="150">
        <v>0.03</v>
      </c>
    </row>
    <row r="42" spans="1:9">
      <c r="A42" s="147"/>
      <c r="B42" s="147"/>
      <c r="C42" s="147"/>
      <c r="D42" s="147"/>
      <c r="E42" s="147"/>
      <c r="F42" s="147"/>
      <c r="G42" s="316" t="s">
        <v>223</v>
      </c>
      <c r="H42" s="316"/>
      <c r="I42" s="148"/>
    </row>
    <row r="43" spans="1:9">
      <c r="A43" s="317" t="s">
        <v>224</v>
      </c>
      <c r="B43" s="317"/>
      <c r="C43" s="311" t="s">
        <v>225</v>
      </c>
      <c r="D43" s="318"/>
      <c r="E43" s="318"/>
      <c r="F43" s="318"/>
      <c r="G43" s="318"/>
      <c r="H43" s="312"/>
      <c r="I43" s="149" t="s">
        <v>232</v>
      </c>
    </row>
    <row r="44" spans="1:9" ht="27">
      <c r="A44" s="317"/>
      <c r="B44" s="317"/>
      <c r="C44" s="158" t="s">
        <v>234</v>
      </c>
      <c r="D44" s="158" t="s">
        <v>235</v>
      </c>
      <c r="E44" s="158" t="s">
        <v>233</v>
      </c>
      <c r="F44" s="159" t="s">
        <v>238</v>
      </c>
      <c r="G44" s="159" t="s">
        <v>237</v>
      </c>
      <c r="H44" s="159" t="s">
        <v>236</v>
      </c>
      <c r="I44" s="162">
        <f>销量!F8</f>
        <v>0</v>
      </c>
    </row>
    <row r="45" spans="1:9">
      <c r="A45" s="313" t="s">
        <v>226</v>
      </c>
      <c r="B45" s="313"/>
      <c r="C45" s="3"/>
      <c r="D45" s="151"/>
      <c r="E45" s="152">
        <f>$I$44*F45</f>
        <v>0</v>
      </c>
      <c r="F45" s="183">
        <v>5.6219986372455351E-2</v>
      </c>
      <c r="G45" s="152"/>
      <c r="H45" s="153">
        <v>4.48E-2</v>
      </c>
      <c r="I45" s="150">
        <v>4.3099999999999999E-2</v>
      </c>
    </row>
    <row r="46" spans="1:9">
      <c r="A46" s="313" t="s">
        <v>227</v>
      </c>
      <c r="B46" s="179" t="s">
        <v>228</v>
      </c>
      <c r="C46" s="3"/>
      <c r="D46" s="151"/>
      <c r="E46" s="152">
        <f t="shared" ref="E46:E52" si="5">$I$44*F46</f>
        <v>0</v>
      </c>
      <c r="F46" s="153">
        <v>4.4999999999999998E-2</v>
      </c>
      <c r="G46" s="152"/>
      <c r="H46" s="153">
        <v>4.0399999999999998E-2</v>
      </c>
    </row>
    <row r="47" spans="1:9">
      <c r="A47" s="313"/>
      <c r="B47" s="179" t="s">
        <v>229</v>
      </c>
      <c r="C47" s="3"/>
      <c r="D47" s="151"/>
      <c r="E47" s="152">
        <f t="shared" si="5"/>
        <v>0</v>
      </c>
      <c r="F47" s="183">
        <v>1.5075989601076605E-2</v>
      </c>
      <c r="G47" s="152"/>
      <c r="H47" s="153">
        <v>1.66E-2</v>
      </c>
      <c r="I47" s="150">
        <v>2.1700000000000001E-2</v>
      </c>
    </row>
    <row r="48" spans="1:9">
      <c r="A48" s="311" t="s">
        <v>230</v>
      </c>
      <c r="B48" s="312"/>
      <c r="C48" s="155"/>
      <c r="D48" s="156"/>
      <c r="E48" s="152">
        <f t="shared" si="5"/>
        <v>0</v>
      </c>
      <c r="F48" s="157">
        <f t="shared" ref="F48" si="6">SUM(F45:F47)</f>
        <v>0.11629597597353196</v>
      </c>
      <c r="G48" s="157"/>
      <c r="H48" s="157">
        <f>SUM(H45:H47)</f>
        <v>0.1018</v>
      </c>
      <c r="I48" s="150">
        <f>SUM(I45:I47)</f>
        <v>6.4799999999999996E-2</v>
      </c>
    </row>
    <row r="49" spans="1:9">
      <c r="A49" s="313" t="s">
        <v>50</v>
      </c>
      <c r="B49" s="313"/>
      <c r="C49" s="3"/>
      <c r="D49" s="151"/>
      <c r="E49" s="152">
        <f t="shared" si="5"/>
        <v>0</v>
      </c>
      <c r="F49" s="184">
        <v>0.03</v>
      </c>
      <c r="G49" s="152"/>
      <c r="H49" s="153">
        <f>1.97%+0.75%</f>
        <v>2.7199999999999998E-2</v>
      </c>
    </row>
    <row r="50" spans="1:9">
      <c r="A50" s="314" t="s">
        <v>231</v>
      </c>
      <c r="B50" s="179" t="s">
        <v>228</v>
      </c>
      <c r="C50" s="3"/>
      <c r="D50" s="151"/>
      <c r="E50" s="152">
        <f t="shared" si="5"/>
        <v>0</v>
      </c>
      <c r="F50" s="153">
        <v>7.0000000000000001E-3</v>
      </c>
      <c r="G50" s="152"/>
      <c r="H50" s="153">
        <v>5.3E-3</v>
      </c>
    </row>
    <row r="51" spans="1:9">
      <c r="A51" s="315"/>
      <c r="B51" s="179" t="s">
        <v>229</v>
      </c>
      <c r="C51" s="3"/>
      <c r="D51" s="151"/>
      <c r="E51" s="152">
        <f>$I$44*I51</f>
        <v>0</v>
      </c>
      <c r="F51" s="150">
        <f>2.8%+1.2%</f>
        <v>3.9999999999999994E-2</v>
      </c>
      <c r="G51" s="152"/>
      <c r="H51" s="153">
        <v>3.4099999999999998E-2</v>
      </c>
      <c r="I51" s="150">
        <f>2.8%+1.2%</f>
        <v>3.9999999999999994E-2</v>
      </c>
    </row>
    <row r="52" spans="1:9">
      <c r="A52" s="313" t="s">
        <v>53</v>
      </c>
      <c r="B52" s="313"/>
      <c r="C52" s="3"/>
      <c r="D52" s="151"/>
      <c r="E52" s="152">
        <f t="shared" si="5"/>
        <v>0</v>
      </c>
      <c r="F52" s="153">
        <v>0.04</v>
      </c>
      <c r="G52" s="152"/>
      <c r="H52" s="153">
        <v>1.0999999999999999E-2</v>
      </c>
      <c r="I52" s="150">
        <v>0.03</v>
      </c>
    </row>
    <row r="55" spans="1:9">
      <c r="A55" s="147"/>
      <c r="B55" s="147"/>
      <c r="C55" s="147"/>
      <c r="D55" s="147"/>
      <c r="E55" s="147"/>
      <c r="F55" s="147"/>
      <c r="G55" s="316" t="s">
        <v>223</v>
      </c>
      <c r="H55" s="316"/>
      <c r="I55" s="148"/>
    </row>
    <row r="56" spans="1:9">
      <c r="A56" s="317" t="s">
        <v>224</v>
      </c>
      <c r="B56" s="317"/>
      <c r="C56" s="311" t="s">
        <v>225</v>
      </c>
      <c r="D56" s="318"/>
      <c r="E56" s="318"/>
      <c r="F56" s="318"/>
      <c r="G56" s="318"/>
      <c r="H56" s="312"/>
      <c r="I56" s="149" t="s">
        <v>232</v>
      </c>
    </row>
    <row r="57" spans="1:9" ht="27">
      <c r="A57" s="317"/>
      <c r="B57" s="317"/>
      <c r="C57" s="158" t="s">
        <v>234</v>
      </c>
      <c r="D57" s="158" t="s">
        <v>235</v>
      </c>
      <c r="E57" s="158" t="s">
        <v>233</v>
      </c>
      <c r="F57" s="159" t="s">
        <v>238</v>
      </c>
      <c r="G57" s="159" t="s">
        <v>237</v>
      </c>
      <c r="H57" s="159" t="s">
        <v>236</v>
      </c>
      <c r="I57" s="162">
        <f>销量!G8</f>
        <v>0</v>
      </c>
    </row>
    <row r="58" spans="1:9">
      <c r="A58" s="313" t="s">
        <v>226</v>
      </c>
      <c r="B58" s="313"/>
      <c r="C58" s="3"/>
      <c r="D58" s="151"/>
      <c r="E58" s="152">
        <f>$I$57*F58</f>
        <v>0</v>
      </c>
      <c r="F58" s="183">
        <v>5.6219986372455351E-2</v>
      </c>
      <c r="G58" s="152"/>
      <c r="H58" s="153">
        <v>4.48E-2</v>
      </c>
      <c r="I58" s="150">
        <v>4.3099999999999999E-2</v>
      </c>
    </row>
    <row r="59" spans="1:9">
      <c r="A59" s="313" t="s">
        <v>227</v>
      </c>
      <c r="B59" s="179" t="s">
        <v>228</v>
      </c>
      <c r="C59" s="3"/>
      <c r="D59" s="151"/>
      <c r="E59" s="152">
        <f t="shared" ref="E59:E65" si="7">$I$57*F59</f>
        <v>0</v>
      </c>
      <c r="F59" s="153">
        <v>4.4999999999999998E-2</v>
      </c>
      <c r="G59" s="152"/>
      <c r="H59" s="153">
        <v>4.0399999999999998E-2</v>
      </c>
    </row>
    <row r="60" spans="1:9">
      <c r="A60" s="313"/>
      <c r="B60" s="179" t="s">
        <v>229</v>
      </c>
      <c r="C60" s="3"/>
      <c r="D60" s="151"/>
      <c r="E60" s="152">
        <f t="shared" si="7"/>
        <v>0</v>
      </c>
      <c r="F60" s="183">
        <v>1.5075989601076605E-2</v>
      </c>
      <c r="G60" s="152"/>
      <c r="H60" s="153">
        <v>1.66E-2</v>
      </c>
      <c r="I60" s="150">
        <v>2.1700000000000001E-2</v>
      </c>
    </row>
    <row r="61" spans="1:9">
      <c r="A61" s="311" t="s">
        <v>230</v>
      </c>
      <c r="B61" s="312"/>
      <c r="C61" s="155"/>
      <c r="D61" s="156"/>
      <c r="E61" s="152">
        <f t="shared" si="7"/>
        <v>0</v>
      </c>
      <c r="F61" s="157">
        <f t="shared" ref="F61" si="8">SUM(F58:F60)</f>
        <v>0.11629597597353196</v>
      </c>
      <c r="G61" s="157"/>
      <c r="H61" s="157">
        <f>SUM(H58:H60)</f>
        <v>0.1018</v>
      </c>
      <c r="I61" s="150">
        <f>SUM(I58:I60)</f>
        <v>6.4799999999999996E-2</v>
      </c>
    </row>
    <row r="62" spans="1:9">
      <c r="A62" s="313" t="s">
        <v>50</v>
      </c>
      <c r="B62" s="313"/>
      <c r="C62" s="3"/>
      <c r="D62" s="151"/>
      <c r="E62" s="152">
        <f t="shared" si="7"/>
        <v>0</v>
      </c>
      <c r="F62" s="184">
        <v>0.03</v>
      </c>
      <c r="G62" s="152"/>
      <c r="H62" s="153">
        <f>1.97%+0.75%</f>
        <v>2.7199999999999998E-2</v>
      </c>
    </row>
    <row r="63" spans="1:9">
      <c r="A63" s="314" t="s">
        <v>231</v>
      </c>
      <c r="B63" s="179" t="s">
        <v>228</v>
      </c>
      <c r="C63" s="3"/>
      <c r="D63" s="151"/>
      <c r="E63" s="152">
        <f t="shared" si="7"/>
        <v>0</v>
      </c>
      <c r="F63" s="153">
        <v>7.0000000000000001E-3</v>
      </c>
      <c r="G63" s="152"/>
      <c r="H63" s="153">
        <v>5.3E-3</v>
      </c>
    </row>
    <row r="64" spans="1:9">
      <c r="A64" s="315"/>
      <c r="B64" s="179" t="s">
        <v>229</v>
      </c>
      <c r="C64" s="3"/>
      <c r="D64" s="151"/>
      <c r="E64" s="152">
        <f>$I$57*I64</f>
        <v>0</v>
      </c>
      <c r="F64" s="150">
        <f>2.8%+1.2%</f>
        <v>3.9999999999999994E-2</v>
      </c>
      <c r="G64" s="152"/>
      <c r="H64" s="153">
        <v>3.4099999999999998E-2</v>
      </c>
      <c r="I64" s="150">
        <f>2.8%+1.2%</f>
        <v>3.9999999999999994E-2</v>
      </c>
    </row>
    <row r="65" spans="1:9">
      <c r="A65" s="313" t="s">
        <v>53</v>
      </c>
      <c r="B65" s="313"/>
      <c r="C65" s="3"/>
      <c r="D65" s="151"/>
      <c r="E65" s="152">
        <f t="shared" si="7"/>
        <v>0</v>
      </c>
      <c r="F65" s="153">
        <v>4.2000000000000003E-2</v>
      </c>
      <c r="G65" s="152"/>
      <c r="H65" s="153">
        <v>1.0999999999999999E-2</v>
      </c>
      <c r="I65" s="150">
        <v>0.03</v>
      </c>
    </row>
    <row r="68" spans="1:9">
      <c r="A68" s="147"/>
      <c r="B68" s="147"/>
      <c r="C68" s="147"/>
      <c r="D68" s="147"/>
      <c r="E68" s="147"/>
      <c r="F68" s="147"/>
      <c r="G68" s="316" t="s">
        <v>223</v>
      </c>
      <c r="H68" s="316"/>
      <c r="I68" s="148"/>
    </row>
    <row r="69" spans="1:9">
      <c r="A69" s="317" t="s">
        <v>224</v>
      </c>
      <c r="B69" s="317"/>
      <c r="C69" s="311" t="s">
        <v>225</v>
      </c>
      <c r="D69" s="318"/>
      <c r="E69" s="318"/>
      <c r="F69" s="318"/>
      <c r="G69" s="318"/>
      <c r="H69" s="312"/>
      <c r="I69" s="149" t="s">
        <v>232</v>
      </c>
    </row>
    <row r="70" spans="1:9" ht="27">
      <c r="A70" s="317"/>
      <c r="B70" s="317"/>
      <c r="C70" s="158" t="s">
        <v>234</v>
      </c>
      <c r="D70" s="158" t="s">
        <v>235</v>
      </c>
      <c r="E70" s="158" t="s">
        <v>233</v>
      </c>
      <c r="F70" s="159" t="s">
        <v>238</v>
      </c>
      <c r="G70" s="159" t="s">
        <v>237</v>
      </c>
      <c r="H70" s="159" t="s">
        <v>236</v>
      </c>
      <c r="I70" s="162">
        <f>销量!H8</f>
        <v>0</v>
      </c>
    </row>
    <row r="71" spans="1:9">
      <c r="A71" s="313" t="s">
        <v>226</v>
      </c>
      <c r="B71" s="313"/>
      <c r="C71" s="3"/>
      <c r="D71" s="151"/>
      <c r="E71" s="152">
        <f>$I$70*F71</f>
        <v>0</v>
      </c>
      <c r="F71" s="183">
        <v>5.6219986372455351E-2</v>
      </c>
      <c r="G71" s="152"/>
      <c r="H71" s="153">
        <v>4.48E-2</v>
      </c>
      <c r="I71" s="150">
        <v>4.3099999999999999E-2</v>
      </c>
    </row>
    <row r="72" spans="1:9">
      <c r="A72" s="313" t="s">
        <v>227</v>
      </c>
      <c r="B72" s="179" t="s">
        <v>228</v>
      </c>
      <c r="C72" s="3"/>
      <c r="D72" s="151"/>
      <c r="E72" s="152">
        <f t="shared" ref="E72:E78" si="9">$I$70*F72</f>
        <v>0</v>
      </c>
      <c r="F72" s="153">
        <v>4.4999999999999998E-2</v>
      </c>
      <c r="G72" s="152"/>
      <c r="H72" s="153">
        <v>4.0399999999999998E-2</v>
      </c>
    </row>
    <row r="73" spans="1:9">
      <c r="A73" s="313"/>
      <c r="B73" s="179" t="s">
        <v>229</v>
      </c>
      <c r="C73" s="3"/>
      <c r="D73" s="151"/>
      <c r="E73" s="152">
        <f t="shared" si="9"/>
        <v>0</v>
      </c>
      <c r="F73" s="183">
        <v>1.5075989601076605E-2</v>
      </c>
      <c r="G73" s="152"/>
      <c r="H73" s="153">
        <v>1.66E-2</v>
      </c>
      <c r="I73" s="150">
        <v>2.1700000000000001E-2</v>
      </c>
    </row>
    <row r="74" spans="1:9">
      <c r="A74" s="311" t="s">
        <v>230</v>
      </c>
      <c r="B74" s="312"/>
      <c r="C74" s="155"/>
      <c r="D74" s="156"/>
      <c r="E74" s="152">
        <f t="shared" si="9"/>
        <v>0</v>
      </c>
      <c r="F74" s="157">
        <f t="shared" ref="F74" si="10">SUM(F71:F73)</f>
        <v>0.11629597597353196</v>
      </c>
      <c r="G74" s="157"/>
      <c r="H74" s="157">
        <f>SUM(H71:H73)</f>
        <v>0.1018</v>
      </c>
      <c r="I74" s="150">
        <f>SUM(I71:I73)</f>
        <v>6.4799999999999996E-2</v>
      </c>
    </row>
    <row r="75" spans="1:9">
      <c r="A75" s="313" t="s">
        <v>50</v>
      </c>
      <c r="B75" s="313"/>
      <c r="C75" s="3"/>
      <c r="D75" s="151"/>
      <c r="E75" s="152">
        <f t="shared" si="9"/>
        <v>0</v>
      </c>
      <c r="F75" s="184">
        <v>0.03</v>
      </c>
      <c r="G75" s="152"/>
      <c r="H75" s="153">
        <f>1.97%+0.75%</f>
        <v>2.7199999999999998E-2</v>
      </c>
    </row>
    <row r="76" spans="1:9">
      <c r="A76" s="314" t="s">
        <v>231</v>
      </c>
      <c r="B76" s="179" t="s">
        <v>228</v>
      </c>
      <c r="C76" s="3"/>
      <c r="D76" s="151"/>
      <c r="E76" s="152">
        <f t="shared" si="9"/>
        <v>0</v>
      </c>
      <c r="F76" s="153">
        <v>7.0000000000000001E-3</v>
      </c>
      <c r="G76" s="152"/>
      <c r="H76" s="153">
        <v>5.3E-3</v>
      </c>
    </row>
    <row r="77" spans="1:9">
      <c r="A77" s="315"/>
      <c r="B77" s="179" t="s">
        <v>229</v>
      </c>
      <c r="C77" s="3"/>
      <c r="D77" s="151"/>
      <c r="E77" s="152">
        <f>$I$70*I77</f>
        <v>0</v>
      </c>
      <c r="F77" s="150">
        <f>2.8%+1.2%</f>
        <v>3.9999999999999994E-2</v>
      </c>
      <c r="G77" s="152"/>
      <c r="H77" s="153">
        <v>3.4099999999999998E-2</v>
      </c>
      <c r="I77" s="150">
        <f>2.8%+1.2%</f>
        <v>3.9999999999999994E-2</v>
      </c>
    </row>
    <row r="78" spans="1:9">
      <c r="A78" s="313" t="s">
        <v>53</v>
      </c>
      <c r="B78" s="313"/>
      <c r="C78" s="3"/>
      <c r="D78" s="151"/>
      <c r="E78" s="152">
        <f t="shared" si="9"/>
        <v>0</v>
      </c>
      <c r="F78" s="153">
        <v>4.2000000000000003E-2</v>
      </c>
      <c r="G78" s="152"/>
      <c r="H78" s="153">
        <v>1.0999999999999999E-2</v>
      </c>
      <c r="I78" s="150">
        <v>0.03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F14" sqref="F14"/>
    </sheetView>
  </sheetViews>
  <sheetFormatPr defaultRowHeight="13.5"/>
  <cols>
    <col min="2" max="4" width="16.5" style="209" customWidth="1"/>
    <col min="5" max="5" width="12" customWidth="1"/>
    <col min="6" max="8" width="16.5" customWidth="1"/>
  </cols>
  <sheetData>
    <row r="2" spans="2:8" ht="18.75">
      <c r="B2" s="319" t="s">
        <v>269</v>
      </c>
      <c r="C2" s="319"/>
      <c r="D2" s="319"/>
      <c r="E2" s="319"/>
      <c r="F2" s="319"/>
      <c r="G2" s="319"/>
      <c r="H2" s="319"/>
    </row>
    <row r="3" spans="2:8">
      <c r="B3" s="205" t="s">
        <v>270</v>
      </c>
      <c r="C3" s="194" t="s">
        <v>271</v>
      </c>
      <c r="D3" s="194" t="s">
        <v>272</v>
      </c>
      <c r="E3" s="196" t="s">
        <v>287</v>
      </c>
      <c r="F3" s="195" t="s">
        <v>273</v>
      </c>
      <c r="G3" s="197" t="s">
        <v>274</v>
      </c>
      <c r="H3" s="195" t="s">
        <v>275</v>
      </c>
    </row>
    <row r="4" spans="2:8" ht="16.5">
      <c r="B4" s="206" t="str">
        <f>材料成本!D5</f>
        <v>V168100000193</v>
      </c>
      <c r="C4" s="203" t="str">
        <f>销量!C5</f>
        <v>驾驶员座椅</v>
      </c>
      <c r="D4" s="210">
        <f>材料成本!D33</f>
        <v>1465.9059999999999</v>
      </c>
      <c r="E4" s="211">
        <f>销量!C8</f>
        <v>2600.0000000000005</v>
      </c>
      <c r="F4" s="198">
        <f>E4-D4</f>
        <v>1134.0940000000005</v>
      </c>
      <c r="G4" s="199">
        <f>F4/E4</f>
        <v>0.43619000000000013</v>
      </c>
      <c r="H4" s="200"/>
    </row>
    <row r="5" spans="2:8" ht="16.5">
      <c r="B5" s="208">
        <f>材料成本!E5</f>
        <v>0</v>
      </c>
      <c r="C5" s="203"/>
      <c r="D5" s="210">
        <f>材料成本!E33</f>
        <v>0</v>
      </c>
      <c r="E5" s="222">
        <f>销量!D8</f>
        <v>0</v>
      </c>
      <c r="F5" s="217">
        <f>E5-D5</f>
        <v>0</v>
      </c>
      <c r="G5" s="218" t="e">
        <f>F5/E5</f>
        <v>#DIV/0!</v>
      </c>
      <c r="H5" s="215"/>
    </row>
    <row r="6" spans="2:8" ht="16.5">
      <c r="B6" s="208">
        <f>材料成本!F5</f>
        <v>0</v>
      </c>
      <c r="C6" s="203"/>
      <c r="D6" s="210">
        <f>材料成本!F33</f>
        <v>0</v>
      </c>
      <c r="E6" s="207">
        <f>销量!E8</f>
        <v>0</v>
      </c>
      <c r="F6" s="198">
        <f>E6-D6</f>
        <v>0</v>
      </c>
      <c r="G6" s="199" t="e">
        <f>F6/E6</f>
        <v>#DIV/0!</v>
      </c>
      <c r="H6" s="201"/>
    </row>
    <row r="7" spans="2:8" ht="16.5">
      <c r="B7" s="205">
        <f>材料成本!G5</f>
        <v>0</v>
      </c>
      <c r="C7" s="203"/>
      <c r="D7" s="210">
        <f>材料成本!G33</f>
        <v>0</v>
      </c>
      <c r="E7" s="216">
        <f>销量!F8</f>
        <v>0</v>
      </c>
      <c r="F7" s="217">
        <f>E7-D7</f>
        <v>0</v>
      </c>
      <c r="G7" s="218" t="e">
        <f>F7/E7</f>
        <v>#DIV/0!</v>
      </c>
      <c r="H7" s="219"/>
    </row>
    <row r="10" spans="2:8">
      <c r="F10" s="220"/>
    </row>
  </sheetData>
  <mergeCells count="1">
    <mergeCell ref="B2:H2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9"/>
  <sheetViews>
    <sheetView workbookViewId="0">
      <pane xSplit="3" ySplit="6" topLeftCell="D7" activePane="bottomRight" state="frozen"/>
      <selection pane="topRight"/>
      <selection pane="bottomLeft"/>
      <selection pane="bottomRight" activeCell="J18" sqref="J18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3" width="14.5" style="111" customWidth="1"/>
    <col min="4" max="7" width="13" style="111" customWidth="1"/>
    <col min="8" max="8" width="16.5" style="111" customWidth="1"/>
    <col min="9" max="9" width="15.5" style="110" customWidth="1"/>
    <col min="10" max="35" width="9" style="110"/>
    <col min="36" max="36" width="4.375" style="110" customWidth="1"/>
    <col min="37" max="37" width="13.875" style="110" customWidth="1"/>
    <col min="38" max="16384" width="9" style="110"/>
  </cols>
  <sheetData>
    <row r="1" spans="1:38" ht="27" customHeight="1">
      <c r="A1" s="247" t="s">
        <v>282</v>
      </c>
      <c r="B1" s="247"/>
      <c r="C1" s="247"/>
      <c r="D1" s="247"/>
      <c r="E1" s="247"/>
      <c r="F1" s="247"/>
      <c r="G1" s="247"/>
      <c r="H1" s="247"/>
    </row>
    <row r="2" spans="1:38" ht="15.75" customHeight="1">
      <c r="A2" s="248" t="s">
        <v>18</v>
      </c>
      <c r="B2" s="112" t="s">
        <v>1</v>
      </c>
      <c r="C2" s="112" t="s">
        <v>251</v>
      </c>
      <c r="D2" s="112" t="s">
        <v>252</v>
      </c>
      <c r="E2" s="112" t="s">
        <v>253</v>
      </c>
      <c r="F2" s="112" t="s">
        <v>254</v>
      </c>
      <c r="G2" s="112" t="s">
        <v>255</v>
      </c>
      <c r="H2" s="51" t="s">
        <v>20</v>
      </c>
      <c r="AL2" s="110" t="s">
        <v>21</v>
      </c>
    </row>
    <row r="3" spans="1:38" s="48" customFormat="1" ht="15.75" customHeight="1">
      <c r="A3" s="249"/>
      <c r="B3" s="53" t="s">
        <v>3</v>
      </c>
      <c r="C3" s="113">
        <f>'2022年'!G6</f>
        <v>50</v>
      </c>
      <c r="D3" s="113">
        <f>'2023年'!G6</f>
        <v>5000</v>
      </c>
      <c r="E3" s="113">
        <f>'2024年'!G6</f>
        <v>5000</v>
      </c>
      <c r="F3" s="113">
        <f>'2025年'!I6</f>
        <v>5000</v>
      </c>
      <c r="G3" s="113">
        <f>'2026年'!I6</f>
        <v>5000</v>
      </c>
      <c r="H3" s="113">
        <f>SUM(C3:G3)</f>
        <v>20050</v>
      </c>
      <c r="I3" s="69"/>
      <c r="AJ3" s="52" t="s">
        <v>18</v>
      </c>
      <c r="AK3" s="53" t="s">
        <v>3</v>
      </c>
      <c r="AL3" s="48" t="s">
        <v>22</v>
      </c>
    </row>
    <row r="4" spans="1:38" s="48" customFormat="1" ht="15.75" customHeight="1">
      <c r="A4" s="62">
        <v>1</v>
      </c>
      <c r="B4" s="53" t="s">
        <v>23</v>
      </c>
      <c r="C4" s="113">
        <f>'2022年'!G7</f>
        <v>130000.00000000003</v>
      </c>
      <c r="D4" s="113">
        <f>'2023年'!G7</f>
        <v>13000000.000000002</v>
      </c>
      <c r="E4" s="113">
        <f>'2024年'!G7</f>
        <v>13000000.000000002</v>
      </c>
      <c r="F4" s="113">
        <f>'2025年'!I7</f>
        <v>13000000.000000002</v>
      </c>
      <c r="G4" s="113">
        <f>'2026年'!I7</f>
        <v>13000000.000000002</v>
      </c>
      <c r="H4" s="113">
        <f>SUM(C4:G4)</f>
        <v>52130000.000000007</v>
      </c>
      <c r="I4" s="69"/>
      <c r="AJ4" s="52" t="s">
        <v>24</v>
      </c>
      <c r="AK4" s="53" t="s">
        <v>23</v>
      </c>
      <c r="AL4" s="48" t="s">
        <v>22</v>
      </c>
    </row>
    <row r="5" spans="1:38" s="48" customFormat="1" ht="15.75" customHeight="1">
      <c r="A5" s="62">
        <v>2</v>
      </c>
      <c r="B5" s="50" t="s">
        <v>25</v>
      </c>
      <c r="C5" s="113">
        <f>'2022年'!G8</f>
        <v>0</v>
      </c>
      <c r="D5" s="113">
        <f>'2023年'!G8</f>
        <v>0</v>
      </c>
      <c r="E5" s="113">
        <f>'2024年'!G8</f>
        <v>0</v>
      </c>
      <c r="F5" s="113">
        <f>'2025年'!I8</f>
        <v>0</v>
      </c>
      <c r="G5" s="113">
        <f>'2026年'!I8</f>
        <v>0</v>
      </c>
      <c r="H5" s="113">
        <f t="shared" ref="H5" si="0">SUM(C5:E5)</f>
        <v>0</v>
      </c>
      <c r="I5" s="69"/>
      <c r="AJ5" s="52" t="s">
        <v>26</v>
      </c>
      <c r="AK5" s="50" t="s">
        <v>27</v>
      </c>
      <c r="AL5" s="48" t="s">
        <v>22</v>
      </c>
    </row>
    <row r="6" spans="1:38" s="48" customFormat="1" ht="15.75" customHeight="1">
      <c r="A6" s="62">
        <v>3</v>
      </c>
      <c r="B6" s="53" t="s">
        <v>28</v>
      </c>
      <c r="C6" s="114">
        <f>+C4-C5</f>
        <v>130000.00000000003</v>
      </c>
      <c r="D6" s="114">
        <f>'2023年'!G9</f>
        <v>13000000.000000002</v>
      </c>
      <c r="E6" s="114">
        <f>'2024年'!G9</f>
        <v>13000000.000000002</v>
      </c>
      <c r="F6" s="114">
        <f>'2025年'!I9</f>
        <v>13000000.000000002</v>
      </c>
      <c r="G6" s="114">
        <f>'2026年'!I9</f>
        <v>13000000.000000002</v>
      </c>
      <c r="H6" s="113">
        <f t="shared" ref="H6:H11" si="1">SUM(C6:G6)</f>
        <v>52130000.000000007</v>
      </c>
      <c r="I6" s="69"/>
      <c r="AJ6" s="52" t="s">
        <v>29</v>
      </c>
      <c r="AK6" s="53" t="s">
        <v>28</v>
      </c>
      <c r="AL6" s="48" t="s">
        <v>30</v>
      </c>
    </row>
    <row r="7" spans="1:38" s="48" customFormat="1" ht="15.75" customHeight="1">
      <c r="A7" s="62">
        <v>4</v>
      </c>
      <c r="B7" s="52" t="s">
        <v>31</v>
      </c>
      <c r="C7" s="113">
        <f>'2022年'!G10</f>
        <v>73295.3</v>
      </c>
      <c r="D7" s="113">
        <f>'2023年'!G10</f>
        <v>7329530</v>
      </c>
      <c r="E7" s="113">
        <f>'2024年'!G10</f>
        <v>7329530</v>
      </c>
      <c r="F7" s="113">
        <f>'2025年'!I10</f>
        <v>7329530</v>
      </c>
      <c r="G7" s="113">
        <f>'2026年'!I10</f>
        <v>7329530</v>
      </c>
      <c r="H7" s="113">
        <f t="shared" si="1"/>
        <v>29391415.300000001</v>
      </c>
      <c r="I7" s="69"/>
      <c r="AJ7" s="52" t="s">
        <v>32</v>
      </c>
      <c r="AK7" s="52" t="s">
        <v>31</v>
      </c>
      <c r="AL7" s="48" t="s">
        <v>33</v>
      </c>
    </row>
    <row r="8" spans="1:38" s="48" customFormat="1" ht="15.75" customHeight="1">
      <c r="A8" s="62">
        <v>5</v>
      </c>
      <c r="B8" s="52" t="s">
        <v>34</v>
      </c>
      <c r="C8" s="113">
        <f>'2022年'!G11</f>
        <v>7308.5982284191969</v>
      </c>
      <c r="D8" s="113">
        <f>'2023年'!G11</f>
        <v>730859.82284191973</v>
      </c>
      <c r="E8" s="113">
        <f>'2024年'!G11</f>
        <v>730859.82284191973</v>
      </c>
      <c r="F8" s="113">
        <f>'2025年'!I11</f>
        <v>730859.82284191973</v>
      </c>
      <c r="G8" s="113">
        <f>'2026年'!I11</f>
        <v>730859.82284191973</v>
      </c>
      <c r="H8" s="113">
        <f t="shared" si="1"/>
        <v>2930747.8895960981</v>
      </c>
      <c r="I8" s="69"/>
      <c r="AJ8" s="52" t="s">
        <v>35</v>
      </c>
      <c r="AK8" s="52" t="s">
        <v>34</v>
      </c>
    </row>
    <row r="9" spans="1:38" s="48" customFormat="1" ht="15.75" customHeight="1">
      <c r="A9" s="62">
        <v>6</v>
      </c>
      <c r="B9" s="52" t="s">
        <v>36</v>
      </c>
      <c r="C9" s="113">
        <f>'2022年'!G12</f>
        <v>1959.8786481399588</v>
      </c>
      <c r="D9" s="113">
        <f>'2023年'!G12</f>
        <v>195987.8648139959</v>
      </c>
      <c r="E9" s="113">
        <f>'2024年'!G12</f>
        <v>195987.8648139959</v>
      </c>
      <c r="F9" s="113">
        <f>'2025年'!I12</f>
        <v>195987.8648139959</v>
      </c>
      <c r="G9" s="113">
        <f>'2026年'!I12</f>
        <v>195987.8648139959</v>
      </c>
      <c r="H9" s="113">
        <f t="shared" si="1"/>
        <v>785911.33790412359</v>
      </c>
      <c r="I9" s="69"/>
      <c r="AJ9" s="52" t="s">
        <v>37</v>
      </c>
      <c r="AK9" s="52" t="s">
        <v>36</v>
      </c>
    </row>
    <row r="10" spans="1:38" s="48" customFormat="1" ht="15.75" customHeight="1">
      <c r="A10" s="62">
        <v>7</v>
      </c>
      <c r="B10" s="115" t="s">
        <v>38</v>
      </c>
      <c r="C10" s="113">
        <f>'2022年'!G13</f>
        <v>5200</v>
      </c>
      <c r="D10" s="113">
        <f>'2023年'!G13</f>
        <v>520000</v>
      </c>
      <c r="E10" s="113">
        <f>'2024年'!G13</f>
        <v>520000</v>
      </c>
      <c r="F10" s="113">
        <f>'2025年'!I13</f>
        <v>520000</v>
      </c>
      <c r="G10" s="113">
        <f>'2026年'!I13</f>
        <v>520000</v>
      </c>
      <c r="H10" s="113">
        <f t="shared" si="1"/>
        <v>2085200</v>
      </c>
      <c r="I10" s="69"/>
      <c r="AJ10" s="52" t="s">
        <v>39</v>
      </c>
      <c r="AK10" s="52" t="s">
        <v>38</v>
      </c>
      <c r="AL10" s="48" t="s">
        <v>22</v>
      </c>
    </row>
    <row r="11" spans="1:38" s="48" customFormat="1" ht="15.75" customHeight="1">
      <c r="A11" s="62">
        <v>8</v>
      </c>
      <c r="B11" s="116" t="s">
        <v>40</v>
      </c>
      <c r="C11" s="117">
        <f>'2022年'!G14</f>
        <v>14468.476876559156</v>
      </c>
      <c r="D11" s="117">
        <f>'2023年'!G14</f>
        <v>1446847.6876559155</v>
      </c>
      <c r="E11" s="117">
        <f>'2024年'!G14</f>
        <v>1446847.6876559155</v>
      </c>
      <c r="F11" s="117">
        <f>'2025年'!I14</f>
        <v>1446847.6876559155</v>
      </c>
      <c r="G11" s="117">
        <f>'2026年'!I14</f>
        <v>1446847.6876559155</v>
      </c>
      <c r="H11" s="117">
        <f t="shared" si="1"/>
        <v>5801859.2275002217</v>
      </c>
      <c r="I11" s="69"/>
      <c r="AJ11" s="52" t="s">
        <v>41</v>
      </c>
      <c r="AK11" s="55" t="s">
        <v>40</v>
      </c>
    </row>
    <row r="12" spans="1:38" s="48" customFormat="1" ht="15.75" customHeight="1">
      <c r="A12" s="62">
        <v>9</v>
      </c>
      <c r="B12" s="118" t="s">
        <v>42</v>
      </c>
      <c r="C12" s="113">
        <f>'2022年'!G15</f>
        <v>42236.223123440868</v>
      </c>
      <c r="D12" s="113">
        <f>'2023年'!G15</f>
        <v>4223622.3123440864</v>
      </c>
      <c r="E12" s="113">
        <f>'2024年'!G15</f>
        <v>4223622.3123440864</v>
      </c>
      <c r="F12" s="113">
        <f>'2025年'!I15</f>
        <v>4223622.3123440864</v>
      </c>
      <c r="G12" s="113">
        <f>'2026年'!I15</f>
        <v>4223622.3123440864</v>
      </c>
      <c r="H12" s="113">
        <f>H6-H7-H11</f>
        <v>16936725.472499784</v>
      </c>
      <c r="I12" s="69"/>
      <c r="K12" s="110"/>
      <c r="L12" s="110"/>
      <c r="M12" s="110"/>
      <c r="N12" s="110"/>
      <c r="O12" s="110"/>
      <c r="P12" s="110"/>
      <c r="AJ12" s="52" t="s">
        <v>43</v>
      </c>
      <c r="AK12" s="55" t="s">
        <v>42</v>
      </c>
    </row>
    <row r="13" spans="1:38" ht="15.75" customHeight="1">
      <c r="A13" s="62">
        <v>10</v>
      </c>
      <c r="B13" s="119" t="s">
        <v>44</v>
      </c>
      <c r="C13" s="120">
        <f>+C12/C6</f>
        <v>0.32489402402646816</v>
      </c>
      <c r="D13" s="120">
        <f>'2023年'!G16</f>
        <v>0.32489402402646811</v>
      </c>
      <c r="E13" s="120">
        <f>'2024年'!G16</f>
        <v>0.32489402402646811</v>
      </c>
      <c r="F13" s="120">
        <f>'2025年'!I16</f>
        <v>0.32489402402646811</v>
      </c>
      <c r="G13" s="120">
        <f>'2026年'!I16</f>
        <v>0.32489402402646811</v>
      </c>
      <c r="H13" s="120">
        <f>+H12/H6</f>
        <v>0.32489402402646811</v>
      </c>
      <c r="I13" s="69"/>
      <c r="AJ13" s="119" t="s">
        <v>45</v>
      </c>
      <c r="AK13" s="119" t="s">
        <v>44</v>
      </c>
    </row>
    <row r="14" spans="1:38" ht="15.75" customHeight="1">
      <c r="A14" s="62">
        <v>11</v>
      </c>
      <c r="B14" s="119" t="s">
        <v>46</v>
      </c>
      <c r="C14" s="113">
        <f>'2022年'!G17</f>
        <v>103510</v>
      </c>
      <c r="D14" s="113">
        <f>'2023年'!G17</f>
        <v>682660.00000000012</v>
      </c>
      <c r="E14" s="113">
        <f>'2024年'!G17</f>
        <v>682660.00000000012</v>
      </c>
      <c r="F14" s="113">
        <f>'2025年'!I17</f>
        <v>682660.00000000012</v>
      </c>
      <c r="G14" s="113">
        <f>'2026年'!I17</f>
        <v>682660.00000000012</v>
      </c>
      <c r="H14" s="113">
        <f>SUM(C14:G14)</f>
        <v>2834150.0000000005</v>
      </c>
      <c r="I14" s="69"/>
      <c r="AJ14" s="119" t="s">
        <v>47</v>
      </c>
      <c r="AK14" s="119" t="s">
        <v>46</v>
      </c>
    </row>
    <row r="15" spans="1:38" ht="15.75" customHeight="1">
      <c r="A15" s="160"/>
      <c r="B15" s="119"/>
      <c r="C15" s="113"/>
      <c r="D15" s="113"/>
      <c r="E15" s="113"/>
      <c r="F15" s="113"/>
      <c r="G15" s="113"/>
      <c r="H15" s="113"/>
      <c r="I15" s="69"/>
      <c r="AJ15" s="119"/>
      <c r="AK15" s="119"/>
    </row>
    <row r="16" spans="1:38" ht="15.75" customHeight="1">
      <c r="A16" s="62">
        <v>12</v>
      </c>
      <c r="B16" s="119" t="s">
        <v>48</v>
      </c>
      <c r="C16" s="121">
        <f>'2022年'!G19</f>
        <v>910.00000000000011</v>
      </c>
      <c r="D16" s="121">
        <f>'2023年'!G19</f>
        <v>91000.000000000015</v>
      </c>
      <c r="E16" s="121">
        <f>'2024年'!G19</f>
        <v>91000.000000000015</v>
      </c>
      <c r="F16" s="121">
        <f>'2025年'!I19</f>
        <v>91000.000000000015</v>
      </c>
      <c r="G16" s="121">
        <f>'2026年'!I19</f>
        <v>91000.000000000015</v>
      </c>
      <c r="H16" s="113">
        <f>SUM(C16:G16)</f>
        <v>364910.00000000006</v>
      </c>
      <c r="I16" s="69"/>
      <c r="Q16" s="69"/>
      <c r="AJ16" s="119" t="s">
        <v>49</v>
      </c>
      <c r="AK16" s="119" t="s">
        <v>48</v>
      </c>
      <c r="AL16" s="110" t="s">
        <v>22</v>
      </c>
    </row>
    <row r="17" spans="1:38" ht="15.75" customHeight="1">
      <c r="A17" s="62">
        <v>13</v>
      </c>
      <c r="B17" s="119" t="s">
        <v>50</v>
      </c>
      <c r="C17" s="121">
        <f>'2022年'!G20</f>
        <v>3900.0000000000009</v>
      </c>
      <c r="D17" s="121">
        <f>'2023年'!G20</f>
        <v>390000.00000000006</v>
      </c>
      <c r="E17" s="121">
        <f>'2024年'!G20</f>
        <v>390000.00000000006</v>
      </c>
      <c r="F17" s="121">
        <f>'2025年'!I20</f>
        <v>390000.00000000006</v>
      </c>
      <c r="G17" s="121">
        <f>'2026年'!I20</f>
        <v>390000.00000000006</v>
      </c>
      <c r="H17" s="113">
        <f>SUM(C17:G17)</f>
        <v>1563900.0000000002</v>
      </c>
      <c r="I17" s="69"/>
      <c r="AJ17" s="119" t="s">
        <v>51</v>
      </c>
      <c r="AK17" s="119" t="s">
        <v>50</v>
      </c>
    </row>
    <row r="18" spans="1:38" s="47" customFormat="1" ht="15.75" customHeight="1">
      <c r="A18" s="62">
        <v>14</v>
      </c>
      <c r="B18" s="60" t="s">
        <v>52</v>
      </c>
      <c r="C18" s="122">
        <f>'2022年'!G21</f>
        <v>114000</v>
      </c>
      <c r="D18" s="122">
        <f>'2023年'!G21</f>
        <v>114000</v>
      </c>
      <c r="E18" s="122">
        <f>'2024年'!G21</f>
        <v>114000</v>
      </c>
      <c r="F18" s="122">
        <f>'2025年'!I21</f>
        <v>0</v>
      </c>
      <c r="G18" s="122">
        <f>'2026年'!I21</f>
        <v>0</v>
      </c>
      <c r="H18" s="113">
        <f>SUM(C18:G18)</f>
        <v>342000</v>
      </c>
      <c r="I18" s="69"/>
      <c r="AJ18" s="60"/>
      <c r="AK18" s="60"/>
    </row>
    <row r="19" spans="1:38" s="48" customFormat="1" ht="15.75" customHeight="1">
      <c r="A19" s="62">
        <v>15</v>
      </c>
      <c r="B19" s="52" t="s">
        <v>53</v>
      </c>
      <c r="C19" s="121">
        <f>'2022年'!G22</f>
        <v>5200.0000000000009</v>
      </c>
      <c r="D19" s="121">
        <f>'2023年'!G22</f>
        <v>520000.00000000006</v>
      </c>
      <c r="E19" s="121">
        <f>'2024年'!G22</f>
        <v>520000.00000000006</v>
      </c>
      <c r="F19" s="121">
        <f>'2025年'!I22</f>
        <v>520000.00000000006</v>
      </c>
      <c r="G19" s="121">
        <f>'2026年'!I22</f>
        <v>520000.00000000006</v>
      </c>
      <c r="H19" s="113">
        <f>SUM(C19:G19)</f>
        <v>2085200.0000000002</v>
      </c>
      <c r="I19" s="69"/>
      <c r="AJ19" s="52" t="s">
        <v>54</v>
      </c>
      <c r="AK19" s="52" t="s">
        <v>53</v>
      </c>
    </row>
    <row r="20" spans="1:38" s="108" customFormat="1" ht="15.75" customHeight="1">
      <c r="A20" s="62">
        <v>16</v>
      </c>
      <c r="B20" s="123" t="s">
        <v>55</v>
      </c>
      <c r="C20" s="117">
        <f t="shared" ref="C20" si="2">+C19+C18+C17+C16+C14</f>
        <v>227520</v>
      </c>
      <c r="D20" s="117">
        <f>'2023年'!G23</f>
        <v>1797660</v>
      </c>
      <c r="E20" s="117">
        <f>'2024年'!G23</f>
        <v>1797660</v>
      </c>
      <c r="F20" s="117">
        <f>'2025年'!I23</f>
        <v>1683660.0000000002</v>
      </c>
      <c r="G20" s="117">
        <f>'2026年'!I23</f>
        <v>1683660.0000000002</v>
      </c>
      <c r="H20" s="117">
        <f>SUM(C20:G20)</f>
        <v>7190160</v>
      </c>
      <c r="I20" s="69"/>
      <c r="AJ20" s="136" t="s">
        <v>56</v>
      </c>
      <c r="AK20" s="137" t="s">
        <v>55</v>
      </c>
    </row>
    <row r="21" spans="1:38" ht="15.75" customHeight="1">
      <c r="A21" s="62">
        <v>17</v>
      </c>
      <c r="B21" s="119" t="s">
        <v>57</v>
      </c>
      <c r="C21" s="124">
        <f>+C12-C20</f>
        <v>-185283.77687655913</v>
      </c>
      <c r="D21" s="124">
        <f>'2023年'!G24</f>
        <v>2425962.3123440864</v>
      </c>
      <c r="E21" s="124">
        <f>'2024年'!G24</f>
        <v>2425962.3123440864</v>
      </c>
      <c r="F21" s="124">
        <f>'2025年'!I24</f>
        <v>2539962.3123440864</v>
      </c>
      <c r="G21" s="124">
        <f>'2026年'!I24</f>
        <v>2539962.3123440864</v>
      </c>
      <c r="H21" s="124">
        <f>+H12-H20</f>
        <v>9746565.4724997841</v>
      </c>
      <c r="I21" s="69"/>
      <c r="AJ21" s="119" t="s">
        <v>58</v>
      </c>
      <c r="AK21" s="119" t="s">
        <v>57</v>
      </c>
    </row>
    <row r="22" spans="1:38" ht="15.75" customHeight="1">
      <c r="A22" s="62">
        <v>18</v>
      </c>
      <c r="B22" s="119" t="s">
        <v>59</v>
      </c>
      <c r="C22" s="124">
        <f>IF(C21&lt;0,0,C21*0.15)</f>
        <v>0</v>
      </c>
      <c r="D22" s="124">
        <f>'2023年'!G25</f>
        <v>363894.34685161297</v>
      </c>
      <c r="E22" s="124">
        <f>'2024年'!G25</f>
        <v>363894.34685161297</v>
      </c>
      <c r="F22" s="124">
        <f>'2025年'!I25</f>
        <v>634990.57808602159</v>
      </c>
      <c r="G22" s="124">
        <f>'2026年'!I25</f>
        <v>634990.57808602159</v>
      </c>
      <c r="H22" s="124">
        <f>IF(H21&lt;0,0,H21*0.15)</f>
        <v>1461984.8208749676</v>
      </c>
      <c r="I22" s="69"/>
      <c r="AJ22" s="119" t="s">
        <v>60</v>
      </c>
      <c r="AK22" s="119" t="s">
        <v>59</v>
      </c>
    </row>
    <row r="23" spans="1:38" ht="15.75" customHeight="1">
      <c r="A23" s="62">
        <v>19</v>
      </c>
      <c r="B23" s="119" t="s">
        <v>61</v>
      </c>
      <c r="C23" s="124">
        <f>C21-C22</f>
        <v>-185283.77687655913</v>
      </c>
      <c r="D23" s="124">
        <f>'2023年'!G26</f>
        <v>2062067.9654924734</v>
      </c>
      <c r="E23" s="124">
        <f>'2024年'!G26</f>
        <v>2062067.9654924734</v>
      </c>
      <c r="F23" s="124">
        <f>'2025年'!I26</f>
        <v>1904971.7342580648</v>
      </c>
      <c r="G23" s="124">
        <f>'2026年'!I26</f>
        <v>1904971.7342580648</v>
      </c>
      <c r="H23" s="124">
        <f>H21-H22</f>
        <v>8284580.6516248165</v>
      </c>
      <c r="I23" s="69"/>
      <c r="AJ23" s="119" t="s">
        <v>62</v>
      </c>
      <c r="AK23" s="119" t="s">
        <v>61</v>
      </c>
    </row>
    <row r="24" spans="1:38" ht="15.75" customHeight="1">
      <c r="A24" s="62">
        <v>20</v>
      </c>
      <c r="B24" s="119" t="s">
        <v>63</v>
      </c>
      <c r="C24" s="125">
        <f>(C23/C4)*100%</f>
        <v>-1.4252598221273776</v>
      </c>
      <c r="D24" s="125">
        <f>'2023年'!G27</f>
        <v>0.15862061273019024</v>
      </c>
      <c r="E24" s="125">
        <f>'2024年'!G27</f>
        <v>0.15862061273019024</v>
      </c>
      <c r="F24" s="125">
        <f>'2025年'!I27</f>
        <v>0.14653628725062035</v>
      </c>
      <c r="G24" s="125">
        <f>'2026年'!I27</f>
        <v>0.14653628725062035</v>
      </c>
      <c r="H24" s="125">
        <f>(H23/H4)*100%</f>
        <v>0.15892155479809736</v>
      </c>
      <c r="I24" s="69"/>
      <c r="AJ24" s="138" t="s">
        <v>64</v>
      </c>
      <c r="AK24" s="138" t="s">
        <v>65</v>
      </c>
    </row>
    <row r="25" spans="1:38" s="109" customFormat="1" ht="15.75" customHeight="1">
      <c r="C25" s="126"/>
      <c r="D25" s="126"/>
      <c r="E25" s="126"/>
      <c r="F25" s="126"/>
      <c r="G25" s="126"/>
      <c r="H25" s="126"/>
      <c r="I25" s="135"/>
    </row>
    <row r="26" spans="1:38" s="109" customFormat="1" ht="15.75" hidden="1" customHeight="1">
      <c r="A26" s="109" t="s">
        <v>66</v>
      </c>
      <c r="C26" s="127"/>
      <c r="D26" s="127"/>
      <c r="E26" s="127"/>
      <c r="F26" s="127"/>
      <c r="G26" s="127"/>
      <c r="H26" s="127"/>
      <c r="I26" s="135"/>
      <c r="AJ26" s="109" t="s">
        <v>66</v>
      </c>
    </row>
    <row r="27" spans="1:38" ht="15.75" hidden="1" customHeight="1">
      <c r="A27" s="119" t="s">
        <v>18</v>
      </c>
      <c r="B27" s="128" t="s">
        <v>1</v>
      </c>
      <c r="C27" s="112" t="s">
        <v>67</v>
      </c>
      <c r="D27" s="112" t="s">
        <v>19</v>
      </c>
      <c r="E27" s="112" t="s">
        <v>68</v>
      </c>
      <c r="F27" s="112" t="s">
        <v>69</v>
      </c>
      <c r="G27" s="112" t="s">
        <v>70</v>
      </c>
      <c r="H27" s="51" t="s">
        <v>20</v>
      </c>
      <c r="AL27" s="110" t="s">
        <v>21</v>
      </c>
    </row>
    <row r="28" spans="1:38" s="48" customFormat="1" ht="15.75" hidden="1" customHeight="1">
      <c r="A28" s="52" t="s">
        <v>71</v>
      </c>
      <c r="B28" s="55" t="s">
        <v>72</v>
      </c>
      <c r="C28" s="59"/>
      <c r="D28" s="59"/>
      <c r="E28" s="59"/>
      <c r="F28" s="59"/>
      <c r="G28" s="59"/>
      <c r="H28" s="59"/>
      <c r="I28" s="69"/>
      <c r="AJ28" s="52" t="s">
        <v>73</v>
      </c>
      <c r="AK28" s="55" t="s">
        <v>72</v>
      </c>
    </row>
    <row r="29" spans="1:38" s="48" customFormat="1" ht="15.75" hidden="1" customHeight="1">
      <c r="A29" s="52" t="s">
        <v>24</v>
      </c>
      <c r="B29" s="52" t="s">
        <v>74</v>
      </c>
      <c r="C29" s="54">
        <f>+C6/C3</f>
        <v>2600.0000000000005</v>
      </c>
      <c r="D29" s="54">
        <f t="shared" ref="D29:G29" si="3">+D6/D3</f>
        <v>2600.0000000000005</v>
      </c>
      <c r="E29" s="54">
        <f t="shared" si="3"/>
        <v>2600.0000000000005</v>
      </c>
      <c r="F29" s="54">
        <f t="shared" si="3"/>
        <v>2600.0000000000005</v>
      </c>
      <c r="G29" s="54">
        <f t="shared" si="3"/>
        <v>2600.0000000000005</v>
      </c>
      <c r="H29" s="54">
        <f>+H6/H3</f>
        <v>2600.0000000000005</v>
      </c>
      <c r="I29" s="69"/>
      <c r="AJ29" s="52" t="s">
        <v>24</v>
      </c>
      <c r="AK29" s="52" t="s">
        <v>74</v>
      </c>
    </row>
    <row r="30" spans="1:38" s="48" customFormat="1" ht="15.75" hidden="1" customHeight="1">
      <c r="A30" s="52" t="s">
        <v>26</v>
      </c>
      <c r="B30" s="52" t="s">
        <v>75</v>
      </c>
      <c r="C30" s="54">
        <f>+C7/C3</f>
        <v>1465.9059999999999</v>
      </c>
      <c r="D30" s="54">
        <f t="shared" ref="D30:G30" si="4">+D7/D3</f>
        <v>1465.9059999999999</v>
      </c>
      <c r="E30" s="54">
        <f t="shared" si="4"/>
        <v>1465.9059999999999</v>
      </c>
      <c r="F30" s="54">
        <f t="shared" si="4"/>
        <v>1465.9059999999999</v>
      </c>
      <c r="G30" s="54">
        <f t="shared" si="4"/>
        <v>1465.9059999999999</v>
      </c>
      <c r="H30" s="54">
        <f>+H7/H3</f>
        <v>1465.9059999999999</v>
      </c>
      <c r="I30" s="69"/>
      <c r="AJ30" s="52" t="s">
        <v>26</v>
      </c>
      <c r="AK30" s="52" t="s">
        <v>75</v>
      </c>
    </row>
    <row r="31" spans="1:38" s="48" customFormat="1" ht="15.75" hidden="1" customHeight="1">
      <c r="A31" s="52" t="s">
        <v>76</v>
      </c>
      <c r="B31" s="52" t="s">
        <v>77</v>
      </c>
      <c r="C31" s="59">
        <f t="shared" ref="C31:H31" si="5">C29-C30</f>
        <v>1134.0940000000005</v>
      </c>
      <c r="D31" s="59">
        <f t="shared" si="5"/>
        <v>1134.0940000000005</v>
      </c>
      <c r="E31" s="59">
        <f t="shared" si="5"/>
        <v>1134.0940000000005</v>
      </c>
      <c r="F31" s="59">
        <f t="shared" si="5"/>
        <v>1134.0940000000005</v>
      </c>
      <c r="G31" s="59">
        <f t="shared" si="5"/>
        <v>1134.0940000000005</v>
      </c>
      <c r="H31" s="59">
        <f t="shared" si="5"/>
        <v>1134.0940000000005</v>
      </c>
      <c r="I31" s="69"/>
      <c r="AJ31" s="52" t="s">
        <v>76</v>
      </c>
      <c r="AK31" s="52" t="s">
        <v>77</v>
      </c>
    </row>
    <row r="32" spans="1:38" s="48" customFormat="1" ht="15.75" hidden="1" customHeight="1">
      <c r="A32" s="52">
        <v>3.1</v>
      </c>
      <c r="B32" s="52" t="s">
        <v>78</v>
      </c>
      <c r="C32" s="129">
        <f t="shared" ref="C32:H32" si="6">C31/C29</f>
        <v>0.43619000000000013</v>
      </c>
      <c r="D32" s="129">
        <f t="shared" si="6"/>
        <v>0.43619000000000013</v>
      </c>
      <c r="E32" s="129">
        <f t="shared" si="6"/>
        <v>0.43619000000000013</v>
      </c>
      <c r="F32" s="129">
        <f t="shared" si="6"/>
        <v>0.43619000000000013</v>
      </c>
      <c r="G32" s="129">
        <f t="shared" si="6"/>
        <v>0.43619000000000013</v>
      </c>
      <c r="H32" s="129">
        <f t="shared" si="6"/>
        <v>0.43619000000000013</v>
      </c>
      <c r="I32" s="69"/>
      <c r="AJ32" s="52"/>
      <c r="AK32" s="52"/>
    </row>
    <row r="33" spans="1:37" s="48" customFormat="1" ht="15.75" hidden="1" customHeight="1">
      <c r="A33" s="52" t="s">
        <v>73</v>
      </c>
      <c r="B33" s="55" t="s">
        <v>10</v>
      </c>
      <c r="C33" s="59"/>
      <c r="D33" s="59"/>
      <c r="E33" s="59"/>
      <c r="F33" s="59"/>
      <c r="G33" s="59"/>
      <c r="H33" s="59"/>
      <c r="I33" s="69"/>
      <c r="AJ33" s="52" t="s">
        <v>79</v>
      </c>
      <c r="AK33" s="55" t="s">
        <v>10</v>
      </c>
    </row>
    <row r="34" spans="1:37" s="48" customFormat="1" ht="15.75" hidden="1" customHeight="1">
      <c r="A34" s="52" t="s">
        <v>24</v>
      </c>
      <c r="B34" s="60" t="s">
        <v>80</v>
      </c>
      <c r="C34" s="54">
        <f>+C8/C3</f>
        <v>146.17196456838394</v>
      </c>
      <c r="D34" s="54">
        <f t="shared" ref="D34:G34" si="7">+D8/D3</f>
        <v>146.17196456838394</v>
      </c>
      <c r="E34" s="54">
        <f t="shared" si="7"/>
        <v>146.17196456838394</v>
      </c>
      <c r="F34" s="54">
        <f t="shared" si="7"/>
        <v>146.17196456838394</v>
      </c>
      <c r="G34" s="54">
        <f t="shared" si="7"/>
        <v>146.17196456838394</v>
      </c>
      <c r="H34" s="54">
        <f>+H8/H3</f>
        <v>146.17196456838394</v>
      </c>
      <c r="I34" s="69"/>
      <c r="AJ34" s="52" t="s">
        <v>76</v>
      </c>
      <c r="AK34" s="52" t="s">
        <v>80</v>
      </c>
    </row>
    <row r="35" spans="1:37" s="48" customFormat="1" ht="15.75" hidden="1" customHeight="1">
      <c r="A35" s="52" t="s">
        <v>26</v>
      </c>
      <c r="B35" s="60" t="s">
        <v>81</v>
      </c>
      <c r="C35" s="54">
        <f>+C9/C3</f>
        <v>39.197572962799178</v>
      </c>
      <c r="D35" s="54">
        <f t="shared" ref="D35:G35" si="8">+D9/D3</f>
        <v>39.197572962799178</v>
      </c>
      <c r="E35" s="54">
        <f t="shared" si="8"/>
        <v>39.197572962799178</v>
      </c>
      <c r="F35" s="54">
        <f t="shared" si="8"/>
        <v>39.197572962799178</v>
      </c>
      <c r="G35" s="54">
        <f t="shared" si="8"/>
        <v>39.197572962799178</v>
      </c>
      <c r="H35" s="54">
        <f>+H9/H3</f>
        <v>39.197572962799178</v>
      </c>
      <c r="I35" s="69"/>
      <c r="AJ35" s="52" t="s">
        <v>29</v>
      </c>
      <c r="AK35" s="52" t="s">
        <v>81</v>
      </c>
    </row>
    <row r="36" spans="1:37" s="48" customFormat="1" ht="15.75" hidden="1" customHeight="1">
      <c r="A36" s="52" t="s">
        <v>76</v>
      </c>
      <c r="B36" s="60" t="s">
        <v>82</v>
      </c>
      <c r="C36" s="54">
        <f>+C10/C3</f>
        <v>104</v>
      </c>
      <c r="D36" s="54">
        <f t="shared" ref="D36:G36" si="9">+D10/D3</f>
        <v>104</v>
      </c>
      <c r="E36" s="54">
        <f t="shared" si="9"/>
        <v>104</v>
      </c>
      <c r="F36" s="54">
        <f t="shared" si="9"/>
        <v>104</v>
      </c>
      <c r="G36" s="54">
        <f t="shared" si="9"/>
        <v>104</v>
      </c>
      <c r="H36" s="54">
        <f>+H10/H3</f>
        <v>104</v>
      </c>
      <c r="I36" s="69"/>
      <c r="AJ36" s="52" t="s">
        <v>35</v>
      </c>
      <c r="AK36" s="52" t="s">
        <v>82</v>
      </c>
    </row>
    <row r="37" spans="1:37" s="48" customFormat="1" ht="15.75" hidden="1" customHeight="1">
      <c r="A37" s="52" t="s">
        <v>83</v>
      </c>
      <c r="B37" s="118" t="s">
        <v>84</v>
      </c>
      <c r="C37" s="54"/>
      <c r="D37" s="54"/>
      <c r="E37" s="54"/>
      <c r="F37" s="54"/>
      <c r="G37" s="54"/>
      <c r="H37" s="54"/>
      <c r="I37" s="69"/>
      <c r="AJ37" s="52" t="s">
        <v>83</v>
      </c>
      <c r="AK37" s="55" t="s">
        <v>84</v>
      </c>
    </row>
    <row r="38" spans="1:37" s="48" customFormat="1" hidden="1">
      <c r="A38" s="52" t="s">
        <v>24</v>
      </c>
      <c r="B38" s="60" t="s">
        <v>85</v>
      </c>
      <c r="C38" s="54">
        <f>+C12/C3</f>
        <v>844.72446246881736</v>
      </c>
      <c r="D38" s="54">
        <f t="shared" ref="D38:G38" si="10">+D12/D3</f>
        <v>844.72446246881725</v>
      </c>
      <c r="E38" s="54">
        <f t="shared" si="10"/>
        <v>844.72446246881725</v>
      </c>
      <c r="F38" s="54">
        <f t="shared" si="10"/>
        <v>844.72446246881725</v>
      </c>
      <c r="G38" s="54">
        <f t="shared" si="10"/>
        <v>844.72446246881725</v>
      </c>
      <c r="H38" s="54">
        <f>+H12/H3</f>
        <v>844.72446246881714</v>
      </c>
      <c r="I38" s="69"/>
      <c r="AJ38" s="52" t="s">
        <v>24</v>
      </c>
      <c r="AK38" s="52" t="s">
        <v>86</v>
      </c>
    </row>
    <row r="39" spans="1:37" s="48" customFormat="1" ht="15.75" customHeight="1">
      <c r="A39" s="52" t="s">
        <v>26</v>
      </c>
      <c r="B39" s="60" t="s">
        <v>87</v>
      </c>
      <c r="C39" s="113">
        <f t="shared" ref="C39:G39" si="11">+C20/C38</f>
        <v>269.34226497364966</v>
      </c>
      <c r="D39" s="113">
        <f t="shared" si="11"/>
        <v>2128.1022154207594</v>
      </c>
      <c r="E39" s="113">
        <f t="shared" si="11"/>
        <v>2128.1022154207594</v>
      </c>
      <c r="F39" s="113">
        <f t="shared" si="11"/>
        <v>1993.1469666206713</v>
      </c>
      <c r="G39" s="113">
        <f t="shared" si="11"/>
        <v>1993.1469666206713</v>
      </c>
      <c r="H39" s="190">
        <f t="shared" ref="H39" si="12">+H20/H38</f>
        <v>8511.8406290565108</v>
      </c>
      <c r="I39" s="69"/>
      <c r="AJ39" s="52" t="s">
        <v>26</v>
      </c>
      <c r="AK39" s="52" t="s">
        <v>87</v>
      </c>
    </row>
    <row r="40" spans="1:37" s="48" customFormat="1" ht="15.75" hidden="1" customHeight="1">
      <c r="A40" s="52" t="s">
        <v>88</v>
      </c>
      <c r="B40" s="55" t="s">
        <v>89</v>
      </c>
      <c r="C40" s="59"/>
      <c r="D40" s="59"/>
      <c r="E40" s="59"/>
      <c r="F40" s="59"/>
      <c r="G40" s="59"/>
      <c r="H40" s="59"/>
      <c r="I40" s="69"/>
      <c r="AJ40" s="52" t="s">
        <v>88</v>
      </c>
      <c r="AK40" s="55" t="s">
        <v>89</v>
      </c>
    </row>
    <row r="41" spans="1:37" s="48" customFormat="1" ht="15.75" hidden="1" customHeight="1">
      <c r="A41" s="52" t="s">
        <v>24</v>
      </c>
      <c r="B41" s="52" t="s">
        <v>90</v>
      </c>
      <c r="C41" s="59">
        <f>+C14/C3</f>
        <v>2070.1999999999998</v>
      </c>
      <c r="D41" s="59">
        <f t="shared" ref="D41:G41" si="13">+D14/D3</f>
        <v>136.53200000000001</v>
      </c>
      <c r="E41" s="59">
        <f t="shared" si="13"/>
        <v>136.53200000000001</v>
      </c>
      <c r="F41" s="59">
        <f t="shared" si="13"/>
        <v>136.53200000000001</v>
      </c>
      <c r="G41" s="59">
        <f t="shared" si="13"/>
        <v>136.53200000000001</v>
      </c>
      <c r="H41" s="59">
        <f>+H14/H3</f>
        <v>141.35411471321697</v>
      </c>
      <c r="I41" s="69"/>
      <c r="AJ41" s="52" t="s">
        <v>24</v>
      </c>
      <c r="AK41" s="52" t="s">
        <v>90</v>
      </c>
    </row>
    <row r="42" spans="1:37" s="48" customFormat="1" ht="15.75" hidden="1" customHeight="1">
      <c r="A42" s="52" t="s">
        <v>26</v>
      </c>
      <c r="B42" s="52" t="s">
        <v>91</v>
      </c>
      <c r="C42" s="59">
        <f>+C16/C3</f>
        <v>18.200000000000003</v>
      </c>
      <c r="D42" s="59">
        <f t="shared" ref="D42:G42" si="14">+D16/D3</f>
        <v>18.200000000000003</v>
      </c>
      <c r="E42" s="59">
        <f t="shared" si="14"/>
        <v>18.200000000000003</v>
      </c>
      <c r="F42" s="59">
        <f t="shared" si="14"/>
        <v>18.200000000000003</v>
      </c>
      <c r="G42" s="59">
        <f t="shared" si="14"/>
        <v>18.200000000000003</v>
      </c>
      <c r="H42" s="59">
        <f>+H16/H3</f>
        <v>18.200000000000003</v>
      </c>
      <c r="I42" s="69"/>
      <c r="AJ42" s="52" t="s">
        <v>26</v>
      </c>
      <c r="AK42" s="52" t="s">
        <v>91</v>
      </c>
    </row>
    <row r="43" spans="1:37" s="48" customFormat="1" ht="15.75" hidden="1" customHeight="1">
      <c r="A43" s="52" t="s">
        <v>76</v>
      </c>
      <c r="B43" s="52" t="s">
        <v>92</v>
      </c>
      <c r="C43" s="59">
        <f>+C17/C3</f>
        <v>78.000000000000014</v>
      </c>
      <c r="D43" s="59">
        <f t="shared" ref="D43:G43" si="15">+D17/D3</f>
        <v>78.000000000000014</v>
      </c>
      <c r="E43" s="59">
        <f t="shared" si="15"/>
        <v>78.000000000000014</v>
      </c>
      <c r="F43" s="59">
        <f t="shared" si="15"/>
        <v>78.000000000000014</v>
      </c>
      <c r="G43" s="59">
        <f t="shared" si="15"/>
        <v>78.000000000000014</v>
      </c>
      <c r="H43" s="59">
        <f>+H17/H3</f>
        <v>78.000000000000014</v>
      </c>
      <c r="I43" s="69"/>
      <c r="AJ43" s="52" t="s">
        <v>76</v>
      </c>
      <c r="AK43" s="52" t="s">
        <v>92</v>
      </c>
    </row>
    <row r="44" spans="1:37" s="48" customFormat="1" ht="15.75" hidden="1" customHeight="1">
      <c r="A44" s="52" t="s">
        <v>29</v>
      </c>
      <c r="B44" s="52" t="s">
        <v>93</v>
      </c>
      <c r="C44" s="59"/>
      <c r="D44" s="59"/>
      <c r="E44" s="59"/>
      <c r="F44" s="59"/>
      <c r="G44" s="59"/>
      <c r="H44" s="59"/>
      <c r="I44" s="69"/>
      <c r="AJ44" s="52" t="s">
        <v>29</v>
      </c>
      <c r="AK44" s="52" t="s">
        <v>94</v>
      </c>
    </row>
    <row r="45" spans="1:37" s="48" customFormat="1" ht="15.75" hidden="1" customHeight="1">
      <c r="A45" s="52" t="s">
        <v>32</v>
      </c>
      <c r="B45" s="52" t="s">
        <v>95</v>
      </c>
      <c r="C45" s="59"/>
      <c r="D45" s="59"/>
      <c r="E45" s="59"/>
      <c r="F45" s="59"/>
      <c r="G45" s="59"/>
      <c r="H45" s="59"/>
      <c r="I45" s="69"/>
      <c r="AJ45" s="52" t="s">
        <v>32</v>
      </c>
      <c r="AK45" s="52" t="s">
        <v>95</v>
      </c>
    </row>
    <row r="46" spans="1:37" s="48" customFormat="1" ht="15.75" hidden="1" customHeight="1">
      <c r="A46" s="52" t="s">
        <v>96</v>
      </c>
      <c r="B46" s="55" t="s">
        <v>97</v>
      </c>
      <c r="C46" s="59"/>
      <c r="D46" s="59"/>
      <c r="E46" s="59"/>
      <c r="F46" s="59"/>
      <c r="G46" s="59"/>
      <c r="H46" s="59"/>
      <c r="I46" s="69"/>
      <c r="AJ46" s="52" t="s">
        <v>96</v>
      </c>
      <c r="AK46" s="55" t="s">
        <v>97</v>
      </c>
    </row>
    <row r="47" spans="1:37" s="48" customFormat="1" ht="15.75" hidden="1" customHeight="1">
      <c r="A47" s="52" t="s">
        <v>24</v>
      </c>
      <c r="B47" s="52" t="s">
        <v>98</v>
      </c>
      <c r="C47" s="130">
        <f>+(C10+C16)/C6</f>
        <v>4.6999999999999986E-2</v>
      </c>
      <c r="D47" s="130">
        <f t="shared" ref="D47:G47" si="16">+(D10+D16)/D6</f>
        <v>4.6999999999999993E-2</v>
      </c>
      <c r="E47" s="130">
        <f t="shared" si="16"/>
        <v>4.6999999999999993E-2</v>
      </c>
      <c r="F47" s="130">
        <f t="shared" si="16"/>
        <v>4.6999999999999993E-2</v>
      </c>
      <c r="G47" s="130">
        <f t="shared" si="16"/>
        <v>4.6999999999999993E-2</v>
      </c>
      <c r="H47" s="130">
        <f>+(H10+H16)/H6</f>
        <v>4.6999999999999993E-2</v>
      </c>
      <c r="I47" s="69"/>
      <c r="AJ47" s="52" t="s">
        <v>24</v>
      </c>
      <c r="AK47" s="52" t="s">
        <v>98</v>
      </c>
    </row>
    <row r="48" spans="1:37" s="48" customFormat="1" ht="15.75" hidden="1" customHeight="1">
      <c r="A48" s="52" t="s">
        <v>26</v>
      </c>
      <c r="B48" s="52" t="s">
        <v>99</v>
      </c>
      <c r="C48" s="130">
        <f>+(C8+C9+C14)/C6</f>
        <v>0.86752674520430106</v>
      </c>
      <c r="D48" s="130">
        <f t="shared" ref="D48:G48" si="17">+(D8+D9+D14)/D6</f>
        <v>0.12380828366583965</v>
      </c>
      <c r="E48" s="130">
        <f t="shared" si="17"/>
        <v>0.12380828366583965</v>
      </c>
      <c r="F48" s="130">
        <f t="shared" si="17"/>
        <v>0.12380828366583965</v>
      </c>
      <c r="G48" s="130">
        <f t="shared" si="17"/>
        <v>0.12380828366583965</v>
      </c>
      <c r="H48" s="130">
        <f>+(H8+H9+H14)/H6</f>
        <v>0.12566294317092311</v>
      </c>
      <c r="I48" s="69"/>
      <c r="AJ48" s="52" t="s">
        <v>26</v>
      </c>
      <c r="AK48" s="52" t="s">
        <v>99</v>
      </c>
    </row>
    <row r="49" spans="1:37" s="48" customFormat="1" ht="15.75" hidden="1" customHeight="1">
      <c r="A49" s="52" t="s">
        <v>76</v>
      </c>
      <c r="B49" s="52" t="s">
        <v>100</v>
      </c>
      <c r="C49" s="130">
        <f>+C17/C6</f>
        <v>0.03</v>
      </c>
      <c r="D49" s="130">
        <f t="shared" ref="D49:G49" si="18">+D17/D6</f>
        <v>0.03</v>
      </c>
      <c r="E49" s="130">
        <f t="shared" si="18"/>
        <v>0.03</v>
      </c>
      <c r="F49" s="130">
        <f t="shared" si="18"/>
        <v>0.03</v>
      </c>
      <c r="G49" s="130">
        <f t="shared" si="18"/>
        <v>0.03</v>
      </c>
      <c r="H49" s="130">
        <f>+H17/H6</f>
        <v>0.03</v>
      </c>
      <c r="I49" s="69"/>
      <c r="AJ49" s="52" t="s">
        <v>76</v>
      </c>
      <c r="AK49" s="52" t="s">
        <v>100</v>
      </c>
    </row>
    <row r="50" spans="1:37" s="48" customFormat="1" ht="15.75" hidden="1" customHeight="1">
      <c r="A50" s="52" t="s">
        <v>29</v>
      </c>
      <c r="B50" s="52" t="s">
        <v>101</v>
      </c>
      <c r="C50" s="130">
        <f>+C18/C6</f>
        <v>0.87692307692307669</v>
      </c>
      <c r="D50" s="130">
        <f t="shared" ref="D50:G50" si="19">+D18/D6</f>
        <v>8.7692307692307687E-3</v>
      </c>
      <c r="E50" s="130">
        <f t="shared" si="19"/>
        <v>8.7692307692307687E-3</v>
      </c>
      <c r="F50" s="130">
        <f t="shared" si="19"/>
        <v>0</v>
      </c>
      <c r="G50" s="130">
        <f t="shared" si="19"/>
        <v>0</v>
      </c>
      <c r="H50" s="130">
        <f>+H18/H6</f>
        <v>6.5605217724918462E-3</v>
      </c>
      <c r="I50" s="69"/>
      <c r="AJ50" s="52" t="s">
        <v>29</v>
      </c>
      <c r="AK50" s="52" t="s">
        <v>101</v>
      </c>
    </row>
    <row r="51" spans="1:37" s="48" customFormat="1" ht="15.75" hidden="1" customHeight="1">
      <c r="A51" s="52" t="s">
        <v>32</v>
      </c>
      <c r="B51" s="52" t="s">
        <v>102</v>
      </c>
      <c r="C51" s="130">
        <f>+C19/C6</f>
        <v>0.04</v>
      </c>
      <c r="D51" s="130">
        <f t="shared" ref="D51:G51" si="20">+D19/D6</f>
        <v>0.04</v>
      </c>
      <c r="E51" s="130">
        <f t="shared" si="20"/>
        <v>0.04</v>
      </c>
      <c r="F51" s="130">
        <f t="shared" si="20"/>
        <v>0.04</v>
      </c>
      <c r="G51" s="130">
        <f t="shared" si="20"/>
        <v>0.04</v>
      </c>
      <c r="H51" s="130">
        <f>+H19/H6</f>
        <v>0.04</v>
      </c>
      <c r="I51" s="69"/>
      <c r="AJ51" s="52" t="s">
        <v>32</v>
      </c>
      <c r="AK51" s="52" t="s">
        <v>102</v>
      </c>
    </row>
    <row r="52" spans="1:37" s="48" customFormat="1" ht="15.75" hidden="1" customHeight="1">
      <c r="A52" s="52" t="s">
        <v>35</v>
      </c>
      <c r="B52" s="52" t="s">
        <v>103</v>
      </c>
      <c r="C52" s="130">
        <f>+C23/C6</f>
        <v>-1.4252598221273776</v>
      </c>
      <c r="D52" s="130">
        <f t="shared" ref="D52:G52" si="21">+D23/D6</f>
        <v>0.15862061273019024</v>
      </c>
      <c r="E52" s="130">
        <f t="shared" si="21"/>
        <v>0.15862061273019024</v>
      </c>
      <c r="F52" s="130">
        <f t="shared" si="21"/>
        <v>0.14653628725062035</v>
      </c>
      <c r="G52" s="130">
        <f t="shared" si="21"/>
        <v>0.14653628725062035</v>
      </c>
      <c r="H52" s="130">
        <f>+H23/H6</f>
        <v>0.15892155479809736</v>
      </c>
      <c r="I52" s="69"/>
      <c r="AJ52" s="52" t="s">
        <v>35</v>
      </c>
      <c r="AK52" s="52" t="s">
        <v>104</v>
      </c>
    </row>
    <row r="53" spans="1:37" s="48" customFormat="1" ht="15.75" hidden="1" customHeight="1">
      <c r="A53" s="52" t="s">
        <v>105</v>
      </c>
      <c r="B53" s="55" t="s">
        <v>106</v>
      </c>
      <c r="C53" s="59">
        <f>+C21/C3</f>
        <v>-3705.6755375311827</v>
      </c>
      <c r="D53" s="59">
        <f t="shared" ref="D53:G53" si="22">+D21/D3</f>
        <v>485.19246246881727</v>
      </c>
      <c r="E53" s="59">
        <f t="shared" si="22"/>
        <v>485.19246246881727</v>
      </c>
      <c r="F53" s="59">
        <f t="shared" si="22"/>
        <v>507.99246246881728</v>
      </c>
      <c r="G53" s="59">
        <f t="shared" si="22"/>
        <v>507.99246246881728</v>
      </c>
      <c r="H53" s="59">
        <f>+H21/H3</f>
        <v>486.11299114712142</v>
      </c>
      <c r="I53" s="69"/>
      <c r="AJ53" s="52" t="s">
        <v>105</v>
      </c>
      <c r="AK53" s="55" t="s">
        <v>106</v>
      </c>
    </row>
    <row r="54" spans="1:37" s="48" customFormat="1" ht="15.75" hidden="1" customHeight="1">
      <c r="A54" s="52" t="s">
        <v>107</v>
      </c>
      <c r="B54" s="131" t="s">
        <v>108</v>
      </c>
      <c r="C54" s="59"/>
      <c r="D54" s="59"/>
      <c r="E54" s="59"/>
      <c r="F54" s="59"/>
      <c r="G54" s="59"/>
      <c r="H54" s="59"/>
      <c r="I54" s="69"/>
      <c r="AJ54" s="52"/>
      <c r="AK54" s="55"/>
    </row>
    <row r="55" spans="1:37" s="48" customFormat="1" ht="15.75" hidden="1" customHeight="1">
      <c r="A55" s="52" t="s">
        <v>24</v>
      </c>
      <c r="B55" s="52" t="s">
        <v>109</v>
      </c>
      <c r="C55" s="59">
        <f>C56+C57</f>
        <v>856000</v>
      </c>
      <c r="D55" s="59"/>
      <c r="E55" s="59"/>
      <c r="F55" s="59"/>
      <c r="G55" s="59"/>
      <c r="H55" s="59"/>
      <c r="I55" s="69"/>
    </row>
    <row r="56" spans="1:37" s="48" customFormat="1" ht="15.75" hidden="1" customHeight="1">
      <c r="A56" s="52">
        <v>1.1000000000000001</v>
      </c>
      <c r="B56" s="132" t="s">
        <v>110</v>
      </c>
      <c r="C56" s="59">
        <f>项目投资!B27</f>
        <v>342000</v>
      </c>
      <c r="D56" s="59"/>
      <c r="E56" s="59"/>
      <c r="F56" s="59"/>
      <c r="G56" s="59"/>
      <c r="H56" s="59"/>
      <c r="I56" s="69"/>
    </row>
    <row r="57" spans="1:37" s="48" customFormat="1" ht="15.75" hidden="1" customHeight="1">
      <c r="A57" s="52">
        <v>1.2</v>
      </c>
      <c r="B57" s="52" t="s">
        <v>111</v>
      </c>
      <c r="C57" s="59">
        <f>项目投资!B26</f>
        <v>514000</v>
      </c>
      <c r="D57" s="59"/>
      <c r="E57" s="59"/>
      <c r="F57" s="59"/>
      <c r="G57" s="59"/>
      <c r="H57" s="59"/>
      <c r="I57" s="69"/>
    </row>
    <row r="58" spans="1:37" ht="15.75" hidden="1" customHeight="1">
      <c r="A58" s="119" t="s">
        <v>26</v>
      </c>
      <c r="B58" s="119" t="s">
        <v>112</v>
      </c>
      <c r="C58" s="133">
        <f t="shared" ref="C58:G58" si="23">C59+C60</f>
        <v>-87623.776876559132</v>
      </c>
      <c r="D58" s="133">
        <f t="shared" si="23"/>
        <v>2159727.9654924734</v>
      </c>
      <c r="E58" s="133">
        <f t="shared" si="23"/>
        <v>2159727.9654924734</v>
      </c>
      <c r="F58" s="133">
        <f t="shared" si="23"/>
        <v>2002631.7342580648</v>
      </c>
      <c r="G58" s="133">
        <f t="shared" si="23"/>
        <v>2002631.7342580648</v>
      </c>
      <c r="H58" s="133">
        <f t="shared" ref="H58" si="24">H59+H60</f>
        <v>8772880.6516248174</v>
      </c>
      <c r="I58" s="69"/>
    </row>
    <row r="59" spans="1:37" ht="15.75" hidden="1" customHeight="1">
      <c r="A59" s="119" t="s">
        <v>76</v>
      </c>
      <c r="B59" s="119" t="s">
        <v>113</v>
      </c>
      <c r="C59" s="133">
        <f t="shared" ref="C59:G59" si="25">C23</f>
        <v>-185283.77687655913</v>
      </c>
      <c r="D59" s="133">
        <f t="shared" si="25"/>
        <v>2062067.9654924734</v>
      </c>
      <c r="E59" s="133">
        <f t="shared" si="25"/>
        <v>2062067.9654924734</v>
      </c>
      <c r="F59" s="133">
        <f t="shared" si="25"/>
        <v>1904971.7342580648</v>
      </c>
      <c r="G59" s="133">
        <f t="shared" si="25"/>
        <v>1904971.7342580648</v>
      </c>
      <c r="H59" s="133">
        <f t="shared" ref="H59" si="26">H23</f>
        <v>8284580.6516248165</v>
      </c>
      <c r="I59" s="69"/>
      <c r="J59" s="110">
        <f>5-1+(32434.65/1247952.39)</f>
        <v>4.0259902943893557</v>
      </c>
    </row>
    <row r="60" spans="1:37" ht="15.75" hidden="1" customHeight="1">
      <c r="A60" s="119" t="s">
        <v>29</v>
      </c>
      <c r="B60" s="119" t="s">
        <v>114</v>
      </c>
      <c r="C60" s="133">
        <f>'2022年'!G18</f>
        <v>97660</v>
      </c>
      <c r="D60" s="133">
        <f>'2023年'!G18</f>
        <v>97660</v>
      </c>
      <c r="E60" s="133">
        <f>'2024年'!G18</f>
        <v>97660</v>
      </c>
      <c r="F60" s="133">
        <f>'2025年'!I18</f>
        <v>97660</v>
      </c>
      <c r="G60" s="133">
        <f>'2026年'!I18</f>
        <v>97660</v>
      </c>
      <c r="H60" s="133">
        <f>项目投资!I26</f>
        <v>488300</v>
      </c>
      <c r="I60" s="69"/>
    </row>
    <row r="61" spans="1:37" ht="15.75" hidden="1" customHeight="1">
      <c r="A61" s="119" t="s">
        <v>32</v>
      </c>
      <c r="B61" s="119" t="s">
        <v>115</v>
      </c>
      <c r="C61" s="134"/>
      <c r="D61" s="134"/>
      <c r="E61" s="134"/>
      <c r="F61" s="134"/>
      <c r="G61" s="134"/>
      <c r="H61" s="133"/>
      <c r="I61" s="69"/>
    </row>
    <row r="63" spans="1:37">
      <c r="B63"/>
    </row>
    <row r="68" spans="5:8">
      <c r="E68" s="251"/>
      <c r="F68" s="251"/>
      <c r="G68" s="251"/>
      <c r="H68" s="251"/>
    </row>
    <row r="69" spans="5:8">
      <c r="E69" s="251"/>
      <c r="F69" s="251"/>
      <c r="G69" s="251"/>
      <c r="H69" s="251"/>
    </row>
    <row r="70" spans="5:8">
      <c r="E70" s="251"/>
      <c r="F70" s="251"/>
      <c r="G70" s="251"/>
      <c r="H70" s="251"/>
    </row>
    <row r="71" spans="5:8">
      <c r="E71" s="251"/>
      <c r="F71" s="251"/>
      <c r="G71" s="251"/>
      <c r="H71" s="251"/>
    </row>
    <row r="72" spans="5:8">
      <c r="E72" s="251"/>
      <c r="F72" s="251"/>
      <c r="G72" s="251"/>
      <c r="H72" s="251"/>
    </row>
    <row r="73" spans="5:8">
      <c r="E73" s="251"/>
      <c r="F73" s="251"/>
      <c r="G73" s="251"/>
      <c r="H73" s="251"/>
    </row>
    <row r="74" spans="5:8">
      <c r="E74" s="251"/>
      <c r="F74" s="251"/>
      <c r="G74" s="251"/>
      <c r="H74" s="251"/>
    </row>
    <row r="104" spans="5:8" ht="20.100000000000001" customHeight="1">
      <c r="E104" s="250" t="s">
        <v>268</v>
      </c>
      <c r="F104" s="250"/>
      <c r="G104" s="250"/>
      <c r="H104" s="250"/>
    </row>
    <row r="105" spans="5:8" ht="20.100000000000001" customHeight="1">
      <c r="E105" s="250"/>
      <c r="F105" s="250"/>
      <c r="G105" s="250"/>
      <c r="H105" s="250"/>
    </row>
    <row r="106" spans="5:8" ht="20.100000000000001" customHeight="1">
      <c r="E106" s="250"/>
      <c r="F106" s="250"/>
      <c r="G106" s="250"/>
      <c r="H106" s="250"/>
    </row>
    <row r="107" spans="5:8" ht="20.100000000000001" customHeight="1">
      <c r="E107" s="250"/>
      <c r="F107" s="250"/>
      <c r="G107" s="250"/>
      <c r="H107" s="250"/>
    </row>
    <row r="108" spans="5:8" ht="20.100000000000001" customHeight="1">
      <c r="E108" s="250"/>
      <c r="F108" s="250"/>
      <c r="G108" s="250"/>
      <c r="H108" s="250"/>
    </row>
    <row r="109" spans="5:8" ht="20.100000000000001" customHeight="1">
      <c r="E109" s="250"/>
      <c r="F109" s="250"/>
      <c r="G109" s="250"/>
      <c r="H109" s="250"/>
    </row>
  </sheetData>
  <mergeCells count="4">
    <mergeCell ref="A1:H1"/>
    <mergeCell ref="A2:A3"/>
    <mergeCell ref="E104:H109"/>
    <mergeCell ref="E68:H74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116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117</v>
      </c>
      <c r="B2" s="77"/>
    </row>
    <row r="3" spans="1:13" ht="16.899999999999999" customHeight="1">
      <c r="A3" s="78" t="s">
        <v>18</v>
      </c>
      <c r="B3" s="78" t="s">
        <v>118</v>
      </c>
      <c r="C3" s="252" t="s">
        <v>119</v>
      </c>
      <c r="D3" s="252"/>
      <c r="E3" s="252"/>
      <c r="F3" s="80"/>
      <c r="G3" s="81"/>
      <c r="H3" s="82"/>
      <c r="I3" s="82"/>
      <c r="J3" s="82" t="s">
        <v>120</v>
      </c>
      <c r="K3" s="82"/>
      <c r="L3" s="82"/>
      <c r="M3" s="103"/>
    </row>
    <row r="4" spans="1:13" ht="16.149999999999999" customHeight="1">
      <c r="A4" s="83"/>
      <c r="B4" s="83" t="s">
        <v>121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122</v>
      </c>
    </row>
    <row r="5" spans="1:13" ht="15.6" customHeight="1">
      <c r="A5" s="85">
        <v>1</v>
      </c>
      <c r="B5" s="86" t="s">
        <v>123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130000.00000000003</v>
      </c>
      <c r="G5" s="87">
        <f t="shared" si="1"/>
        <v>13000000.000000002</v>
      </c>
      <c r="H5" s="87">
        <f t="shared" si="1"/>
        <v>13000000.000000002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52130000.000000007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124</v>
      </c>
      <c r="C6" s="89"/>
      <c r="D6" s="89"/>
      <c r="E6" s="89" t="e">
        <f>损益表!#REF!</f>
        <v>#REF!</v>
      </c>
      <c r="F6" s="89">
        <f>损益表!C4</f>
        <v>130000.00000000003</v>
      </c>
      <c r="G6" s="89">
        <f>损益表!D4</f>
        <v>13000000.000000002</v>
      </c>
      <c r="H6" s="89">
        <f>损益表!E4</f>
        <v>13000000.000000002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损益表!H4</f>
        <v>52130000.000000007</v>
      </c>
      <c r="M6" s="91" t="e">
        <f t="shared" si="2"/>
        <v>#REF!</v>
      </c>
    </row>
    <row r="7" spans="1:13" ht="15.6" customHeight="1">
      <c r="A7" s="85">
        <v>1.2</v>
      </c>
      <c r="B7" s="88" t="s">
        <v>125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126</v>
      </c>
      <c r="C8" s="89" t="s">
        <v>127</v>
      </c>
      <c r="D8" s="89" t="s">
        <v>127</v>
      </c>
      <c r="E8" s="89" t="s">
        <v>127</v>
      </c>
      <c r="F8" s="89" t="s">
        <v>127</v>
      </c>
      <c r="G8" s="89" t="s">
        <v>127</v>
      </c>
      <c r="H8" s="89" t="s">
        <v>127</v>
      </c>
      <c r="I8" s="89" t="s">
        <v>127</v>
      </c>
      <c r="J8" s="89" t="s">
        <v>127</v>
      </c>
      <c r="K8" s="89" t="s">
        <v>127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128</v>
      </c>
      <c r="C9" s="89" t="s">
        <v>127</v>
      </c>
      <c r="D9" s="89" t="s">
        <v>127</v>
      </c>
      <c r="E9" s="89" t="s">
        <v>127</v>
      </c>
      <c r="F9" s="89" t="s">
        <v>127</v>
      </c>
      <c r="G9" s="89" t="s">
        <v>127</v>
      </c>
      <c r="H9" s="89" t="s">
        <v>127</v>
      </c>
      <c r="I9" s="89" t="s">
        <v>127</v>
      </c>
      <c r="J9" s="89" t="s">
        <v>127</v>
      </c>
      <c r="K9" s="89" t="s">
        <v>127</v>
      </c>
      <c r="L9" s="89" t="s">
        <v>127</v>
      </c>
      <c r="M9" s="91">
        <f t="shared" si="2"/>
        <v>0</v>
      </c>
    </row>
    <row r="10" spans="1:13" ht="15.6" customHeight="1">
      <c r="A10" s="90">
        <v>2</v>
      </c>
      <c r="B10" s="86" t="s">
        <v>129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130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131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132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133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59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135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130000.00000000003</v>
      </c>
      <c r="G17" s="87">
        <f t="shared" si="4"/>
        <v>13000000.000000002</v>
      </c>
      <c r="H17" s="87">
        <f t="shared" si="4"/>
        <v>13000000.000000002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52130000.000000007</v>
      </c>
      <c r="M17" s="91" t="e">
        <f t="shared" si="2"/>
        <v>#REF!</v>
      </c>
    </row>
    <row r="18" spans="1:18" ht="12">
      <c r="A18" s="92">
        <v>4</v>
      </c>
      <c r="B18" s="88" t="s">
        <v>136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127</v>
      </c>
    </row>
    <row r="19" spans="1:18" s="72" customFormat="1" ht="12">
      <c r="A19" s="92">
        <v>5</v>
      </c>
      <c r="B19" s="88" t="s">
        <v>137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130000.00000000003</v>
      </c>
      <c r="G19" s="89">
        <f t="shared" si="6"/>
        <v>13000000.000000002</v>
      </c>
      <c r="H19" s="89">
        <f t="shared" si="6"/>
        <v>13000000.000000002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52130000.000000007</v>
      </c>
      <c r="M19" s="91" t="e">
        <f>SUM(C19:L19)</f>
        <v>#REF!</v>
      </c>
    </row>
    <row r="20" spans="1:18" s="72" customFormat="1" ht="12">
      <c r="A20" s="85">
        <v>6</v>
      </c>
      <c r="B20" s="88" t="s">
        <v>138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127</v>
      </c>
    </row>
    <row r="21" spans="1:18" ht="12">
      <c r="A21" s="93"/>
      <c r="B21" s="94" t="s">
        <v>139</v>
      </c>
      <c r="C21" s="94"/>
      <c r="D21" s="94"/>
      <c r="E21" s="94" t="s">
        <v>140</v>
      </c>
      <c r="F21" s="94"/>
      <c r="G21" s="94"/>
      <c r="H21" s="94"/>
      <c r="I21" s="94" t="s">
        <v>141</v>
      </c>
      <c r="J21" s="94"/>
      <c r="K21" s="94"/>
      <c r="L21" s="94"/>
      <c r="M21" s="105"/>
    </row>
    <row r="22" spans="1:18" ht="12">
      <c r="A22" s="95"/>
      <c r="B22" s="96" t="s">
        <v>142</v>
      </c>
      <c r="C22" s="96"/>
      <c r="D22" s="97" t="s">
        <v>143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144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145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32" activePane="bottomRight" state="frozen"/>
      <selection pane="topRight"/>
      <selection pane="bottomLeft"/>
      <selection pane="bottomRight" activeCell="G17" sqref="G17"/>
    </sheetView>
  </sheetViews>
  <sheetFormatPr defaultColWidth="9" defaultRowHeight="16.5"/>
  <cols>
    <col min="1" max="1" width="5.125" style="48" customWidth="1"/>
    <col min="2" max="2" width="17.5" style="48" customWidth="1"/>
    <col min="3" max="3" width="15.375" style="49" bestFit="1" customWidth="1"/>
    <col min="4" max="4" width="13.25" style="49" customWidth="1"/>
    <col min="5" max="5" width="13.5" style="49" customWidth="1"/>
    <col min="6" max="6" width="13.25" style="49" customWidth="1"/>
    <col min="7" max="7" width="14" style="49" bestFit="1" customWidth="1"/>
    <col min="8" max="8" width="12.375" style="48" customWidth="1"/>
    <col min="9" max="9" width="10.125" style="48" customWidth="1"/>
    <col min="10" max="16" width="9" style="48" customWidth="1"/>
    <col min="17" max="33" width="9" style="48"/>
    <col min="34" max="34" width="4.375" style="48" customWidth="1"/>
    <col min="35" max="35" width="13.875" style="48" customWidth="1"/>
    <col min="36" max="16384" width="9" style="48"/>
  </cols>
  <sheetData>
    <row r="1" spans="1:36">
      <c r="A1" s="253" t="s">
        <v>146</v>
      </c>
      <c r="B1" s="253"/>
      <c r="C1" s="257" t="s">
        <v>256</v>
      </c>
      <c r="D1" s="258"/>
      <c r="E1" s="258"/>
      <c r="F1" s="258"/>
      <c r="G1" s="259"/>
    </row>
    <row r="2" spans="1:36">
      <c r="A2" s="253" t="s">
        <v>147</v>
      </c>
      <c r="B2" s="253"/>
      <c r="C2" s="260" t="s">
        <v>243</v>
      </c>
      <c r="D2" s="260"/>
      <c r="E2" s="260"/>
      <c r="F2" s="260"/>
      <c r="G2" s="260"/>
    </row>
    <row r="3" spans="1:36">
      <c r="A3" s="253" t="s">
        <v>148</v>
      </c>
      <c r="B3" s="253"/>
      <c r="C3" s="161" t="str">
        <f>销量!C5</f>
        <v>驾驶员座椅</v>
      </c>
      <c r="D3" s="161" t="str">
        <f>销量!D5</f>
        <v>驾驶员座椅</v>
      </c>
      <c r="E3" s="161">
        <f>销量!E5</f>
        <v>0</v>
      </c>
      <c r="F3" s="161">
        <f>销量!F5</f>
        <v>0</v>
      </c>
      <c r="G3" s="254" t="s">
        <v>20</v>
      </c>
    </row>
    <row r="4" spans="1:36">
      <c r="A4" s="253" t="s">
        <v>149</v>
      </c>
      <c r="B4" s="253"/>
      <c r="C4" s="161" t="str">
        <f>销量!C6</f>
        <v>V168100000193</v>
      </c>
      <c r="D4" s="161" t="str">
        <f>销量!D6</f>
        <v>K1气囊减震</v>
      </c>
      <c r="E4" s="161">
        <f>销量!E6</f>
        <v>0</v>
      </c>
      <c r="F4" s="161">
        <f>销量!F6</f>
        <v>0</v>
      </c>
      <c r="G4" s="255"/>
    </row>
    <row r="5" spans="1:36">
      <c r="A5" s="253" t="s">
        <v>150</v>
      </c>
      <c r="B5" s="253"/>
      <c r="C5" s="51"/>
      <c r="D5" s="51"/>
      <c r="E5" s="51"/>
      <c r="F5" s="51"/>
      <c r="G5" s="256"/>
      <c r="AJ5" s="48" t="s">
        <v>21</v>
      </c>
    </row>
    <row r="6" spans="1:36" ht="17.25">
      <c r="A6" s="52" t="s">
        <v>18</v>
      </c>
      <c r="B6" s="53" t="s">
        <v>151</v>
      </c>
      <c r="C6" s="23">
        <f>销量!C9</f>
        <v>50</v>
      </c>
      <c r="D6" s="23">
        <f>销量!D9</f>
        <v>0</v>
      </c>
      <c r="E6" s="23">
        <f>销量!E9</f>
        <v>0</v>
      </c>
      <c r="F6" s="23">
        <f>销量!F9</f>
        <v>0</v>
      </c>
      <c r="G6" s="54">
        <f t="shared" ref="G6:G15" si="0">SUM(C6:F6)</f>
        <v>50</v>
      </c>
      <c r="R6" s="53" t="s">
        <v>3</v>
      </c>
      <c r="AH6" s="52" t="s">
        <v>18</v>
      </c>
      <c r="AI6" s="53" t="s">
        <v>3</v>
      </c>
      <c r="AJ6" s="48" t="s">
        <v>22</v>
      </c>
    </row>
    <row r="7" spans="1:36">
      <c r="A7" s="50">
        <v>1</v>
      </c>
      <c r="B7" s="53" t="s">
        <v>23</v>
      </c>
      <c r="C7" s="54">
        <f>C6*销量!C8</f>
        <v>130000.00000000003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 t="shared" si="0"/>
        <v>130000.00000000003</v>
      </c>
      <c r="H7" s="49"/>
      <c r="R7" s="53" t="s">
        <v>23</v>
      </c>
      <c r="AH7" s="52" t="s">
        <v>24</v>
      </c>
      <c r="AI7" s="53" t="s">
        <v>23</v>
      </c>
      <c r="AJ7" s="48" t="s">
        <v>22</v>
      </c>
    </row>
    <row r="8" spans="1:36">
      <c r="A8" s="50">
        <v>2</v>
      </c>
      <c r="B8" s="50" t="s">
        <v>25</v>
      </c>
      <c r="C8" s="54"/>
      <c r="D8" s="54"/>
      <c r="E8" s="54"/>
      <c r="F8" s="54"/>
      <c r="G8" s="54">
        <f t="shared" si="0"/>
        <v>0</v>
      </c>
      <c r="H8" s="69"/>
      <c r="R8" s="50" t="s">
        <v>27</v>
      </c>
      <c r="AH8" s="52" t="s">
        <v>26</v>
      </c>
      <c r="AI8" s="50" t="s">
        <v>27</v>
      </c>
      <c r="AJ8" s="48" t="s">
        <v>22</v>
      </c>
    </row>
    <row r="9" spans="1:36">
      <c r="A9" s="50">
        <v>3</v>
      </c>
      <c r="B9" s="53" t="s">
        <v>28</v>
      </c>
      <c r="C9" s="54">
        <f>+C7-C8</f>
        <v>130000.00000000003</v>
      </c>
      <c r="D9" s="54">
        <f t="shared" ref="D9:F9" si="1">+D7-D8</f>
        <v>0</v>
      </c>
      <c r="E9" s="54">
        <f t="shared" si="1"/>
        <v>0</v>
      </c>
      <c r="F9" s="54">
        <f t="shared" si="1"/>
        <v>0</v>
      </c>
      <c r="G9" s="54">
        <f t="shared" si="0"/>
        <v>130000.00000000003</v>
      </c>
      <c r="R9" s="53" t="s">
        <v>28</v>
      </c>
      <c r="AH9" s="52" t="s">
        <v>29</v>
      </c>
      <c r="AI9" s="53" t="s">
        <v>28</v>
      </c>
      <c r="AJ9" s="48" t="s">
        <v>30</v>
      </c>
    </row>
    <row r="10" spans="1:36">
      <c r="A10" s="50">
        <v>4</v>
      </c>
      <c r="B10" s="52" t="s">
        <v>31</v>
      </c>
      <c r="C10" s="54">
        <f>C6*材料成本!E41</f>
        <v>73295.3</v>
      </c>
      <c r="D10" s="54">
        <f>D6*材料成本!E42</f>
        <v>0</v>
      </c>
      <c r="E10" s="54">
        <f>E6*材料成本!E43</f>
        <v>0</v>
      </c>
      <c r="F10" s="54">
        <f>F6*材料成本!E44</f>
        <v>0</v>
      </c>
      <c r="G10" s="54">
        <f t="shared" si="0"/>
        <v>73295.3</v>
      </c>
      <c r="R10" s="52" t="s">
        <v>31</v>
      </c>
      <c r="AH10" s="52" t="s">
        <v>32</v>
      </c>
      <c r="AI10" s="52" t="s">
        <v>31</v>
      </c>
      <c r="AJ10" s="48" t="s">
        <v>33</v>
      </c>
    </row>
    <row r="11" spans="1:36">
      <c r="A11" s="50">
        <v>5</v>
      </c>
      <c r="B11" s="52" t="s">
        <v>34</v>
      </c>
      <c r="C11" s="54">
        <f>+C6*C36</f>
        <v>7308.5982284191969</v>
      </c>
      <c r="D11" s="54">
        <f t="shared" ref="D11:F11" si="2">+D6*D36</f>
        <v>0</v>
      </c>
      <c r="E11" s="54">
        <f t="shared" si="2"/>
        <v>0</v>
      </c>
      <c r="F11" s="54">
        <f t="shared" si="2"/>
        <v>0</v>
      </c>
      <c r="G11" s="54">
        <f t="shared" si="0"/>
        <v>7308.5982284191969</v>
      </c>
      <c r="R11" s="52" t="s">
        <v>34</v>
      </c>
      <c r="AH11" s="52" t="s">
        <v>35</v>
      </c>
      <c r="AI11" s="52" t="s">
        <v>34</v>
      </c>
    </row>
    <row r="12" spans="1:36">
      <c r="A12" s="50">
        <v>6</v>
      </c>
      <c r="B12" s="52" t="s">
        <v>36</v>
      </c>
      <c r="C12" s="54">
        <f>+C6*C37</f>
        <v>1959.8786481399588</v>
      </c>
      <c r="D12" s="54">
        <f t="shared" ref="D12:F12" si="3">+D6*D37</f>
        <v>0</v>
      </c>
      <c r="E12" s="54">
        <f t="shared" si="3"/>
        <v>0</v>
      </c>
      <c r="F12" s="54">
        <f t="shared" si="3"/>
        <v>0</v>
      </c>
      <c r="G12" s="54">
        <f t="shared" si="0"/>
        <v>1959.8786481399588</v>
      </c>
      <c r="R12" s="52" t="s">
        <v>36</v>
      </c>
      <c r="AH12" s="52" t="s">
        <v>37</v>
      </c>
      <c r="AI12" s="52" t="s">
        <v>36</v>
      </c>
    </row>
    <row r="13" spans="1:36">
      <c r="A13" s="50">
        <v>7</v>
      </c>
      <c r="B13" s="52" t="s">
        <v>38</v>
      </c>
      <c r="C13" s="54">
        <f>+C6*C38</f>
        <v>5200</v>
      </c>
      <c r="D13" s="54">
        <f t="shared" ref="D13:F13" si="4">+D6*D38</f>
        <v>0</v>
      </c>
      <c r="E13" s="54">
        <f t="shared" si="4"/>
        <v>0</v>
      </c>
      <c r="F13" s="54">
        <f t="shared" si="4"/>
        <v>0</v>
      </c>
      <c r="G13" s="54">
        <f t="shared" si="0"/>
        <v>5200</v>
      </c>
      <c r="R13" s="52" t="s">
        <v>38</v>
      </c>
      <c r="AH13" s="52" t="s">
        <v>39</v>
      </c>
      <c r="AI13" s="52" t="s">
        <v>38</v>
      </c>
      <c r="AJ13" s="48" t="s">
        <v>22</v>
      </c>
    </row>
    <row r="14" spans="1:36">
      <c r="A14" s="50">
        <v>8</v>
      </c>
      <c r="B14" s="55" t="s">
        <v>40</v>
      </c>
      <c r="C14" s="54">
        <f>SUM(C11:C13)</f>
        <v>14468.476876559156</v>
      </c>
      <c r="D14" s="54">
        <f t="shared" ref="D14:F14" si="5">SUM(D11:D13)</f>
        <v>0</v>
      </c>
      <c r="E14" s="54">
        <f t="shared" si="5"/>
        <v>0</v>
      </c>
      <c r="F14" s="54">
        <f t="shared" si="5"/>
        <v>0</v>
      </c>
      <c r="G14" s="54">
        <f t="shared" si="0"/>
        <v>14468.476876559156</v>
      </c>
      <c r="R14" s="55" t="s">
        <v>40</v>
      </c>
      <c r="AH14" s="52" t="s">
        <v>41</v>
      </c>
      <c r="AI14" s="55" t="s">
        <v>40</v>
      </c>
    </row>
    <row r="15" spans="1:36">
      <c r="A15" s="50">
        <v>9</v>
      </c>
      <c r="B15" s="55" t="s">
        <v>42</v>
      </c>
      <c r="C15" s="54">
        <f>+C9-C10-C14</f>
        <v>42236.223123440868</v>
      </c>
      <c r="D15" s="54">
        <f t="shared" ref="D15:F15" si="6">+D9-D10-D14</f>
        <v>0</v>
      </c>
      <c r="E15" s="54">
        <f t="shared" si="6"/>
        <v>0</v>
      </c>
      <c r="F15" s="54">
        <f t="shared" si="6"/>
        <v>0</v>
      </c>
      <c r="G15" s="54">
        <f t="shared" si="0"/>
        <v>42236.223123440868</v>
      </c>
      <c r="R15" s="55" t="s">
        <v>42</v>
      </c>
      <c r="AH15" s="52" t="s">
        <v>43</v>
      </c>
      <c r="AI15" s="55" t="s">
        <v>42</v>
      </c>
    </row>
    <row r="16" spans="1:36">
      <c r="A16" s="50">
        <v>10</v>
      </c>
      <c r="B16" s="52" t="s">
        <v>44</v>
      </c>
      <c r="C16" s="56">
        <f>+C15/C9</f>
        <v>0.32489402402646816</v>
      </c>
      <c r="D16" s="56" t="e">
        <f t="shared" ref="D16:F16" si="7">+D15/D9</f>
        <v>#DIV/0!</v>
      </c>
      <c r="E16" s="56" t="e">
        <f t="shared" si="7"/>
        <v>#DIV/0!</v>
      </c>
      <c r="F16" s="56" t="e">
        <f t="shared" si="7"/>
        <v>#DIV/0!</v>
      </c>
      <c r="G16" s="56">
        <f t="shared" ref="G16" si="8">+G15/G9</f>
        <v>0.32489402402646816</v>
      </c>
      <c r="R16" s="52" t="s">
        <v>44</v>
      </c>
      <c r="AH16" s="52" t="s">
        <v>45</v>
      </c>
      <c r="AI16" s="52" t="s">
        <v>44</v>
      </c>
    </row>
    <row r="17" spans="1:36">
      <c r="A17" s="50">
        <v>11</v>
      </c>
      <c r="B17" s="52" t="s">
        <v>46</v>
      </c>
      <c r="C17" s="54">
        <f>C6*C43+C18</f>
        <v>103510</v>
      </c>
      <c r="D17" s="54">
        <f t="shared" ref="D17:F17" si="9">D6*D43+D18</f>
        <v>0</v>
      </c>
      <c r="E17" s="54">
        <f t="shared" si="9"/>
        <v>0</v>
      </c>
      <c r="F17" s="54">
        <f t="shared" si="9"/>
        <v>0</v>
      </c>
      <c r="G17" s="54">
        <f>SUM(C17:F17)</f>
        <v>103510</v>
      </c>
      <c r="H17" s="171"/>
      <c r="I17" s="172"/>
      <c r="J17" s="172"/>
      <c r="R17" s="52" t="s">
        <v>46</v>
      </c>
      <c r="AH17" s="52" t="s">
        <v>47</v>
      </c>
      <c r="AI17" s="52" t="s">
        <v>46</v>
      </c>
    </row>
    <row r="18" spans="1:36" s="46" customFormat="1">
      <c r="A18" s="50">
        <v>12</v>
      </c>
      <c r="B18" s="57" t="s">
        <v>152</v>
      </c>
      <c r="C18" s="58">
        <f>$G$18/$G$6*C6</f>
        <v>97660</v>
      </c>
      <c r="D18" s="58">
        <f>$G$18/$G$6*D6</f>
        <v>0</v>
      </c>
      <c r="E18" s="58">
        <f>$G$18/$G$6*E6</f>
        <v>0</v>
      </c>
      <c r="F18" s="58">
        <f>$G$18/$G$6*F6</f>
        <v>0</v>
      </c>
      <c r="G18" s="58">
        <f>项目投资!D26</f>
        <v>97660</v>
      </c>
      <c r="H18" s="173" t="s">
        <v>153</v>
      </c>
      <c r="I18" s="173"/>
      <c r="J18" s="173"/>
    </row>
    <row r="19" spans="1:36">
      <c r="A19" s="50">
        <v>13</v>
      </c>
      <c r="B19" s="52" t="s">
        <v>48</v>
      </c>
      <c r="C19" s="54">
        <f>C6*C44</f>
        <v>910.00000000000011</v>
      </c>
      <c r="D19" s="54">
        <f t="shared" ref="D19:E19" si="10">D6*D44</f>
        <v>0</v>
      </c>
      <c r="E19" s="54">
        <f t="shared" si="10"/>
        <v>0</v>
      </c>
      <c r="F19" s="54">
        <f>F6*F44</f>
        <v>0</v>
      </c>
      <c r="G19" s="54">
        <f>SUM(C19:F19)</f>
        <v>910.00000000000011</v>
      </c>
      <c r="H19" s="174"/>
      <c r="I19" s="172"/>
      <c r="J19" s="172"/>
      <c r="R19" s="52" t="s">
        <v>48</v>
      </c>
      <c r="AH19" s="52" t="s">
        <v>49</v>
      </c>
      <c r="AI19" s="52" t="s">
        <v>48</v>
      </c>
      <c r="AJ19" s="48" t="s">
        <v>22</v>
      </c>
    </row>
    <row r="20" spans="1:36">
      <c r="A20" s="50">
        <v>14</v>
      </c>
      <c r="B20" s="52" t="s">
        <v>50</v>
      </c>
      <c r="C20" s="54">
        <f>C6*C45</f>
        <v>3900.0000000000009</v>
      </c>
      <c r="D20" s="54">
        <f t="shared" ref="D20:F20" si="11">D6*D45</f>
        <v>0</v>
      </c>
      <c r="E20" s="54">
        <f t="shared" si="11"/>
        <v>0</v>
      </c>
      <c r="F20" s="54">
        <f t="shared" si="11"/>
        <v>0</v>
      </c>
      <c r="G20" s="54">
        <f>SUM(C20:F20)</f>
        <v>3900.0000000000009</v>
      </c>
      <c r="R20" s="52" t="s">
        <v>50</v>
      </c>
      <c r="AH20" s="52" t="s">
        <v>51</v>
      </c>
      <c r="AI20" s="52" t="s">
        <v>50</v>
      </c>
    </row>
    <row r="21" spans="1:36">
      <c r="A21" s="50">
        <v>15</v>
      </c>
      <c r="B21" s="52" t="s">
        <v>52</v>
      </c>
      <c r="C21" s="59">
        <f>$G$21/$G$6*C6</f>
        <v>114000</v>
      </c>
      <c r="D21" s="59">
        <f>$G$21/$G$6*D6</f>
        <v>0</v>
      </c>
      <c r="E21" s="59">
        <f>$G$21/$G$6*E6</f>
        <v>0</v>
      </c>
      <c r="F21" s="59">
        <f>$G$21/$G$6*F6</f>
        <v>0</v>
      </c>
      <c r="G21" s="54">
        <f>项目投资!D27</f>
        <v>114000</v>
      </c>
      <c r="R21" s="52" t="s">
        <v>52</v>
      </c>
      <c r="AH21" s="52"/>
      <c r="AI21" s="52"/>
    </row>
    <row r="22" spans="1:36">
      <c r="A22" s="50">
        <v>16</v>
      </c>
      <c r="B22" s="52" t="s">
        <v>53</v>
      </c>
      <c r="C22" s="54">
        <f>C6*C47</f>
        <v>5200.0000000000009</v>
      </c>
      <c r="D22" s="54">
        <f t="shared" ref="D22:F22" si="12">D6*D47</f>
        <v>0</v>
      </c>
      <c r="E22" s="54">
        <f t="shared" si="12"/>
        <v>0</v>
      </c>
      <c r="F22" s="54">
        <f t="shared" si="12"/>
        <v>0</v>
      </c>
      <c r="G22" s="54">
        <f>SUM(C22:F22)</f>
        <v>5200.0000000000009</v>
      </c>
      <c r="R22" s="52" t="s">
        <v>53</v>
      </c>
      <c r="AH22" s="52" t="s">
        <v>54</v>
      </c>
      <c r="AI22" s="52" t="s">
        <v>53</v>
      </c>
    </row>
    <row r="23" spans="1:36">
      <c r="A23" s="50">
        <v>17</v>
      </c>
      <c r="B23" s="55" t="s">
        <v>55</v>
      </c>
      <c r="C23" s="59">
        <f>+C22+C21+C20+C19+C17</f>
        <v>227520</v>
      </c>
      <c r="D23" s="59">
        <f t="shared" ref="D23:F23" si="13">+D22+D21+D20+D19+D17</f>
        <v>0</v>
      </c>
      <c r="E23" s="59">
        <f t="shared" si="13"/>
        <v>0</v>
      </c>
      <c r="F23" s="59">
        <f t="shared" si="13"/>
        <v>0</v>
      </c>
      <c r="G23" s="59">
        <f t="shared" ref="G23" si="14">+G22+G21+G20+G19+G17</f>
        <v>227520</v>
      </c>
      <c r="R23" s="55" t="s">
        <v>55</v>
      </c>
      <c r="AH23" s="52" t="s">
        <v>56</v>
      </c>
      <c r="AI23" s="55" t="s">
        <v>55</v>
      </c>
    </row>
    <row r="24" spans="1:36">
      <c r="A24" s="50">
        <v>18</v>
      </c>
      <c r="B24" s="60" t="s">
        <v>57</v>
      </c>
      <c r="C24" s="59">
        <f>+C15-C23</f>
        <v>-185283.77687655913</v>
      </c>
      <c r="D24" s="59">
        <f t="shared" ref="D24:F24" si="15">+D15-D23</f>
        <v>0</v>
      </c>
      <c r="E24" s="59">
        <f t="shared" si="15"/>
        <v>0</v>
      </c>
      <c r="F24" s="59">
        <f t="shared" si="15"/>
        <v>0</v>
      </c>
      <c r="G24" s="59">
        <f t="shared" ref="G24" si="16">+G15-G23</f>
        <v>-185283.77687655913</v>
      </c>
      <c r="I24" s="71"/>
      <c r="R24" s="52" t="s">
        <v>57</v>
      </c>
      <c r="AH24" s="52" t="s">
        <v>58</v>
      </c>
      <c r="AI24" s="52" t="s">
        <v>57</v>
      </c>
    </row>
    <row r="25" spans="1:36">
      <c r="A25" s="50">
        <v>19</v>
      </c>
      <c r="B25" s="52" t="s">
        <v>277</v>
      </c>
      <c r="C25" s="59">
        <f>IF(C24&lt;0,0,C24*0.15)</f>
        <v>0</v>
      </c>
      <c r="D25" s="59">
        <f t="shared" ref="D25:F25" si="17">IF(D24&lt;0,0,D24*0.15)</f>
        <v>0</v>
      </c>
      <c r="E25" s="59">
        <f t="shared" si="17"/>
        <v>0</v>
      </c>
      <c r="F25" s="59">
        <f t="shared" si="17"/>
        <v>0</v>
      </c>
      <c r="G25" s="59">
        <f>IF(G24&lt;0,0,G24*0.15)</f>
        <v>0</v>
      </c>
      <c r="H25" s="67"/>
      <c r="I25" s="67"/>
      <c r="J25" s="67"/>
      <c r="R25" s="52" t="s">
        <v>59</v>
      </c>
      <c r="AH25" s="52" t="s">
        <v>60</v>
      </c>
      <c r="AI25" s="52" t="s">
        <v>59</v>
      </c>
    </row>
    <row r="26" spans="1:36">
      <c r="A26" s="50">
        <v>20</v>
      </c>
      <c r="B26" s="52" t="s">
        <v>61</v>
      </c>
      <c r="C26" s="59">
        <f t="shared" ref="C26:F26" si="18">C24-C25</f>
        <v>-185283.77687655913</v>
      </c>
      <c r="D26" s="59">
        <f t="shared" si="18"/>
        <v>0</v>
      </c>
      <c r="E26" s="59">
        <f t="shared" si="18"/>
        <v>0</v>
      </c>
      <c r="F26" s="59">
        <f t="shared" si="18"/>
        <v>0</v>
      </c>
      <c r="G26" s="54">
        <f>SUM(C26:F26)</f>
        <v>-185283.77687655913</v>
      </c>
      <c r="H26" s="67"/>
      <c r="I26" s="67"/>
      <c r="J26" s="67"/>
      <c r="R26" s="52" t="s">
        <v>61</v>
      </c>
      <c r="AH26" s="52" t="s">
        <v>62</v>
      </c>
      <c r="AI26" s="52" t="s">
        <v>61</v>
      </c>
    </row>
    <row r="27" spans="1:36">
      <c r="A27" s="50">
        <v>21</v>
      </c>
      <c r="B27" s="52" t="s">
        <v>65</v>
      </c>
      <c r="C27" s="61">
        <f t="shared" ref="C27:G27" si="19">C26/C7</f>
        <v>-1.4252598221273776</v>
      </c>
      <c r="D27" s="61" t="e">
        <f t="shared" ref="D27:F27" si="20">D26/D7</f>
        <v>#DIV/0!</v>
      </c>
      <c r="E27" s="61" t="e">
        <f t="shared" si="20"/>
        <v>#DIV/0!</v>
      </c>
      <c r="F27" s="61" t="e">
        <f t="shared" si="20"/>
        <v>#DIV/0!</v>
      </c>
      <c r="G27" s="202">
        <f t="shared" si="19"/>
        <v>-1.4252598221273776</v>
      </c>
      <c r="H27" s="67"/>
      <c r="I27" s="67"/>
      <c r="J27" s="67"/>
      <c r="R27" s="52" t="s">
        <v>65</v>
      </c>
      <c r="AH27" s="52" t="s">
        <v>64</v>
      </c>
      <c r="AI27" s="52" t="s">
        <v>65</v>
      </c>
    </row>
    <row r="28" spans="1:36">
      <c r="H28" s="67"/>
      <c r="I28" s="67"/>
      <c r="J28" s="67"/>
      <c r="R28" s="52"/>
    </row>
    <row r="29" spans="1:36">
      <c r="A29" s="48" t="s">
        <v>66</v>
      </c>
      <c r="G29" s="49" t="s">
        <v>155</v>
      </c>
      <c r="H29" s="67"/>
      <c r="I29" s="67"/>
      <c r="J29" s="67"/>
      <c r="R29" s="52"/>
      <c r="AH29" s="48" t="s">
        <v>66</v>
      </c>
    </row>
    <row r="30" spans="1:36">
      <c r="A30" s="52" t="s">
        <v>71</v>
      </c>
      <c r="B30" s="55" t="s">
        <v>72</v>
      </c>
      <c r="C30" s="59"/>
      <c r="D30" s="59"/>
      <c r="E30" s="59"/>
      <c r="F30" s="59"/>
      <c r="G30" s="59"/>
      <c r="H30" s="67"/>
      <c r="I30" s="67"/>
      <c r="J30" s="67"/>
      <c r="L30" s="67"/>
      <c r="R30" s="55" t="s">
        <v>72</v>
      </c>
      <c r="AH30" s="52" t="s">
        <v>73</v>
      </c>
      <c r="AI30" s="55" t="s">
        <v>72</v>
      </c>
    </row>
    <row r="31" spans="1:36">
      <c r="A31" s="62">
        <v>1</v>
      </c>
      <c r="B31" s="57" t="s">
        <v>74</v>
      </c>
      <c r="C31" s="63">
        <f>销量!C8</f>
        <v>2600.0000000000005</v>
      </c>
      <c r="D31" s="63">
        <f>销量!D8</f>
        <v>0</v>
      </c>
      <c r="E31" s="63">
        <f>销量!E8</f>
        <v>0</v>
      </c>
      <c r="F31" s="63">
        <f>销量!F8</f>
        <v>0</v>
      </c>
      <c r="G31" s="59"/>
      <c r="H31" s="67"/>
      <c r="I31" s="67"/>
      <c r="J31" s="67"/>
      <c r="L31" s="67"/>
      <c r="R31" s="52" t="s">
        <v>74</v>
      </c>
      <c r="AH31" s="52" t="s">
        <v>24</v>
      </c>
      <c r="AI31" s="52" t="s">
        <v>74</v>
      </c>
    </row>
    <row r="32" spans="1:36">
      <c r="A32" s="62">
        <v>2</v>
      </c>
      <c r="B32" s="52" t="s">
        <v>156</v>
      </c>
      <c r="C32" s="54">
        <f>C31*1</f>
        <v>2600.0000000000005</v>
      </c>
      <c r="D32" s="54">
        <f t="shared" ref="D32:F32" si="21">D31*1</f>
        <v>0</v>
      </c>
      <c r="E32" s="54">
        <f t="shared" si="21"/>
        <v>0</v>
      </c>
      <c r="F32" s="54">
        <f t="shared" si="21"/>
        <v>0</v>
      </c>
      <c r="G32" s="59"/>
      <c r="H32" s="67"/>
      <c r="I32" s="67"/>
      <c r="J32" s="67"/>
      <c r="K32" s="67"/>
      <c r="L32" s="67"/>
      <c r="M32" s="67"/>
      <c r="N32" s="67"/>
      <c r="AH32" s="52"/>
      <c r="AI32" s="52"/>
    </row>
    <row r="33" spans="1:35">
      <c r="A33" s="62">
        <v>3</v>
      </c>
      <c r="B33" s="57" t="s">
        <v>75</v>
      </c>
      <c r="C33" s="54">
        <f>材料成本!E41</f>
        <v>1465.9059999999999</v>
      </c>
      <c r="D33" s="54">
        <f>材料成本!E42</f>
        <v>0</v>
      </c>
      <c r="E33" s="54">
        <f>材料成本!E43</f>
        <v>0</v>
      </c>
      <c r="F33" s="54">
        <f>材料成本!E44</f>
        <v>0</v>
      </c>
      <c r="G33" s="59"/>
      <c r="I33" s="67"/>
      <c r="J33" s="67"/>
      <c r="K33" s="67"/>
      <c r="L33" s="67"/>
      <c r="M33" s="67"/>
      <c r="N33" s="67"/>
      <c r="R33" s="52" t="s">
        <v>75</v>
      </c>
      <c r="AH33" s="52" t="s">
        <v>26</v>
      </c>
      <c r="AI33" s="52" t="s">
        <v>75</v>
      </c>
    </row>
    <row r="34" spans="1:35" ht="17.25" customHeight="1">
      <c r="A34" s="62">
        <v>4</v>
      </c>
      <c r="B34" s="52" t="s">
        <v>77</v>
      </c>
      <c r="C34" s="64">
        <f>C32-C33</f>
        <v>1134.0940000000005</v>
      </c>
      <c r="D34" s="64">
        <f t="shared" ref="D34:F34" si="22">D32-D33</f>
        <v>0</v>
      </c>
      <c r="E34" s="64">
        <f t="shared" si="22"/>
        <v>0</v>
      </c>
      <c r="F34" s="64">
        <f t="shared" si="22"/>
        <v>0</v>
      </c>
      <c r="G34" s="59"/>
      <c r="I34" s="67"/>
      <c r="J34" s="67"/>
      <c r="K34" s="67"/>
      <c r="L34" s="67"/>
      <c r="M34" s="67"/>
      <c r="N34" s="67"/>
      <c r="R34" s="52" t="s">
        <v>77</v>
      </c>
      <c r="AH34" s="52" t="s">
        <v>76</v>
      </c>
      <c r="AI34" s="52" t="s">
        <v>77</v>
      </c>
    </row>
    <row r="35" spans="1:35">
      <c r="A35" s="52" t="s">
        <v>73</v>
      </c>
      <c r="B35" s="55" t="s">
        <v>10</v>
      </c>
      <c r="C35" s="59"/>
      <c r="D35" s="59"/>
      <c r="E35" s="59"/>
      <c r="F35" s="59"/>
      <c r="G35" s="59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5" t="s">
        <v>10</v>
      </c>
      <c r="AH35" s="52" t="s">
        <v>79</v>
      </c>
      <c r="AI35" s="55" t="s">
        <v>10</v>
      </c>
    </row>
    <row r="36" spans="1:35">
      <c r="A36" s="62">
        <v>1</v>
      </c>
      <c r="B36" s="52" t="s">
        <v>80</v>
      </c>
      <c r="C36" s="58">
        <f>标准成本!E4</f>
        <v>146.17196456838394</v>
      </c>
      <c r="D36" s="58">
        <f>标准成本!E18</f>
        <v>0</v>
      </c>
      <c r="E36" s="58">
        <f>标准成本!E32</f>
        <v>0</v>
      </c>
      <c r="F36" s="58">
        <f>标准成本!E45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2" t="s">
        <v>80</v>
      </c>
      <c r="AH36" s="52" t="s">
        <v>76</v>
      </c>
      <c r="AI36" s="52" t="s">
        <v>80</v>
      </c>
    </row>
    <row r="37" spans="1:35">
      <c r="A37" s="62">
        <v>2</v>
      </c>
      <c r="B37" s="52" t="s">
        <v>81</v>
      </c>
      <c r="C37" s="58">
        <f>标准成本!E6</f>
        <v>39.197572962799178</v>
      </c>
      <c r="D37" s="58">
        <f>标准成本!E20</f>
        <v>0</v>
      </c>
      <c r="E37" s="58">
        <f>标准成本!E34</f>
        <v>0</v>
      </c>
      <c r="F37" s="58">
        <f>标准成本!E47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2" t="s">
        <v>81</v>
      </c>
      <c r="AH37" s="52" t="s">
        <v>29</v>
      </c>
      <c r="AI37" s="52" t="s">
        <v>81</v>
      </c>
    </row>
    <row r="38" spans="1:35">
      <c r="A38" s="62">
        <v>3</v>
      </c>
      <c r="B38" s="52" t="s">
        <v>82</v>
      </c>
      <c r="C38" s="58">
        <f>标准成本!E10</f>
        <v>104</v>
      </c>
      <c r="D38" s="58">
        <f>标准成本!E24</f>
        <v>0</v>
      </c>
      <c r="E38" s="58">
        <f>标准成本!E38</f>
        <v>0</v>
      </c>
      <c r="F38" s="58">
        <f>标准成本!E51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2" t="s">
        <v>82</v>
      </c>
      <c r="AH38" s="52" t="s">
        <v>35</v>
      </c>
      <c r="AI38" s="52" t="s">
        <v>82</v>
      </c>
    </row>
    <row r="39" spans="1:35">
      <c r="A39" s="52" t="s">
        <v>79</v>
      </c>
      <c r="B39" s="55" t="s">
        <v>84</v>
      </c>
      <c r="C39" s="59"/>
      <c r="D39" s="59"/>
      <c r="E39" s="59"/>
      <c r="F39" s="59"/>
      <c r="G39" s="59"/>
      <c r="R39" s="55" t="s">
        <v>84</v>
      </c>
      <c r="AH39" s="52" t="s">
        <v>83</v>
      </c>
      <c r="AI39" s="55" t="s">
        <v>84</v>
      </c>
    </row>
    <row r="40" spans="1:35">
      <c r="A40" s="62">
        <v>1</v>
      </c>
      <c r="B40" s="52" t="s">
        <v>86</v>
      </c>
      <c r="C40" s="59">
        <f>C34-C36-C37-C38</f>
        <v>844.72446246881736</v>
      </c>
      <c r="D40" s="59">
        <f t="shared" ref="D40:F40" si="23">D34-D36-D37-D38</f>
        <v>0</v>
      </c>
      <c r="E40" s="59">
        <f t="shared" si="23"/>
        <v>0</v>
      </c>
      <c r="F40" s="59">
        <f t="shared" si="23"/>
        <v>0</v>
      </c>
      <c r="G40" s="59"/>
      <c r="R40" s="52" t="s">
        <v>86</v>
      </c>
      <c r="AH40" s="52" t="s">
        <v>24</v>
      </c>
      <c r="AI40" s="52" t="s">
        <v>86</v>
      </c>
    </row>
    <row r="41" spans="1:35">
      <c r="A41" s="62">
        <v>2</v>
      </c>
      <c r="B41" s="52" t="s">
        <v>87</v>
      </c>
      <c r="C41" s="59"/>
      <c r="D41" s="59"/>
      <c r="E41" s="59"/>
      <c r="F41" s="59"/>
      <c r="G41" s="59"/>
      <c r="R41" s="52" t="s">
        <v>87</v>
      </c>
      <c r="AH41" s="52" t="s">
        <v>26</v>
      </c>
      <c r="AI41" s="52" t="s">
        <v>87</v>
      </c>
    </row>
    <row r="42" spans="1:35">
      <c r="A42" s="52" t="s">
        <v>83</v>
      </c>
      <c r="B42" s="55" t="s">
        <v>89</v>
      </c>
      <c r="C42" s="59"/>
      <c r="D42" s="59"/>
      <c r="E42" s="59"/>
      <c r="F42" s="59"/>
      <c r="G42" s="59"/>
      <c r="R42" s="55" t="s">
        <v>89</v>
      </c>
      <c r="AH42" s="52" t="s">
        <v>88</v>
      </c>
      <c r="AI42" s="55" t="s">
        <v>89</v>
      </c>
    </row>
    <row r="43" spans="1:35">
      <c r="A43" s="62">
        <v>1</v>
      </c>
      <c r="B43" s="60" t="s">
        <v>90</v>
      </c>
      <c r="C43" s="58">
        <f>标准成本!E5</f>
        <v>117.00000000000001</v>
      </c>
      <c r="D43" s="58">
        <f>标准成本!E19</f>
        <v>0</v>
      </c>
      <c r="E43" s="58">
        <f>标准成本!E33</f>
        <v>0</v>
      </c>
      <c r="F43" s="58">
        <f>标准成本!E46</f>
        <v>0</v>
      </c>
      <c r="G43" s="59"/>
      <c r="R43" s="52" t="s">
        <v>90</v>
      </c>
      <c r="AH43" s="52" t="s">
        <v>24</v>
      </c>
      <c r="AI43" s="52" t="s">
        <v>90</v>
      </c>
    </row>
    <row r="44" spans="1:35">
      <c r="A44" s="62">
        <v>2</v>
      </c>
      <c r="B44" s="60" t="s">
        <v>91</v>
      </c>
      <c r="C44" s="58">
        <f>标准成本!E9</f>
        <v>18.200000000000003</v>
      </c>
      <c r="D44" s="58">
        <f>标准成本!E23</f>
        <v>0</v>
      </c>
      <c r="E44" s="58">
        <f>标准成本!E37</f>
        <v>0</v>
      </c>
      <c r="F44" s="58">
        <f>标准成本!E50</f>
        <v>0</v>
      </c>
      <c r="G44" s="59"/>
      <c r="R44" s="52" t="s">
        <v>91</v>
      </c>
      <c r="AH44" s="52" t="s">
        <v>26</v>
      </c>
      <c r="AI44" s="52" t="s">
        <v>91</v>
      </c>
    </row>
    <row r="45" spans="1:35">
      <c r="A45" s="62">
        <v>3</v>
      </c>
      <c r="B45" s="60" t="s">
        <v>92</v>
      </c>
      <c r="C45" s="65">
        <f>标准成本!E8</f>
        <v>78.000000000000014</v>
      </c>
      <c r="D45" s="65">
        <f>标准成本!E22</f>
        <v>0</v>
      </c>
      <c r="E45" s="65">
        <f>标准成本!E36</f>
        <v>0</v>
      </c>
      <c r="F45" s="65">
        <f>标准成本!E49</f>
        <v>0</v>
      </c>
      <c r="G45" s="59"/>
      <c r="R45" s="52" t="s">
        <v>92</v>
      </c>
      <c r="AH45" s="52" t="s">
        <v>76</v>
      </c>
      <c r="AI45" s="52" t="s">
        <v>92</v>
      </c>
    </row>
    <row r="46" spans="1:35" s="47" customFormat="1">
      <c r="A46" s="62">
        <v>4</v>
      </c>
      <c r="B46" s="60" t="s">
        <v>93</v>
      </c>
      <c r="C46" s="65">
        <f>C21/C6</f>
        <v>2280</v>
      </c>
      <c r="D46" s="65" t="e">
        <f t="shared" ref="D46:F46" si="24">D21/D6</f>
        <v>#DIV/0!</v>
      </c>
      <c r="E46" s="65" t="e">
        <f t="shared" si="24"/>
        <v>#DIV/0!</v>
      </c>
      <c r="F46" s="65" t="e">
        <f t="shared" si="24"/>
        <v>#DIV/0!</v>
      </c>
      <c r="G46" s="65"/>
      <c r="R46" s="60" t="s">
        <v>95</v>
      </c>
      <c r="AH46" s="60" t="s">
        <v>32</v>
      </c>
      <c r="AI46" s="60" t="s">
        <v>95</v>
      </c>
    </row>
    <row r="47" spans="1:35" s="47" customFormat="1">
      <c r="A47" s="62">
        <v>5</v>
      </c>
      <c r="B47" s="60" t="s">
        <v>95</v>
      </c>
      <c r="C47" s="65">
        <f>标准成本!E11</f>
        <v>104.00000000000001</v>
      </c>
      <c r="D47" s="65">
        <f>标准成本!E25</f>
        <v>0</v>
      </c>
      <c r="E47" s="65">
        <f>标准成本!E39</f>
        <v>0</v>
      </c>
      <c r="F47" s="65">
        <f>标准成本!E52</f>
        <v>0</v>
      </c>
      <c r="G47" s="65"/>
      <c r="R47" s="60" t="s">
        <v>95</v>
      </c>
      <c r="AH47" s="60" t="s">
        <v>32</v>
      </c>
      <c r="AI47" s="60" t="s">
        <v>95</v>
      </c>
    </row>
    <row r="48" spans="1:35">
      <c r="A48" s="52" t="s">
        <v>88</v>
      </c>
      <c r="B48" s="55" t="s">
        <v>106</v>
      </c>
      <c r="C48" s="59">
        <f>C40-C43-C44-C45-C47-C46</f>
        <v>-1752.4755375311827</v>
      </c>
      <c r="D48" s="59" t="e">
        <f t="shared" ref="D48:F48" si="25">D40-D43-D44-D45-D47-D46</f>
        <v>#DIV/0!</v>
      </c>
      <c r="E48" s="59" t="e">
        <f t="shared" si="25"/>
        <v>#DIV/0!</v>
      </c>
      <c r="F48" s="59" t="e">
        <f t="shared" si="25"/>
        <v>#DIV/0!</v>
      </c>
      <c r="G48" s="59"/>
      <c r="R48" s="55" t="s">
        <v>106</v>
      </c>
      <c r="AH48" s="52" t="s">
        <v>105</v>
      </c>
      <c r="AI48" s="55" t="s">
        <v>106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G7" sqref="G7"/>
    </sheetView>
  </sheetViews>
  <sheetFormatPr defaultColWidth="9" defaultRowHeight="16.5"/>
  <cols>
    <col min="1" max="1" width="5.125" style="48" customWidth="1"/>
    <col min="2" max="2" width="17.5" style="48" customWidth="1"/>
    <col min="3" max="3" width="17.75" style="49" customWidth="1"/>
    <col min="4" max="6" width="13.25" style="49" customWidth="1"/>
    <col min="7" max="7" width="18.75" style="49" customWidth="1"/>
    <col min="8" max="8" width="12.375" style="48" customWidth="1"/>
    <col min="9" max="9" width="10.125" style="48" customWidth="1"/>
    <col min="10" max="16" width="9" style="48" customWidth="1"/>
    <col min="17" max="33" width="9" style="48"/>
    <col min="34" max="34" width="4.375" style="48" customWidth="1"/>
    <col min="35" max="35" width="13.875" style="48" customWidth="1"/>
    <col min="36" max="16384" width="9" style="48"/>
  </cols>
  <sheetData>
    <row r="1" spans="1:36">
      <c r="A1" s="253" t="s">
        <v>146</v>
      </c>
      <c r="B1" s="253"/>
      <c r="C1" s="257" t="s">
        <v>257</v>
      </c>
      <c r="D1" s="258"/>
      <c r="E1" s="258"/>
      <c r="F1" s="258"/>
      <c r="G1" s="259"/>
    </row>
    <row r="2" spans="1:36">
      <c r="A2" s="253" t="s">
        <v>147</v>
      </c>
      <c r="B2" s="253"/>
      <c r="C2" s="260" t="str">
        <f>'2022年'!C2:G2</f>
        <v>一汽解放</v>
      </c>
      <c r="D2" s="260"/>
      <c r="E2" s="260"/>
      <c r="F2" s="260"/>
      <c r="G2" s="260"/>
    </row>
    <row r="3" spans="1:36">
      <c r="A3" s="253" t="s">
        <v>148</v>
      </c>
      <c r="B3" s="253"/>
      <c r="C3" s="161" t="str">
        <f>销量!C5</f>
        <v>驾驶员座椅</v>
      </c>
      <c r="D3" s="161" t="str">
        <f>销量!D5</f>
        <v>驾驶员座椅</v>
      </c>
      <c r="E3" s="161">
        <f>销量!E5</f>
        <v>0</v>
      </c>
      <c r="F3" s="161">
        <f>销量!F5</f>
        <v>0</v>
      </c>
      <c r="G3" s="254" t="s">
        <v>20</v>
      </c>
    </row>
    <row r="4" spans="1:36">
      <c r="A4" s="253" t="s">
        <v>149</v>
      </c>
      <c r="B4" s="253"/>
      <c r="C4" s="161" t="str">
        <f>销量!C6</f>
        <v>V168100000193</v>
      </c>
      <c r="D4" s="161" t="str">
        <f>销量!D6</f>
        <v>K1气囊减震</v>
      </c>
      <c r="E4" s="161">
        <f>销量!E6</f>
        <v>0</v>
      </c>
      <c r="F4" s="161">
        <f>销量!F6</f>
        <v>0</v>
      </c>
      <c r="G4" s="255"/>
    </row>
    <row r="5" spans="1:36">
      <c r="A5" s="253" t="s">
        <v>150</v>
      </c>
      <c r="B5" s="253"/>
      <c r="C5" s="51"/>
      <c r="D5" s="51"/>
      <c r="E5" s="51"/>
      <c r="F5" s="51"/>
      <c r="G5" s="256"/>
      <c r="AJ5" s="48" t="s">
        <v>21</v>
      </c>
    </row>
    <row r="6" spans="1:36" ht="17.25">
      <c r="A6" s="52" t="s">
        <v>18</v>
      </c>
      <c r="B6" s="53" t="s">
        <v>151</v>
      </c>
      <c r="C6" s="23">
        <f>销量!C10</f>
        <v>5000</v>
      </c>
      <c r="D6" s="23">
        <f>销量!D10</f>
        <v>0</v>
      </c>
      <c r="E6" s="23">
        <f>销量!E10</f>
        <v>0</v>
      </c>
      <c r="F6" s="23">
        <f>销量!F10</f>
        <v>0</v>
      </c>
      <c r="G6" s="54">
        <f t="shared" ref="G6:G15" si="0">SUM(C6:F6)</f>
        <v>5000</v>
      </c>
      <c r="R6" s="53" t="s">
        <v>3</v>
      </c>
      <c r="AH6" s="52" t="s">
        <v>18</v>
      </c>
      <c r="AI6" s="53" t="s">
        <v>3</v>
      </c>
      <c r="AJ6" s="48" t="s">
        <v>22</v>
      </c>
    </row>
    <row r="7" spans="1:36">
      <c r="A7" s="160">
        <v>1</v>
      </c>
      <c r="B7" s="53" t="s">
        <v>23</v>
      </c>
      <c r="C7" s="54">
        <f>C6*销量!C8</f>
        <v>13000000.000000002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 t="shared" si="0"/>
        <v>13000000.000000002</v>
      </c>
      <c r="H7" s="49"/>
      <c r="R7" s="53" t="s">
        <v>23</v>
      </c>
      <c r="AH7" s="52" t="s">
        <v>24</v>
      </c>
      <c r="AI7" s="53" t="s">
        <v>23</v>
      </c>
      <c r="AJ7" s="48" t="s">
        <v>22</v>
      </c>
    </row>
    <row r="8" spans="1:36">
      <c r="A8" s="160">
        <v>2</v>
      </c>
      <c r="B8" s="160" t="s">
        <v>25</v>
      </c>
      <c r="C8" s="54">
        <f>C7*(1-销量!$L$7)</f>
        <v>0</v>
      </c>
      <c r="D8" s="54">
        <f>D7*(1-销量!$L$7)</f>
        <v>0</v>
      </c>
      <c r="E8" s="54">
        <f>E7*(1-销量!$L$7)</f>
        <v>0</v>
      </c>
      <c r="F8" s="54">
        <f>F7*(1-销量!$L$7)</f>
        <v>0</v>
      </c>
      <c r="G8" s="54">
        <f t="shared" si="0"/>
        <v>0</v>
      </c>
      <c r="H8" s="69"/>
      <c r="R8" s="160" t="s">
        <v>27</v>
      </c>
      <c r="AH8" s="52" t="s">
        <v>26</v>
      </c>
      <c r="AI8" s="160" t="s">
        <v>27</v>
      </c>
      <c r="AJ8" s="48" t="s">
        <v>22</v>
      </c>
    </row>
    <row r="9" spans="1:36">
      <c r="A9" s="160">
        <v>3</v>
      </c>
      <c r="B9" s="53" t="s">
        <v>28</v>
      </c>
      <c r="C9" s="54">
        <f>+C7-C8</f>
        <v>13000000.000000002</v>
      </c>
      <c r="D9" s="54">
        <f t="shared" ref="D9:F9" si="1">+D7-D8</f>
        <v>0</v>
      </c>
      <c r="E9" s="54">
        <f t="shared" si="1"/>
        <v>0</v>
      </c>
      <c r="F9" s="54">
        <f t="shared" si="1"/>
        <v>0</v>
      </c>
      <c r="G9" s="54">
        <f t="shared" si="0"/>
        <v>13000000.000000002</v>
      </c>
      <c r="R9" s="53" t="s">
        <v>28</v>
      </c>
      <c r="AH9" s="52" t="s">
        <v>29</v>
      </c>
      <c r="AI9" s="53" t="s">
        <v>28</v>
      </c>
      <c r="AJ9" s="48" t="s">
        <v>30</v>
      </c>
    </row>
    <row r="10" spans="1:36">
      <c r="A10" s="160">
        <v>4</v>
      </c>
      <c r="B10" s="52" t="s">
        <v>31</v>
      </c>
      <c r="C10" s="54">
        <f>C6*材料成本!F41</f>
        <v>7329530</v>
      </c>
      <c r="D10" s="54">
        <f>D6*材料成本!F42</f>
        <v>0</v>
      </c>
      <c r="E10" s="54">
        <f>E6*材料成本!F43</f>
        <v>0</v>
      </c>
      <c r="F10" s="54">
        <f>F6*材料成本!F44</f>
        <v>0</v>
      </c>
      <c r="G10" s="54">
        <f t="shared" si="0"/>
        <v>7329530</v>
      </c>
      <c r="R10" s="52" t="s">
        <v>31</v>
      </c>
      <c r="AH10" s="52" t="s">
        <v>32</v>
      </c>
      <c r="AI10" s="52" t="s">
        <v>31</v>
      </c>
      <c r="AJ10" s="48" t="s">
        <v>33</v>
      </c>
    </row>
    <row r="11" spans="1:36">
      <c r="A11" s="160">
        <v>5</v>
      </c>
      <c r="B11" s="52" t="s">
        <v>34</v>
      </c>
      <c r="C11" s="54">
        <f>+C6*C36</f>
        <v>730859.82284191973</v>
      </c>
      <c r="D11" s="54">
        <f>+D6*D36</f>
        <v>0</v>
      </c>
      <c r="E11" s="54">
        <f t="shared" ref="E11:F11" si="2">+E6*E36</f>
        <v>0</v>
      </c>
      <c r="F11" s="54">
        <f t="shared" si="2"/>
        <v>0</v>
      </c>
      <c r="G11" s="54">
        <f t="shared" si="0"/>
        <v>730859.82284191973</v>
      </c>
      <c r="R11" s="52" t="s">
        <v>34</v>
      </c>
      <c r="AH11" s="52" t="s">
        <v>35</v>
      </c>
      <c r="AI11" s="52" t="s">
        <v>34</v>
      </c>
    </row>
    <row r="12" spans="1:36">
      <c r="A12" s="160">
        <v>6</v>
      </c>
      <c r="B12" s="52" t="s">
        <v>36</v>
      </c>
      <c r="C12" s="54">
        <f>+C6*C37</f>
        <v>195987.8648139959</v>
      </c>
      <c r="D12" s="54">
        <f t="shared" ref="D12:F12" si="3">+D6*D37</f>
        <v>0</v>
      </c>
      <c r="E12" s="54">
        <f t="shared" si="3"/>
        <v>0</v>
      </c>
      <c r="F12" s="54">
        <f t="shared" si="3"/>
        <v>0</v>
      </c>
      <c r="G12" s="54">
        <f t="shared" si="0"/>
        <v>195987.8648139959</v>
      </c>
      <c r="R12" s="52" t="s">
        <v>36</v>
      </c>
      <c r="AH12" s="52" t="s">
        <v>37</v>
      </c>
      <c r="AI12" s="52" t="s">
        <v>36</v>
      </c>
    </row>
    <row r="13" spans="1:36">
      <c r="A13" s="160">
        <v>7</v>
      </c>
      <c r="B13" s="52" t="s">
        <v>38</v>
      </c>
      <c r="C13" s="54">
        <f>+C6*C38</f>
        <v>520000</v>
      </c>
      <c r="D13" s="54">
        <f t="shared" ref="D13:F13" si="4">+D6*D38</f>
        <v>0</v>
      </c>
      <c r="E13" s="54">
        <f t="shared" si="4"/>
        <v>0</v>
      </c>
      <c r="F13" s="54">
        <f t="shared" si="4"/>
        <v>0</v>
      </c>
      <c r="G13" s="54">
        <f t="shared" si="0"/>
        <v>520000</v>
      </c>
      <c r="R13" s="52" t="s">
        <v>38</v>
      </c>
      <c r="AH13" s="52" t="s">
        <v>39</v>
      </c>
      <c r="AI13" s="52" t="s">
        <v>38</v>
      </c>
      <c r="AJ13" s="48" t="s">
        <v>22</v>
      </c>
    </row>
    <row r="14" spans="1:36">
      <c r="A14" s="160">
        <v>8</v>
      </c>
      <c r="B14" s="55" t="s">
        <v>40</v>
      </c>
      <c r="C14" s="54">
        <f>SUM(C11:C13)</f>
        <v>1446847.6876559155</v>
      </c>
      <c r="D14" s="54">
        <f t="shared" ref="D14:F14" si="5">SUM(D11:D13)</f>
        <v>0</v>
      </c>
      <c r="E14" s="54">
        <f t="shared" si="5"/>
        <v>0</v>
      </c>
      <c r="F14" s="54">
        <f t="shared" si="5"/>
        <v>0</v>
      </c>
      <c r="G14" s="54">
        <f t="shared" si="0"/>
        <v>1446847.6876559155</v>
      </c>
      <c r="R14" s="55" t="s">
        <v>40</v>
      </c>
      <c r="AH14" s="52" t="s">
        <v>41</v>
      </c>
      <c r="AI14" s="55" t="s">
        <v>40</v>
      </c>
    </row>
    <row r="15" spans="1:36">
      <c r="A15" s="160">
        <v>9</v>
      </c>
      <c r="B15" s="55" t="s">
        <v>42</v>
      </c>
      <c r="C15" s="54">
        <f>+C9-C10-C14</f>
        <v>4223622.3123440864</v>
      </c>
      <c r="D15" s="54">
        <f t="shared" ref="D15:F15" si="6">+D9-D10-D14</f>
        <v>0</v>
      </c>
      <c r="E15" s="54">
        <f t="shared" si="6"/>
        <v>0</v>
      </c>
      <c r="F15" s="54">
        <f t="shared" si="6"/>
        <v>0</v>
      </c>
      <c r="G15" s="54">
        <f t="shared" si="0"/>
        <v>4223622.3123440864</v>
      </c>
      <c r="R15" s="55" t="s">
        <v>42</v>
      </c>
      <c r="AH15" s="52" t="s">
        <v>43</v>
      </c>
      <c r="AI15" s="55" t="s">
        <v>42</v>
      </c>
    </row>
    <row r="16" spans="1:36">
      <c r="A16" s="160">
        <v>10</v>
      </c>
      <c r="B16" s="52" t="s">
        <v>44</v>
      </c>
      <c r="C16" s="56">
        <f>+C15/C9</f>
        <v>0.32489402402646811</v>
      </c>
      <c r="D16" s="56" t="e">
        <f>+D15/D9</f>
        <v>#DIV/0!</v>
      </c>
      <c r="E16" s="56" t="e">
        <f t="shared" ref="E16:F16" si="7">+E15/E9</f>
        <v>#DIV/0!</v>
      </c>
      <c r="F16" s="56" t="e">
        <f t="shared" si="7"/>
        <v>#DIV/0!</v>
      </c>
      <c r="G16" s="56">
        <f t="shared" ref="G16" si="8">+G15/G9</f>
        <v>0.32489402402646811</v>
      </c>
      <c r="R16" s="52" t="s">
        <v>44</v>
      </c>
      <c r="AH16" s="52" t="s">
        <v>45</v>
      </c>
      <c r="AI16" s="52" t="s">
        <v>44</v>
      </c>
    </row>
    <row r="17" spans="1:36">
      <c r="A17" s="160">
        <v>11</v>
      </c>
      <c r="B17" s="52" t="s">
        <v>46</v>
      </c>
      <c r="C17" s="54">
        <f>C6*C43+C18</f>
        <v>682660.00000000012</v>
      </c>
      <c r="D17" s="54">
        <f t="shared" ref="D17:F17" si="9">D6*D43+D18</f>
        <v>0</v>
      </c>
      <c r="E17" s="54">
        <f t="shared" si="9"/>
        <v>0</v>
      </c>
      <c r="F17" s="54">
        <f t="shared" si="9"/>
        <v>0</v>
      </c>
      <c r="G17" s="54">
        <f>SUM(C17:F17)</f>
        <v>682660.00000000012</v>
      </c>
      <c r="H17" s="69"/>
      <c r="R17" s="52" t="s">
        <v>46</v>
      </c>
      <c r="AH17" s="52" t="s">
        <v>47</v>
      </c>
      <c r="AI17" s="52" t="s">
        <v>46</v>
      </c>
    </row>
    <row r="18" spans="1:36" s="46" customFormat="1">
      <c r="A18" s="160">
        <v>12</v>
      </c>
      <c r="B18" s="57" t="s">
        <v>152</v>
      </c>
      <c r="C18" s="58">
        <f>$G$18/$G$6*C6</f>
        <v>97660</v>
      </c>
      <c r="D18" s="58">
        <f>$G$18/$G$6*D6</f>
        <v>0</v>
      </c>
      <c r="E18" s="58">
        <f>$G$18/$G$6*E6</f>
        <v>0</v>
      </c>
      <c r="F18" s="58">
        <f>$G$18/$G$6*F6</f>
        <v>0</v>
      </c>
      <c r="G18" s="58">
        <f>项目投资!E26</f>
        <v>97660</v>
      </c>
      <c r="H18" s="70" t="s">
        <v>153</v>
      </c>
      <c r="I18" s="70"/>
      <c r="J18" s="70"/>
    </row>
    <row r="19" spans="1:36">
      <c r="A19" s="160">
        <v>13</v>
      </c>
      <c r="B19" s="52" t="s">
        <v>48</v>
      </c>
      <c r="C19" s="54">
        <f>C6*C44</f>
        <v>91000.000000000015</v>
      </c>
      <c r="D19" s="54">
        <f t="shared" ref="D19:F19" si="10">D6*D44</f>
        <v>0</v>
      </c>
      <c r="E19" s="54">
        <f t="shared" si="10"/>
        <v>0</v>
      </c>
      <c r="F19" s="54">
        <f t="shared" si="10"/>
        <v>0</v>
      </c>
      <c r="G19" s="54">
        <f>SUM(C19:F19)</f>
        <v>91000.000000000015</v>
      </c>
      <c r="H19" s="46"/>
      <c r="R19" s="52" t="s">
        <v>48</v>
      </c>
      <c r="AH19" s="52" t="s">
        <v>49</v>
      </c>
      <c r="AI19" s="52" t="s">
        <v>48</v>
      </c>
      <c r="AJ19" s="48" t="s">
        <v>22</v>
      </c>
    </row>
    <row r="20" spans="1:36">
      <c r="A20" s="160">
        <v>14</v>
      </c>
      <c r="B20" s="52" t="s">
        <v>50</v>
      </c>
      <c r="C20" s="54">
        <f>C6*C45</f>
        <v>390000.00000000006</v>
      </c>
      <c r="D20" s="54">
        <f t="shared" ref="D20:F20" si="11">D6*D45</f>
        <v>0</v>
      </c>
      <c r="E20" s="54">
        <f t="shared" si="11"/>
        <v>0</v>
      </c>
      <c r="F20" s="54">
        <f t="shared" si="11"/>
        <v>0</v>
      </c>
      <c r="G20" s="54">
        <f>SUM(C20:F20)</f>
        <v>390000.00000000006</v>
      </c>
      <c r="R20" s="52" t="s">
        <v>50</v>
      </c>
      <c r="AH20" s="52" t="s">
        <v>51</v>
      </c>
      <c r="AI20" s="52" t="s">
        <v>50</v>
      </c>
    </row>
    <row r="21" spans="1:36">
      <c r="A21" s="160">
        <v>15</v>
      </c>
      <c r="B21" s="52" t="s">
        <v>52</v>
      </c>
      <c r="C21" s="59">
        <f>$G$21/$G$6*C6</f>
        <v>114000</v>
      </c>
      <c r="D21" s="59">
        <f>$G$21/$G$6*D6</f>
        <v>0</v>
      </c>
      <c r="E21" s="59">
        <f>$G$21/$G$6*E6</f>
        <v>0</v>
      </c>
      <c r="F21" s="59">
        <f>$G$21/$G$6*F6</f>
        <v>0</v>
      </c>
      <c r="G21" s="54">
        <f>项目投资!D27</f>
        <v>114000</v>
      </c>
      <c r="R21" s="52" t="s">
        <v>52</v>
      </c>
      <c r="AH21" s="52"/>
      <c r="AI21" s="52"/>
    </row>
    <row r="22" spans="1:36">
      <c r="A22" s="160">
        <v>16</v>
      </c>
      <c r="B22" s="52" t="s">
        <v>53</v>
      </c>
      <c r="C22" s="54">
        <f>C6*C47</f>
        <v>520000.00000000006</v>
      </c>
      <c r="D22" s="54">
        <f t="shared" ref="D22:F22" si="12">D6*D47</f>
        <v>0</v>
      </c>
      <c r="E22" s="54">
        <f t="shared" si="12"/>
        <v>0</v>
      </c>
      <c r="F22" s="54">
        <f t="shared" si="12"/>
        <v>0</v>
      </c>
      <c r="G22" s="54">
        <f>SUM(C22:F22)</f>
        <v>520000.00000000006</v>
      </c>
      <c r="R22" s="52" t="s">
        <v>53</v>
      </c>
      <c r="AH22" s="52" t="s">
        <v>54</v>
      </c>
      <c r="AI22" s="52" t="s">
        <v>53</v>
      </c>
    </row>
    <row r="23" spans="1:36">
      <c r="A23" s="160">
        <v>17</v>
      </c>
      <c r="B23" s="55" t="s">
        <v>55</v>
      </c>
      <c r="C23" s="59">
        <f>+C22+C21+C20+C19+C17</f>
        <v>1797660</v>
      </c>
      <c r="D23" s="59">
        <f t="shared" ref="D23:F23" si="13">+D22+D21+D20+D19+D17</f>
        <v>0</v>
      </c>
      <c r="E23" s="59">
        <f t="shared" si="13"/>
        <v>0</v>
      </c>
      <c r="F23" s="59">
        <f t="shared" si="13"/>
        <v>0</v>
      </c>
      <c r="G23" s="59">
        <f t="shared" ref="G23" si="14">+G22+G21+G20+G19+G17</f>
        <v>1797660</v>
      </c>
      <c r="R23" s="55" t="s">
        <v>55</v>
      </c>
      <c r="AH23" s="52" t="s">
        <v>56</v>
      </c>
      <c r="AI23" s="55" t="s">
        <v>55</v>
      </c>
    </row>
    <row r="24" spans="1:36">
      <c r="A24" s="160">
        <v>18</v>
      </c>
      <c r="B24" s="60" t="s">
        <v>57</v>
      </c>
      <c r="C24" s="59">
        <f>+C15-C23</f>
        <v>2425962.3123440864</v>
      </c>
      <c r="D24" s="59">
        <f t="shared" ref="D24:F24" si="15">+D15-D23</f>
        <v>0</v>
      </c>
      <c r="E24" s="59">
        <f t="shared" si="15"/>
        <v>0</v>
      </c>
      <c r="F24" s="59">
        <f t="shared" si="15"/>
        <v>0</v>
      </c>
      <c r="G24" s="59">
        <f t="shared" ref="G24" si="16">+G15-G23</f>
        <v>2425962.3123440864</v>
      </c>
      <c r="I24" s="71"/>
      <c r="R24" s="52" t="s">
        <v>57</v>
      </c>
      <c r="AH24" s="52" t="s">
        <v>58</v>
      </c>
      <c r="AI24" s="52" t="s">
        <v>57</v>
      </c>
    </row>
    <row r="25" spans="1:36">
      <c r="A25" s="160">
        <v>19</v>
      </c>
      <c r="B25" s="52" t="s">
        <v>277</v>
      </c>
      <c r="C25" s="59">
        <f>IF(C24&lt;0,0,C24*0.15)</f>
        <v>363894.34685161297</v>
      </c>
      <c r="D25" s="59">
        <f>IF(D24&lt;0,0,D24*0.15)</f>
        <v>0</v>
      </c>
      <c r="E25" s="59">
        <f>IF(E24&lt;0,0,E24*0.15)</f>
        <v>0</v>
      </c>
      <c r="F25" s="59">
        <f>IF(F24&lt;0,0,F24*0.15)</f>
        <v>0</v>
      </c>
      <c r="G25" s="59">
        <f>IF(G24&lt;0,0,G24*0.15)</f>
        <v>363894.34685161297</v>
      </c>
      <c r="H25" s="67"/>
      <c r="I25" s="67"/>
      <c r="J25" s="67"/>
      <c r="R25" s="52" t="s">
        <v>59</v>
      </c>
      <c r="AH25" s="52" t="s">
        <v>60</v>
      </c>
      <c r="AI25" s="52" t="s">
        <v>59</v>
      </c>
    </row>
    <row r="26" spans="1:36">
      <c r="A26" s="160">
        <v>20</v>
      </c>
      <c r="B26" s="52" t="s">
        <v>61</v>
      </c>
      <c r="C26" s="59">
        <f t="shared" ref="C26:F26" si="17">C24-C25</f>
        <v>2062067.9654924734</v>
      </c>
      <c r="D26" s="59">
        <f t="shared" si="17"/>
        <v>0</v>
      </c>
      <c r="E26" s="59">
        <f t="shared" si="17"/>
        <v>0</v>
      </c>
      <c r="F26" s="59">
        <f t="shared" si="17"/>
        <v>0</v>
      </c>
      <c r="G26" s="54">
        <f>SUM(C26:F26)</f>
        <v>2062067.9654924734</v>
      </c>
      <c r="H26" s="67"/>
      <c r="I26" s="67"/>
      <c r="J26" s="67"/>
      <c r="R26" s="52" t="s">
        <v>61</v>
      </c>
      <c r="AH26" s="52" t="s">
        <v>62</v>
      </c>
      <c r="AI26" s="52" t="s">
        <v>61</v>
      </c>
    </row>
    <row r="27" spans="1:36">
      <c r="A27" s="160">
        <v>21</v>
      </c>
      <c r="B27" s="52" t="s">
        <v>65</v>
      </c>
      <c r="C27" s="61">
        <f t="shared" ref="C27:G27" si="18">C26/C7</f>
        <v>0.15862061273019024</v>
      </c>
      <c r="D27" s="61" t="e">
        <f t="shared" ref="D27:F27" si="19">D26/D7</f>
        <v>#DIV/0!</v>
      </c>
      <c r="E27" s="61" t="e">
        <f t="shared" si="19"/>
        <v>#DIV/0!</v>
      </c>
      <c r="F27" s="61" t="e">
        <f t="shared" si="19"/>
        <v>#DIV/0!</v>
      </c>
      <c r="G27" s="202">
        <f t="shared" si="18"/>
        <v>0.15862061273019024</v>
      </c>
      <c r="H27" s="67"/>
      <c r="I27" s="67"/>
      <c r="J27" s="67"/>
      <c r="R27" s="52" t="s">
        <v>65</v>
      </c>
      <c r="AH27" s="52" t="s">
        <v>64</v>
      </c>
      <c r="AI27" s="52" t="s">
        <v>65</v>
      </c>
    </row>
    <row r="28" spans="1:36">
      <c r="H28" s="67"/>
      <c r="I28" s="67"/>
      <c r="J28" s="67"/>
      <c r="R28" s="52"/>
    </row>
    <row r="29" spans="1:36">
      <c r="A29" s="48" t="s">
        <v>66</v>
      </c>
      <c r="G29" s="49" t="s">
        <v>155</v>
      </c>
      <c r="H29" s="67"/>
      <c r="I29" s="67"/>
      <c r="J29" s="67"/>
      <c r="R29" s="52"/>
      <c r="AH29" s="48" t="s">
        <v>66</v>
      </c>
    </row>
    <row r="30" spans="1:36">
      <c r="A30" s="52" t="s">
        <v>71</v>
      </c>
      <c r="B30" s="55" t="s">
        <v>72</v>
      </c>
      <c r="C30" s="59"/>
      <c r="D30" s="59"/>
      <c r="E30" s="59"/>
      <c r="F30" s="59"/>
      <c r="G30" s="59"/>
      <c r="H30" s="67"/>
      <c r="I30" s="67"/>
      <c r="J30" s="67"/>
      <c r="L30" s="67"/>
      <c r="R30" s="55" t="s">
        <v>72</v>
      </c>
      <c r="AH30" s="52" t="s">
        <v>73</v>
      </c>
      <c r="AI30" s="55" t="s">
        <v>72</v>
      </c>
    </row>
    <row r="31" spans="1:36">
      <c r="A31" s="160">
        <v>1</v>
      </c>
      <c r="B31" s="57" t="s">
        <v>74</v>
      </c>
      <c r="C31" s="63">
        <f>销量!C8</f>
        <v>2600.0000000000005</v>
      </c>
      <c r="D31" s="63">
        <f>销量!D8</f>
        <v>0</v>
      </c>
      <c r="E31" s="63">
        <f>销量!E8</f>
        <v>0</v>
      </c>
      <c r="F31" s="63">
        <f>销量!F8</f>
        <v>0</v>
      </c>
      <c r="G31" s="59"/>
      <c r="H31" s="67"/>
      <c r="I31" s="67"/>
      <c r="J31" s="67"/>
      <c r="L31" s="67"/>
      <c r="R31" s="52" t="s">
        <v>74</v>
      </c>
      <c r="AH31" s="52" t="s">
        <v>24</v>
      </c>
      <c r="AI31" s="52" t="s">
        <v>74</v>
      </c>
    </row>
    <row r="32" spans="1:36">
      <c r="A32" s="160">
        <v>2</v>
      </c>
      <c r="B32" s="52" t="s">
        <v>156</v>
      </c>
      <c r="C32" s="54">
        <f>C9/C6</f>
        <v>2600.0000000000005</v>
      </c>
      <c r="D32" s="54" t="e">
        <f t="shared" ref="D32:F32" si="20">D9/D6</f>
        <v>#DIV/0!</v>
      </c>
      <c r="E32" s="54" t="e">
        <f t="shared" si="20"/>
        <v>#DIV/0!</v>
      </c>
      <c r="F32" s="54" t="e">
        <f t="shared" si="20"/>
        <v>#DIV/0!</v>
      </c>
      <c r="G32" s="59"/>
      <c r="H32" s="67"/>
      <c r="I32" s="67"/>
      <c r="J32" s="67"/>
      <c r="K32" s="67"/>
      <c r="L32" s="67"/>
      <c r="M32" s="67"/>
      <c r="N32" s="67"/>
      <c r="AH32" s="52"/>
      <c r="AI32" s="52"/>
    </row>
    <row r="33" spans="1:35">
      <c r="A33" s="160">
        <v>3</v>
      </c>
      <c r="B33" s="57" t="s">
        <v>75</v>
      </c>
      <c r="C33" s="54">
        <f>材料成本!F41</f>
        <v>1465.9059999999999</v>
      </c>
      <c r="D33" s="54">
        <f>材料成本!F42</f>
        <v>0</v>
      </c>
      <c r="E33" s="54">
        <f>材料成本!F43</f>
        <v>0</v>
      </c>
      <c r="F33" s="54">
        <f>材料成本!F44</f>
        <v>0</v>
      </c>
      <c r="G33" s="59"/>
      <c r="I33" s="67"/>
      <c r="J33" s="67"/>
      <c r="K33" s="67"/>
      <c r="L33" s="67"/>
      <c r="M33" s="67"/>
      <c r="N33" s="67"/>
      <c r="R33" s="52" t="s">
        <v>75</v>
      </c>
      <c r="AH33" s="52" t="s">
        <v>26</v>
      </c>
      <c r="AI33" s="52" t="s">
        <v>75</v>
      </c>
    </row>
    <row r="34" spans="1:35" ht="17.25" customHeight="1">
      <c r="A34" s="160">
        <v>4</v>
      </c>
      <c r="B34" s="52" t="s">
        <v>77</v>
      </c>
      <c r="C34" s="64">
        <f>C32-C33</f>
        <v>1134.0940000000005</v>
      </c>
      <c r="D34" s="64" t="e">
        <f t="shared" ref="D34:F34" si="21">D32-D33</f>
        <v>#DIV/0!</v>
      </c>
      <c r="E34" s="64" t="e">
        <f t="shared" si="21"/>
        <v>#DIV/0!</v>
      </c>
      <c r="F34" s="64" t="e">
        <f t="shared" si="21"/>
        <v>#DIV/0!</v>
      </c>
      <c r="G34" s="59"/>
      <c r="I34" s="67"/>
      <c r="J34" s="67"/>
      <c r="K34" s="67"/>
      <c r="L34" s="67"/>
      <c r="M34" s="67"/>
      <c r="N34" s="67"/>
      <c r="R34" s="52" t="s">
        <v>77</v>
      </c>
      <c r="AH34" s="52" t="s">
        <v>76</v>
      </c>
      <c r="AI34" s="52" t="s">
        <v>77</v>
      </c>
    </row>
    <row r="35" spans="1:35">
      <c r="A35" s="52" t="s">
        <v>73</v>
      </c>
      <c r="B35" s="55" t="s">
        <v>10</v>
      </c>
      <c r="C35" s="59"/>
      <c r="D35" s="59"/>
      <c r="E35" s="59"/>
      <c r="F35" s="59"/>
      <c r="G35" s="59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5" t="s">
        <v>10</v>
      </c>
      <c r="AH35" s="52" t="s">
        <v>79</v>
      </c>
      <c r="AI35" s="55" t="s">
        <v>10</v>
      </c>
    </row>
    <row r="36" spans="1:35">
      <c r="A36" s="160">
        <v>1</v>
      </c>
      <c r="B36" s="52" t="s">
        <v>80</v>
      </c>
      <c r="C36" s="58">
        <f>'2022年'!C36</f>
        <v>146.17196456838394</v>
      </c>
      <c r="D36" s="58">
        <f>'2022年'!D36</f>
        <v>0</v>
      </c>
      <c r="E36" s="58">
        <f>'2022年'!E36</f>
        <v>0</v>
      </c>
      <c r="F36" s="58">
        <f>'2022年'!F36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2" t="s">
        <v>80</v>
      </c>
      <c r="AH36" s="52" t="s">
        <v>76</v>
      </c>
      <c r="AI36" s="52" t="s">
        <v>80</v>
      </c>
    </row>
    <row r="37" spans="1:35">
      <c r="A37" s="160">
        <v>2</v>
      </c>
      <c r="B37" s="52" t="s">
        <v>81</v>
      </c>
      <c r="C37" s="58">
        <f>'2022年'!C37</f>
        <v>39.197572962799178</v>
      </c>
      <c r="D37" s="58">
        <f>'2022年'!D37</f>
        <v>0</v>
      </c>
      <c r="E37" s="58">
        <f>'2022年'!E37</f>
        <v>0</v>
      </c>
      <c r="F37" s="58">
        <f>'2022年'!F37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2" t="s">
        <v>81</v>
      </c>
      <c r="AH37" s="52" t="s">
        <v>29</v>
      </c>
      <c r="AI37" s="52" t="s">
        <v>81</v>
      </c>
    </row>
    <row r="38" spans="1:35">
      <c r="A38" s="160">
        <v>3</v>
      </c>
      <c r="B38" s="52" t="s">
        <v>82</v>
      </c>
      <c r="C38" s="58">
        <f>'2022年'!C38</f>
        <v>104</v>
      </c>
      <c r="D38" s="58">
        <f>'2022年'!D38</f>
        <v>0</v>
      </c>
      <c r="E38" s="58">
        <f>'2022年'!E38</f>
        <v>0</v>
      </c>
      <c r="F38" s="58">
        <f>'2022年'!F38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2" t="s">
        <v>82</v>
      </c>
      <c r="AH38" s="52" t="s">
        <v>35</v>
      </c>
      <c r="AI38" s="52" t="s">
        <v>82</v>
      </c>
    </row>
    <row r="39" spans="1:35">
      <c r="A39" s="52" t="s">
        <v>79</v>
      </c>
      <c r="B39" s="55" t="s">
        <v>84</v>
      </c>
      <c r="C39" s="59"/>
      <c r="D39" s="59"/>
      <c r="E39" s="59"/>
      <c r="F39" s="59"/>
      <c r="G39" s="59"/>
      <c r="R39" s="55" t="s">
        <v>84</v>
      </c>
      <c r="AH39" s="52" t="s">
        <v>83</v>
      </c>
      <c r="AI39" s="55" t="s">
        <v>84</v>
      </c>
    </row>
    <row r="40" spans="1:35">
      <c r="A40" s="160">
        <v>1</v>
      </c>
      <c r="B40" s="52" t="s">
        <v>86</v>
      </c>
      <c r="C40" s="59">
        <f>C34-C36-C37-C38</f>
        <v>844.72446246881736</v>
      </c>
      <c r="D40" s="59" t="e">
        <f t="shared" ref="D40:F40" si="22">D34-D36-D37-D38</f>
        <v>#DIV/0!</v>
      </c>
      <c r="E40" s="59" t="e">
        <f t="shared" si="22"/>
        <v>#DIV/0!</v>
      </c>
      <c r="F40" s="59" t="e">
        <f t="shared" si="22"/>
        <v>#DIV/0!</v>
      </c>
      <c r="G40" s="59"/>
      <c r="R40" s="52" t="s">
        <v>86</v>
      </c>
      <c r="AH40" s="52" t="s">
        <v>24</v>
      </c>
      <c r="AI40" s="52" t="s">
        <v>86</v>
      </c>
    </row>
    <row r="41" spans="1:35">
      <c r="A41" s="160">
        <v>2</v>
      </c>
      <c r="B41" s="52" t="s">
        <v>87</v>
      </c>
      <c r="C41" s="59"/>
      <c r="D41" s="59"/>
      <c r="E41" s="59"/>
      <c r="F41" s="59"/>
      <c r="G41" s="59"/>
      <c r="R41" s="52" t="s">
        <v>87</v>
      </c>
      <c r="AH41" s="52" t="s">
        <v>26</v>
      </c>
      <c r="AI41" s="52" t="s">
        <v>87</v>
      </c>
    </row>
    <row r="42" spans="1:35">
      <c r="A42" s="52" t="s">
        <v>83</v>
      </c>
      <c r="B42" s="55" t="s">
        <v>89</v>
      </c>
      <c r="C42" s="59"/>
      <c r="D42" s="59"/>
      <c r="E42" s="59"/>
      <c r="F42" s="59"/>
      <c r="G42" s="59"/>
      <c r="R42" s="55" t="s">
        <v>89</v>
      </c>
      <c r="AH42" s="52" t="s">
        <v>88</v>
      </c>
      <c r="AI42" s="55" t="s">
        <v>89</v>
      </c>
    </row>
    <row r="43" spans="1:35">
      <c r="A43" s="160">
        <v>1</v>
      </c>
      <c r="B43" s="60" t="s">
        <v>90</v>
      </c>
      <c r="C43" s="58">
        <f>'2022年'!C43</f>
        <v>117.00000000000001</v>
      </c>
      <c r="D43" s="58">
        <f>'2022年'!D43</f>
        <v>0</v>
      </c>
      <c r="E43" s="58">
        <f>'2022年'!E43</f>
        <v>0</v>
      </c>
      <c r="F43" s="58">
        <f>'2022年'!F43</f>
        <v>0</v>
      </c>
      <c r="G43" s="59"/>
      <c r="R43" s="52" t="s">
        <v>90</v>
      </c>
      <c r="AH43" s="52" t="s">
        <v>24</v>
      </c>
      <c r="AI43" s="52" t="s">
        <v>90</v>
      </c>
    </row>
    <row r="44" spans="1:35">
      <c r="A44" s="160">
        <v>2</v>
      </c>
      <c r="B44" s="60" t="s">
        <v>91</v>
      </c>
      <c r="C44" s="58">
        <f>'2022年'!C44</f>
        <v>18.200000000000003</v>
      </c>
      <c r="D44" s="58">
        <f>'2022年'!D44</f>
        <v>0</v>
      </c>
      <c r="E44" s="58">
        <f>'2022年'!E44</f>
        <v>0</v>
      </c>
      <c r="F44" s="58">
        <f>'2022年'!F44</f>
        <v>0</v>
      </c>
      <c r="G44" s="59"/>
      <c r="R44" s="52" t="s">
        <v>91</v>
      </c>
      <c r="AH44" s="52" t="s">
        <v>26</v>
      </c>
      <c r="AI44" s="52" t="s">
        <v>91</v>
      </c>
    </row>
    <row r="45" spans="1:35">
      <c r="A45" s="160">
        <v>3</v>
      </c>
      <c r="B45" s="60" t="s">
        <v>92</v>
      </c>
      <c r="C45" s="58">
        <f>'2022年'!C45</f>
        <v>78.000000000000014</v>
      </c>
      <c r="D45" s="58">
        <f>'2022年'!D45</f>
        <v>0</v>
      </c>
      <c r="E45" s="58">
        <f>'2022年'!E45</f>
        <v>0</v>
      </c>
      <c r="F45" s="58">
        <f>'2022年'!F45</f>
        <v>0</v>
      </c>
      <c r="G45" s="59"/>
      <c r="R45" s="52" t="s">
        <v>92</v>
      </c>
      <c r="AH45" s="52" t="s">
        <v>76</v>
      </c>
      <c r="AI45" s="52" t="s">
        <v>92</v>
      </c>
    </row>
    <row r="46" spans="1:35" s="47" customFormat="1">
      <c r="A46" s="160">
        <v>4</v>
      </c>
      <c r="B46" s="60" t="s">
        <v>93</v>
      </c>
      <c r="C46" s="65">
        <f>C21/C6</f>
        <v>22.8</v>
      </c>
      <c r="D46" s="65" t="e">
        <f t="shared" ref="D46:F46" si="23">D21/D6</f>
        <v>#DIV/0!</v>
      </c>
      <c r="E46" s="65" t="e">
        <f t="shared" si="23"/>
        <v>#DIV/0!</v>
      </c>
      <c r="F46" s="65" t="e">
        <f t="shared" si="23"/>
        <v>#DIV/0!</v>
      </c>
      <c r="G46" s="65"/>
      <c r="R46" s="60" t="s">
        <v>95</v>
      </c>
      <c r="AH46" s="60" t="s">
        <v>32</v>
      </c>
      <c r="AI46" s="60" t="s">
        <v>95</v>
      </c>
    </row>
    <row r="47" spans="1:35" s="47" customFormat="1">
      <c r="A47" s="160">
        <v>5</v>
      </c>
      <c r="B47" s="60" t="s">
        <v>95</v>
      </c>
      <c r="C47" s="65">
        <f>'2022年'!C47</f>
        <v>104.00000000000001</v>
      </c>
      <c r="D47" s="65">
        <f>'2022年'!D47</f>
        <v>0</v>
      </c>
      <c r="E47" s="65">
        <f>'2022年'!E47</f>
        <v>0</v>
      </c>
      <c r="F47" s="65">
        <f>'2022年'!F47</f>
        <v>0</v>
      </c>
      <c r="G47" s="65"/>
      <c r="R47" s="60" t="s">
        <v>95</v>
      </c>
      <c r="AH47" s="60" t="s">
        <v>32</v>
      </c>
      <c r="AI47" s="60" t="s">
        <v>95</v>
      </c>
    </row>
    <row r="48" spans="1:35">
      <c r="A48" s="52" t="s">
        <v>88</v>
      </c>
      <c r="B48" s="55" t="s">
        <v>106</v>
      </c>
      <c r="C48" s="59">
        <f>C40-C43-C44-C45-C47-C46</f>
        <v>504.72446246881731</v>
      </c>
      <c r="D48" s="59" t="e">
        <f t="shared" ref="D48:F48" si="24">D40-D43-D44-D45-D47-D46</f>
        <v>#DIV/0!</v>
      </c>
      <c r="E48" s="59" t="e">
        <f t="shared" si="24"/>
        <v>#DIV/0!</v>
      </c>
      <c r="F48" s="59" t="e">
        <f t="shared" si="24"/>
        <v>#DIV/0!</v>
      </c>
      <c r="G48" s="59"/>
      <c r="R48" s="55" t="s">
        <v>106</v>
      </c>
      <c r="AH48" s="52" t="s">
        <v>105</v>
      </c>
      <c r="AI48" s="55" t="s">
        <v>106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7" activePane="bottomRight" state="frozen"/>
      <selection pane="topRight"/>
      <selection pane="bottomLeft"/>
      <selection pane="bottomRight" activeCell="C19" sqref="C19"/>
    </sheetView>
  </sheetViews>
  <sheetFormatPr defaultColWidth="9" defaultRowHeight="16.5"/>
  <cols>
    <col min="1" max="1" width="5.125" style="48" customWidth="1"/>
    <col min="2" max="2" width="17.5" style="48" customWidth="1"/>
    <col min="3" max="3" width="18.125" style="49" customWidth="1"/>
    <col min="4" max="6" width="13.25" style="49" customWidth="1"/>
    <col min="7" max="7" width="18.75" style="49" customWidth="1"/>
    <col min="8" max="8" width="12.375" style="48" customWidth="1"/>
    <col min="9" max="9" width="10.125" style="48" customWidth="1"/>
    <col min="10" max="16" width="9" style="48" customWidth="1"/>
    <col min="17" max="33" width="9" style="48"/>
    <col min="34" max="34" width="4.375" style="48" customWidth="1"/>
    <col min="35" max="35" width="13.875" style="48" customWidth="1"/>
    <col min="36" max="16384" width="9" style="48"/>
  </cols>
  <sheetData>
    <row r="1" spans="1:36">
      <c r="A1" s="253" t="s">
        <v>146</v>
      </c>
      <c r="B1" s="253"/>
      <c r="C1" s="257" t="s">
        <v>258</v>
      </c>
      <c r="D1" s="258"/>
      <c r="E1" s="258"/>
      <c r="F1" s="258"/>
      <c r="G1" s="259"/>
    </row>
    <row r="2" spans="1:36">
      <c r="A2" s="253" t="s">
        <v>147</v>
      </c>
      <c r="B2" s="253"/>
      <c r="C2" s="260" t="str">
        <f>'2022年'!C2:G2</f>
        <v>一汽解放</v>
      </c>
      <c r="D2" s="260"/>
      <c r="E2" s="260"/>
      <c r="F2" s="260"/>
      <c r="G2" s="260"/>
    </row>
    <row r="3" spans="1:36">
      <c r="A3" s="253" t="s">
        <v>148</v>
      </c>
      <c r="B3" s="253"/>
      <c r="C3" s="161" t="str">
        <f>销量!C5</f>
        <v>驾驶员座椅</v>
      </c>
      <c r="D3" s="161" t="str">
        <f>销量!D5</f>
        <v>驾驶员座椅</v>
      </c>
      <c r="E3" s="161">
        <f>销量!E5</f>
        <v>0</v>
      </c>
      <c r="F3" s="161">
        <f>销量!F5</f>
        <v>0</v>
      </c>
      <c r="G3" s="254" t="s">
        <v>20</v>
      </c>
    </row>
    <row r="4" spans="1:36">
      <c r="A4" s="253" t="s">
        <v>149</v>
      </c>
      <c r="B4" s="253"/>
      <c r="C4" s="161" t="str">
        <f>销量!C6</f>
        <v>V168100000193</v>
      </c>
      <c r="D4" s="161" t="str">
        <f>销量!D6</f>
        <v>K1气囊减震</v>
      </c>
      <c r="E4" s="161">
        <f>销量!E6</f>
        <v>0</v>
      </c>
      <c r="F4" s="161">
        <f>销量!F6</f>
        <v>0</v>
      </c>
      <c r="G4" s="255"/>
    </row>
    <row r="5" spans="1:36">
      <c r="A5" s="253" t="s">
        <v>150</v>
      </c>
      <c r="B5" s="253"/>
      <c r="C5" s="51"/>
      <c r="D5" s="51"/>
      <c r="E5" s="51"/>
      <c r="F5" s="51"/>
      <c r="G5" s="256"/>
      <c r="AJ5" s="48" t="s">
        <v>21</v>
      </c>
    </row>
    <row r="6" spans="1:36" ht="17.25">
      <c r="A6" s="52" t="s">
        <v>18</v>
      </c>
      <c r="B6" s="53" t="s">
        <v>151</v>
      </c>
      <c r="C6" s="23">
        <f>销量!C11</f>
        <v>5000</v>
      </c>
      <c r="D6" s="23">
        <f>销量!D11</f>
        <v>0</v>
      </c>
      <c r="E6" s="23">
        <f>销量!E11</f>
        <v>0</v>
      </c>
      <c r="F6" s="23">
        <f>销量!F11</f>
        <v>0</v>
      </c>
      <c r="G6" s="54">
        <f t="shared" ref="G6:G15" si="0">SUM(C6:F6)</f>
        <v>5000</v>
      </c>
      <c r="R6" s="53" t="s">
        <v>3</v>
      </c>
      <c r="AH6" s="52" t="s">
        <v>18</v>
      </c>
      <c r="AI6" s="53" t="s">
        <v>3</v>
      </c>
      <c r="AJ6" s="48" t="s">
        <v>22</v>
      </c>
    </row>
    <row r="7" spans="1:36">
      <c r="A7" s="160">
        <v>1</v>
      </c>
      <c r="B7" s="53" t="s">
        <v>23</v>
      </c>
      <c r="C7" s="54">
        <f>C6*销量!C8</f>
        <v>13000000.000000002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 t="shared" si="0"/>
        <v>13000000.000000002</v>
      </c>
      <c r="H7" s="49"/>
      <c r="R7" s="53" t="s">
        <v>23</v>
      </c>
      <c r="AH7" s="52" t="s">
        <v>24</v>
      </c>
      <c r="AI7" s="53" t="s">
        <v>23</v>
      </c>
      <c r="AJ7" s="48" t="s">
        <v>22</v>
      </c>
    </row>
    <row r="8" spans="1:36">
      <c r="A8" s="160">
        <v>2</v>
      </c>
      <c r="B8" s="160" t="s">
        <v>25</v>
      </c>
      <c r="C8" s="54">
        <f>C7*(1-销量!$L$8)</f>
        <v>0</v>
      </c>
      <c r="D8" s="54">
        <f>D7*(1-销量!$L$8)</f>
        <v>0</v>
      </c>
      <c r="E8" s="54">
        <f>E7*(1-销量!$L$8)</f>
        <v>0</v>
      </c>
      <c r="F8" s="54">
        <f>F7*(1-销量!$L$8)</f>
        <v>0</v>
      </c>
      <c r="G8" s="54">
        <f t="shared" si="0"/>
        <v>0</v>
      </c>
      <c r="H8" s="69"/>
      <c r="R8" s="160" t="s">
        <v>27</v>
      </c>
      <c r="AH8" s="52" t="s">
        <v>26</v>
      </c>
      <c r="AI8" s="160" t="s">
        <v>27</v>
      </c>
      <c r="AJ8" s="48" t="s">
        <v>22</v>
      </c>
    </row>
    <row r="9" spans="1:36">
      <c r="A9" s="160">
        <v>3</v>
      </c>
      <c r="B9" s="53" t="s">
        <v>28</v>
      </c>
      <c r="C9" s="54">
        <f>+C7-C8</f>
        <v>13000000.000000002</v>
      </c>
      <c r="D9" s="54">
        <f t="shared" ref="D9:F9" si="1">+D7-D8</f>
        <v>0</v>
      </c>
      <c r="E9" s="54">
        <f t="shared" si="1"/>
        <v>0</v>
      </c>
      <c r="F9" s="54">
        <f t="shared" si="1"/>
        <v>0</v>
      </c>
      <c r="G9" s="54">
        <f t="shared" si="0"/>
        <v>13000000.000000002</v>
      </c>
      <c r="R9" s="53" t="s">
        <v>28</v>
      </c>
      <c r="AH9" s="52" t="s">
        <v>29</v>
      </c>
      <c r="AI9" s="53" t="s">
        <v>28</v>
      </c>
      <c r="AJ9" s="48" t="s">
        <v>30</v>
      </c>
    </row>
    <row r="10" spans="1:36">
      <c r="A10" s="160">
        <v>4</v>
      </c>
      <c r="B10" s="52" t="s">
        <v>31</v>
      </c>
      <c r="C10" s="54">
        <f>C6*材料成本!G41</f>
        <v>7329530</v>
      </c>
      <c r="D10" s="54">
        <f>D6*材料成本!G42</f>
        <v>0</v>
      </c>
      <c r="E10" s="54">
        <f>E6*材料成本!G43</f>
        <v>0</v>
      </c>
      <c r="F10" s="54">
        <f>F6*材料成本!G44</f>
        <v>0</v>
      </c>
      <c r="G10" s="54">
        <f t="shared" si="0"/>
        <v>7329530</v>
      </c>
      <c r="R10" s="52" t="s">
        <v>31</v>
      </c>
      <c r="AH10" s="52" t="s">
        <v>32</v>
      </c>
      <c r="AI10" s="52" t="s">
        <v>31</v>
      </c>
      <c r="AJ10" s="48" t="s">
        <v>33</v>
      </c>
    </row>
    <row r="11" spans="1:36">
      <c r="A11" s="160">
        <v>5</v>
      </c>
      <c r="B11" s="52" t="s">
        <v>34</v>
      </c>
      <c r="C11" s="54">
        <f>+C6*C36</f>
        <v>730859.82284191973</v>
      </c>
      <c r="D11" s="54">
        <f t="shared" ref="D11:F11" si="2">+D6*D36</f>
        <v>0</v>
      </c>
      <c r="E11" s="54">
        <f t="shared" si="2"/>
        <v>0</v>
      </c>
      <c r="F11" s="54">
        <f t="shared" si="2"/>
        <v>0</v>
      </c>
      <c r="G11" s="54">
        <f t="shared" si="0"/>
        <v>730859.82284191973</v>
      </c>
      <c r="R11" s="52" t="s">
        <v>34</v>
      </c>
      <c r="AH11" s="52" t="s">
        <v>35</v>
      </c>
      <c r="AI11" s="52" t="s">
        <v>34</v>
      </c>
    </row>
    <row r="12" spans="1:36">
      <c r="A12" s="160">
        <v>6</v>
      </c>
      <c r="B12" s="52" t="s">
        <v>36</v>
      </c>
      <c r="C12" s="54">
        <f>+C6*C37</f>
        <v>195987.8648139959</v>
      </c>
      <c r="D12" s="54">
        <f t="shared" ref="D12:F12" si="3">+D6*D37</f>
        <v>0</v>
      </c>
      <c r="E12" s="54">
        <f t="shared" si="3"/>
        <v>0</v>
      </c>
      <c r="F12" s="54">
        <f t="shared" si="3"/>
        <v>0</v>
      </c>
      <c r="G12" s="54">
        <f t="shared" si="0"/>
        <v>195987.8648139959</v>
      </c>
      <c r="R12" s="52" t="s">
        <v>36</v>
      </c>
      <c r="AH12" s="52" t="s">
        <v>37</v>
      </c>
      <c r="AI12" s="52" t="s">
        <v>36</v>
      </c>
    </row>
    <row r="13" spans="1:36">
      <c r="A13" s="160">
        <v>7</v>
      </c>
      <c r="B13" s="52" t="s">
        <v>38</v>
      </c>
      <c r="C13" s="54">
        <f>+C6*C38</f>
        <v>520000</v>
      </c>
      <c r="D13" s="54">
        <f t="shared" ref="D13:F13" si="4">+D6*D38</f>
        <v>0</v>
      </c>
      <c r="E13" s="54">
        <f t="shared" si="4"/>
        <v>0</v>
      </c>
      <c r="F13" s="54">
        <f t="shared" si="4"/>
        <v>0</v>
      </c>
      <c r="G13" s="54">
        <f t="shared" si="0"/>
        <v>520000</v>
      </c>
      <c r="R13" s="52" t="s">
        <v>38</v>
      </c>
      <c r="AH13" s="52" t="s">
        <v>39</v>
      </c>
      <c r="AI13" s="52" t="s">
        <v>38</v>
      </c>
      <c r="AJ13" s="48" t="s">
        <v>22</v>
      </c>
    </row>
    <row r="14" spans="1:36">
      <c r="A14" s="160">
        <v>8</v>
      </c>
      <c r="B14" s="55" t="s">
        <v>40</v>
      </c>
      <c r="C14" s="54">
        <f>SUM(C11:C13)</f>
        <v>1446847.6876559155</v>
      </c>
      <c r="D14" s="54">
        <f t="shared" ref="D14:F14" si="5">SUM(D11:D13)</f>
        <v>0</v>
      </c>
      <c r="E14" s="54">
        <f t="shared" si="5"/>
        <v>0</v>
      </c>
      <c r="F14" s="54">
        <f t="shared" si="5"/>
        <v>0</v>
      </c>
      <c r="G14" s="54">
        <f t="shared" si="0"/>
        <v>1446847.6876559155</v>
      </c>
      <c r="R14" s="55" t="s">
        <v>40</v>
      </c>
      <c r="AH14" s="52" t="s">
        <v>41</v>
      </c>
      <c r="AI14" s="55" t="s">
        <v>40</v>
      </c>
    </row>
    <row r="15" spans="1:36">
      <c r="A15" s="160">
        <v>9</v>
      </c>
      <c r="B15" s="55" t="s">
        <v>42</v>
      </c>
      <c r="C15" s="54">
        <f>+C9-C10-C14</f>
        <v>4223622.3123440864</v>
      </c>
      <c r="D15" s="54">
        <f t="shared" ref="D15:F15" si="6">+D9-D10-D14</f>
        <v>0</v>
      </c>
      <c r="E15" s="54">
        <f t="shared" si="6"/>
        <v>0</v>
      </c>
      <c r="F15" s="54">
        <f t="shared" si="6"/>
        <v>0</v>
      </c>
      <c r="G15" s="54">
        <f t="shared" si="0"/>
        <v>4223622.3123440864</v>
      </c>
      <c r="R15" s="55" t="s">
        <v>42</v>
      </c>
      <c r="AH15" s="52" t="s">
        <v>43</v>
      </c>
      <c r="AI15" s="55" t="s">
        <v>42</v>
      </c>
    </row>
    <row r="16" spans="1:36">
      <c r="A16" s="160">
        <v>10</v>
      </c>
      <c r="B16" s="52" t="s">
        <v>44</v>
      </c>
      <c r="C16" s="56">
        <f>+C15/C9</f>
        <v>0.32489402402646811</v>
      </c>
      <c r="D16" s="56" t="e">
        <f>+D15/D9</f>
        <v>#DIV/0!</v>
      </c>
      <c r="E16" s="56" t="e">
        <f t="shared" ref="E16:F16" si="7">+E15/E9</f>
        <v>#DIV/0!</v>
      </c>
      <c r="F16" s="56" t="e">
        <f t="shared" si="7"/>
        <v>#DIV/0!</v>
      </c>
      <c r="G16" s="56">
        <f t="shared" ref="G16" si="8">+G15/G9</f>
        <v>0.32489402402646811</v>
      </c>
      <c r="R16" s="52" t="s">
        <v>44</v>
      </c>
      <c r="AH16" s="52" t="s">
        <v>45</v>
      </c>
      <c r="AI16" s="52" t="s">
        <v>44</v>
      </c>
    </row>
    <row r="17" spans="1:36">
      <c r="A17" s="160">
        <v>11</v>
      </c>
      <c r="B17" s="52" t="s">
        <v>46</v>
      </c>
      <c r="C17" s="54">
        <f>C6*C43+C18</f>
        <v>682660.00000000012</v>
      </c>
      <c r="D17" s="54">
        <f t="shared" ref="D17:F17" si="9">D6*D43+D18</f>
        <v>0</v>
      </c>
      <c r="E17" s="54">
        <f t="shared" si="9"/>
        <v>0</v>
      </c>
      <c r="F17" s="54">
        <f t="shared" si="9"/>
        <v>0</v>
      </c>
      <c r="G17" s="54">
        <f>SUM(C17:F17)</f>
        <v>682660.00000000012</v>
      </c>
      <c r="H17" s="69"/>
      <c r="R17" s="52" t="s">
        <v>46</v>
      </c>
      <c r="AH17" s="52" t="s">
        <v>47</v>
      </c>
      <c r="AI17" s="52" t="s">
        <v>46</v>
      </c>
    </row>
    <row r="18" spans="1:36" s="46" customFormat="1">
      <c r="A18" s="160">
        <v>12</v>
      </c>
      <c r="B18" s="57" t="s">
        <v>152</v>
      </c>
      <c r="C18" s="58">
        <f>$G$18/$G$6*C6</f>
        <v>97660</v>
      </c>
      <c r="D18" s="58">
        <f>$G$18/$G$6*D6</f>
        <v>0</v>
      </c>
      <c r="E18" s="58">
        <f>$G$18/$G$6*E6</f>
        <v>0</v>
      </c>
      <c r="F18" s="58">
        <f>$G$18/$G$6*F6</f>
        <v>0</v>
      </c>
      <c r="G18" s="58">
        <f>项目投资!F26</f>
        <v>97660</v>
      </c>
      <c r="H18" s="70" t="s">
        <v>153</v>
      </c>
      <c r="I18" s="70"/>
      <c r="J18" s="70"/>
    </row>
    <row r="19" spans="1:36">
      <c r="A19" s="160">
        <v>13</v>
      </c>
      <c r="B19" s="52" t="s">
        <v>48</v>
      </c>
      <c r="C19" s="54">
        <f>C6*C44</f>
        <v>91000.000000000015</v>
      </c>
      <c r="D19" s="54">
        <f t="shared" ref="D19:F19" si="10">D6*D44</f>
        <v>0</v>
      </c>
      <c r="E19" s="54">
        <f t="shared" si="10"/>
        <v>0</v>
      </c>
      <c r="F19" s="54">
        <f t="shared" si="10"/>
        <v>0</v>
      </c>
      <c r="G19" s="54">
        <f>SUM(C19:C19)</f>
        <v>91000.000000000015</v>
      </c>
      <c r="H19" s="46"/>
      <c r="R19" s="52" t="s">
        <v>48</v>
      </c>
      <c r="AH19" s="52" t="s">
        <v>49</v>
      </c>
      <c r="AI19" s="52" t="s">
        <v>48</v>
      </c>
      <c r="AJ19" s="48" t="s">
        <v>22</v>
      </c>
    </row>
    <row r="20" spans="1:36">
      <c r="A20" s="160">
        <v>14</v>
      </c>
      <c r="B20" s="52" t="s">
        <v>50</v>
      </c>
      <c r="C20" s="54">
        <f>C6*C45</f>
        <v>390000.00000000006</v>
      </c>
      <c r="D20" s="54">
        <f t="shared" ref="D20:F20" si="11">D6*D45</f>
        <v>0</v>
      </c>
      <c r="E20" s="54">
        <f t="shared" si="11"/>
        <v>0</v>
      </c>
      <c r="F20" s="54">
        <f t="shared" si="11"/>
        <v>0</v>
      </c>
      <c r="G20" s="54">
        <f>SUM(C20:F20)</f>
        <v>390000.00000000006</v>
      </c>
      <c r="R20" s="52" t="s">
        <v>50</v>
      </c>
      <c r="AH20" s="52" t="s">
        <v>51</v>
      </c>
      <c r="AI20" s="52" t="s">
        <v>50</v>
      </c>
    </row>
    <row r="21" spans="1:36">
      <c r="A21" s="160">
        <v>15</v>
      </c>
      <c r="B21" s="52" t="s">
        <v>52</v>
      </c>
      <c r="C21" s="59">
        <f>$G$21/$G$6*C6</f>
        <v>114000</v>
      </c>
      <c r="D21" s="59">
        <f>$G$21/$G$6*D6</f>
        <v>0</v>
      </c>
      <c r="E21" s="59">
        <f>$G$21/$G$6*E6</f>
        <v>0</v>
      </c>
      <c r="F21" s="59">
        <f>$G$21/$G$6*F6</f>
        <v>0</v>
      </c>
      <c r="G21" s="54">
        <f>项目投资!D27</f>
        <v>114000</v>
      </c>
      <c r="R21" s="52" t="s">
        <v>52</v>
      </c>
      <c r="AH21" s="52"/>
      <c r="AI21" s="52"/>
    </row>
    <row r="22" spans="1:36">
      <c r="A22" s="160">
        <v>16</v>
      </c>
      <c r="B22" s="52" t="s">
        <v>53</v>
      </c>
      <c r="C22" s="54">
        <f>C6*C47</f>
        <v>520000.00000000006</v>
      </c>
      <c r="D22" s="54">
        <f t="shared" ref="D22:F22" si="12">D6*D47</f>
        <v>0</v>
      </c>
      <c r="E22" s="54">
        <f t="shared" si="12"/>
        <v>0</v>
      </c>
      <c r="F22" s="54">
        <f t="shared" si="12"/>
        <v>0</v>
      </c>
      <c r="G22" s="54">
        <f>SUM(C22:F22)</f>
        <v>520000.00000000006</v>
      </c>
      <c r="R22" s="52" t="s">
        <v>53</v>
      </c>
      <c r="AH22" s="52" t="s">
        <v>54</v>
      </c>
      <c r="AI22" s="52" t="s">
        <v>53</v>
      </c>
    </row>
    <row r="23" spans="1:36">
      <c r="A23" s="160">
        <v>17</v>
      </c>
      <c r="B23" s="55" t="s">
        <v>55</v>
      </c>
      <c r="C23" s="59">
        <f>+C22+C21+C20+C19+C17</f>
        <v>1797660</v>
      </c>
      <c r="D23" s="59">
        <f t="shared" ref="D23:F23" si="13">+D22+D21+D20+D19+D17</f>
        <v>0</v>
      </c>
      <c r="E23" s="59">
        <f t="shared" si="13"/>
        <v>0</v>
      </c>
      <c r="F23" s="59">
        <f t="shared" si="13"/>
        <v>0</v>
      </c>
      <c r="G23" s="59">
        <f t="shared" ref="G23" si="14">+G22+G21+G20+G19+G17</f>
        <v>1797660</v>
      </c>
      <c r="R23" s="55" t="s">
        <v>55</v>
      </c>
      <c r="AH23" s="52" t="s">
        <v>56</v>
      </c>
      <c r="AI23" s="55" t="s">
        <v>55</v>
      </c>
    </row>
    <row r="24" spans="1:36">
      <c r="A24" s="160">
        <v>18</v>
      </c>
      <c r="B24" s="60" t="s">
        <v>57</v>
      </c>
      <c r="C24" s="59">
        <f>+C15-C23</f>
        <v>2425962.3123440864</v>
      </c>
      <c r="D24" s="59">
        <f t="shared" ref="D24:F24" si="15">+D15-D23</f>
        <v>0</v>
      </c>
      <c r="E24" s="59">
        <f t="shared" si="15"/>
        <v>0</v>
      </c>
      <c r="F24" s="59">
        <f t="shared" si="15"/>
        <v>0</v>
      </c>
      <c r="G24" s="59">
        <f t="shared" ref="G24" si="16">+G15-G23</f>
        <v>2425962.3123440864</v>
      </c>
      <c r="I24" s="71"/>
      <c r="R24" s="52" t="s">
        <v>57</v>
      </c>
      <c r="AH24" s="52" t="s">
        <v>58</v>
      </c>
      <c r="AI24" s="52" t="s">
        <v>57</v>
      </c>
    </row>
    <row r="25" spans="1:36">
      <c r="A25" s="160">
        <v>19</v>
      </c>
      <c r="B25" s="52" t="s">
        <v>276</v>
      </c>
      <c r="C25" s="59">
        <f>IF(C24&lt;0,0,C24*0.15)</f>
        <v>363894.34685161297</v>
      </c>
      <c r="D25" s="59">
        <f>IF(D24&lt;0,0,D24*0.15)</f>
        <v>0</v>
      </c>
      <c r="E25" s="59">
        <f>IF(E24&lt;0,0,E24*0.15)</f>
        <v>0</v>
      </c>
      <c r="F25" s="59">
        <f>IF(F24&lt;0,0,F24*0.15)</f>
        <v>0</v>
      </c>
      <c r="G25" s="59">
        <f>IF(G24&lt;0,0,G24*0.15)</f>
        <v>363894.34685161297</v>
      </c>
      <c r="H25" s="67"/>
      <c r="I25" s="67"/>
      <c r="J25" s="67"/>
      <c r="R25" s="52" t="s">
        <v>59</v>
      </c>
      <c r="AH25" s="52" t="s">
        <v>60</v>
      </c>
      <c r="AI25" s="52" t="s">
        <v>59</v>
      </c>
    </row>
    <row r="26" spans="1:36">
      <c r="A26" s="160">
        <v>20</v>
      </c>
      <c r="B26" s="52" t="s">
        <v>61</v>
      </c>
      <c r="C26" s="59">
        <f t="shared" ref="C26:F26" si="17">C24-C25</f>
        <v>2062067.9654924734</v>
      </c>
      <c r="D26" s="59">
        <f t="shared" si="17"/>
        <v>0</v>
      </c>
      <c r="E26" s="59">
        <f t="shared" si="17"/>
        <v>0</v>
      </c>
      <c r="F26" s="59">
        <f t="shared" si="17"/>
        <v>0</v>
      </c>
      <c r="G26" s="54">
        <f>+SUM(C26:F26)</f>
        <v>2062067.9654924734</v>
      </c>
      <c r="H26" s="67"/>
      <c r="I26" s="67"/>
      <c r="J26" s="67"/>
      <c r="R26" s="52" t="s">
        <v>61</v>
      </c>
      <c r="AH26" s="52" t="s">
        <v>62</v>
      </c>
      <c r="AI26" s="52" t="s">
        <v>61</v>
      </c>
    </row>
    <row r="27" spans="1:36">
      <c r="A27" s="160">
        <v>21</v>
      </c>
      <c r="B27" s="52" t="s">
        <v>65</v>
      </c>
      <c r="C27" s="61">
        <f t="shared" ref="C27:G27" si="18">C26/C7</f>
        <v>0.15862061273019024</v>
      </c>
      <c r="D27" s="61" t="e">
        <f t="shared" ref="D27:F27" si="19">D26/D7</f>
        <v>#DIV/0!</v>
      </c>
      <c r="E27" s="61" t="e">
        <f t="shared" si="19"/>
        <v>#DIV/0!</v>
      </c>
      <c r="F27" s="61" t="e">
        <f t="shared" si="19"/>
        <v>#DIV/0!</v>
      </c>
      <c r="G27" s="202">
        <f t="shared" si="18"/>
        <v>0.15862061273019024</v>
      </c>
      <c r="H27" s="189"/>
      <c r="I27" s="67"/>
      <c r="J27" s="67"/>
      <c r="R27" s="52" t="s">
        <v>65</v>
      </c>
      <c r="AH27" s="52" t="s">
        <v>64</v>
      </c>
      <c r="AI27" s="52" t="s">
        <v>65</v>
      </c>
    </row>
    <row r="28" spans="1:36">
      <c r="H28" s="67"/>
      <c r="I28" s="67"/>
      <c r="J28" s="67"/>
      <c r="R28" s="52"/>
    </row>
    <row r="29" spans="1:36">
      <c r="A29" s="48" t="s">
        <v>66</v>
      </c>
      <c r="G29" s="49" t="s">
        <v>155</v>
      </c>
      <c r="H29" s="67"/>
      <c r="I29" s="67"/>
      <c r="J29" s="67"/>
      <c r="R29" s="52"/>
      <c r="AH29" s="48" t="s">
        <v>66</v>
      </c>
    </row>
    <row r="30" spans="1:36">
      <c r="A30" s="52" t="s">
        <v>71</v>
      </c>
      <c r="B30" s="55" t="s">
        <v>72</v>
      </c>
      <c r="C30" s="59"/>
      <c r="D30" s="59"/>
      <c r="E30" s="59"/>
      <c r="F30" s="59"/>
      <c r="G30" s="59"/>
      <c r="H30" s="67"/>
      <c r="I30" s="67"/>
      <c r="J30" s="67"/>
      <c r="L30" s="67"/>
      <c r="R30" s="55" t="s">
        <v>72</v>
      </c>
      <c r="AH30" s="52" t="s">
        <v>73</v>
      </c>
      <c r="AI30" s="55" t="s">
        <v>72</v>
      </c>
    </row>
    <row r="31" spans="1:36">
      <c r="A31" s="160">
        <v>1</v>
      </c>
      <c r="B31" s="57" t="s">
        <v>74</v>
      </c>
      <c r="C31" s="63">
        <f>销量!C8</f>
        <v>2600.0000000000005</v>
      </c>
      <c r="D31" s="63">
        <f>销量!D8</f>
        <v>0</v>
      </c>
      <c r="E31" s="63">
        <f>销量!E8</f>
        <v>0</v>
      </c>
      <c r="F31" s="63">
        <f>销量!F8</f>
        <v>0</v>
      </c>
      <c r="G31" s="59"/>
      <c r="H31" s="67"/>
      <c r="I31" s="67"/>
      <c r="J31" s="67"/>
      <c r="L31" s="67"/>
      <c r="R31" s="52" t="s">
        <v>74</v>
      </c>
      <c r="AH31" s="52" t="s">
        <v>24</v>
      </c>
      <c r="AI31" s="52" t="s">
        <v>74</v>
      </c>
    </row>
    <row r="32" spans="1:36">
      <c r="A32" s="160">
        <v>2</v>
      </c>
      <c r="B32" s="52" t="s">
        <v>156</v>
      </c>
      <c r="C32" s="54">
        <f>C9/C6</f>
        <v>2600.0000000000005</v>
      </c>
      <c r="D32" s="54" t="e">
        <f t="shared" ref="D32:F32" si="20">D9/D6</f>
        <v>#DIV/0!</v>
      </c>
      <c r="E32" s="54" t="e">
        <f t="shared" si="20"/>
        <v>#DIV/0!</v>
      </c>
      <c r="F32" s="54" t="e">
        <f t="shared" si="20"/>
        <v>#DIV/0!</v>
      </c>
      <c r="G32" s="59"/>
      <c r="H32" s="67"/>
      <c r="I32" s="67"/>
      <c r="J32" s="67"/>
      <c r="K32" s="67"/>
      <c r="L32" s="67"/>
      <c r="M32" s="67"/>
      <c r="N32" s="67"/>
      <c r="AH32" s="52"/>
      <c r="AI32" s="52"/>
    </row>
    <row r="33" spans="1:35">
      <c r="A33" s="160">
        <v>3</v>
      </c>
      <c r="B33" s="57" t="s">
        <v>75</v>
      </c>
      <c r="C33" s="54">
        <f>材料成本!G41</f>
        <v>1465.9059999999999</v>
      </c>
      <c r="D33" s="54">
        <f>材料成本!G42</f>
        <v>0</v>
      </c>
      <c r="E33" s="54">
        <f>材料成本!G43</f>
        <v>0</v>
      </c>
      <c r="F33" s="54">
        <f>材料成本!G44</f>
        <v>0</v>
      </c>
      <c r="G33" s="59"/>
      <c r="I33" s="67"/>
      <c r="J33" s="67"/>
      <c r="K33" s="67"/>
      <c r="L33" s="67"/>
      <c r="M33" s="67"/>
      <c r="N33" s="67"/>
      <c r="R33" s="52" t="s">
        <v>75</v>
      </c>
      <c r="AH33" s="52" t="s">
        <v>26</v>
      </c>
      <c r="AI33" s="52" t="s">
        <v>75</v>
      </c>
    </row>
    <row r="34" spans="1:35" ht="17.25" customHeight="1">
      <c r="A34" s="160">
        <v>4</v>
      </c>
      <c r="B34" s="52" t="s">
        <v>77</v>
      </c>
      <c r="C34" s="64">
        <f>C32-C33</f>
        <v>1134.0940000000005</v>
      </c>
      <c r="D34" s="64" t="e">
        <f t="shared" ref="D34:F34" si="21">D32-D33</f>
        <v>#DIV/0!</v>
      </c>
      <c r="E34" s="64" t="e">
        <f t="shared" si="21"/>
        <v>#DIV/0!</v>
      </c>
      <c r="F34" s="64" t="e">
        <f t="shared" si="21"/>
        <v>#DIV/0!</v>
      </c>
      <c r="G34" s="59"/>
      <c r="I34" s="67"/>
      <c r="J34" s="67"/>
      <c r="K34" s="67"/>
      <c r="L34" s="67"/>
      <c r="M34" s="67"/>
      <c r="N34" s="67"/>
      <c r="R34" s="52" t="s">
        <v>77</v>
      </c>
      <c r="AH34" s="52" t="s">
        <v>76</v>
      </c>
      <c r="AI34" s="52" t="s">
        <v>77</v>
      </c>
    </row>
    <row r="35" spans="1:35">
      <c r="A35" s="52" t="s">
        <v>73</v>
      </c>
      <c r="B35" s="55" t="s">
        <v>10</v>
      </c>
      <c r="C35" s="59"/>
      <c r="D35" s="59"/>
      <c r="E35" s="59"/>
      <c r="F35" s="59"/>
      <c r="G35" s="59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55" t="s">
        <v>10</v>
      </c>
      <c r="AH35" s="52" t="s">
        <v>79</v>
      </c>
      <c r="AI35" s="55" t="s">
        <v>10</v>
      </c>
    </row>
    <row r="36" spans="1:35">
      <c r="A36" s="160">
        <v>1</v>
      </c>
      <c r="B36" s="52" t="s">
        <v>80</v>
      </c>
      <c r="C36" s="58">
        <f>'2022年'!C36</f>
        <v>146.17196456838394</v>
      </c>
      <c r="D36" s="58">
        <f>'2022年'!D36</f>
        <v>0</v>
      </c>
      <c r="E36" s="58">
        <f>'2022年'!E36</f>
        <v>0</v>
      </c>
      <c r="F36" s="58">
        <f>'2022年'!F36</f>
        <v>0</v>
      </c>
      <c r="G36" s="63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52" t="s">
        <v>80</v>
      </c>
      <c r="AH36" s="52" t="s">
        <v>76</v>
      </c>
      <c r="AI36" s="52" t="s">
        <v>80</v>
      </c>
    </row>
    <row r="37" spans="1:35">
      <c r="A37" s="160">
        <v>2</v>
      </c>
      <c r="B37" s="52" t="s">
        <v>81</v>
      </c>
      <c r="C37" s="58">
        <f>'2022年'!C37</f>
        <v>39.197572962799178</v>
      </c>
      <c r="D37" s="58">
        <f>'2022年'!D37</f>
        <v>0</v>
      </c>
      <c r="E37" s="58">
        <f>'2022年'!E37</f>
        <v>0</v>
      </c>
      <c r="F37" s="58">
        <f>'2022年'!F37</f>
        <v>0</v>
      </c>
      <c r="G37" s="6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52" t="s">
        <v>81</v>
      </c>
      <c r="AH37" s="52" t="s">
        <v>29</v>
      </c>
      <c r="AI37" s="52" t="s">
        <v>81</v>
      </c>
    </row>
    <row r="38" spans="1:35">
      <c r="A38" s="160">
        <v>3</v>
      </c>
      <c r="B38" s="52" t="s">
        <v>82</v>
      </c>
      <c r="C38" s="58">
        <f>'2022年'!C38</f>
        <v>104</v>
      </c>
      <c r="D38" s="58">
        <f>'2022年'!D38</f>
        <v>0</v>
      </c>
      <c r="E38" s="58">
        <f>'2022年'!E38</f>
        <v>0</v>
      </c>
      <c r="F38" s="58">
        <f>'2022年'!F38</f>
        <v>0</v>
      </c>
      <c r="G38" s="6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2" t="s">
        <v>82</v>
      </c>
      <c r="AH38" s="52" t="s">
        <v>35</v>
      </c>
      <c r="AI38" s="52" t="s">
        <v>82</v>
      </c>
    </row>
    <row r="39" spans="1:35">
      <c r="A39" s="52" t="s">
        <v>79</v>
      </c>
      <c r="B39" s="55" t="s">
        <v>84</v>
      </c>
      <c r="C39" s="59"/>
      <c r="D39" s="59"/>
      <c r="E39" s="59"/>
      <c r="F39" s="59"/>
      <c r="G39" s="59"/>
      <c r="R39" s="55" t="s">
        <v>84</v>
      </c>
      <c r="AH39" s="52" t="s">
        <v>83</v>
      </c>
      <c r="AI39" s="55" t="s">
        <v>84</v>
      </c>
    </row>
    <row r="40" spans="1:35">
      <c r="A40" s="160">
        <v>1</v>
      </c>
      <c r="B40" s="52" t="s">
        <v>86</v>
      </c>
      <c r="C40" s="59">
        <f>C34-C36-C37-C38</f>
        <v>844.72446246881736</v>
      </c>
      <c r="D40" s="59" t="e">
        <f t="shared" ref="D40:F40" si="22">D34-D36-D37-D38</f>
        <v>#DIV/0!</v>
      </c>
      <c r="E40" s="59" t="e">
        <f t="shared" si="22"/>
        <v>#DIV/0!</v>
      </c>
      <c r="F40" s="59" t="e">
        <f t="shared" si="22"/>
        <v>#DIV/0!</v>
      </c>
      <c r="G40" s="59"/>
      <c r="R40" s="52" t="s">
        <v>86</v>
      </c>
      <c r="AH40" s="52" t="s">
        <v>24</v>
      </c>
      <c r="AI40" s="52" t="s">
        <v>86</v>
      </c>
    </row>
    <row r="41" spans="1:35">
      <c r="A41" s="160">
        <v>2</v>
      </c>
      <c r="B41" s="52" t="s">
        <v>87</v>
      </c>
      <c r="C41" s="59"/>
      <c r="D41" s="59"/>
      <c r="E41" s="59"/>
      <c r="F41" s="59"/>
      <c r="G41" s="59"/>
      <c r="R41" s="52" t="s">
        <v>87</v>
      </c>
      <c r="AH41" s="52" t="s">
        <v>26</v>
      </c>
      <c r="AI41" s="52" t="s">
        <v>87</v>
      </c>
    </row>
    <row r="42" spans="1:35">
      <c r="A42" s="52" t="s">
        <v>83</v>
      </c>
      <c r="B42" s="55" t="s">
        <v>89</v>
      </c>
      <c r="C42" s="59"/>
      <c r="D42" s="59"/>
      <c r="E42" s="59"/>
      <c r="F42" s="59"/>
      <c r="G42" s="59"/>
      <c r="R42" s="55" t="s">
        <v>89</v>
      </c>
      <c r="AH42" s="52" t="s">
        <v>88</v>
      </c>
      <c r="AI42" s="55" t="s">
        <v>89</v>
      </c>
    </row>
    <row r="43" spans="1:35">
      <c r="A43" s="160">
        <v>1</v>
      </c>
      <c r="B43" s="60" t="s">
        <v>90</v>
      </c>
      <c r="C43" s="58">
        <f>'2022年'!C43</f>
        <v>117.00000000000001</v>
      </c>
      <c r="D43" s="58">
        <f>'2022年'!D43</f>
        <v>0</v>
      </c>
      <c r="E43" s="58">
        <f>'2022年'!E43</f>
        <v>0</v>
      </c>
      <c r="F43" s="58">
        <f>'2022年'!F43</f>
        <v>0</v>
      </c>
      <c r="G43" s="59"/>
      <c r="R43" s="52" t="s">
        <v>90</v>
      </c>
      <c r="AH43" s="52" t="s">
        <v>24</v>
      </c>
      <c r="AI43" s="52" t="s">
        <v>90</v>
      </c>
    </row>
    <row r="44" spans="1:35">
      <c r="A44" s="160">
        <v>2</v>
      </c>
      <c r="B44" s="60" t="s">
        <v>91</v>
      </c>
      <c r="C44" s="58">
        <f>'2022年'!C44</f>
        <v>18.200000000000003</v>
      </c>
      <c r="D44" s="58">
        <f>'2022年'!D44</f>
        <v>0</v>
      </c>
      <c r="E44" s="58">
        <f>'2022年'!E44</f>
        <v>0</v>
      </c>
      <c r="F44" s="58">
        <f>'2022年'!F44</f>
        <v>0</v>
      </c>
      <c r="G44" s="59"/>
      <c r="R44" s="52" t="s">
        <v>91</v>
      </c>
      <c r="AH44" s="52" t="s">
        <v>26</v>
      </c>
      <c r="AI44" s="52" t="s">
        <v>91</v>
      </c>
    </row>
    <row r="45" spans="1:35">
      <c r="A45" s="160">
        <v>3</v>
      </c>
      <c r="B45" s="60" t="s">
        <v>92</v>
      </c>
      <c r="C45" s="58">
        <f>'2022年'!C45</f>
        <v>78.000000000000014</v>
      </c>
      <c r="D45" s="58">
        <f>'2022年'!D45</f>
        <v>0</v>
      </c>
      <c r="E45" s="58">
        <f>'2022年'!E45</f>
        <v>0</v>
      </c>
      <c r="F45" s="58">
        <f>'2022年'!F45</f>
        <v>0</v>
      </c>
      <c r="G45" s="59"/>
      <c r="R45" s="52" t="s">
        <v>92</v>
      </c>
      <c r="AH45" s="52" t="s">
        <v>76</v>
      </c>
      <c r="AI45" s="52" t="s">
        <v>92</v>
      </c>
    </row>
    <row r="46" spans="1:35" s="47" customFormat="1">
      <c r="A46" s="160">
        <v>4</v>
      </c>
      <c r="B46" s="60" t="s">
        <v>93</v>
      </c>
      <c r="C46" s="65">
        <f>C21/C6</f>
        <v>22.8</v>
      </c>
      <c r="D46" s="65" t="e">
        <f t="shared" ref="D46:F46" si="23">D21/D6</f>
        <v>#DIV/0!</v>
      </c>
      <c r="E46" s="65" t="e">
        <f t="shared" si="23"/>
        <v>#DIV/0!</v>
      </c>
      <c r="F46" s="65" t="e">
        <f t="shared" si="23"/>
        <v>#DIV/0!</v>
      </c>
      <c r="G46" s="65"/>
      <c r="R46" s="60" t="s">
        <v>95</v>
      </c>
      <c r="AH46" s="60" t="s">
        <v>32</v>
      </c>
      <c r="AI46" s="60" t="s">
        <v>95</v>
      </c>
    </row>
    <row r="47" spans="1:35" s="47" customFormat="1">
      <c r="A47" s="160">
        <v>5</v>
      </c>
      <c r="B47" s="60" t="s">
        <v>95</v>
      </c>
      <c r="C47" s="65">
        <f>'2022年'!C47</f>
        <v>104.00000000000001</v>
      </c>
      <c r="D47" s="65">
        <f>'2022年'!D47</f>
        <v>0</v>
      </c>
      <c r="E47" s="65">
        <f>'2022年'!E47</f>
        <v>0</v>
      </c>
      <c r="F47" s="65">
        <f>'2022年'!F47</f>
        <v>0</v>
      </c>
      <c r="G47" s="65"/>
      <c r="R47" s="60" t="s">
        <v>95</v>
      </c>
      <c r="AH47" s="60" t="s">
        <v>32</v>
      </c>
      <c r="AI47" s="60" t="s">
        <v>95</v>
      </c>
    </row>
    <row r="48" spans="1:35">
      <c r="A48" s="52" t="s">
        <v>88</v>
      </c>
      <c r="B48" s="55" t="s">
        <v>106</v>
      </c>
      <c r="C48" s="59">
        <f>C40-C43-C44-C45-C47-C46</f>
        <v>504.72446246881731</v>
      </c>
      <c r="D48" s="59" t="e">
        <f t="shared" ref="D48:F48" si="24">D40-D43-D44-D45-D47-D46</f>
        <v>#DIV/0!</v>
      </c>
      <c r="E48" s="59" t="e">
        <f t="shared" si="24"/>
        <v>#DIV/0!</v>
      </c>
      <c r="F48" s="59" t="e">
        <f t="shared" si="24"/>
        <v>#DIV/0!</v>
      </c>
      <c r="G48" s="59"/>
      <c r="R48" s="55" t="s">
        <v>106</v>
      </c>
      <c r="AH48" s="52" t="s">
        <v>105</v>
      </c>
      <c r="AI48" s="55" t="s">
        <v>106</v>
      </c>
    </row>
    <row r="51" spans="2:12">
      <c r="C51" s="66"/>
      <c r="D51" s="66"/>
      <c r="E51" s="66"/>
      <c r="F51" s="66"/>
    </row>
    <row r="54" spans="2:12">
      <c r="B54" s="67"/>
      <c r="C54" s="68"/>
      <c r="D54" s="68"/>
      <c r="E54" s="68"/>
      <c r="F54" s="68"/>
      <c r="G54" s="68"/>
      <c r="H54" s="67"/>
      <c r="I54" s="67"/>
      <c r="J54" s="67"/>
      <c r="K54" s="67"/>
      <c r="L54" s="67"/>
    </row>
    <row r="55" spans="2:12">
      <c r="B55" s="67"/>
      <c r="C55" s="68"/>
      <c r="D55" s="68"/>
      <c r="E55" s="68"/>
      <c r="F55" s="68"/>
      <c r="G55" s="68"/>
      <c r="H55" s="67"/>
      <c r="I55" s="67"/>
      <c r="J55" s="67"/>
      <c r="K55" s="67"/>
      <c r="L55" s="67"/>
    </row>
    <row r="56" spans="2:12">
      <c r="B56" s="67"/>
      <c r="C56" s="68"/>
      <c r="D56" s="68"/>
      <c r="E56" s="68"/>
      <c r="F56" s="68"/>
      <c r="G56" s="68"/>
      <c r="H56" s="67"/>
      <c r="I56" s="67"/>
      <c r="J56" s="67"/>
      <c r="K56" s="67"/>
      <c r="L56" s="67"/>
    </row>
    <row r="57" spans="2:12">
      <c r="B57" s="67"/>
      <c r="C57" s="68"/>
      <c r="D57" s="68"/>
      <c r="E57" s="68"/>
      <c r="F57" s="68"/>
      <c r="G57" s="68"/>
      <c r="H57" s="67"/>
      <c r="I57" s="67"/>
      <c r="J57" s="67"/>
      <c r="K57" s="67"/>
      <c r="L57" s="67"/>
    </row>
    <row r="58" spans="2:12">
      <c r="B58" s="67"/>
      <c r="C58" s="68"/>
      <c r="D58" s="68"/>
      <c r="E58" s="68"/>
      <c r="F58" s="68"/>
      <c r="G58" s="68"/>
      <c r="H58" s="67"/>
      <c r="I58" s="67"/>
      <c r="J58" s="67"/>
      <c r="K58" s="67"/>
      <c r="L58" s="67"/>
    </row>
    <row r="59" spans="2:12">
      <c r="B59" s="67"/>
      <c r="C59" s="68"/>
      <c r="D59" s="68"/>
      <c r="E59" s="68"/>
      <c r="F59" s="68"/>
      <c r="G59" s="68"/>
      <c r="H59" s="67"/>
      <c r="I59" s="67"/>
      <c r="J59" s="67"/>
      <c r="K59" s="67"/>
      <c r="L59" s="67"/>
    </row>
    <row r="60" spans="2:12">
      <c r="B60" s="67"/>
      <c r="C60" s="68"/>
      <c r="D60" s="68"/>
      <c r="E60" s="68"/>
      <c r="F60" s="68"/>
      <c r="G60" s="68"/>
      <c r="H60" s="67"/>
      <c r="I60" s="67"/>
      <c r="J60" s="67"/>
      <c r="K60" s="67"/>
      <c r="L60" s="67"/>
    </row>
    <row r="61" spans="2:12">
      <c r="B61" s="67"/>
      <c r="C61" s="68"/>
      <c r="D61" s="68"/>
      <c r="E61" s="68"/>
      <c r="F61" s="68"/>
      <c r="G61" s="68"/>
      <c r="H61" s="67"/>
      <c r="I61" s="67"/>
      <c r="J61" s="67"/>
      <c r="K61" s="67"/>
      <c r="L61" s="67"/>
    </row>
    <row r="62" spans="2:12">
      <c r="B62" s="67"/>
      <c r="C62" s="68"/>
      <c r="D62" s="68"/>
      <c r="E62" s="68"/>
      <c r="F62" s="68"/>
      <c r="G62" s="68"/>
      <c r="H62" s="67"/>
      <c r="I62" s="67"/>
      <c r="J62" s="67"/>
      <c r="K62" s="67"/>
      <c r="L62" s="67"/>
    </row>
    <row r="63" spans="2:12">
      <c r="B63" s="67"/>
      <c r="C63" s="68"/>
      <c r="D63" s="68"/>
      <c r="E63" s="68"/>
      <c r="F63" s="68"/>
      <c r="G63" s="68"/>
      <c r="H63" s="67"/>
      <c r="I63" s="67"/>
      <c r="J63" s="67"/>
      <c r="K63" s="67"/>
      <c r="L63" s="67"/>
    </row>
    <row r="64" spans="2:12">
      <c r="B64" s="67"/>
      <c r="C64" s="68"/>
      <c r="D64" s="68"/>
      <c r="E64" s="68"/>
      <c r="F64" s="68"/>
      <c r="G64" s="68"/>
      <c r="H64" s="67"/>
      <c r="I64" s="67"/>
      <c r="J64" s="67"/>
      <c r="K64" s="67"/>
      <c r="L64" s="67"/>
    </row>
    <row r="65" spans="2:12">
      <c r="B65" s="67"/>
      <c r="C65" s="68"/>
      <c r="D65" s="68"/>
      <c r="E65" s="68"/>
      <c r="F65" s="68"/>
      <c r="G65" s="68"/>
      <c r="H65" s="67"/>
      <c r="I65" s="67"/>
      <c r="J65" s="67"/>
      <c r="K65" s="67"/>
      <c r="L65" s="67"/>
    </row>
    <row r="66" spans="2:12">
      <c r="B66" s="67"/>
      <c r="C66" s="68"/>
      <c r="D66" s="68"/>
      <c r="E66" s="68"/>
      <c r="F66" s="68"/>
      <c r="G66" s="68"/>
      <c r="H66" s="67"/>
      <c r="I66" s="67"/>
      <c r="J66" s="67"/>
      <c r="K66" s="67"/>
      <c r="L66" s="67"/>
    </row>
    <row r="67" spans="2:12">
      <c r="B67" s="67"/>
      <c r="C67" s="68"/>
      <c r="D67" s="68"/>
      <c r="E67" s="68"/>
      <c r="F67" s="68"/>
      <c r="G67" s="68"/>
      <c r="H67" s="67"/>
    </row>
    <row r="68" spans="2:12">
      <c r="B68" s="67"/>
      <c r="C68" s="68"/>
      <c r="D68" s="68"/>
      <c r="E68" s="68"/>
      <c r="F68" s="68"/>
      <c r="G68" s="68"/>
      <c r="H68" s="67"/>
    </row>
    <row r="69" spans="2:12">
      <c r="B69" s="67"/>
      <c r="C69" s="68"/>
      <c r="D69" s="68"/>
      <c r="E69" s="68"/>
      <c r="F69" s="68"/>
      <c r="G69" s="68"/>
      <c r="H69" s="67"/>
    </row>
    <row r="70" spans="2:12">
      <c r="B70" s="67"/>
      <c r="C70" s="68"/>
      <c r="D70" s="68"/>
      <c r="E70" s="68"/>
      <c r="F70" s="68"/>
      <c r="G70" s="68"/>
      <c r="H70" s="67"/>
    </row>
    <row r="71" spans="2:12">
      <c r="B71" s="67"/>
      <c r="C71" s="68"/>
      <c r="D71" s="68"/>
      <c r="E71" s="68"/>
      <c r="F71" s="68"/>
      <c r="G71" s="68"/>
      <c r="H71" s="67"/>
    </row>
    <row r="72" spans="2:12">
      <c r="B72" s="67"/>
      <c r="C72" s="68"/>
      <c r="D72" s="68"/>
      <c r="E72" s="68"/>
      <c r="F72" s="68"/>
      <c r="G72" s="68"/>
      <c r="H72" s="67"/>
    </row>
    <row r="73" spans="2:12">
      <c r="B73" s="67"/>
      <c r="C73" s="68"/>
      <c r="D73" s="68"/>
      <c r="E73" s="68"/>
      <c r="F73" s="68"/>
      <c r="G73" s="68"/>
      <c r="H73" s="67"/>
    </row>
    <row r="74" spans="2:12">
      <c r="B74" s="67"/>
      <c r="C74" s="68"/>
      <c r="D74" s="68"/>
      <c r="E74" s="68"/>
      <c r="F74" s="68"/>
      <c r="G74" s="68"/>
      <c r="H74" s="67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2" activePane="bottomRight" state="frozen"/>
      <selection pane="topRight"/>
      <selection pane="bottomLeft"/>
      <selection pane="bottomRight" activeCell="C48" sqref="C4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53" t="s">
        <v>146</v>
      </c>
      <c r="B1" s="253"/>
      <c r="C1" s="257" t="s">
        <v>259</v>
      </c>
      <c r="D1" s="258"/>
      <c r="E1" s="258"/>
      <c r="F1" s="258"/>
      <c r="G1" s="258"/>
      <c r="H1" s="258"/>
      <c r="I1" s="259"/>
    </row>
    <row r="2" spans="1:38">
      <c r="A2" s="253" t="s">
        <v>147</v>
      </c>
      <c r="B2" s="253"/>
      <c r="C2" s="261" t="str">
        <f>'2022年'!C2:G2</f>
        <v>一汽解放</v>
      </c>
      <c r="D2" s="262"/>
      <c r="E2" s="262"/>
      <c r="F2" s="262"/>
      <c r="G2" s="262"/>
      <c r="H2" s="262"/>
      <c r="I2" s="263"/>
    </row>
    <row r="3" spans="1:38">
      <c r="A3" s="253" t="s">
        <v>148</v>
      </c>
      <c r="B3" s="253"/>
      <c r="C3" s="161" t="str">
        <f>销量!C5</f>
        <v>驾驶员座椅</v>
      </c>
      <c r="D3" s="161" t="str">
        <f>销量!D5</f>
        <v>驾驶员座椅</v>
      </c>
      <c r="E3" s="161">
        <f>销量!E5</f>
        <v>0</v>
      </c>
      <c r="F3" s="161">
        <f>销量!F5</f>
        <v>0</v>
      </c>
      <c r="G3" s="161">
        <f>销量!G5</f>
        <v>0</v>
      </c>
      <c r="H3" s="161">
        <f>销量!H5</f>
        <v>0</v>
      </c>
      <c r="I3" s="254" t="s">
        <v>20</v>
      </c>
    </row>
    <row r="4" spans="1:38" ht="16.5" customHeight="1">
      <c r="A4" s="253" t="s">
        <v>149</v>
      </c>
      <c r="B4" s="253"/>
      <c r="C4" s="161" t="str">
        <f>销量!C6</f>
        <v>V168100000193</v>
      </c>
      <c r="D4" s="161" t="str">
        <f>销量!D6</f>
        <v>K1气囊减震</v>
      </c>
      <c r="E4" s="161">
        <f>销量!E6</f>
        <v>0</v>
      </c>
      <c r="F4" s="161">
        <f>销量!F6</f>
        <v>0</v>
      </c>
      <c r="G4" s="161">
        <f>销量!G6</f>
        <v>0</v>
      </c>
      <c r="H4" s="161">
        <f>销量!H6</f>
        <v>0</v>
      </c>
      <c r="I4" s="255"/>
    </row>
    <row r="5" spans="1:38">
      <c r="A5" s="253" t="s">
        <v>150</v>
      </c>
      <c r="B5" s="253"/>
      <c r="C5" s="51"/>
      <c r="D5" s="51"/>
      <c r="E5" s="51"/>
      <c r="F5" s="51"/>
      <c r="G5" s="51"/>
      <c r="H5" s="51"/>
      <c r="I5" s="256"/>
      <c r="AL5" s="48" t="s">
        <v>21</v>
      </c>
    </row>
    <row r="6" spans="1:38" ht="17.25">
      <c r="A6" s="52" t="s">
        <v>18</v>
      </c>
      <c r="B6" s="53" t="s">
        <v>151</v>
      </c>
      <c r="C6" s="23">
        <f>销量!C12</f>
        <v>5000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4">
        <f>SUM(C6:H6)</f>
        <v>5000</v>
      </c>
      <c r="T6" s="53" t="s">
        <v>3</v>
      </c>
      <c r="AJ6" s="52" t="s">
        <v>18</v>
      </c>
      <c r="AK6" s="53" t="s">
        <v>3</v>
      </c>
      <c r="AL6" s="48" t="s">
        <v>22</v>
      </c>
    </row>
    <row r="7" spans="1:38">
      <c r="A7" s="160">
        <v>1</v>
      </c>
      <c r="B7" s="53" t="s">
        <v>23</v>
      </c>
      <c r="C7" s="54">
        <f>C6*销量!C8</f>
        <v>13000000.000000002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13000000.000000002</v>
      </c>
      <c r="J7" s="49"/>
      <c r="T7" s="53" t="s">
        <v>23</v>
      </c>
      <c r="AJ7" s="52" t="s">
        <v>24</v>
      </c>
      <c r="AK7" s="53" t="s">
        <v>23</v>
      </c>
      <c r="AL7" s="48" t="s">
        <v>22</v>
      </c>
    </row>
    <row r="8" spans="1:38">
      <c r="A8" s="160">
        <v>2</v>
      </c>
      <c r="B8" s="160" t="s">
        <v>25</v>
      </c>
      <c r="C8" s="54">
        <f>C7*(1-销量!$L$9)</f>
        <v>0</v>
      </c>
      <c r="D8" s="54">
        <f>D7*(1-销量!$L$9)</f>
        <v>0</v>
      </c>
      <c r="E8" s="54">
        <f>E7*(1-销量!$L$9)</f>
        <v>0</v>
      </c>
      <c r="F8" s="54">
        <f>F7*(1-销量!$L$9)</f>
        <v>0</v>
      </c>
      <c r="G8" s="54">
        <f>G7*(1-销量!$L$9)</f>
        <v>0</v>
      </c>
      <c r="H8" s="54">
        <f>H7*(1-销量!$L$9)</f>
        <v>0</v>
      </c>
      <c r="I8" s="54">
        <f t="shared" si="0"/>
        <v>0</v>
      </c>
      <c r="J8" s="69"/>
      <c r="T8" s="160" t="s">
        <v>27</v>
      </c>
      <c r="AJ8" s="52" t="s">
        <v>26</v>
      </c>
      <c r="AK8" s="160" t="s">
        <v>27</v>
      </c>
      <c r="AL8" s="48" t="s">
        <v>22</v>
      </c>
    </row>
    <row r="9" spans="1:38">
      <c r="A9" s="160">
        <v>3</v>
      </c>
      <c r="B9" s="53" t="s">
        <v>28</v>
      </c>
      <c r="C9" s="54">
        <f>+C7-C8</f>
        <v>13000000.000000002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13000000.000000002</v>
      </c>
      <c r="T9" s="53" t="s">
        <v>28</v>
      </c>
      <c r="AJ9" s="52" t="s">
        <v>29</v>
      </c>
      <c r="AK9" s="53" t="s">
        <v>28</v>
      </c>
      <c r="AL9" s="48" t="s">
        <v>30</v>
      </c>
    </row>
    <row r="10" spans="1:38">
      <c r="A10" s="160">
        <v>4</v>
      </c>
      <c r="B10" s="52" t="s">
        <v>31</v>
      </c>
      <c r="C10" s="54">
        <f>C6*材料成本!H41</f>
        <v>7329530</v>
      </c>
      <c r="D10" s="54">
        <f>D6*材料成本!H42</f>
        <v>0</v>
      </c>
      <c r="E10" s="54">
        <f>E6*材料成本!H43</f>
        <v>0</v>
      </c>
      <c r="F10" s="54">
        <f>F6*材料成本!H44</f>
        <v>0</v>
      </c>
      <c r="G10" s="54">
        <f>G6*材料成本!H45</f>
        <v>0</v>
      </c>
      <c r="H10" s="54">
        <f>H6*材料成本!H46</f>
        <v>0</v>
      </c>
      <c r="I10" s="54">
        <f t="shared" si="0"/>
        <v>7329530</v>
      </c>
      <c r="T10" s="52" t="s">
        <v>31</v>
      </c>
      <c r="AJ10" s="52" t="s">
        <v>32</v>
      </c>
      <c r="AK10" s="52" t="s">
        <v>31</v>
      </c>
      <c r="AL10" s="48" t="s">
        <v>33</v>
      </c>
    </row>
    <row r="11" spans="1:38">
      <c r="A11" s="160">
        <v>5</v>
      </c>
      <c r="B11" s="52" t="s">
        <v>34</v>
      </c>
      <c r="C11" s="54">
        <f>+C6*C36</f>
        <v>730859.82284191973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730859.82284191973</v>
      </c>
      <c r="T11" s="52" t="s">
        <v>34</v>
      </c>
      <c r="AJ11" s="52" t="s">
        <v>35</v>
      </c>
      <c r="AK11" s="52" t="s">
        <v>34</v>
      </c>
    </row>
    <row r="12" spans="1:38">
      <c r="A12" s="160">
        <v>6</v>
      </c>
      <c r="B12" s="52" t="s">
        <v>36</v>
      </c>
      <c r="C12" s="54">
        <f>+C6*C37</f>
        <v>195987.8648139959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195987.8648139959</v>
      </c>
      <c r="T12" s="52" t="s">
        <v>36</v>
      </c>
      <c r="AJ12" s="52" t="s">
        <v>37</v>
      </c>
      <c r="AK12" s="52" t="s">
        <v>36</v>
      </c>
    </row>
    <row r="13" spans="1:38">
      <c r="A13" s="160">
        <v>7</v>
      </c>
      <c r="B13" s="52" t="s">
        <v>38</v>
      </c>
      <c r="C13" s="54">
        <f>+C6*C38</f>
        <v>520000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520000</v>
      </c>
      <c r="T13" s="52" t="s">
        <v>38</v>
      </c>
      <c r="AJ13" s="52" t="s">
        <v>39</v>
      </c>
      <c r="AK13" s="52" t="s">
        <v>38</v>
      </c>
      <c r="AL13" s="48" t="s">
        <v>22</v>
      </c>
    </row>
    <row r="14" spans="1:38">
      <c r="A14" s="160">
        <v>8</v>
      </c>
      <c r="B14" s="55" t="s">
        <v>40</v>
      </c>
      <c r="C14" s="54">
        <f>SUM(C11:C13)</f>
        <v>1446847.6876559155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1446847.6876559155</v>
      </c>
      <c r="T14" s="55" t="s">
        <v>40</v>
      </c>
      <c r="AJ14" s="52" t="s">
        <v>41</v>
      </c>
      <c r="AK14" s="55" t="s">
        <v>40</v>
      </c>
    </row>
    <row r="15" spans="1:38">
      <c r="A15" s="160">
        <v>9</v>
      </c>
      <c r="B15" s="55" t="s">
        <v>42</v>
      </c>
      <c r="C15" s="54">
        <f>+C9-C10-C14</f>
        <v>4223622.3123440864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4223622.3123440864</v>
      </c>
      <c r="T15" s="55" t="s">
        <v>42</v>
      </c>
      <c r="AJ15" s="52" t="s">
        <v>43</v>
      </c>
      <c r="AK15" s="55" t="s">
        <v>42</v>
      </c>
    </row>
    <row r="16" spans="1:38">
      <c r="A16" s="160">
        <v>10</v>
      </c>
      <c r="B16" s="52" t="s">
        <v>44</v>
      </c>
      <c r="C16" s="56">
        <f>+C15/C9</f>
        <v>0.32489402402646811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0.32489402402646811</v>
      </c>
      <c r="T16" s="52" t="s">
        <v>44</v>
      </c>
      <c r="AJ16" s="52" t="s">
        <v>45</v>
      </c>
      <c r="AK16" s="52" t="s">
        <v>44</v>
      </c>
    </row>
    <row r="17" spans="1:38">
      <c r="A17" s="160">
        <v>11</v>
      </c>
      <c r="B17" s="52" t="s">
        <v>46</v>
      </c>
      <c r="C17" s="54">
        <f>C6*C43+C18</f>
        <v>682660.00000000012</v>
      </c>
      <c r="D17" s="54">
        <f t="shared" ref="D17:H17" si="9">D6*D43+D18</f>
        <v>0</v>
      </c>
      <c r="E17" s="54">
        <f t="shared" si="9"/>
        <v>0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682660.00000000012</v>
      </c>
      <c r="J17" s="69"/>
      <c r="T17" s="52" t="s">
        <v>46</v>
      </c>
      <c r="AJ17" s="52" t="s">
        <v>47</v>
      </c>
      <c r="AK17" s="52" t="s">
        <v>46</v>
      </c>
    </row>
    <row r="18" spans="1:38" s="46" customFormat="1">
      <c r="A18" s="160">
        <v>12</v>
      </c>
      <c r="B18" s="57" t="s">
        <v>152</v>
      </c>
      <c r="C18" s="58">
        <f>$I$18/$I$6*C6</f>
        <v>97660</v>
      </c>
      <c r="D18" s="58">
        <f t="shared" ref="D18:H18" si="10">$I$18/$I$6*D6</f>
        <v>0</v>
      </c>
      <c r="E18" s="58">
        <f t="shared" si="10"/>
        <v>0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项目投资!G26</f>
        <v>97660</v>
      </c>
      <c r="J18" s="70" t="s">
        <v>153</v>
      </c>
      <c r="K18" s="70"/>
      <c r="L18" s="70"/>
    </row>
    <row r="19" spans="1:38">
      <c r="A19" s="160">
        <v>13</v>
      </c>
      <c r="B19" s="52" t="s">
        <v>48</v>
      </c>
      <c r="C19" s="54">
        <f>C6*C44</f>
        <v>91000.000000000015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>SUM(C19:C19)</f>
        <v>91000.000000000015</v>
      </c>
      <c r="J19" s="46"/>
      <c r="T19" s="52" t="s">
        <v>48</v>
      </c>
      <c r="AJ19" s="52" t="s">
        <v>49</v>
      </c>
      <c r="AK19" s="52" t="s">
        <v>48</v>
      </c>
      <c r="AL19" s="48" t="s">
        <v>22</v>
      </c>
    </row>
    <row r="20" spans="1:38">
      <c r="A20" s="160">
        <v>14</v>
      </c>
      <c r="B20" s="52" t="s">
        <v>50</v>
      </c>
      <c r="C20" s="54">
        <f>C6*C45</f>
        <v>390000.00000000006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ref="I20" si="13">SUM(C20:H20)</f>
        <v>390000.00000000006</v>
      </c>
      <c r="T20" s="52" t="s">
        <v>50</v>
      </c>
      <c r="AJ20" s="52" t="s">
        <v>51</v>
      </c>
      <c r="AK20" s="52" t="s">
        <v>50</v>
      </c>
    </row>
    <row r="21" spans="1:38">
      <c r="A21" s="160">
        <v>15</v>
      </c>
      <c r="B21" s="52" t="s">
        <v>52</v>
      </c>
      <c r="C21" s="59">
        <f>$I$21/$I$6*C6</f>
        <v>0</v>
      </c>
      <c r="D21" s="59">
        <f t="shared" ref="D21:H21" si="14">$I$21/$I$6*D6</f>
        <v>0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项目投资!G27</f>
        <v>0</v>
      </c>
      <c r="T21" s="52" t="s">
        <v>52</v>
      </c>
      <c r="AJ21" s="52"/>
      <c r="AK21" s="52"/>
    </row>
    <row r="22" spans="1:38">
      <c r="A22" s="160">
        <v>16</v>
      </c>
      <c r="B22" s="52" t="s">
        <v>53</v>
      </c>
      <c r="C22" s="54">
        <f>C6*C47</f>
        <v>520000.00000000006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520000.00000000006</v>
      </c>
      <c r="T22" s="52" t="s">
        <v>53</v>
      </c>
      <c r="AJ22" s="52" t="s">
        <v>54</v>
      </c>
      <c r="AK22" s="52" t="s">
        <v>53</v>
      </c>
    </row>
    <row r="23" spans="1:38">
      <c r="A23" s="160">
        <v>17</v>
      </c>
      <c r="B23" s="55" t="s">
        <v>55</v>
      </c>
      <c r="C23" s="59">
        <f>+C22+C21+C20+C19+C17</f>
        <v>1683660.0000000002</v>
      </c>
      <c r="D23" s="59">
        <f t="shared" ref="D23:H23" si="17">+D22+D21+D20+D19+D17</f>
        <v>0</v>
      </c>
      <c r="E23" s="59">
        <f t="shared" si="17"/>
        <v>0</v>
      </c>
      <c r="F23" s="59">
        <f t="shared" si="17"/>
        <v>0</v>
      </c>
      <c r="G23" s="59">
        <f t="shared" si="17"/>
        <v>0</v>
      </c>
      <c r="H23" s="59">
        <f t="shared" si="17"/>
        <v>0</v>
      </c>
      <c r="I23" s="59">
        <f t="shared" ref="I23" si="18">+I22+I21+I20+I19+I17</f>
        <v>1683660.0000000002</v>
      </c>
      <c r="T23" s="55" t="s">
        <v>55</v>
      </c>
      <c r="AJ23" s="52" t="s">
        <v>56</v>
      </c>
      <c r="AK23" s="55" t="s">
        <v>55</v>
      </c>
    </row>
    <row r="24" spans="1:38">
      <c r="A24" s="160">
        <v>18</v>
      </c>
      <c r="B24" s="60" t="s">
        <v>57</v>
      </c>
      <c r="C24" s="59">
        <f>+C15-C23</f>
        <v>2539962.3123440864</v>
      </c>
      <c r="D24" s="59">
        <f t="shared" ref="D24:H24" si="19">+D15-D23</f>
        <v>0</v>
      </c>
      <c r="E24" s="59">
        <f t="shared" si="19"/>
        <v>0</v>
      </c>
      <c r="F24" s="59">
        <f t="shared" si="19"/>
        <v>0</v>
      </c>
      <c r="G24" s="59">
        <f t="shared" si="19"/>
        <v>0</v>
      </c>
      <c r="H24" s="59">
        <f t="shared" si="19"/>
        <v>0</v>
      </c>
      <c r="I24" s="59">
        <f t="shared" ref="I24" si="20">+I15-I23</f>
        <v>2539962.3123440864</v>
      </c>
      <c r="K24" s="71"/>
      <c r="T24" s="52" t="s">
        <v>57</v>
      </c>
      <c r="AJ24" s="52" t="s">
        <v>58</v>
      </c>
      <c r="AK24" s="52" t="s">
        <v>57</v>
      </c>
    </row>
    <row r="25" spans="1:38">
      <c r="A25" s="160">
        <v>19</v>
      </c>
      <c r="B25" s="52" t="s">
        <v>154</v>
      </c>
      <c r="C25" s="59">
        <f>IF(C24&lt;0,0,C24*0.25)</f>
        <v>634990.57808602159</v>
      </c>
      <c r="D25" s="59">
        <f t="shared" ref="D25:I25" si="21">IF(D24&lt;0,0,D24*0.25)</f>
        <v>0</v>
      </c>
      <c r="E25" s="59">
        <f t="shared" si="21"/>
        <v>0</v>
      </c>
      <c r="F25" s="59">
        <f t="shared" si="21"/>
        <v>0</v>
      </c>
      <c r="G25" s="59">
        <f t="shared" si="21"/>
        <v>0</v>
      </c>
      <c r="H25" s="59">
        <f t="shared" si="21"/>
        <v>0</v>
      </c>
      <c r="I25" s="59">
        <f t="shared" si="21"/>
        <v>634990.57808602159</v>
      </c>
      <c r="J25" s="67"/>
      <c r="K25" s="67"/>
      <c r="L25" s="67"/>
      <c r="T25" s="52" t="s">
        <v>59</v>
      </c>
      <c r="AJ25" s="52" t="s">
        <v>60</v>
      </c>
      <c r="AK25" s="52" t="s">
        <v>59</v>
      </c>
    </row>
    <row r="26" spans="1:38">
      <c r="A26" s="160">
        <v>20</v>
      </c>
      <c r="B26" s="52" t="s">
        <v>61</v>
      </c>
      <c r="C26" s="59">
        <f t="shared" ref="C26:H26" si="22">C24-C25</f>
        <v>1904971.7342580648</v>
      </c>
      <c r="D26" s="59">
        <f t="shared" si="22"/>
        <v>0</v>
      </c>
      <c r="E26" s="59">
        <f t="shared" si="22"/>
        <v>0</v>
      </c>
      <c r="F26" s="59">
        <f t="shared" si="22"/>
        <v>0</v>
      </c>
      <c r="G26" s="59">
        <f t="shared" si="22"/>
        <v>0</v>
      </c>
      <c r="H26" s="59">
        <f t="shared" si="22"/>
        <v>0</v>
      </c>
      <c r="I26" s="54">
        <f>+SUM(C26:H26)</f>
        <v>1904971.7342580648</v>
      </c>
      <c r="J26" s="67"/>
      <c r="K26" s="67"/>
      <c r="L26" s="67"/>
      <c r="T26" s="52" t="s">
        <v>61</v>
      </c>
      <c r="AJ26" s="52" t="s">
        <v>62</v>
      </c>
      <c r="AK26" s="52" t="s">
        <v>61</v>
      </c>
    </row>
    <row r="27" spans="1:38">
      <c r="A27" s="160">
        <v>21</v>
      </c>
      <c r="B27" s="52" t="s">
        <v>65</v>
      </c>
      <c r="C27" s="61">
        <f t="shared" ref="C27:I27" si="23">C26/C7</f>
        <v>0.14653628725062035</v>
      </c>
      <c r="D27" s="61" t="e">
        <f t="shared" ref="D27:H27" si="24">D26/D7</f>
        <v>#DIV/0!</v>
      </c>
      <c r="E27" s="61" t="e">
        <f t="shared" si="24"/>
        <v>#DIV/0!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>
        <f t="shared" si="23"/>
        <v>0.14653628725062035</v>
      </c>
      <c r="J27" s="67"/>
      <c r="K27" s="67"/>
      <c r="L27" s="67"/>
      <c r="T27" s="52" t="s">
        <v>65</v>
      </c>
      <c r="AJ27" s="52" t="s">
        <v>64</v>
      </c>
      <c r="AK27" s="52" t="s">
        <v>65</v>
      </c>
    </row>
    <row r="28" spans="1:38">
      <c r="J28" s="67"/>
      <c r="K28" s="67"/>
      <c r="L28" s="67"/>
      <c r="T28" s="52"/>
    </row>
    <row r="29" spans="1:38">
      <c r="A29" s="48" t="s">
        <v>66</v>
      </c>
      <c r="I29" s="49" t="s">
        <v>155</v>
      </c>
      <c r="J29" s="67"/>
      <c r="K29" s="67"/>
      <c r="L29" s="67"/>
      <c r="T29" s="52"/>
      <c r="AJ29" s="48" t="s">
        <v>66</v>
      </c>
    </row>
    <row r="30" spans="1:38">
      <c r="A30" s="52" t="s">
        <v>71</v>
      </c>
      <c r="B30" s="55" t="s">
        <v>72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72</v>
      </c>
      <c r="AJ30" s="52" t="s">
        <v>73</v>
      </c>
      <c r="AK30" s="55" t="s">
        <v>72</v>
      </c>
    </row>
    <row r="31" spans="1:38">
      <c r="A31" s="160">
        <v>1</v>
      </c>
      <c r="B31" s="57" t="s">
        <v>74</v>
      </c>
      <c r="C31" s="63">
        <f>销量!C8</f>
        <v>2600.0000000000005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74</v>
      </c>
      <c r="AJ31" s="52" t="s">
        <v>24</v>
      </c>
      <c r="AK31" s="52" t="s">
        <v>74</v>
      </c>
    </row>
    <row r="32" spans="1:38">
      <c r="A32" s="160">
        <v>2</v>
      </c>
      <c r="B32" s="52" t="s">
        <v>156</v>
      </c>
      <c r="C32" s="54">
        <f>C9/C6</f>
        <v>2600.0000000000005</v>
      </c>
      <c r="D32" s="54" t="e">
        <f t="shared" ref="D32:H32" si="25">D9/D6</f>
        <v>#DIV/0!</v>
      </c>
      <c r="E32" s="54" t="e">
        <f t="shared" si="25"/>
        <v>#DIV/0!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75</v>
      </c>
      <c r="C33" s="54">
        <f>材料成本!H41</f>
        <v>1465.9059999999999</v>
      </c>
      <c r="D33" s="54">
        <f>材料成本!H42</f>
        <v>0</v>
      </c>
      <c r="E33" s="54">
        <f>材料成本!H43</f>
        <v>0</v>
      </c>
      <c r="F33" s="54">
        <f>材料成本!H44</f>
        <v>0</v>
      </c>
      <c r="G33" s="54">
        <f>材料成本!H45</f>
        <v>0</v>
      </c>
      <c r="H33" s="54">
        <f>材料成本!H46</f>
        <v>0</v>
      </c>
      <c r="I33" s="59"/>
      <c r="K33" s="67"/>
      <c r="L33" s="67"/>
      <c r="M33" s="67"/>
      <c r="N33" s="67"/>
      <c r="O33" s="67"/>
      <c r="P33" s="67"/>
      <c r="T33" s="52" t="s">
        <v>75</v>
      </c>
      <c r="AJ33" s="52" t="s">
        <v>26</v>
      </c>
      <c r="AK33" s="52" t="s">
        <v>75</v>
      </c>
    </row>
    <row r="34" spans="1:37" ht="17.25" customHeight="1">
      <c r="A34" s="160">
        <v>4</v>
      </c>
      <c r="B34" s="52" t="s">
        <v>77</v>
      </c>
      <c r="C34" s="64">
        <f>C32-C33</f>
        <v>1134.0940000000005</v>
      </c>
      <c r="D34" s="64" t="e">
        <f t="shared" ref="D34:H34" si="26">D32-D33</f>
        <v>#DIV/0!</v>
      </c>
      <c r="E34" s="64" t="e">
        <f t="shared" si="26"/>
        <v>#DIV/0!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77</v>
      </c>
      <c r="AJ34" s="52" t="s">
        <v>76</v>
      </c>
      <c r="AK34" s="52" t="s">
        <v>77</v>
      </c>
    </row>
    <row r="35" spans="1:37">
      <c r="A35" s="52" t="s">
        <v>73</v>
      </c>
      <c r="B35" s="55" t="s">
        <v>10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10</v>
      </c>
      <c r="AJ35" s="52" t="s">
        <v>79</v>
      </c>
      <c r="AK35" s="55" t="s">
        <v>10</v>
      </c>
    </row>
    <row r="36" spans="1:37">
      <c r="A36" s="160">
        <v>1</v>
      </c>
      <c r="B36" s="52" t="s">
        <v>80</v>
      </c>
      <c r="C36" s="58">
        <f>'2022年'!C36</f>
        <v>146.17196456838394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80</v>
      </c>
      <c r="AJ36" s="52" t="s">
        <v>76</v>
      </c>
      <c r="AK36" s="52" t="s">
        <v>80</v>
      </c>
    </row>
    <row r="37" spans="1:37">
      <c r="A37" s="160">
        <v>2</v>
      </c>
      <c r="B37" s="52" t="s">
        <v>81</v>
      </c>
      <c r="C37" s="58">
        <f>'2022年'!C37</f>
        <v>39.197572962799178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81</v>
      </c>
      <c r="AJ37" s="52" t="s">
        <v>29</v>
      </c>
      <c r="AK37" s="52" t="s">
        <v>81</v>
      </c>
    </row>
    <row r="38" spans="1:37">
      <c r="A38" s="160">
        <v>3</v>
      </c>
      <c r="B38" s="52" t="s">
        <v>82</v>
      </c>
      <c r="C38" s="58">
        <f>'2022年'!C38</f>
        <v>104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82</v>
      </c>
      <c r="AJ38" s="52" t="s">
        <v>35</v>
      </c>
      <c r="AK38" s="52" t="s">
        <v>82</v>
      </c>
    </row>
    <row r="39" spans="1:37">
      <c r="A39" s="52" t="s">
        <v>79</v>
      </c>
      <c r="B39" s="55" t="s">
        <v>84</v>
      </c>
      <c r="C39" s="59"/>
      <c r="D39" s="59"/>
      <c r="E39" s="59"/>
      <c r="F39" s="59"/>
      <c r="G39" s="59"/>
      <c r="H39" s="59"/>
      <c r="I39" s="59"/>
      <c r="T39" s="55" t="s">
        <v>84</v>
      </c>
      <c r="AJ39" s="52" t="s">
        <v>83</v>
      </c>
      <c r="AK39" s="55" t="s">
        <v>84</v>
      </c>
    </row>
    <row r="40" spans="1:37">
      <c r="A40" s="160">
        <v>1</v>
      </c>
      <c r="B40" s="52" t="s">
        <v>86</v>
      </c>
      <c r="C40" s="59">
        <f>C34-C36-C37-C38</f>
        <v>844.72446246881736</v>
      </c>
      <c r="D40" s="59" t="e">
        <f t="shared" ref="D40:H40" si="27">D34-D36-D37-D38</f>
        <v>#DIV/0!</v>
      </c>
      <c r="E40" s="59" t="e">
        <f t="shared" si="27"/>
        <v>#DIV/0!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86</v>
      </c>
      <c r="AJ40" s="52" t="s">
        <v>24</v>
      </c>
      <c r="AK40" s="52" t="s">
        <v>86</v>
      </c>
    </row>
    <row r="41" spans="1:37">
      <c r="A41" s="160">
        <v>2</v>
      </c>
      <c r="B41" s="52" t="s">
        <v>87</v>
      </c>
      <c r="C41" s="59"/>
      <c r="D41" s="59"/>
      <c r="E41" s="59"/>
      <c r="F41" s="59"/>
      <c r="G41" s="59"/>
      <c r="H41" s="59"/>
      <c r="I41" s="59"/>
      <c r="T41" s="52" t="s">
        <v>87</v>
      </c>
      <c r="AJ41" s="52" t="s">
        <v>26</v>
      </c>
      <c r="AK41" s="52" t="s">
        <v>87</v>
      </c>
    </row>
    <row r="42" spans="1:37">
      <c r="A42" s="52" t="s">
        <v>83</v>
      </c>
      <c r="B42" s="55" t="s">
        <v>89</v>
      </c>
      <c r="C42" s="59"/>
      <c r="D42" s="59"/>
      <c r="E42" s="59"/>
      <c r="F42" s="59"/>
      <c r="G42" s="59"/>
      <c r="H42" s="59"/>
      <c r="I42" s="59"/>
      <c r="T42" s="55" t="s">
        <v>89</v>
      </c>
      <c r="AJ42" s="52" t="s">
        <v>88</v>
      </c>
      <c r="AK42" s="55" t="s">
        <v>89</v>
      </c>
    </row>
    <row r="43" spans="1:37">
      <c r="A43" s="160">
        <v>1</v>
      </c>
      <c r="B43" s="60" t="s">
        <v>90</v>
      </c>
      <c r="C43" s="58">
        <f>'2022年'!C43</f>
        <v>117.00000000000001</v>
      </c>
      <c r="D43" s="58">
        <v>68.039999999999992</v>
      </c>
      <c r="E43" s="58"/>
      <c r="F43" s="58">
        <v>63</v>
      </c>
      <c r="G43" s="58"/>
      <c r="H43" s="58"/>
      <c r="I43" s="59"/>
      <c r="T43" s="52" t="s">
        <v>90</v>
      </c>
      <c r="AJ43" s="52" t="s">
        <v>24</v>
      </c>
      <c r="AK43" s="52" t="s">
        <v>90</v>
      </c>
    </row>
    <row r="44" spans="1:37">
      <c r="A44" s="160">
        <v>2</v>
      </c>
      <c r="B44" s="60" t="s">
        <v>91</v>
      </c>
      <c r="C44" s="58">
        <f>'2022年'!C44</f>
        <v>18.200000000000003</v>
      </c>
      <c r="D44" s="58">
        <v>10.584</v>
      </c>
      <c r="E44" s="58"/>
      <c r="F44" s="58">
        <v>9.8000000000000007</v>
      </c>
      <c r="G44" s="58"/>
      <c r="H44" s="58"/>
      <c r="I44" s="59"/>
      <c r="T44" s="52" t="s">
        <v>91</v>
      </c>
      <c r="AJ44" s="52" t="s">
        <v>26</v>
      </c>
      <c r="AK44" s="52" t="s">
        <v>91</v>
      </c>
    </row>
    <row r="45" spans="1:37">
      <c r="A45" s="160">
        <v>3</v>
      </c>
      <c r="B45" s="60" t="s">
        <v>92</v>
      </c>
      <c r="C45" s="58">
        <f>'2022年'!C45</f>
        <v>78.000000000000014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92</v>
      </c>
      <c r="AJ45" s="52" t="s">
        <v>76</v>
      </c>
      <c r="AK45" s="52" t="s">
        <v>92</v>
      </c>
    </row>
    <row r="46" spans="1:37" s="47" customFormat="1">
      <c r="A46" s="160">
        <v>4</v>
      </c>
      <c r="B46" s="60" t="s">
        <v>93</v>
      </c>
      <c r="C46" s="65">
        <f>C21/C6</f>
        <v>0</v>
      </c>
      <c r="D46" s="65" t="e">
        <f t="shared" ref="D46:H46" si="28">D21/D6</f>
        <v>#DIV/0!</v>
      </c>
      <c r="E46" s="65" t="e">
        <f t="shared" si="28"/>
        <v>#DIV/0!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95</v>
      </c>
      <c r="AJ46" s="60" t="s">
        <v>32</v>
      </c>
      <c r="AK46" s="60" t="s">
        <v>95</v>
      </c>
    </row>
    <row r="47" spans="1:37" s="47" customFormat="1">
      <c r="A47" s="160">
        <v>5</v>
      </c>
      <c r="B47" s="60" t="s">
        <v>95</v>
      </c>
      <c r="C47" s="65">
        <f>'2022年'!C47</f>
        <v>104.00000000000001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95</v>
      </c>
      <c r="AJ47" s="60" t="s">
        <v>32</v>
      </c>
      <c r="AK47" s="60" t="s">
        <v>95</v>
      </c>
    </row>
    <row r="48" spans="1:37">
      <c r="A48" s="52" t="s">
        <v>88</v>
      </c>
      <c r="B48" s="55" t="s">
        <v>106</v>
      </c>
      <c r="C48" s="59">
        <f>C40-C43-C44-C45-C47-C46</f>
        <v>527.52446246881732</v>
      </c>
      <c r="D48" s="59" t="e">
        <f t="shared" ref="D48:H48" si="29">D40-D43-D44-D45-D47-D46</f>
        <v>#DIV/0!</v>
      </c>
      <c r="E48" s="59" t="e">
        <f t="shared" si="29"/>
        <v>#DIV/0!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106</v>
      </c>
      <c r="AJ48" s="52" t="s">
        <v>105</v>
      </c>
      <c r="AK48" s="55" t="s">
        <v>106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2" activePane="bottomRight" state="frozen"/>
      <selection pane="topRight"/>
      <selection pane="bottomLeft"/>
      <selection pane="bottomRight" activeCell="C48" sqref="C4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53" t="s">
        <v>146</v>
      </c>
      <c r="B1" s="253"/>
      <c r="C1" s="257" t="s">
        <v>260</v>
      </c>
      <c r="D1" s="258"/>
      <c r="E1" s="258"/>
      <c r="F1" s="258"/>
      <c r="G1" s="258"/>
      <c r="H1" s="258"/>
      <c r="I1" s="259"/>
    </row>
    <row r="2" spans="1:38">
      <c r="A2" s="253" t="s">
        <v>147</v>
      </c>
      <c r="B2" s="253"/>
      <c r="C2" s="260" t="str">
        <f>'2022年'!C2:G2</f>
        <v>一汽解放</v>
      </c>
      <c r="D2" s="260"/>
      <c r="E2" s="260"/>
      <c r="F2" s="260"/>
      <c r="G2" s="260"/>
      <c r="H2" s="260"/>
      <c r="I2" s="260"/>
    </row>
    <row r="3" spans="1:38">
      <c r="A3" s="253" t="s">
        <v>148</v>
      </c>
      <c r="B3" s="253"/>
      <c r="C3" s="161" t="str">
        <f>销量!C5</f>
        <v>驾驶员座椅</v>
      </c>
      <c r="D3" s="161" t="str">
        <f>销量!D5</f>
        <v>驾驶员座椅</v>
      </c>
      <c r="E3" s="161">
        <f>销量!E5</f>
        <v>0</v>
      </c>
      <c r="F3" s="161">
        <f>销量!F5</f>
        <v>0</v>
      </c>
      <c r="G3" s="161">
        <f>销量!G5</f>
        <v>0</v>
      </c>
      <c r="H3" s="161">
        <f>销量!H5</f>
        <v>0</v>
      </c>
      <c r="I3" s="254" t="s">
        <v>20</v>
      </c>
    </row>
    <row r="4" spans="1:38">
      <c r="A4" s="253" t="s">
        <v>149</v>
      </c>
      <c r="B4" s="253"/>
      <c r="C4" s="161" t="str">
        <f>销量!C6</f>
        <v>V168100000193</v>
      </c>
      <c r="D4" s="161" t="str">
        <f>销量!D6</f>
        <v>K1气囊减震</v>
      </c>
      <c r="E4" s="161">
        <f>销量!E6</f>
        <v>0</v>
      </c>
      <c r="F4" s="161">
        <f>销量!F6</f>
        <v>0</v>
      </c>
      <c r="G4" s="161">
        <f>销量!G6</f>
        <v>0</v>
      </c>
      <c r="H4" s="161">
        <f>销量!H6</f>
        <v>0</v>
      </c>
      <c r="I4" s="255"/>
    </row>
    <row r="5" spans="1:38">
      <c r="A5" s="253" t="s">
        <v>150</v>
      </c>
      <c r="B5" s="253"/>
      <c r="C5" s="51"/>
      <c r="D5" s="51"/>
      <c r="E5" s="51"/>
      <c r="F5" s="51"/>
      <c r="G5" s="51"/>
      <c r="H5" s="51"/>
      <c r="I5" s="256"/>
      <c r="AL5" s="48" t="s">
        <v>21</v>
      </c>
    </row>
    <row r="6" spans="1:38" ht="17.25">
      <c r="A6" s="52" t="s">
        <v>18</v>
      </c>
      <c r="B6" s="53" t="s">
        <v>151</v>
      </c>
      <c r="C6" s="23">
        <f>销量!C13</f>
        <v>5000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4">
        <f>SUM(C6:H6)</f>
        <v>5000</v>
      </c>
      <c r="T6" s="53" t="s">
        <v>3</v>
      </c>
      <c r="AJ6" s="52" t="s">
        <v>18</v>
      </c>
      <c r="AK6" s="53" t="s">
        <v>3</v>
      </c>
      <c r="AL6" s="48" t="s">
        <v>22</v>
      </c>
    </row>
    <row r="7" spans="1:38">
      <c r="A7" s="160">
        <v>1</v>
      </c>
      <c r="B7" s="53" t="s">
        <v>23</v>
      </c>
      <c r="C7" s="54">
        <f>C6*销量!C8</f>
        <v>13000000.000000002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13000000.000000002</v>
      </c>
      <c r="J7" s="49"/>
      <c r="T7" s="53" t="s">
        <v>23</v>
      </c>
      <c r="AJ7" s="52" t="s">
        <v>24</v>
      </c>
      <c r="AK7" s="53" t="s">
        <v>23</v>
      </c>
      <c r="AL7" s="48" t="s">
        <v>22</v>
      </c>
    </row>
    <row r="8" spans="1:38">
      <c r="A8" s="160">
        <v>2</v>
      </c>
      <c r="B8" s="160" t="s">
        <v>25</v>
      </c>
      <c r="C8" s="54">
        <f>C7*(1-销量!$L$10)</f>
        <v>0</v>
      </c>
      <c r="D8" s="54">
        <f>D7*(1-销量!$L$10)</f>
        <v>0</v>
      </c>
      <c r="E8" s="54">
        <f>E7*(1-销量!$L$10)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0</v>
      </c>
      <c r="J8" s="69"/>
      <c r="T8" s="160" t="s">
        <v>27</v>
      </c>
      <c r="AJ8" s="52" t="s">
        <v>26</v>
      </c>
      <c r="AK8" s="160" t="s">
        <v>27</v>
      </c>
      <c r="AL8" s="48" t="s">
        <v>22</v>
      </c>
    </row>
    <row r="9" spans="1:38">
      <c r="A9" s="160">
        <v>3</v>
      </c>
      <c r="B9" s="53" t="s">
        <v>28</v>
      </c>
      <c r="C9" s="54">
        <f>+C7-C8</f>
        <v>13000000.000000002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13000000.000000002</v>
      </c>
      <c r="T9" s="53" t="s">
        <v>28</v>
      </c>
      <c r="AJ9" s="52" t="s">
        <v>29</v>
      </c>
      <c r="AK9" s="53" t="s">
        <v>28</v>
      </c>
      <c r="AL9" s="48" t="s">
        <v>30</v>
      </c>
    </row>
    <row r="10" spans="1:38">
      <c r="A10" s="160">
        <v>4</v>
      </c>
      <c r="B10" s="52" t="s">
        <v>31</v>
      </c>
      <c r="C10" s="54">
        <f>C6*材料成本!I41</f>
        <v>7329530</v>
      </c>
      <c r="D10" s="54">
        <f>D6*材料成本!I42</f>
        <v>0</v>
      </c>
      <c r="E10" s="54">
        <f>E6*材料成本!I43</f>
        <v>0</v>
      </c>
      <c r="F10" s="54">
        <f>F6*材料成本!I44</f>
        <v>0</v>
      </c>
      <c r="G10" s="54">
        <f>G6*材料成本!I45</f>
        <v>0</v>
      </c>
      <c r="H10" s="54">
        <f>H6*材料成本!I46</f>
        <v>0</v>
      </c>
      <c r="I10" s="54">
        <f t="shared" si="0"/>
        <v>7329530</v>
      </c>
      <c r="T10" s="52" t="s">
        <v>31</v>
      </c>
      <c r="AJ10" s="52" t="s">
        <v>32</v>
      </c>
      <c r="AK10" s="52" t="s">
        <v>31</v>
      </c>
      <c r="AL10" s="48" t="s">
        <v>33</v>
      </c>
    </row>
    <row r="11" spans="1:38">
      <c r="A11" s="160">
        <v>5</v>
      </c>
      <c r="B11" s="52" t="s">
        <v>34</v>
      </c>
      <c r="C11" s="54">
        <f>+C6*C36</f>
        <v>730859.82284191973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730859.82284191973</v>
      </c>
      <c r="T11" s="52" t="s">
        <v>34</v>
      </c>
      <c r="AJ11" s="52" t="s">
        <v>35</v>
      </c>
      <c r="AK11" s="52" t="s">
        <v>34</v>
      </c>
    </row>
    <row r="12" spans="1:38">
      <c r="A12" s="160">
        <v>6</v>
      </c>
      <c r="B12" s="52" t="s">
        <v>36</v>
      </c>
      <c r="C12" s="54">
        <f>+C6*C37</f>
        <v>195987.8648139959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195987.8648139959</v>
      </c>
      <c r="T12" s="52" t="s">
        <v>36</v>
      </c>
      <c r="AJ12" s="52" t="s">
        <v>37</v>
      </c>
      <c r="AK12" s="52" t="s">
        <v>36</v>
      </c>
    </row>
    <row r="13" spans="1:38">
      <c r="A13" s="160">
        <v>7</v>
      </c>
      <c r="B13" s="52" t="s">
        <v>38</v>
      </c>
      <c r="C13" s="54">
        <f>+C6*C38</f>
        <v>520000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520000</v>
      </c>
      <c r="T13" s="52" t="s">
        <v>38</v>
      </c>
      <c r="AJ13" s="52" t="s">
        <v>39</v>
      </c>
      <c r="AK13" s="52" t="s">
        <v>38</v>
      </c>
      <c r="AL13" s="48" t="s">
        <v>22</v>
      </c>
    </row>
    <row r="14" spans="1:38">
      <c r="A14" s="160">
        <v>8</v>
      </c>
      <c r="B14" s="55" t="s">
        <v>40</v>
      </c>
      <c r="C14" s="54">
        <f>SUM(C11:C13)</f>
        <v>1446847.6876559155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1446847.6876559155</v>
      </c>
      <c r="T14" s="55" t="s">
        <v>40</v>
      </c>
      <c r="AJ14" s="52" t="s">
        <v>41</v>
      </c>
      <c r="AK14" s="55" t="s">
        <v>40</v>
      </c>
    </row>
    <row r="15" spans="1:38">
      <c r="A15" s="160">
        <v>9</v>
      </c>
      <c r="B15" s="55" t="s">
        <v>42</v>
      </c>
      <c r="C15" s="54">
        <f>+C9-C10-C14</f>
        <v>4223622.3123440864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4223622.3123440864</v>
      </c>
      <c r="T15" s="55" t="s">
        <v>42</v>
      </c>
      <c r="AJ15" s="52" t="s">
        <v>43</v>
      </c>
      <c r="AK15" s="55" t="s">
        <v>42</v>
      </c>
    </row>
    <row r="16" spans="1:38">
      <c r="A16" s="160">
        <v>10</v>
      </c>
      <c r="B16" s="52" t="s">
        <v>44</v>
      </c>
      <c r="C16" s="56">
        <f>+C15/C9</f>
        <v>0.32489402402646811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>
        <f t="shared" ref="I16" si="8">+I15/I9</f>
        <v>0.32489402402646811</v>
      </c>
      <c r="T16" s="52" t="s">
        <v>44</v>
      </c>
      <c r="AJ16" s="52" t="s">
        <v>45</v>
      </c>
      <c r="AK16" s="52" t="s">
        <v>44</v>
      </c>
    </row>
    <row r="17" spans="1:38">
      <c r="A17" s="160">
        <v>11</v>
      </c>
      <c r="B17" s="52" t="s">
        <v>46</v>
      </c>
      <c r="C17" s="54">
        <f>C6*C43+C18</f>
        <v>682660.00000000012</v>
      </c>
      <c r="D17" s="54">
        <f t="shared" ref="D17:H17" si="9">D6*D43+D18</f>
        <v>0</v>
      </c>
      <c r="E17" s="54">
        <f t="shared" si="9"/>
        <v>0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682660.00000000012</v>
      </c>
      <c r="J17" s="69"/>
      <c r="T17" s="52" t="s">
        <v>46</v>
      </c>
      <c r="AJ17" s="52" t="s">
        <v>47</v>
      </c>
      <c r="AK17" s="52" t="s">
        <v>46</v>
      </c>
    </row>
    <row r="18" spans="1:38" s="46" customFormat="1">
      <c r="A18" s="160">
        <v>12</v>
      </c>
      <c r="B18" s="57" t="s">
        <v>152</v>
      </c>
      <c r="C18" s="58">
        <f>$I$18/$I$6*C6</f>
        <v>97660</v>
      </c>
      <c r="D18" s="58">
        <f t="shared" ref="D18:H18" si="10">$I$18/$I$6*D6</f>
        <v>0</v>
      </c>
      <c r="E18" s="58">
        <f t="shared" si="10"/>
        <v>0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项目投资!H26</f>
        <v>97660</v>
      </c>
      <c r="J18" s="70" t="s">
        <v>153</v>
      </c>
      <c r="K18" s="70"/>
      <c r="L18" s="70"/>
    </row>
    <row r="19" spans="1:38">
      <c r="A19" s="160">
        <v>13</v>
      </c>
      <c r="B19" s="52" t="s">
        <v>48</v>
      </c>
      <c r="C19" s="54">
        <f>C6*C44</f>
        <v>91000.000000000015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91000.000000000015</v>
      </c>
      <c r="J19" s="46"/>
      <c r="T19" s="52" t="s">
        <v>48</v>
      </c>
      <c r="AJ19" s="52" t="s">
        <v>49</v>
      </c>
      <c r="AK19" s="52" t="s">
        <v>48</v>
      </c>
      <c r="AL19" s="48" t="s">
        <v>22</v>
      </c>
    </row>
    <row r="20" spans="1:38">
      <c r="A20" s="160">
        <v>14</v>
      </c>
      <c r="B20" s="52" t="s">
        <v>50</v>
      </c>
      <c r="C20" s="54">
        <f>C6*C45</f>
        <v>390000.00000000006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390000.00000000006</v>
      </c>
      <c r="T20" s="52" t="s">
        <v>50</v>
      </c>
      <c r="AJ20" s="52" t="s">
        <v>51</v>
      </c>
      <c r="AK20" s="52" t="s">
        <v>50</v>
      </c>
    </row>
    <row r="21" spans="1:38">
      <c r="A21" s="160">
        <v>15</v>
      </c>
      <c r="B21" s="52" t="s">
        <v>52</v>
      </c>
      <c r="C21" s="59">
        <f>$I$21/$I$6*C6</f>
        <v>0</v>
      </c>
      <c r="D21" s="59">
        <f t="shared" ref="D21:H21" si="13">$I$21/$I$6*D6</f>
        <v>0</v>
      </c>
      <c r="E21" s="59">
        <f t="shared" si="13"/>
        <v>0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项目投资!H27</f>
        <v>0</v>
      </c>
      <c r="T21" s="52" t="s">
        <v>52</v>
      </c>
      <c r="AJ21" s="52"/>
      <c r="AK21" s="52"/>
    </row>
    <row r="22" spans="1:38">
      <c r="A22" s="160">
        <v>16</v>
      </c>
      <c r="B22" s="52" t="s">
        <v>53</v>
      </c>
      <c r="C22" s="54">
        <f>C6*C47</f>
        <v>520000.00000000006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520000.00000000006</v>
      </c>
      <c r="T22" s="52" t="s">
        <v>53</v>
      </c>
      <c r="AJ22" s="52" t="s">
        <v>54</v>
      </c>
      <c r="AK22" s="52" t="s">
        <v>53</v>
      </c>
    </row>
    <row r="23" spans="1:38">
      <c r="A23" s="160">
        <v>17</v>
      </c>
      <c r="B23" s="55" t="s">
        <v>55</v>
      </c>
      <c r="C23" s="59">
        <f>+C22+C21+C20+C19+C17</f>
        <v>1683660.0000000002</v>
      </c>
      <c r="D23" s="59">
        <f t="shared" ref="D23:H23" si="15">+D22+D21+D20+D19+D17</f>
        <v>0</v>
      </c>
      <c r="E23" s="59">
        <f t="shared" si="15"/>
        <v>0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ref="I23" si="16">+I22+I21+I20+I19+I17</f>
        <v>1683660.0000000002</v>
      </c>
      <c r="T23" s="55" t="s">
        <v>55</v>
      </c>
      <c r="AJ23" s="52" t="s">
        <v>56</v>
      </c>
      <c r="AK23" s="55" t="s">
        <v>55</v>
      </c>
    </row>
    <row r="24" spans="1:38">
      <c r="A24" s="160">
        <v>18</v>
      </c>
      <c r="B24" s="60" t="s">
        <v>57</v>
      </c>
      <c r="C24" s="59">
        <f>+C15-C23</f>
        <v>2539962.3123440864</v>
      </c>
      <c r="D24" s="59">
        <f t="shared" ref="D24:H24" si="17">+D15-D23</f>
        <v>0</v>
      </c>
      <c r="E24" s="59">
        <f t="shared" si="17"/>
        <v>0</v>
      </c>
      <c r="F24" s="59">
        <f t="shared" si="17"/>
        <v>0</v>
      </c>
      <c r="G24" s="59">
        <f t="shared" si="17"/>
        <v>0</v>
      </c>
      <c r="H24" s="59">
        <f t="shared" si="17"/>
        <v>0</v>
      </c>
      <c r="I24" s="59">
        <f t="shared" ref="I24" si="18">+I15-I23</f>
        <v>2539962.3123440864</v>
      </c>
      <c r="K24" s="71"/>
      <c r="T24" s="52" t="s">
        <v>57</v>
      </c>
      <c r="AJ24" s="52" t="s">
        <v>58</v>
      </c>
      <c r="AK24" s="52" t="s">
        <v>57</v>
      </c>
    </row>
    <row r="25" spans="1:38">
      <c r="A25" s="160">
        <v>19</v>
      </c>
      <c r="B25" s="52" t="s">
        <v>154</v>
      </c>
      <c r="C25" s="59">
        <f>IF(C24&lt;0,0,C24*0.25)</f>
        <v>634990.57808602159</v>
      </c>
      <c r="D25" s="59">
        <f>IF(D24&lt;0,0,D24*0.15)</f>
        <v>0</v>
      </c>
      <c r="E25" s="59">
        <f t="shared" ref="E25:I25" si="19">IF(E24&lt;0,0,E24*0.25)</f>
        <v>0</v>
      </c>
      <c r="F25" s="59">
        <f>IF(F24&lt;0,0,F24*0.15)</f>
        <v>0</v>
      </c>
      <c r="G25" s="59">
        <f t="shared" si="19"/>
        <v>0</v>
      </c>
      <c r="H25" s="59">
        <f t="shared" si="19"/>
        <v>0</v>
      </c>
      <c r="I25" s="59">
        <f t="shared" si="19"/>
        <v>634990.57808602159</v>
      </c>
      <c r="J25" s="67"/>
      <c r="K25" s="67"/>
      <c r="L25" s="67"/>
      <c r="T25" s="52" t="s">
        <v>59</v>
      </c>
      <c r="AJ25" s="52" t="s">
        <v>60</v>
      </c>
      <c r="AK25" s="52" t="s">
        <v>59</v>
      </c>
    </row>
    <row r="26" spans="1:38">
      <c r="A26" s="160">
        <v>20</v>
      </c>
      <c r="B26" s="52" t="s">
        <v>61</v>
      </c>
      <c r="C26" s="59">
        <f t="shared" ref="C26:H26" si="20">C24-C25</f>
        <v>1904971.7342580648</v>
      </c>
      <c r="D26" s="59">
        <f t="shared" si="20"/>
        <v>0</v>
      </c>
      <c r="E26" s="59">
        <f t="shared" si="20"/>
        <v>0</v>
      </c>
      <c r="F26" s="59">
        <f t="shared" si="20"/>
        <v>0</v>
      </c>
      <c r="G26" s="59">
        <f t="shared" si="20"/>
        <v>0</v>
      </c>
      <c r="H26" s="59">
        <f t="shared" si="20"/>
        <v>0</v>
      </c>
      <c r="I26" s="54">
        <f>+SUM(C26:H26)</f>
        <v>1904971.7342580648</v>
      </c>
      <c r="J26" s="67"/>
      <c r="K26" s="67"/>
      <c r="L26" s="67"/>
      <c r="T26" s="52" t="s">
        <v>61</v>
      </c>
      <c r="AJ26" s="52" t="s">
        <v>62</v>
      </c>
      <c r="AK26" s="52" t="s">
        <v>61</v>
      </c>
    </row>
    <row r="27" spans="1:38">
      <c r="A27" s="160">
        <v>21</v>
      </c>
      <c r="B27" s="52" t="s">
        <v>65</v>
      </c>
      <c r="C27" s="61">
        <f t="shared" ref="C27:I27" si="21">C26/C7</f>
        <v>0.14653628725062035</v>
      </c>
      <c r="D27" s="61" t="e">
        <f t="shared" ref="D27:H27" si="22">D26/D7</f>
        <v>#DIV/0!</v>
      </c>
      <c r="E27" s="61" t="e">
        <f t="shared" si="22"/>
        <v>#DIV/0!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>
        <f t="shared" si="21"/>
        <v>0.14653628725062035</v>
      </c>
      <c r="J27" s="67"/>
      <c r="K27" s="67"/>
      <c r="L27" s="67"/>
      <c r="T27" s="52" t="s">
        <v>65</v>
      </c>
      <c r="AJ27" s="52" t="s">
        <v>64</v>
      </c>
      <c r="AK27" s="52" t="s">
        <v>65</v>
      </c>
    </row>
    <row r="28" spans="1:38">
      <c r="J28" s="67"/>
      <c r="K28" s="67"/>
      <c r="L28" s="67"/>
      <c r="T28" s="52"/>
    </row>
    <row r="29" spans="1:38">
      <c r="A29" s="48" t="s">
        <v>66</v>
      </c>
      <c r="I29" s="49" t="s">
        <v>155</v>
      </c>
      <c r="J29" s="67"/>
      <c r="K29" s="67"/>
      <c r="L29" s="67"/>
      <c r="T29" s="52"/>
      <c r="AJ29" s="48" t="s">
        <v>66</v>
      </c>
    </row>
    <row r="30" spans="1:38">
      <c r="A30" s="52" t="s">
        <v>71</v>
      </c>
      <c r="B30" s="55" t="s">
        <v>72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72</v>
      </c>
      <c r="AJ30" s="52" t="s">
        <v>73</v>
      </c>
      <c r="AK30" s="55" t="s">
        <v>72</v>
      </c>
    </row>
    <row r="31" spans="1:38">
      <c r="A31" s="160">
        <v>1</v>
      </c>
      <c r="B31" s="57" t="s">
        <v>74</v>
      </c>
      <c r="C31" s="63">
        <f>销量!C8</f>
        <v>2600.0000000000005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74</v>
      </c>
      <c r="AJ31" s="52" t="s">
        <v>24</v>
      </c>
      <c r="AK31" s="52" t="s">
        <v>74</v>
      </c>
    </row>
    <row r="32" spans="1:38">
      <c r="A32" s="160">
        <v>2</v>
      </c>
      <c r="B32" s="52" t="s">
        <v>156</v>
      </c>
      <c r="C32" s="54">
        <f>C9/C6</f>
        <v>2600.0000000000005</v>
      </c>
      <c r="D32" s="54" t="e">
        <f t="shared" ref="D32:H32" si="23">D9/D6</f>
        <v>#DIV/0!</v>
      </c>
      <c r="E32" s="54" t="e">
        <f t="shared" si="23"/>
        <v>#DIV/0!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75</v>
      </c>
      <c r="C33" s="54">
        <f>材料成本!I41</f>
        <v>1465.9059999999999</v>
      </c>
      <c r="D33" s="54">
        <f>材料成本!I42</f>
        <v>0</v>
      </c>
      <c r="E33" s="54">
        <f>材料成本!I43</f>
        <v>0</v>
      </c>
      <c r="F33" s="54">
        <f>材料成本!I44</f>
        <v>0</v>
      </c>
      <c r="G33" s="54">
        <f>材料成本!I45</f>
        <v>0</v>
      </c>
      <c r="H33" s="54">
        <f>材料成本!I46</f>
        <v>0</v>
      </c>
      <c r="I33" s="59"/>
      <c r="K33" s="67"/>
      <c r="L33" s="67"/>
      <c r="M33" s="67"/>
      <c r="N33" s="67"/>
      <c r="O33" s="67"/>
      <c r="P33" s="67"/>
      <c r="T33" s="52" t="s">
        <v>75</v>
      </c>
      <c r="AJ33" s="52" t="s">
        <v>26</v>
      </c>
      <c r="AK33" s="52" t="s">
        <v>75</v>
      </c>
    </row>
    <row r="34" spans="1:37" ht="17.25" customHeight="1">
      <c r="A34" s="160">
        <v>4</v>
      </c>
      <c r="B34" s="52" t="s">
        <v>77</v>
      </c>
      <c r="C34" s="64">
        <f>C32-C33</f>
        <v>1134.0940000000005</v>
      </c>
      <c r="D34" s="64" t="e">
        <f t="shared" ref="D34:H34" si="24">D32-D33</f>
        <v>#DIV/0!</v>
      </c>
      <c r="E34" s="64" t="e">
        <f t="shared" si="24"/>
        <v>#DIV/0!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77</v>
      </c>
      <c r="AJ34" s="52" t="s">
        <v>76</v>
      </c>
      <c r="AK34" s="52" t="s">
        <v>77</v>
      </c>
    </row>
    <row r="35" spans="1:37">
      <c r="A35" s="52" t="s">
        <v>73</v>
      </c>
      <c r="B35" s="55" t="s">
        <v>10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10</v>
      </c>
      <c r="AJ35" s="52" t="s">
        <v>79</v>
      </c>
      <c r="AK35" s="55" t="s">
        <v>10</v>
      </c>
    </row>
    <row r="36" spans="1:37">
      <c r="A36" s="160">
        <v>1</v>
      </c>
      <c r="B36" s="52" t="s">
        <v>80</v>
      </c>
      <c r="C36" s="58">
        <f>'2022年'!C36</f>
        <v>146.17196456838394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80</v>
      </c>
      <c r="AJ36" s="52" t="s">
        <v>76</v>
      </c>
      <c r="AK36" s="52" t="s">
        <v>80</v>
      </c>
    </row>
    <row r="37" spans="1:37">
      <c r="A37" s="160">
        <v>2</v>
      </c>
      <c r="B37" s="52" t="s">
        <v>81</v>
      </c>
      <c r="C37" s="58">
        <f>'2022年'!C37</f>
        <v>39.197572962799178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81</v>
      </c>
      <c r="AJ37" s="52" t="s">
        <v>29</v>
      </c>
      <c r="AK37" s="52" t="s">
        <v>81</v>
      </c>
    </row>
    <row r="38" spans="1:37">
      <c r="A38" s="160">
        <v>3</v>
      </c>
      <c r="B38" s="52" t="s">
        <v>82</v>
      </c>
      <c r="C38" s="58">
        <f>'2022年'!C38</f>
        <v>104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82</v>
      </c>
      <c r="AJ38" s="52" t="s">
        <v>35</v>
      </c>
      <c r="AK38" s="52" t="s">
        <v>82</v>
      </c>
    </row>
    <row r="39" spans="1:37">
      <c r="A39" s="52" t="s">
        <v>79</v>
      </c>
      <c r="B39" s="55" t="s">
        <v>84</v>
      </c>
      <c r="C39" s="59"/>
      <c r="D39" s="59"/>
      <c r="E39" s="59"/>
      <c r="F39" s="59"/>
      <c r="G39" s="59"/>
      <c r="H39" s="59"/>
      <c r="I39" s="59"/>
      <c r="T39" s="55" t="s">
        <v>84</v>
      </c>
      <c r="AJ39" s="52" t="s">
        <v>83</v>
      </c>
      <c r="AK39" s="55" t="s">
        <v>84</v>
      </c>
    </row>
    <row r="40" spans="1:37">
      <c r="A40" s="160">
        <v>1</v>
      </c>
      <c r="B40" s="52" t="s">
        <v>86</v>
      </c>
      <c r="C40" s="59">
        <f>C34-C36-C37-C38</f>
        <v>844.72446246881736</v>
      </c>
      <c r="D40" s="59" t="e">
        <f t="shared" ref="D40:H40" si="25">D34-D36-D37-D38</f>
        <v>#DIV/0!</v>
      </c>
      <c r="E40" s="59" t="e">
        <f t="shared" si="25"/>
        <v>#DIV/0!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86</v>
      </c>
      <c r="AJ40" s="52" t="s">
        <v>24</v>
      </c>
      <c r="AK40" s="52" t="s">
        <v>86</v>
      </c>
    </row>
    <row r="41" spans="1:37">
      <c r="A41" s="160">
        <v>2</v>
      </c>
      <c r="B41" s="52" t="s">
        <v>87</v>
      </c>
      <c r="C41" s="59"/>
      <c r="D41" s="59"/>
      <c r="E41" s="59"/>
      <c r="F41" s="59"/>
      <c r="G41" s="59"/>
      <c r="H41" s="59"/>
      <c r="I41" s="59"/>
      <c r="T41" s="52" t="s">
        <v>87</v>
      </c>
      <c r="AJ41" s="52" t="s">
        <v>26</v>
      </c>
      <c r="AK41" s="52" t="s">
        <v>87</v>
      </c>
    </row>
    <row r="42" spans="1:37">
      <c r="A42" s="52" t="s">
        <v>83</v>
      </c>
      <c r="B42" s="55" t="s">
        <v>89</v>
      </c>
      <c r="C42" s="59"/>
      <c r="D42" s="59"/>
      <c r="E42" s="59"/>
      <c r="F42" s="59"/>
      <c r="G42" s="59"/>
      <c r="H42" s="59"/>
      <c r="I42" s="59"/>
      <c r="T42" s="55" t="s">
        <v>89</v>
      </c>
      <c r="AJ42" s="52" t="s">
        <v>88</v>
      </c>
      <c r="AK42" s="55" t="s">
        <v>89</v>
      </c>
    </row>
    <row r="43" spans="1:37">
      <c r="A43" s="160">
        <v>1</v>
      </c>
      <c r="B43" s="60" t="s">
        <v>90</v>
      </c>
      <c r="C43" s="58">
        <f>'2022年'!C43</f>
        <v>117.00000000000001</v>
      </c>
      <c r="D43" s="58">
        <v>68.039999999999992</v>
      </c>
      <c r="E43" s="58"/>
      <c r="F43" s="58">
        <v>63</v>
      </c>
      <c r="G43" s="58"/>
      <c r="H43" s="58"/>
      <c r="I43" s="59"/>
      <c r="T43" s="52" t="s">
        <v>90</v>
      </c>
      <c r="AJ43" s="52" t="s">
        <v>24</v>
      </c>
      <c r="AK43" s="52" t="s">
        <v>90</v>
      </c>
    </row>
    <row r="44" spans="1:37">
      <c r="A44" s="160">
        <v>2</v>
      </c>
      <c r="B44" s="60" t="s">
        <v>91</v>
      </c>
      <c r="C44" s="58">
        <f>'2022年'!C44</f>
        <v>18.200000000000003</v>
      </c>
      <c r="D44" s="58">
        <v>10.584</v>
      </c>
      <c r="E44" s="58"/>
      <c r="F44" s="58">
        <v>9.8000000000000007</v>
      </c>
      <c r="G44" s="58"/>
      <c r="H44" s="58"/>
      <c r="I44" s="59"/>
      <c r="T44" s="52" t="s">
        <v>91</v>
      </c>
      <c r="AJ44" s="52" t="s">
        <v>26</v>
      </c>
      <c r="AK44" s="52" t="s">
        <v>91</v>
      </c>
    </row>
    <row r="45" spans="1:37">
      <c r="A45" s="160">
        <v>3</v>
      </c>
      <c r="B45" s="60" t="s">
        <v>92</v>
      </c>
      <c r="C45" s="58">
        <f>'2022年'!C45</f>
        <v>78.000000000000014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92</v>
      </c>
      <c r="AJ45" s="52" t="s">
        <v>76</v>
      </c>
      <c r="AK45" s="52" t="s">
        <v>92</v>
      </c>
    </row>
    <row r="46" spans="1:37" s="47" customFormat="1">
      <c r="A46" s="160">
        <v>4</v>
      </c>
      <c r="B46" s="60" t="s">
        <v>93</v>
      </c>
      <c r="C46" s="65">
        <f>C21/C6</f>
        <v>0</v>
      </c>
      <c r="D46" s="65" t="e">
        <f t="shared" ref="D46:H46" si="26">D21/D6</f>
        <v>#DIV/0!</v>
      </c>
      <c r="E46" s="65" t="e">
        <f t="shared" si="26"/>
        <v>#DIV/0!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95</v>
      </c>
      <c r="AJ46" s="60" t="s">
        <v>32</v>
      </c>
      <c r="AK46" s="60" t="s">
        <v>95</v>
      </c>
    </row>
    <row r="47" spans="1:37" s="47" customFormat="1">
      <c r="A47" s="160">
        <v>5</v>
      </c>
      <c r="B47" s="60" t="s">
        <v>95</v>
      </c>
      <c r="C47" s="65">
        <f>'2022年'!C47</f>
        <v>104.00000000000001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95</v>
      </c>
      <c r="AJ47" s="60" t="s">
        <v>32</v>
      </c>
      <c r="AK47" s="60" t="s">
        <v>95</v>
      </c>
    </row>
    <row r="48" spans="1:37">
      <c r="A48" s="52" t="s">
        <v>88</v>
      </c>
      <c r="B48" s="55" t="s">
        <v>106</v>
      </c>
      <c r="C48" s="59">
        <f>C40-C43-C44-C45-C47-C46</f>
        <v>527.52446246881732</v>
      </c>
      <c r="D48" s="59" t="e">
        <f t="shared" ref="D48:H48" si="27">D40-D43-D44-D45-D47-D46</f>
        <v>#DIV/0!</v>
      </c>
      <c r="E48" s="59" t="e">
        <f t="shared" si="27"/>
        <v>#DIV/0!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106</v>
      </c>
      <c r="AJ48" s="52" t="s">
        <v>105</v>
      </c>
      <c r="AK48" s="55" t="s">
        <v>106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3" activePane="bottomRight" state="frozen"/>
      <selection pane="topRight"/>
      <selection pane="bottomLeft"/>
      <selection pane="bottomRight" activeCell="F14" sqref="F14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4" width="7.875" customWidth="1"/>
    <col min="5" max="6" width="14.5" customWidth="1"/>
    <col min="7" max="7" width="15.375" customWidth="1"/>
    <col min="8" max="8" width="15.125" customWidth="1"/>
    <col min="9" max="9" width="14.625" customWidth="1"/>
    <col min="10" max="10" width="14.125" customWidth="1"/>
  </cols>
  <sheetData>
    <row r="1" spans="1:13" ht="20.25">
      <c r="A1" s="267" t="s">
        <v>157</v>
      </c>
      <c r="B1" s="267"/>
      <c r="C1" s="267"/>
      <c r="E1" s="268" t="s">
        <v>292</v>
      </c>
      <c r="F1" s="269"/>
      <c r="G1" s="269"/>
      <c r="H1" s="270"/>
      <c r="J1" s="264"/>
      <c r="K1" s="264"/>
      <c r="L1" s="264"/>
      <c r="M1" s="264"/>
    </row>
    <row r="2" spans="1:13" ht="23.45" customHeight="1">
      <c r="A2" s="28" t="s">
        <v>1</v>
      </c>
      <c r="B2" s="29" t="s">
        <v>158</v>
      </c>
      <c r="C2" s="30" t="s">
        <v>159</v>
      </c>
      <c r="D2" s="244" t="s">
        <v>294</v>
      </c>
      <c r="E2" s="1" t="s">
        <v>160</v>
      </c>
      <c r="F2" s="1" t="s">
        <v>1</v>
      </c>
      <c r="G2" s="31" t="s">
        <v>161</v>
      </c>
      <c r="H2" s="1" t="s">
        <v>159</v>
      </c>
      <c r="J2" s="228"/>
      <c r="K2" s="228"/>
      <c r="L2" s="229"/>
      <c r="M2" s="230"/>
    </row>
    <row r="3" spans="1:13" ht="15.75" customHeight="1">
      <c r="A3" s="32" t="s">
        <v>162</v>
      </c>
      <c r="B3" s="33"/>
      <c r="C3" s="34"/>
      <c r="E3" s="275" t="s">
        <v>163</v>
      </c>
      <c r="F3" s="2" t="s">
        <v>164</v>
      </c>
      <c r="G3" s="176"/>
      <c r="H3" s="191"/>
      <c r="J3" s="265"/>
      <c r="K3" s="231"/>
      <c r="L3" s="232"/>
      <c r="M3" s="231"/>
    </row>
    <row r="4" spans="1:13" ht="15.75" customHeight="1">
      <c r="A4" s="32" t="s">
        <v>165</v>
      </c>
      <c r="B4" s="33"/>
      <c r="C4" s="35"/>
      <c r="E4" s="276"/>
      <c r="F4" s="2" t="s">
        <v>166</v>
      </c>
      <c r="G4" s="176"/>
      <c r="H4" s="191"/>
      <c r="J4" s="265"/>
      <c r="K4" s="231"/>
      <c r="L4" s="232"/>
      <c r="M4" s="231"/>
    </row>
    <row r="5" spans="1:13" ht="15.75" customHeight="1">
      <c r="A5" s="32" t="s">
        <v>167</v>
      </c>
      <c r="B5" s="36">
        <f>SUM(G3:G4)</f>
        <v>0</v>
      </c>
      <c r="C5" s="34"/>
      <c r="E5" s="277" t="s">
        <v>168</v>
      </c>
      <c r="F5" s="37" t="s">
        <v>169</v>
      </c>
      <c r="G5" s="176"/>
      <c r="H5" s="192"/>
      <c r="J5" s="266"/>
      <c r="K5" s="233"/>
      <c r="L5" s="234"/>
      <c r="M5" s="233"/>
    </row>
    <row r="6" spans="1:13" ht="15.75" customHeight="1">
      <c r="A6" s="32" t="s">
        <v>170</v>
      </c>
      <c r="B6" s="33"/>
      <c r="C6" s="34"/>
      <c r="E6" s="278"/>
      <c r="F6" s="37" t="s">
        <v>171</v>
      </c>
      <c r="G6" s="226">
        <v>15</v>
      </c>
      <c r="H6" s="191"/>
      <c r="J6" s="266"/>
      <c r="K6" s="233"/>
      <c r="L6" s="234"/>
      <c r="M6" s="231"/>
    </row>
    <row r="7" spans="1:13" ht="15.75" customHeight="1">
      <c r="A7" s="38" t="s">
        <v>172</v>
      </c>
      <c r="B7" s="36">
        <f>SUM(B3:B6)</f>
        <v>0</v>
      </c>
      <c r="C7" s="34"/>
      <c r="E7" s="278"/>
      <c r="F7" s="37" t="s">
        <v>173</v>
      </c>
      <c r="G7" s="226">
        <v>16</v>
      </c>
      <c r="H7" s="191"/>
      <c r="J7" s="266"/>
      <c r="K7" s="233"/>
      <c r="L7" s="234"/>
      <c r="M7" s="231"/>
    </row>
    <row r="8" spans="1:13" ht="15.75" customHeight="1">
      <c r="A8" s="39" t="s">
        <v>174</v>
      </c>
      <c r="B8" s="36">
        <f>SUM(G5:G12)</f>
        <v>51.4</v>
      </c>
      <c r="C8" s="40"/>
      <c r="E8" s="278"/>
      <c r="F8" s="37" t="s">
        <v>175</v>
      </c>
      <c r="G8" s="226"/>
      <c r="H8" s="191"/>
      <c r="J8" s="266"/>
      <c r="K8" s="233"/>
      <c r="L8" s="234"/>
      <c r="M8" s="231"/>
    </row>
    <row r="9" spans="1:13" ht="15.75" customHeight="1">
      <c r="A9" s="32" t="s">
        <v>176</v>
      </c>
      <c r="B9" s="36">
        <f>SUM(G13:G21)</f>
        <v>34.200000000000003</v>
      </c>
      <c r="C9" s="34"/>
      <c r="E9" s="278"/>
      <c r="F9" s="2" t="s">
        <v>177</v>
      </c>
      <c r="G9" s="226">
        <v>15</v>
      </c>
      <c r="H9" s="191"/>
      <c r="J9" s="266"/>
      <c r="K9" s="231"/>
      <c r="L9" s="234"/>
      <c r="M9" s="235"/>
    </row>
    <row r="10" spans="1:13" ht="15.75" customHeight="1">
      <c r="A10" s="35" t="s">
        <v>20</v>
      </c>
      <c r="B10" s="36">
        <f>B7+B8+B9</f>
        <v>85.6</v>
      </c>
      <c r="C10" s="34"/>
      <c r="E10" s="278"/>
      <c r="F10" s="2" t="s">
        <v>178</v>
      </c>
      <c r="G10" s="227">
        <v>5.4</v>
      </c>
      <c r="H10" s="191"/>
      <c r="J10" s="266"/>
      <c r="K10" s="231"/>
      <c r="L10" s="236"/>
      <c r="M10" s="231"/>
    </row>
    <row r="11" spans="1:13" ht="15.75" customHeight="1">
      <c r="E11" s="278"/>
      <c r="F11" s="2" t="s">
        <v>179</v>
      </c>
      <c r="G11" s="227"/>
      <c r="H11" s="191"/>
      <c r="J11" s="266"/>
      <c r="K11" s="231"/>
      <c r="L11" s="236"/>
      <c r="M11" s="231"/>
    </row>
    <row r="12" spans="1:13" ht="15.75" customHeight="1">
      <c r="E12" s="279"/>
      <c r="F12" s="2" t="s">
        <v>180</v>
      </c>
      <c r="G12" s="226" t="s">
        <v>127</v>
      </c>
      <c r="H12" s="191"/>
      <c r="J12" s="266"/>
      <c r="K12" s="231"/>
      <c r="L12" s="234"/>
      <c r="M12" s="235"/>
    </row>
    <row r="13" spans="1:13" ht="15.75" customHeight="1">
      <c r="E13" s="275" t="s">
        <v>52</v>
      </c>
      <c r="F13" s="2" t="s">
        <v>181</v>
      </c>
      <c r="G13" s="226">
        <v>10</v>
      </c>
      <c r="H13" s="193" t="s">
        <v>288</v>
      </c>
      <c r="J13" s="265"/>
      <c r="K13" s="231"/>
      <c r="L13" s="234"/>
      <c r="M13" s="237"/>
    </row>
    <row r="14" spans="1:13" ht="15.75" customHeight="1">
      <c r="E14" s="276"/>
      <c r="F14" s="2" t="s">
        <v>182</v>
      </c>
      <c r="G14" s="226">
        <v>2</v>
      </c>
      <c r="H14" s="191"/>
      <c r="J14" s="265"/>
      <c r="K14" s="231"/>
      <c r="L14" s="234"/>
      <c r="M14" s="231"/>
    </row>
    <row r="15" spans="1:13" ht="15.75" customHeight="1">
      <c r="E15" s="276"/>
      <c r="F15" s="2" t="s">
        <v>183</v>
      </c>
      <c r="G15" s="226"/>
      <c r="H15" s="191"/>
      <c r="J15" s="265"/>
      <c r="K15" s="231"/>
      <c r="L15" s="234"/>
      <c r="M15" s="231"/>
    </row>
    <row r="16" spans="1:13" ht="15.75" customHeight="1">
      <c r="E16" s="276"/>
      <c r="F16" s="2" t="s">
        <v>184</v>
      </c>
      <c r="G16" s="226">
        <v>1.3</v>
      </c>
      <c r="H16" s="191"/>
      <c r="J16" s="265"/>
      <c r="K16" s="231"/>
      <c r="L16" s="234"/>
      <c r="M16" s="231"/>
    </row>
    <row r="17" spans="1:13" ht="15.75" customHeight="1">
      <c r="E17" s="276"/>
      <c r="F17" s="2" t="s">
        <v>185</v>
      </c>
      <c r="G17" s="226">
        <v>4.2</v>
      </c>
      <c r="H17" s="191"/>
      <c r="J17" s="265"/>
      <c r="K17" s="231"/>
      <c r="L17" s="234"/>
      <c r="M17" s="231"/>
    </row>
    <row r="18" spans="1:13" ht="15.75" customHeight="1">
      <c r="E18" s="276"/>
      <c r="F18" s="2" t="s">
        <v>186</v>
      </c>
      <c r="G18" s="226">
        <v>9</v>
      </c>
      <c r="H18" s="191"/>
      <c r="J18" s="265"/>
      <c r="K18" s="231"/>
      <c r="L18" s="234"/>
      <c r="M18" s="231"/>
    </row>
    <row r="19" spans="1:13" ht="15.75" customHeight="1">
      <c r="E19" s="276"/>
      <c r="F19" s="2" t="s">
        <v>187</v>
      </c>
      <c r="G19" s="226">
        <v>7.7</v>
      </c>
      <c r="H19" s="191"/>
      <c r="J19" s="265"/>
      <c r="K19" s="231"/>
      <c r="L19" s="238"/>
      <c r="M19" s="231"/>
    </row>
    <row r="20" spans="1:13" ht="15.75" customHeight="1">
      <c r="E20" s="276"/>
      <c r="F20" s="2" t="s">
        <v>188</v>
      </c>
      <c r="G20" s="226"/>
      <c r="H20" s="191"/>
      <c r="J20" s="265"/>
      <c r="K20" s="231"/>
      <c r="L20" s="232"/>
      <c r="M20" s="231"/>
    </row>
    <row r="21" spans="1:13" ht="15.75" customHeight="1">
      <c r="E21" s="280"/>
      <c r="F21" s="2" t="s">
        <v>134</v>
      </c>
      <c r="G21" s="226"/>
      <c r="H21" s="191"/>
      <c r="J21" s="265"/>
      <c r="K21" s="231"/>
      <c r="L21" s="232"/>
      <c r="M21" s="231"/>
    </row>
    <row r="22" spans="1:13" ht="15.75" customHeight="1">
      <c r="E22" s="1" t="s">
        <v>20</v>
      </c>
      <c r="F22" s="2"/>
      <c r="G22" s="31">
        <f>SUM(G3:G21)</f>
        <v>85.600000000000009</v>
      </c>
      <c r="H22" s="2"/>
      <c r="J22" s="265"/>
      <c r="K22" s="231"/>
      <c r="L22" s="239"/>
      <c r="M22" s="231"/>
    </row>
    <row r="23" spans="1:13" ht="30.75" customHeight="1">
      <c r="E23" s="271" t="s">
        <v>189</v>
      </c>
      <c r="F23" s="271"/>
      <c r="G23" s="271"/>
      <c r="H23" s="271"/>
    </row>
    <row r="25" spans="1:13" ht="17.25">
      <c r="A25" s="19" t="s">
        <v>1</v>
      </c>
      <c r="B25" s="19" t="s">
        <v>158</v>
      </c>
      <c r="C25" s="19" t="s">
        <v>190</v>
      </c>
      <c r="D25" s="177" t="s">
        <v>19</v>
      </c>
      <c r="E25" s="177" t="s">
        <v>191</v>
      </c>
      <c r="F25" s="177" t="s">
        <v>192</v>
      </c>
      <c r="G25" s="177" t="s">
        <v>193</v>
      </c>
      <c r="H25" s="177" t="s">
        <v>244</v>
      </c>
      <c r="I25" s="22" t="s">
        <v>20</v>
      </c>
      <c r="J25" s="44" t="s">
        <v>194</v>
      </c>
    </row>
    <row r="26" spans="1:13" ht="16.5">
      <c r="A26" s="41" t="s">
        <v>152</v>
      </c>
      <c r="B26" s="42">
        <f>(B5+B8)*10000</f>
        <v>514000</v>
      </c>
      <c r="C26" s="43">
        <v>0.05</v>
      </c>
      <c r="D26" s="13">
        <f>B26*(1-C26)/5</f>
        <v>97660</v>
      </c>
      <c r="E26" s="13">
        <f t="shared" ref="E26:H27" si="0">D26</f>
        <v>97660</v>
      </c>
      <c r="F26" s="13">
        <f t="shared" si="0"/>
        <v>97660</v>
      </c>
      <c r="G26" s="13">
        <f>F26</f>
        <v>97660</v>
      </c>
      <c r="H26" s="13">
        <f>G26</f>
        <v>97660</v>
      </c>
      <c r="I26" s="13">
        <f>SUM(D26:H26)</f>
        <v>488300</v>
      </c>
      <c r="J26" s="13">
        <f>B26*0.05</f>
        <v>25700</v>
      </c>
    </row>
    <row r="27" spans="1:13" ht="16.5">
      <c r="A27" s="41" t="s">
        <v>195</v>
      </c>
      <c r="B27" s="42">
        <f>B9*10000</f>
        <v>342000</v>
      </c>
      <c r="C27" s="13"/>
      <c r="D27" s="13">
        <f>B27/3</f>
        <v>114000</v>
      </c>
      <c r="E27" s="13">
        <f t="shared" si="0"/>
        <v>114000</v>
      </c>
      <c r="F27" s="13">
        <f t="shared" si="0"/>
        <v>114000</v>
      </c>
      <c r="G27" s="13"/>
      <c r="H27" s="13">
        <f t="shared" si="0"/>
        <v>0</v>
      </c>
      <c r="I27" s="13">
        <f>SUM(D27:H27)</f>
        <v>342000</v>
      </c>
      <c r="J27" s="13"/>
    </row>
    <row r="28" spans="1:13" ht="16.5">
      <c r="A28" s="272" t="s">
        <v>114</v>
      </c>
      <c r="B28" s="273"/>
      <c r="C28" s="274"/>
      <c r="D28" s="13">
        <f>SUM(D26:D27)</f>
        <v>211660</v>
      </c>
      <c r="E28" s="13">
        <f t="shared" ref="E28:H28" si="1">SUM(E26:E27)</f>
        <v>211660</v>
      </c>
      <c r="F28" s="13">
        <f t="shared" si="1"/>
        <v>211660</v>
      </c>
      <c r="G28" s="13">
        <f t="shared" si="1"/>
        <v>97660</v>
      </c>
      <c r="H28" s="13">
        <f t="shared" si="1"/>
        <v>97660</v>
      </c>
      <c r="I28" s="45"/>
      <c r="J28" s="45"/>
    </row>
    <row r="41" ht="37.5" customHeight="1"/>
  </sheetData>
  <mergeCells count="11">
    <mergeCell ref="E23:H23"/>
    <mergeCell ref="A28:C28"/>
    <mergeCell ref="E3:E4"/>
    <mergeCell ref="E5:E12"/>
    <mergeCell ref="E13:E21"/>
    <mergeCell ref="J1:M1"/>
    <mergeCell ref="J3:J4"/>
    <mergeCell ref="J5:J12"/>
    <mergeCell ref="J13:J22"/>
    <mergeCell ref="A1:C1"/>
    <mergeCell ref="E1:H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2022-05-11T01:14:51Z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