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万昌\"/>
    </mc:Choice>
  </mc:AlternateContent>
  <xr:revisionPtr revIDLastSave="0" documentId="13_ncr:1_{3F16AB74-B701-42F9-98CE-A3B0DA771A2D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冲压工序费" sheetId="15" r:id="rId1"/>
    <sheet name="成本核算" sheetId="14" r:id="rId2"/>
    <sheet name="Sheet2" sheetId="2" r:id="rId3"/>
  </sheets>
  <externalReferences>
    <externalReference r:id="rId4"/>
  </externalReferences>
  <definedNames>
    <definedName name="_xlnm._FilterDatabase" localSheetId="1" hidden="1">成本核算!$A$2:$XDI$97</definedName>
    <definedName name="_xlnm.Print_Area" localSheetId="1">成本核算!$A$1:$AN$105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00" i="14" l="1"/>
  <c r="M98" i="14"/>
  <c r="X99" i="14" l="1"/>
  <c r="AJ98" i="14"/>
  <c r="AL98" i="14" s="1"/>
  <c r="AE98" i="14"/>
  <c r="X98" i="14"/>
  <c r="L98" i="14"/>
  <c r="AB98" i="14" s="1"/>
  <c r="X104" i="14" l="1"/>
  <c r="N98" i="14"/>
  <c r="Q98" i="14" s="1"/>
  <c r="Q104" i="14" s="1"/>
  <c r="AA98" i="14"/>
  <c r="Y98" i="14" l="1"/>
  <c r="Z98" i="14" s="1"/>
  <c r="AF98" i="14" s="1"/>
  <c r="AM98" i="14" l="1"/>
  <c r="X48" i="14"/>
  <c r="AL56" i="14"/>
  <c r="AJ86" i="14"/>
  <c r="AL86" i="14" s="1"/>
  <c r="AJ81" i="14"/>
  <c r="AL81" i="14" s="1"/>
  <c r="AJ56" i="14"/>
  <c r="AJ8" i="14"/>
  <c r="AL8" i="14" s="1"/>
  <c r="AJ13" i="14"/>
  <c r="AL13" i="14" s="1"/>
  <c r="AJ18" i="14"/>
  <c r="AL18" i="14" s="1"/>
  <c r="AJ23" i="14"/>
  <c r="AL23" i="14" s="1"/>
  <c r="AJ28" i="14"/>
  <c r="AL28" i="14" s="1"/>
  <c r="AJ34" i="14"/>
  <c r="AL34" i="14" s="1"/>
  <c r="AJ40" i="14"/>
  <c r="AL40" i="14" s="1"/>
  <c r="AJ46" i="14"/>
  <c r="AL46" i="14" s="1"/>
  <c r="AJ51" i="14"/>
  <c r="AL51" i="14" s="1"/>
  <c r="AJ63" i="14"/>
  <c r="AL63" i="14" s="1"/>
  <c r="AJ68" i="14"/>
  <c r="AL68" i="14" s="1"/>
  <c r="AJ73" i="14"/>
  <c r="AL73" i="14" s="1"/>
  <c r="AJ91" i="14"/>
  <c r="AL91" i="14" s="1"/>
  <c r="AJ3" i="14"/>
  <c r="AL3" i="14" s="1"/>
  <c r="M28" i="14"/>
  <c r="Q74" i="14"/>
  <c r="V35" i="14"/>
  <c r="X35" i="14" s="1"/>
  <c r="O29" i="14"/>
  <c r="Q29" i="14" s="1"/>
  <c r="X94" i="14"/>
  <c r="X95" i="14"/>
  <c r="J91" i="14"/>
  <c r="I91" i="14"/>
  <c r="X88" i="14"/>
  <c r="X87" i="14"/>
  <c r="X86" i="14"/>
  <c r="J86" i="14"/>
  <c r="I86" i="14"/>
  <c r="L86" i="14" s="1"/>
  <c r="AB86" i="14" s="1"/>
  <c r="I81" i="14"/>
  <c r="J81" i="14"/>
  <c r="M73" i="14"/>
  <c r="X76" i="14"/>
  <c r="X77" i="14"/>
  <c r="X78" i="14"/>
  <c r="J73" i="14"/>
  <c r="L73" i="14" s="1"/>
  <c r="AB73" i="14" s="1"/>
  <c r="J68" i="14"/>
  <c r="I68" i="14"/>
  <c r="I63" i="14"/>
  <c r="J63" i="14"/>
  <c r="X60" i="14"/>
  <c r="X59" i="14"/>
  <c r="J56" i="14"/>
  <c r="I56" i="14"/>
  <c r="U54" i="14"/>
  <c r="X54" i="14" s="1"/>
  <c r="X53" i="14"/>
  <c r="X52" i="14"/>
  <c r="X51" i="14"/>
  <c r="J51" i="14"/>
  <c r="I51" i="14"/>
  <c r="U49" i="14"/>
  <c r="X49" i="14" s="1"/>
  <c r="I46" i="14"/>
  <c r="J46" i="14"/>
  <c r="U44" i="14"/>
  <c r="X44" i="14" s="1"/>
  <c r="U38" i="14"/>
  <c r="X38" i="14" s="1"/>
  <c r="X43" i="14"/>
  <c r="X37" i="14"/>
  <c r="J40" i="14"/>
  <c r="I40" i="14"/>
  <c r="J34" i="14"/>
  <c r="I34" i="14"/>
  <c r="U32" i="14"/>
  <c r="X32" i="14" s="1"/>
  <c r="X31" i="14"/>
  <c r="I28" i="14"/>
  <c r="J28" i="14"/>
  <c r="L28" i="14" s="1"/>
  <c r="AB28" i="14" s="1"/>
  <c r="I23" i="14"/>
  <c r="L23" i="14" s="1"/>
  <c r="AB23" i="14" s="1"/>
  <c r="J23" i="14"/>
  <c r="J18" i="14"/>
  <c r="I18" i="14"/>
  <c r="I13" i="14"/>
  <c r="J13" i="14"/>
  <c r="I8" i="14"/>
  <c r="J8" i="14"/>
  <c r="I3" i="14"/>
  <c r="J3" i="14"/>
  <c r="X93" i="14"/>
  <c r="X92" i="14"/>
  <c r="AE91" i="14"/>
  <c r="X91" i="14"/>
  <c r="AE86" i="14"/>
  <c r="X83" i="14"/>
  <c r="X82" i="14"/>
  <c r="AE81" i="14"/>
  <c r="X81" i="14"/>
  <c r="X75" i="14"/>
  <c r="X74" i="14"/>
  <c r="AE73" i="14"/>
  <c r="X73" i="14"/>
  <c r="X71" i="14"/>
  <c r="X70" i="14"/>
  <c r="X69" i="14"/>
  <c r="AE68" i="14"/>
  <c r="X68" i="14"/>
  <c r="X66" i="14"/>
  <c r="X65" i="14"/>
  <c r="X64" i="14"/>
  <c r="AE63" i="14"/>
  <c r="X63" i="14"/>
  <c r="X61" i="14"/>
  <c r="X58" i="14"/>
  <c r="X57" i="14"/>
  <c r="AE56" i="14"/>
  <c r="X56" i="14"/>
  <c r="AE51" i="14"/>
  <c r="X47" i="14"/>
  <c r="AE46" i="14"/>
  <c r="X46" i="14"/>
  <c r="X42" i="14"/>
  <c r="X41" i="14"/>
  <c r="AE40" i="14"/>
  <c r="X40" i="14"/>
  <c r="X36" i="14"/>
  <c r="AE34" i="14"/>
  <c r="X34" i="14"/>
  <c r="X30" i="14"/>
  <c r="X29" i="14"/>
  <c r="AE28" i="14"/>
  <c r="X28" i="14"/>
  <c r="X26" i="14"/>
  <c r="X25" i="14"/>
  <c r="X24" i="14"/>
  <c r="AE23" i="14"/>
  <c r="X23" i="14"/>
  <c r="X21" i="14"/>
  <c r="X20" i="14"/>
  <c r="X19" i="14"/>
  <c r="AE18" i="14"/>
  <c r="X18" i="14"/>
  <c r="X16" i="14"/>
  <c r="X15" i="14"/>
  <c r="X14" i="14"/>
  <c r="AE13" i="14"/>
  <c r="X13" i="14"/>
  <c r="X11" i="14"/>
  <c r="X10" i="14"/>
  <c r="X9" i="14"/>
  <c r="AE8" i="14"/>
  <c r="X8" i="14"/>
  <c r="I9" i="2"/>
  <c r="I3" i="2"/>
  <c r="I4" i="2"/>
  <c r="I5" i="2"/>
  <c r="I6" i="2"/>
  <c r="I7" i="2"/>
  <c r="I8" i="2"/>
  <c r="H3" i="2"/>
  <c r="H4" i="2"/>
  <c r="H5" i="2"/>
  <c r="H6" i="2"/>
  <c r="H7" i="2"/>
  <c r="H8" i="2"/>
  <c r="H9" i="2"/>
  <c r="H2" i="2"/>
  <c r="G3" i="2"/>
  <c r="G4" i="2"/>
  <c r="G5" i="2"/>
  <c r="G6" i="2"/>
  <c r="G7" i="2"/>
  <c r="G8" i="2"/>
  <c r="G9" i="2"/>
  <c r="G2" i="2"/>
  <c r="I2" i="2"/>
  <c r="I10" i="2"/>
  <c r="AE3" i="14"/>
  <c r="X6" i="14"/>
  <c r="X5" i="14"/>
  <c r="X4" i="14"/>
  <c r="X3" i="14"/>
  <c r="L91" i="14" l="1"/>
  <c r="AB91" i="14" s="1"/>
  <c r="L81" i="14"/>
  <c r="N86" i="14"/>
  <c r="Q86" i="14" s="1"/>
  <c r="Q90" i="14" s="1"/>
  <c r="AA86" i="14"/>
  <c r="AA73" i="14"/>
  <c r="L51" i="14"/>
  <c r="L63" i="14"/>
  <c r="L56" i="14"/>
  <c r="N28" i="14"/>
  <c r="Q28" i="14" s="1"/>
  <c r="Q33" i="14" s="1"/>
  <c r="L68" i="14"/>
  <c r="L46" i="14"/>
  <c r="L13" i="14"/>
  <c r="L34" i="14"/>
  <c r="L40" i="14"/>
  <c r="X97" i="14"/>
  <c r="X72" i="14"/>
  <c r="L8" i="14"/>
  <c r="L18" i="14"/>
  <c r="L3" i="14"/>
  <c r="X90" i="14"/>
  <c r="X85" i="14"/>
  <c r="X80" i="14"/>
  <c r="N73" i="14"/>
  <c r="Q73" i="14" s="1"/>
  <c r="Q80" i="14" s="1"/>
  <c r="X67" i="14"/>
  <c r="X55" i="14"/>
  <c r="X62" i="14"/>
  <c r="X50" i="14"/>
  <c r="X45" i="14"/>
  <c r="X39" i="14"/>
  <c r="X33" i="14"/>
  <c r="AA28" i="14"/>
  <c r="AA23" i="14"/>
  <c r="X12" i="14"/>
  <c r="X27" i="14"/>
  <c r="N23" i="14"/>
  <c r="Q23" i="14" s="1"/>
  <c r="Q27" i="14" s="1"/>
  <c r="Y23" i="14" s="1"/>
  <c r="X22" i="14"/>
  <c r="X17" i="14"/>
  <c r="X7" i="14"/>
  <c r="AA91" i="14" l="1"/>
  <c r="N91" i="14"/>
  <c r="Q91" i="14" s="1"/>
  <c r="Q97" i="14" s="1"/>
  <c r="N56" i="14"/>
  <c r="Q56" i="14" s="1"/>
  <c r="Q62" i="14" s="1"/>
  <c r="Y56" i="14" s="1"/>
  <c r="Z56" i="14" s="1"/>
  <c r="AB56" i="14"/>
  <c r="N40" i="14"/>
  <c r="Q40" i="14" s="1"/>
  <c r="Q45" i="14" s="1"/>
  <c r="Y40" i="14" s="1"/>
  <c r="Z40" i="14" s="1"/>
  <c r="AB40" i="14"/>
  <c r="AA34" i="14"/>
  <c r="AB34" i="14"/>
  <c r="AA51" i="14"/>
  <c r="AB51" i="14"/>
  <c r="AA56" i="14"/>
  <c r="N51" i="14"/>
  <c r="Q51" i="14" s="1"/>
  <c r="Q55" i="14" s="1"/>
  <c r="Y51" i="14" s="1"/>
  <c r="Z51" i="14" s="1"/>
  <c r="AA63" i="14"/>
  <c r="AB63" i="14"/>
  <c r="N63" i="14"/>
  <c r="Q63" i="14" s="1"/>
  <c r="Q67" i="14" s="1"/>
  <c r="Y63" i="14" s="1"/>
  <c r="Z63" i="14" s="1"/>
  <c r="N3" i="14"/>
  <c r="Q3" i="14" s="1"/>
  <c r="Q7" i="14" s="1"/>
  <c r="Y3" i="14" s="1"/>
  <c r="Z3" i="14" s="1"/>
  <c r="AB3" i="14"/>
  <c r="N13" i="14"/>
  <c r="Q13" i="14" s="1"/>
  <c r="Q17" i="14" s="1"/>
  <c r="AB13" i="14"/>
  <c r="N18" i="14"/>
  <c r="Q18" i="14" s="1"/>
  <c r="Q22" i="14" s="1"/>
  <c r="Y18" i="14" s="1"/>
  <c r="Z18" i="14" s="1"/>
  <c r="AB18" i="14"/>
  <c r="AA46" i="14"/>
  <c r="AB46" i="14"/>
  <c r="AA8" i="14"/>
  <c r="AB8" i="14"/>
  <c r="N68" i="14"/>
  <c r="Q68" i="14" s="1"/>
  <c r="Q72" i="14" s="1"/>
  <c r="Y68" i="14" s="1"/>
  <c r="Z68" i="14" s="1"/>
  <c r="AB68" i="14"/>
  <c r="AA81" i="14"/>
  <c r="AB81" i="14"/>
  <c r="N81" i="14"/>
  <c r="Q81" i="14" s="1"/>
  <c r="Q85" i="14" s="1"/>
  <c r="Y81" i="14" s="1"/>
  <c r="Z81" i="14" s="1"/>
  <c r="AA13" i="14"/>
  <c r="N46" i="14"/>
  <c r="Q46" i="14" s="1"/>
  <c r="Q50" i="14" s="1"/>
  <c r="Y46" i="14" s="1"/>
  <c r="Z46" i="14" s="1"/>
  <c r="AA68" i="14"/>
  <c r="N34" i="14"/>
  <c r="Q34" i="14" s="1"/>
  <c r="Q39" i="14" s="1"/>
  <c r="Y73" i="14"/>
  <c r="Z73" i="14" s="1"/>
  <c r="AA40" i="14"/>
  <c r="Y91" i="14"/>
  <c r="Z91" i="14" s="1"/>
  <c r="N8" i="14"/>
  <c r="Q8" i="14" s="1"/>
  <c r="Q12" i="14" s="1"/>
  <c r="Y86" i="14"/>
  <c r="Z86" i="14" s="1"/>
  <c r="Y28" i="14"/>
  <c r="Z28" i="14" s="1"/>
  <c r="AA18" i="14"/>
  <c r="AA3" i="14"/>
  <c r="Z23" i="14"/>
  <c r="Y8" i="14" l="1"/>
  <c r="Z8" i="14" s="1"/>
  <c r="Z34" i="14"/>
  <c r="AM34" i="14" s="1"/>
  <c r="Y34" i="14"/>
  <c r="Y13" i="14"/>
  <c r="Z13" i="14" s="1"/>
  <c r="AF68" i="14"/>
  <c r="AM68" i="14"/>
  <c r="AF51" i="14"/>
  <c r="AM51" i="14"/>
  <c r="AF73" i="14"/>
  <c r="AM73" i="14"/>
  <c r="AF81" i="14"/>
  <c r="AM81" i="14"/>
  <c r="AF18" i="14"/>
  <c r="AM18" i="14"/>
  <c r="AF40" i="14"/>
  <c r="AM40" i="14"/>
  <c r="AF56" i="14"/>
  <c r="AM56" i="14"/>
  <c r="AF23" i="14"/>
  <c r="AM23" i="14"/>
  <c r="AF63" i="14"/>
  <c r="AM63" i="14"/>
  <c r="AF34" i="14"/>
  <c r="AF46" i="14"/>
  <c r="AM46" i="14"/>
  <c r="AF91" i="14"/>
  <c r="AM91" i="14"/>
  <c r="AF28" i="14"/>
  <c r="AM28" i="14"/>
  <c r="AF3" i="14"/>
  <c r="AM3" i="14"/>
  <c r="AF86" i="14"/>
  <c r="AM86" i="14"/>
  <c r="AM8" i="14" l="1"/>
  <c r="AF8" i="14"/>
  <c r="AF13" i="14"/>
  <c r="AM13" i="14"/>
</calcChain>
</file>

<file path=xl/sharedStrings.xml><?xml version="1.0" encoding="utf-8"?>
<sst xmlns="http://schemas.openxmlformats.org/spreadsheetml/2006/main" count="410" uniqueCount="178">
  <si>
    <t>QAD编码</t>
  </si>
  <si>
    <t>材质</t>
  </si>
  <si>
    <t>16T</t>
  </si>
  <si>
    <t>25T</t>
  </si>
  <si>
    <t>40T</t>
  </si>
  <si>
    <t>60T</t>
  </si>
  <si>
    <t>63T</t>
  </si>
  <si>
    <t>65t</t>
  </si>
  <si>
    <t>80T</t>
  </si>
  <si>
    <t>100T</t>
  </si>
  <si>
    <t>110T</t>
  </si>
  <si>
    <t>125T</t>
  </si>
  <si>
    <t>160T</t>
  </si>
  <si>
    <t>200T</t>
  </si>
  <si>
    <t>250T</t>
  </si>
  <si>
    <t>350T</t>
  </si>
  <si>
    <t>400T</t>
  </si>
  <si>
    <t>315T</t>
  </si>
  <si>
    <t>500T</t>
  </si>
  <si>
    <t>材料费</t>
  </si>
  <si>
    <t>名称</t>
  </si>
  <si>
    <t>工序费</t>
  </si>
  <si>
    <t>序</t>
  </si>
  <si>
    <t>物料代码</t>
  </si>
  <si>
    <t>总成名称</t>
  </si>
  <si>
    <t>重量</t>
  </si>
  <si>
    <t>含税单价</t>
  </si>
  <si>
    <t>加工成本</t>
  </si>
  <si>
    <t>供应商报价</t>
  </si>
  <si>
    <t>号</t>
  </si>
  <si>
    <t>毛重</t>
  </si>
  <si>
    <t>净重</t>
  </si>
  <si>
    <t>废铁</t>
  </si>
  <si>
    <t>材料</t>
  </si>
  <si>
    <t>工序</t>
  </si>
  <si>
    <t>吨位</t>
  </si>
  <si>
    <t>净重尺寸</t>
    <phoneticPr fontId="14" type="noConversion"/>
  </si>
  <si>
    <t>下料尺寸</t>
    <phoneticPr fontId="14" type="noConversion"/>
  </si>
  <si>
    <t>含税合计</t>
    <phoneticPr fontId="14" type="noConversion"/>
  </si>
  <si>
    <t>未税价</t>
    <phoneticPr fontId="14" type="noConversion"/>
  </si>
  <si>
    <t>材料利用率</t>
    <phoneticPr fontId="14" type="noConversion"/>
  </si>
  <si>
    <t>材料利用率复核价（未税）</t>
    <phoneticPr fontId="14" type="noConversion"/>
  </si>
  <si>
    <t>未税模具费</t>
    <phoneticPr fontId="14" type="noConversion"/>
  </si>
  <si>
    <t>模具分摊数量</t>
    <phoneticPr fontId="14" type="noConversion"/>
  </si>
  <si>
    <t>模摊费</t>
    <phoneticPr fontId="14" type="noConversion"/>
  </si>
  <si>
    <t>含模摊未税价</t>
    <phoneticPr fontId="14" type="noConversion"/>
  </si>
  <si>
    <t>照片</t>
    <phoneticPr fontId="14" type="noConversion"/>
  </si>
  <si>
    <t>长mm</t>
    <phoneticPr fontId="14" type="noConversion"/>
  </si>
  <si>
    <t>宽mm</t>
    <phoneticPr fontId="14" type="noConversion"/>
  </si>
  <si>
    <t>厚mm</t>
    <phoneticPr fontId="14" type="noConversion"/>
  </si>
  <si>
    <t>工序数</t>
    <phoneticPr fontId="14" type="noConversion"/>
  </si>
  <si>
    <t>出件数</t>
    <phoneticPr fontId="14" type="noConversion"/>
  </si>
  <si>
    <t>合计</t>
    <phoneticPr fontId="14" type="noConversion"/>
  </si>
  <si>
    <t>焊接</t>
    <phoneticPr fontId="14" type="noConversion"/>
  </si>
  <si>
    <t>模具性质</t>
    <phoneticPr fontId="14" type="noConversion"/>
  </si>
  <si>
    <t>数量</t>
    <phoneticPr fontId="14" type="noConversion"/>
  </si>
  <si>
    <t>1</t>
    <phoneticPr fontId="14" type="noConversion"/>
  </si>
  <si>
    <t>类别</t>
    <phoneticPr fontId="14" type="noConversion"/>
  </si>
  <si>
    <t>冲压机</t>
    <phoneticPr fontId="14" type="noConversion"/>
  </si>
  <si>
    <t>工序费</t>
    <phoneticPr fontId="14" type="noConversion"/>
  </si>
  <si>
    <t>冲床</t>
    <phoneticPr fontId="14" type="noConversion"/>
  </si>
  <si>
    <t>液压机</t>
    <phoneticPr fontId="14" type="noConversion"/>
  </si>
  <si>
    <t>1CM</t>
    <phoneticPr fontId="14" type="noConversion"/>
  </si>
  <si>
    <t>焊螺母</t>
    <phoneticPr fontId="14" type="noConversion"/>
  </si>
  <si>
    <t>1个</t>
    <phoneticPr fontId="14" type="noConversion"/>
  </si>
  <si>
    <t>序号</t>
  </si>
  <si>
    <t>模具名称</t>
  </si>
  <si>
    <t>模具编号</t>
  </si>
  <si>
    <t>单位</t>
  </si>
  <si>
    <t>数量</t>
  </si>
  <si>
    <t>未税单价</t>
  </si>
  <si>
    <t>未税金额</t>
  </si>
  <si>
    <t>增值税额</t>
  </si>
  <si>
    <t>产品含税总价</t>
  </si>
  <si>
    <t>备注</t>
  </si>
  <si>
    <t>合   计</t>
  </si>
  <si>
    <r>
      <t>人民币大写：柒万伍仟柒佰壹拾元零角零分（</t>
    </r>
    <r>
      <rPr>
        <sz val="10.5"/>
        <color theme="1"/>
        <rFont val="仿宋"/>
        <family val="3"/>
        <charset val="134"/>
      </rPr>
      <t>含增值税13%）</t>
    </r>
    <phoneticPr fontId="14" type="noConversion"/>
  </si>
  <si>
    <t>生产产品为SHT0012215 T5连接梁本体</t>
    <phoneticPr fontId="14" type="noConversion"/>
  </si>
  <si>
    <t>生产产品为SHT0012216 T5连接梁加强钣金</t>
    <phoneticPr fontId="14" type="noConversion"/>
  </si>
  <si>
    <t>生产产品为SHT0012362T5右副靠背板分总成/SHT0012930T5左副调角器上板总成</t>
    <phoneticPr fontId="14" type="noConversion"/>
  </si>
  <si>
    <t>T5连接梁本体落料模具</t>
    <phoneticPr fontId="14" type="noConversion"/>
  </si>
  <si>
    <t>T5连接梁本体成型模具</t>
    <phoneticPr fontId="14" type="noConversion"/>
  </si>
  <si>
    <t>T5连接梁本体冲孔模具</t>
    <phoneticPr fontId="14" type="noConversion"/>
  </si>
  <si>
    <t>付</t>
    <phoneticPr fontId="14" type="noConversion"/>
  </si>
  <si>
    <t>T5连接梁加强钣金落料模具</t>
    <phoneticPr fontId="14" type="noConversion"/>
  </si>
  <si>
    <t>T5连接梁加强钣金成型模具</t>
    <phoneticPr fontId="14" type="noConversion"/>
  </si>
  <si>
    <t>T5驾驶员调角器左/右靠背板落料模具</t>
    <phoneticPr fontId="14" type="noConversion"/>
  </si>
  <si>
    <t>T5驾驶员调角器右靠背板成型模具</t>
    <phoneticPr fontId="14" type="noConversion"/>
  </si>
  <si>
    <t>T5驾驶员调角器左靠背板成型模具</t>
    <phoneticPr fontId="14" type="noConversion"/>
  </si>
  <si>
    <t>3THB01045374</t>
    <phoneticPr fontId="14" type="noConversion"/>
  </si>
  <si>
    <t>3THB01045375</t>
  </si>
  <si>
    <t>3THB01045376</t>
  </si>
  <si>
    <t>3THB01045377</t>
  </si>
  <si>
    <t>3THB01045378</t>
  </si>
  <si>
    <t>3THB01045379</t>
  </si>
  <si>
    <t>3THB01045380</t>
  </si>
  <si>
    <t>3THB01045381</t>
  </si>
  <si>
    <t>SHT0001179</t>
    <phoneticPr fontId="14" type="noConversion"/>
  </si>
  <si>
    <t>气囊上支架</t>
    <phoneticPr fontId="14" type="noConversion"/>
  </si>
  <si>
    <t>SHT0001165</t>
    <phoneticPr fontId="14" type="noConversion"/>
  </si>
  <si>
    <t>SHT0001164</t>
    <phoneticPr fontId="14" type="noConversion"/>
  </si>
  <si>
    <t>调节螺母上固定架（新）</t>
    <phoneticPr fontId="14" type="noConversion"/>
  </si>
  <si>
    <t>调节螺母下固定架（新）</t>
    <phoneticPr fontId="14" type="noConversion"/>
  </si>
  <si>
    <t>SHT0001109</t>
    <phoneticPr fontId="14" type="noConversion"/>
  </si>
  <si>
    <t>调节臂1</t>
    <phoneticPr fontId="14" type="noConversion"/>
  </si>
  <si>
    <t>SHT0001108</t>
    <phoneticPr fontId="14" type="noConversion"/>
  </si>
  <si>
    <t>调节臂2</t>
    <phoneticPr fontId="14" type="noConversion"/>
  </si>
  <si>
    <t>SHT0001133</t>
    <phoneticPr fontId="14" type="noConversion"/>
  </si>
  <si>
    <t>缓冲支架</t>
    <phoneticPr fontId="14" type="noConversion"/>
  </si>
  <si>
    <t>SHT0001127</t>
    <phoneticPr fontId="14" type="noConversion"/>
  </si>
  <si>
    <t>陕汽锁紧齿板前</t>
    <phoneticPr fontId="14" type="noConversion"/>
  </si>
  <si>
    <t>SHT0001126</t>
    <phoneticPr fontId="14" type="noConversion"/>
  </si>
  <si>
    <t>陕汽锁紧齿板后</t>
    <phoneticPr fontId="14" type="noConversion"/>
  </si>
  <si>
    <t>SHT0001129</t>
    <phoneticPr fontId="14" type="noConversion"/>
  </si>
  <si>
    <t>后安装板左</t>
    <phoneticPr fontId="14" type="noConversion"/>
  </si>
  <si>
    <t>SHT0001128</t>
    <phoneticPr fontId="14" type="noConversion"/>
  </si>
  <si>
    <t>后安装板右</t>
    <phoneticPr fontId="14" type="noConversion"/>
  </si>
  <si>
    <t>SHT0001899</t>
    <phoneticPr fontId="14" type="noConversion"/>
  </si>
  <si>
    <t>座盆延伸滑块支撑板</t>
    <phoneticPr fontId="14" type="noConversion"/>
  </si>
  <si>
    <t>SCS0004404</t>
    <phoneticPr fontId="14" type="noConversion"/>
  </si>
  <si>
    <t>地锁拉线固定前支架左（中期改款）</t>
    <phoneticPr fontId="14" type="noConversion"/>
  </si>
  <si>
    <t>SCS0004403</t>
    <phoneticPr fontId="14" type="noConversion"/>
  </si>
  <si>
    <t>地锁拉线固定前支架右（中期改款）</t>
    <phoneticPr fontId="14" type="noConversion"/>
  </si>
  <si>
    <t>SCS0004405</t>
    <phoneticPr fontId="14" type="noConversion"/>
  </si>
  <si>
    <t>扣手底座支架（中期改款）</t>
    <phoneticPr fontId="14" type="noConversion"/>
  </si>
  <si>
    <t>SHT0001862</t>
    <phoneticPr fontId="14" type="noConversion"/>
  </si>
  <si>
    <t>左滑轨连接板</t>
    <phoneticPr fontId="14" type="noConversion"/>
  </si>
  <si>
    <t>右滑轨连接板</t>
    <phoneticPr fontId="14" type="noConversion"/>
  </si>
  <si>
    <t>SHT0001863</t>
    <phoneticPr fontId="14" type="noConversion"/>
  </si>
  <si>
    <t>SCS0004369</t>
    <phoneticPr fontId="14" type="noConversion"/>
  </si>
  <si>
    <t>B40L安全带出口钣金（中期改款）</t>
    <phoneticPr fontId="14" type="noConversion"/>
  </si>
  <si>
    <t>SPFH590</t>
    <phoneticPr fontId="14" type="noConversion"/>
  </si>
  <si>
    <t>4</t>
    <phoneticPr fontId="14" type="noConversion"/>
  </si>
  <si>
    <t>Q235</t>
    <phoneticPr fontId="14" type="noConversion"/>
  </si>
  <si>
    <t>SPHC</t>
    <phoneticPr fontId="14" type="noConversion"/>
  </si>
  <si>
    <t>5</t>
    <phoneticPr fontId="14" type="noConversion"/>
  </si>
  <si>
    <t>2</t>
    <phoneticPr fontId="14" type="noConversion"/>
  </si>
  <si>
    <t>SS440</t>
    <phoneticPr fontId="14" type="noConversion"/>
  </si>
  <si>
    <t>3</t>
    <phoneticPr fontId="14" type="noConversion"/>
  </si>
  <si>
    <t>SAPH440</t>
    <phoneticPr fontId="14" type="noConversion"/>
  </si>
  <si>
    <t>QSTE420TM</t>
    <phoneticPr fontId="14" type="noConversion"/>
  </si>
  <si>
    <t>落料</t>
    <phoneticPr fontId="14" type="noConversion"/>
  </si>
  <si>
    <t>成型</t>
    <phoneticPr fontId="14" type="noConversion"/>
  </si>
  <si>
    <t>落料冲孔</t>
    <phoneticPr fontId="14" type="noConversion"/>
  </si>
  <si>
    <t>160T</t>
    <phoneticPr fontId="14" type="noConversion"/>
  </si>
  <si>
    <t>100T</t>
    <phoneticPr fontId="14" type="noConversion"/>
  </si>
  <si>
    <t>独</t>
    <phoneticPr fontId="14" type="noConversion"/>
  </si>
  <si>
    <t>100/125</t>
    <phoneticPr fontId="14" type="noConversion"/>
  </si>
  <si>
    <t>M8螺母</t>
    <phoneticPr fontId="14" type="noConversion"/>
  </si>
  <si>
    <t>M8</t>
    <phoneticPr fontId="14" type="noConversion"/>
  </si>
  <si>
    <t>冲孔</t>
    <phoneticPr fontId="14" type="noConversion"/>
  </si>
  <si>
    <t>电泳</t>
    <phoneticPr fontId="14" type="noConversion"/>
  </si>
  <si>
    <t>精冲</t>
    <phoneticPr fontId="14" type="noConversion"/>
  </si>
  <si>
    <t>成型1</t>
    <phoneticPr fontId="14" type="noConversion"/>
  </si>
  <si>
    <t>成型2</t>
  </si>
  <si>
    <t>成型2</t>
    <phoneticPr fontId="14" type="noConversion"/>
  </si>
  <si>
    <t>切口</t>
    <phoneticPr fontId="14" type="noConversion"/>
  </si>
  <si>
    <t>铁棍</t>
    <phoneticPr fontId="14" type="noConversion"/>
  </si>
  <si>
    <t>成型3</t>
  </si>
  <si>
    <t>第一套荣昌
第二套、第三套万昌自行开的</t>
    <phoneticPr fontId="14" type="noConversion"/>
  </si>
  <si>
    <t>第一套荣昌？
第二套万昌自行开的</t>
    <phoneticPr fontId="14" type="noConversion"/>
  </si>
  <si>
    <t>万昌</t>
    <phoneticPr fontId="14" type="noConversion"/>
  </si>
  <si>
    <t>第一套荣昌，后续三套万昌自行开发</t>
    <phoneticPr fontId="14" type="noConversion"/>
  </si>
  <si>
    <t>荣昌</t>
    <phoneticPr fontId="14" type="noConversion"/>
  </si>
  <si>
    <t>翻边</t>
    <phoneticPr fontId="14" type="noConversion"/>
  </si>
  <si>
    <t>80/100</t>
    <phoneticPr fontId="14" type="noConversion"/>
  </si>
  <si>
    <t>63/80</t>
    <phoneticPr fontId="14" type="noConversion"/>
  </si>
  <si>
    <t>315油</t>
    <phoneticPr fontId="14" type="noConversion"/>
  </si>
  <si>
    <t>原价格-未税</t>
    <phoneticPr fontId="14" type="noConversion"/>
  </si>
  <si>
    <t>厂家涨价差额</t>
    <phoneticPr fontId="14" type="noConversion"/>
  </si>
  <si>
    <t>厂家报价</t>
    <phoneticPr fontId="14" type="noConversion"/>
  </si>
  <si>
    <t>涨幅</t>
    <phoneticPr fontId="14" type="noConversion"/>
  </si>
  <si>
    <t>厂家坚持报价</t>
  </si>
  <si>
    <t>厂家坚持报价</t>
    <phoneticPr fontId="14" type="noConversion"/>
  </si>
  <si>
    <t>谈判结果</t>
    <phoneticPr fontId="14" type="noConversion"/>
  </si>
  <si>
    <t>SHT0010496</t>
    <phoneticPr fontId="14" type="noConversion"/>
  </si>
  <si>
    <t>销轴固定支架焊接总成</t>
    <phoneticPr fontId="14" type="noConversion"/>
  </si>
  <si>
    <t>支架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</si>
</sst>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 "/>
    <numFmt numFmtId="177" formatCode="0.0000_ "/>
    <numFmt numFmtId="178" formatCode="0_);[Red]\(0\)"/>
    <numFmt numFmtId="179" formatCode="0.000_);[Red]\(0.000\)"/>
    <numFmt numFmtId="180" formatCode="0.00_ "/>
    <numFmt numFmtId="181" formatCode="0.000_ "/>
    <numFmt numFmtId="182" formatCode="0.00_);[Red]\(0.00\)"/>
    <numFmt numFmtId="183" formatCode="0_ "/>
    <numFmt numFmtId="184" formatCode="0.0000"/>
    <numFmt numFmtId="185" formatCode="0.000"/>
  </numFmts>
  <fonts count="20">
    <font>
      <sz val="11"/>
      <color theme="1"/>
      <name val="宋体"/>
      <charset val="134"/>
      <scheme val="minor"/>
    </font>
    <font>
      <sz val="10"/>
      <color indexed="8"/>
      <name val="宋体"/>
      <family val="3"/>
      <charset val="134"/>
    </font>
    <font>
      <sz val="11"/>
      <color indexed="8"/>
      <name val="楷体_GB2312"/>
      <charset val="134"/>
    </font>
    <font>
      <b/>
      <sz val="11"/>
      <name val="宋体"/>
      <family val="3"/>
      <charset val="134"/>
      <scheme val="minor"/>
    </font>
    <font>
      <sz val="12"/>
      <color indexed="8"/>
      <name val="楷体_GB2312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8">
    <xf numFmtId="0" fontId="0" fillId="0" borderId="0">
      <alignment vertical="center"/>
    </xf>
    <xf numFmtId="0" fontId="11" fillId="0" borderId="7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12" fillId="0" borderId="0">
      <alignment vertical="center"/>
    </xf>
    <xf numFmtId="0" fontId="8" fillId="0" borderId="0"/>
    <xf numFmtId="0" fontId="8" fillId="0" borderId="0"/>
    <xf numFmtId="0" fontId="12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177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10" fillId="0" borderId="1" xfId="14" applyBorder="1" applyAlignment="1">
      <alignment horizontal="center" vertical="center"/>
    </xf>
    <xf numFmtId="0" fontId="10" fillId="0" borderId="0" xfId="14">
      <alignment vertical="center"/>
    </xf>
    <xf numFmtId="0" fontId="10" fillId="0" borderId="5" xfId="14" applyBorder="1" applyAlignment="1">
      <alignment horizontal="center" vertical="center"/>
    </xf>
    <xf numFmtId="0" fontId="10" fillId="0" borderId="1" xfId="14" applyBorder="1" applyAlignment="1">
      <alignment vertical="center" wrapText="1" shrinkToFit="1"/>
    </xf>
    <xf numFmtId="179" fontId="10" fillId="0" borderId="1" xfId="14" applyNumberFormat="1" applyBorder="1" applyAlignment="1">
      <alignment horizontal="center" vertical="center" shrinkToFit="1"/>
    </xf>
    <xf numFmtId="181" fontId="10" fillId="0" borderId="1" xfId="14" applyNumberFormat="1" applyBorder="1" applyAlignment="1">
      <alignment horizontal="center" vertical="center" shrinkToFit="1"/>
    </xf>
    <xf numFmtId="182" fontId="10" fillId="0" borderId="1" xfId="14" applyNumberFormat="1" applyBorder="1" applyAlignment="1">
      <alignment horizontal="center" vertical="center"/>
    </xf>
    <xf numFmtId="180" fontId="10" fillId="0" borderId="1" xfId="14" applyNumberFormat="1" applyBorder="1" applyAlignment="1">
      <alignment horizontal="center" vertical="center"/>
    </xf>
    <xf numFmtId="180" fontId="7" fillId="3" borderId="7" xfId="14" applyNumberFormat="1" applyFont="1" applyFill="1" applyBorder="1" applyAlignment="1">
      <alignment horizontal="center" vertical="center"/>
    </xf>
    <xf numFmtId="0" fontId="1" fillId="3" borderId="7" xfId="14" applyFont="1" applyFill="1" applyBorder="1" applyAlignment="1">
      <alignment horizontal="center" vertical="center"/>
    </xf>
    <xf numFmtId="180" fontId="10" fillId="3" borderId="7" xfId="14" applyNumberFormat="1" applyFill="1" applyBorder="1">
      <alignment vertical="center"/>
    </xf>
    <xf numFmtId="0" fontId="1" fillId="3" borderId="0" xfId="14" applyFont="1" applyFill="1">
      <alignment vertical="center"/>
    </xf>
    <xf numFmtId="177" fontId="6" fillId="6" borderId="7" xfId="1" applyNumberFormat="1" applyFont="1" applyFill="1" applyBorder="1" applyAlignment="1" applyProtection="1">
      <alignment horizontal="center" vertical="center" wrapText="1"/>
      <protection locked="0"/>
    </xf>
    <xf numFmtId="180" fontId="6" fillId="6" borderId="7" xfId="14" applyNumberFormat="1" applyFont="1" applyFill="1" applyBorder="1" applyAlignment="1">
      <alignment vertical="center" wrapText="1"/>
    </xf>
    <xf numFmtId="183" fontId="6" fillId="6" borderId="7" xfId="14" applyNumberFormat="1" applyFont="1" applyFill="1" applyBorder="1" applyAlignment="1">
      <alignment horizontal="center" vertical="center" wrapText="1"/>
    </xf>
    <xf numFmtId="180" fontId="1" fillId="6" borderId="7" xfId="14" applyNumberFormat="1" applyFont="1" applyFill="1" applyBorder="1">
      <alignment vertical="center"/>
    </xf>
    <xf numFmtId="180" fontId="10" fillId="6" borderId="7" xfId="14" applyNumberFormat="1" applyFill="1" applyBorder="1">
      <alignment vertical="center"/>
    </xf>
    <xf numFmtId="181" fontId="1" fillId="6" borderId="7" xfId="14" applyNumberFormat="1" applyFont="1" applyFill="1" applyBorder="1" applyAlignment="1">
      <alignment horizontal="center" vertical="center"/>
    </xf>
    <xf numFmtId="0" fontId="1" fillId="6" borderId="7" xfId="14" applyFont="1" applyFill="1" applyBorder="1" applyAlignment="1">
      <alignment horizontal="center" vertical="center"/>
    </xf>
    <xf numFmtId="180" fontId="1" fillId="6" borderId="7" xfId="14" applyNumberFormat="1" applyFont="1" applyFill="1" applyBorder="1" applyAlignment="1">
      <alignment horizontal="center" vertical="center"/>
    </xf>
    <xf numFmtId="176" fontId="1" fillId="6" borderId="7" xfId="14" applyNumberFormat="1" applyFont="1" applyFill="1" applyBorder="1" applyAlignment="1">
      <alignment horizontal="center" vertical="center"/>
    </xf>
    <xf numFmtId="0" fontId="1" fillId="6" borderId="0" xfId="14" applyFont="1" applyFill="1">
      <alignment vertical="center"/>
    </xf>
    <xf numFmtId="0" fontId="2" fillId="2" borderId="0" xfId="15" applyFont="1" applyFill="1" applyAlignment="1">
      <alignment horizontal="center" vertical="center"/>
    </xf>
    <xf numFmtId="49" fontId="3" fillId="2" borderId="0" xfId="15" applyNumberFormat="1" applyFont="1" applyFill="1" applyAlignment="1">
      <alignment horizontal="center" vertical="center"/>
    </xf>
    <xf numFmtId="0" fontId="2" fillId="2" borderId="0" xfId="15" applyFont="1" applyFill="1" applyAlignment="1">
      <alignment horizontal="center" vertical="center" wrapText="1"/>
    </xf>
    <xf numFmtId="0" fontId="4" fillId="2" borderId="0" xfId="15" applyFont="1" applyFill="1" applyAlignment="1">
      <alignment horizontal="center" vertical="center"/>
    </xf>
    <xf numFmtId="0" fontId="2" fillId="2" borderId="0" xfId="15" applyFont="1" applyFill="1" applyAlignment="1">
      <alignment horizontal="center" vertical="center" shrinkToFit="1"/>
    </xf>
    <xf numFmtId="180" fontId="2" fillId="2" borderId="0" xfId="15" applyNumberFormat="1" applyFont="1" applyFill="1" applyAlignment="1">
      <alignment horizontal="center" vertical="center"/>
    </xf>
    <xf numFmtId="0" fontId="2" fillId="4" borderId="0" xfId="15" applyFont="1" applyFill="1" applyAlignment="1">
      <alignment horizontal="center" vertical="center"/>
    </xf>
    <xf numFmtId="178" fontId="2" fillId="2" borderId="0" xfId="15" applyNumberFormat="1" applyFont="1" applyFill="1" applyAlignment="1">
      <alignment horizontal="center" vertical="center"/>
    </xf>
    <xf numFmtId="0" fontId="15" fillId="0" borderId="7" xfId="15" applyFont="1" applyBorder="1" applyAlignment="1">
      <alignment horizontal="center" vertical="center"/>
    </xf>
    <xf numFmtId="0" fontId="10" fillId="0" borderId="0" xfId="15">
      <alignment vertical="center"/>
    </xf>
    <xf numFmtId="0" fontId="10" fillId="0" borderId="7" xfId="15" applyBorder="1" applyAlignment="1">
      <alignment horizontal="center" vertical="center"/>
    </xf>
    <xf numFmtId="180" fontId="16" fillId="6" borderId="7" xfId="15" applyNumberFormat="1" applyFont="1" applyFill="1" applyBorder="1" applyAlignment="1">
      <alignment horizontal="center" vertical="center"/>
    </xf>
    <xf numFmtId="0" fontId="16" fillId="6" borderId="7" xfId="15" applyFont="1" applyFill="1" applyBorder="1" applyAlignment="1">
      <alignment horizontal="center" vertical="center"/>
    </xf>
    <xf numFmtId="0" fontId="10" fillId="0" borderId="0" xfId="15" applyAlignment="1">
      <alignment horizontal="center" vertical="center"/>
    </xf>
    <xf numFmtId="0" fontId="10" fillId="0" borderId="1" xfId="14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" fillId="3" borderId="7" xfId="14" applyFont="1" applyFill="1" applyBorder="1" applyAlignment="1">
      <alignment horizontal="center" vertical="center"/>
    </xf>
    <xf numFmtId="180" fontId="1" fillId="6" borderId="7" xfId="14" applyNumberFormat="1" applyFont="1" applyFill="1" applyBorder="1" applyAlignment="1">
      <alignment vertical="center"/>
    </xf>
    <xf numFmtId="0" fontId="1" fillId="3" borderId="7" xfId="14" applyFont="1" applyFill="1" applyBorder="1" applyAlignment="1">
      <alignment horizontal="center" vertical="center"/>
    </xf>
    <xf numFmtId="0" fontId="1" fillId="3" borderId="7" xfId="14" applyFont="1" applyFill="1" applyBorder="1" applyAlignment="1">
      <alignment horizontal="center" vertical="center" wrapText="1"/>
    </xf>
    <xf numFmtId="0" fontId="6" fillId="3" borderId="7" xfId="14" applyFont="1" applyFill="1" applyBorder="1" applyAlignment="1">
      <alignment horizontal="center" vertical="center" wrapText="1"/>
    </xf>
    <xf numFmtId="49" fontId="6" fillId="3" borderId="7" xfId="14" applyNumberFormat="1" applyFont="1" applyFill="1" applyBorder="1" applyAlignment="1">
      <alignment horizontal="center" vertical="center" wrapText="1"/>
    </xf>
    <xf numFmtId="177" fontId="6" fillId="3" borderId="7" xfId="11" applyNumberFormat="1" applyFont="1" applyFill="1" applyBorder="1" applyAlignment="1">
      <alignment horizontal="center" vertical="center"/>
    </xf>
    <xf numFmtId="177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7" xfId="14" applyFont="1" applyFill="1" applyBorder="1" applyAlignment="1">
      <alignment horizontal="center" vertical="center"/>
    </xf>
    <xf numFmtId="0" fontId="10" fillId="0" borderId="7" xfId="14" applyBorder="1" applyAlignment="1">
      <alignment horizontal="center" vertical="center"/>
    </xf>
    <xf numFmtId="0" fontId="7" fillId="3" borderId="7" xfId="14" applyNumberFormat="1" applyFont="1" applyFill="1" applyBorder="1" applyAlignment="1">
      <alignment horizontal="center" vertical="center"/>
    </xf>
    <xf numFmtId="184" fontId="1" fillId="3" borderId="7" xfId="14" applyNumberFormat="1" applyFont="1" applyFill="1" applyBorder="1" applyAlignment="1">
      <alignment horizontal="center" vertical="center"/>
    </xf>
    <xf numFmtId="185" fontId="1" fillId="3" borderId="7" xfId="14" applyNumberFormat="1" applyFont="1" applyFill="1" applyBorder="1" applyAlignment="1">
      <alignment horizontal="center" vertical="center"/>
    </xf>
    <xf numFmtId="0" fontId="6" fillId="6" borderId="7" xfId="14" applyNumberFormat="1" applyFont="1" applyFill="1" applyBorder="1" applyAlignment="1">
      <alignment horizontal="center" vertical="center" wrapText="1"/>
    </xf>
    <xf numFmtId="184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180" fontId="10" fillId="3" borderId="7" xfId="14" applyNumberFormat="1" applyFill="1" applyBorder="1" applyAlignment="1">
      <alignment horizontal="center" vertical="center"/>
    </xf>
    <xf numFmtId="0" fontId="10" fillId="0" borderId="7" xfId="14" applyBorder="1">
      <alignment vertical="center"/>
    </xf>
    <xf numFmtId="0" fontId="1" fillId="6" borderId="7" xfId="14" applyFont="1" applyFill="1" applyBorder="1">
      <alignment vertical="center"/>
    </xf>
    <xf numFmtId="184" fontId="1" fillId="6" borderId="7" xfId="14" applyNumberFormat="1" applyFont="1" applyFill="1" applyBorder="1">
      <alignment vertical="center"/>
    </xf>
    <xf numFmtId="0" fontId="10" fillId="4" borderId="0" xfId="14" applyFill="1">
      <alignment vertical="center"/>
    </xf>
    <xf numFmtId="0" fontId="10" fillId="4" borderId="7" xfId="14" applyFill="1" applyBorder="1">
      <alignment vertical="center"/>
    </xf>
    <xf numFmtId="184" fontId="1" fillId="4" borderId="7" xfId="14" applyNumberFormat="1" applyFont="1" applyFill="1" applyBorder="1">
      <alignment vertical="center"/>
    </xf>
    <xf numFmtId="0" fontId="1" fillId="4" borderId="7" xfId="14" applyFont="1" applyFill="1" applyBorder="1">
      <alignment vertical="center"/>
    </xf>
    <xf numFmtId="0" fontId="1" fillId="3" borderId="7" xfId="14" applyFont="1" applyFill="1" applyBorder="1" applyAlignment="1">
      <alignment horizontal="center" vertical="center"/>
    </xf>
    <xf numFmtId="0" fontId="1" fillId="3" borderId="0" xfId="14" applyFont="1" applyFill="1" applyAlignment="1">
      <alignment horizontal="center" vertical="center"/>
    </xf>
    <xf numFmtId="0" fontId="1" fillId="6" borderId="12" xfId="14" applyFont="1" applyFill="1" applyBorder="1" applyAlignment="1">
      <alignment vertical="center"/>
    </xf>
    <xf numFmtId="0" fontId="10" fillId="0" borderId="0" xfId="14" applyAlignment="1">
      <alignment horizontal="center" vertical="center"/>
    </xf>
    <xf numFmtId="0" fontId="1" fillId="6" borderId="0" xfId="14" applyFont="1" applyFill="1" applyAlignment="1">
      <alignment horizontal="center" vertical="center"/>
    </xf>
    <xf numFmtId="0" fontId="1" fillId="3" borderId="7" xfId="14" applyFont="1" applyFill="1" applyBorder="1" applyAlignment="1">
      <alignment horizontal="center" vertical="center"/>
    </xf>
    <xf numFmtId="0" fontId="6" fillId="3" borderId="7" xfId="14" applyFont="1" applyFill="1" applyBorder="1" applyAlignment="1">
      <alignment horizontal="center" vertical="center" wrapText="1"/>
    </xf>
    <xf numFmtId="49" fontId="6" fillId="3" borderId="7" xfId="14" applyNumberFormat="1" applyFont="1" applyFill="1" applyBorder="1" applyAlignment="1">
      <alignment horizontal="center" vertical="center" wrapText="1"/>
    </xf>
    <xf numFmtId="177" fontId="6" fillId="3" borderId="7" xfId="11" applyNumberFormat="1" applyFont="1" applyFill="1" applyBorder="1" applyAlignment="1">
      <alignment vertical="center"/>
    </xf>
    <xf numFmtId="0" fontId="6" fillId="3" borderId="7" xfId="14" applyFont="1" applyFill="1" applyBorder="1" applyAlignment="1">
      <alignment vertical="center" wrapText="1"/>
    </xf>
    <xf numFmtId="177" fontId="6" fillId="3" borderId="7" xfId="1" applyNumberFormat="1" applyFont="1" applyFill="1" applyBorder="1" applyAlignment="1" applyProtection="1">
      <alignment vertical="center" wrapText="1"/>
      <protection locked="0"/>
    </xf>
    <xf numFmtId="0" fontId="6" fillId="3" borderId="7" xfId="1" applyNumberFormat="1" applyFont="1" applyFill="1" applyBorder="1" applyAlignment="1" applyProtection="1">
      <alignment vertical="center" wrapText="1"/>
      <protection locked="0"/>
    </xf>
    <xf numFmtId="0" fontId="1" fillId="3" borderId="7" xfId="14" applyFont="1" applyFill="1" applyBorder="1" applyAlignment="1">
      <alignment vertical="center" wrapText="1"/>
    </xf>
    <xf numFmtId="49" fontId="6" fillId="3" borderId="7" xfId="14" applyNumberFormat="1" applyFont="1" applyFill="1" applyBorder="1" applyAlignment="1">
      <alignment vertical="center" wrapText="1"/>
    </xf>
    <xf numFmtId="184" fontId="1" fillId="3" borderId="1" xfId="14" applyNumberFormat="1" applyFont="1" applyFill="1" applyBorder="1" applyAlignment="1">
      <alignment horizontal="center" vertical="center"/>
    </xf>
    <xf numFmtId="184" fontId="1" fillId="3" borderId="5" xfId="14" applyNumberFormat="1" applyFont="1" applyFill="1" applyBorder="1" applyAlignment="1">
      <alignment horizontal="center" vertical="center"/>
    </xf>
    <xf numFmtId="184" fontId="1" fillId="3" borderId="8" xfId="14" applyNumberFormat="1" applyFont="1" applyFill="1" applyBorder="1" applyAlignment="1">
      <alignment horizontal="center" vertical="center"/>
    </xf>
    <xf numFmtId="184" fontId="1" fillId="4" borderId="1" xfId="14" applyNumberFormat="1" applyFont="1" applyFill="1" applyBorder="1" applyAlignment="1">
      <alignment horizontal="center" vertical="center"/>
    </xf>
    <xf numFmtId="184" fontId="1" fillId="4" borderId="5" xfId="14" applyNumberFormat="1" applyFont="1" applyFill="1" applyBorder="1" applyAlignment="1">
      <alignment horizontal="center" vertical="center"/>
    </xf>
    <xf numFmtId="184" fontId="1" fillId="4" borderId="8" xfId="14" applyNumberFormat="1" applyFont="1" applyFill="1" applyBorder="1" applyAlignment="1">
      <alignment horizontal="center" vertical="center"/>
    </xf>
    <xf numFmtId="9" fontId="1" fillId="3" borderId="1" xfId="17" applyFont="1" applyFill="1" applyBorder="1" applyAlignment="1">
      <alignment horizontal="center" vertical="center"/>
    </xf>
    <xf numFmtId="9" fontId="1" fillId="3" borderId="5" xfId="17" applyFont="1" applyFill="1" applyBorder="1" applyAlignment="1">
      <alignment horizontal="center" vertical="center"/>
    </xf>
    <xf numFmtId="9" fontId="1" fillId="3" borderId="8" xfId="17" applyFont="1" applyFill="1" applyBorder="1" applyAlignment="1">
      <alignment horizontal="center" vertical="center"/>
    </xf>
    <xf numFmtId="182" fontId="6" fillId="6" borderId="4" xfId="14" applyNumberFormat="1" applyFont="1" applyFill="1" applyBorder="1" applyAlignment="1">
      <alignment horizontal="center" vertical="center" wrapText="1"/>
    </xf>
    <xf numFmtId="182" fontId="6" fillId="6" borderId="10" xfId="14" applyNumberFormat="1" applyFont="1" applyFill="1" applyBorder="1" applyAlignment="1">
      <alignment horizontal="center" vertical="center" wrapText="1"/>
    </xf>
    <xf numFmtId="182" fontId="6" fillId="6" borderId="11" xfId="14" applyNumberFormat="1" applyFont="1" applyFill="1" applyBorder="1" applyAlignment="1">
      <alignment horizontal="center" vertical="center" wrapText="1"/>
    </xf>
    <xf numFmtId="181" fontId="1" fillId="4" borderId="7" xfId="14" applyNumberFormat="1" applyFont="1" applyFill="1" applyBorder="1" applyAlignment="1">
      <alignment horizontal="center" vertical="center"/>
    </xf>
    <xf numFmtId="9" fontId="1" fillId="5" borderId="1" xfId="16" applyFont="1" applyFill="1" applyBorder="1" applyAlignment="1">
      <alignment horizontal="center" vertical="center"/>
    </xf>
    <xf numFmtId="9" fontId="1" fillId="5" borderId="5" xfId="16" applyFont="1" applyFill="1" applyBorder="1" applyAlignment="1">
      <alignment horizontal="center" vertical="center"/>
    </xf>
    <xf numFmtId="9" fontId="1" fillId="5" borderId="8" xfId="16" applyFont="1" applyFill="1" applyBorder="1" applyAlignment="1">
      <alignment horizontal="center" vertical="center"/>
    </xf>
    <xf numFmtId="182" fontId="10" fillId="5" borderId="1" xfId="14" applyNumberFormat="1" applyFill="1" applyBorder="1" applyAlignment="1">
      <alignment horizontal="center" vertical="center" shrinkToFit="1"/>
    </xf>
    <xf numFmtId="182" fontId="10" fillId="5" borderId="5" xfId="14" applyNumberFormat="1" applyFill="1" applyBorder="1" applyAlignment="1">
      <alignment horizontal="center" vertical="center" shrinkToFit="1"/>
    </xf>
    <xf numFmtId="182" fontId="10" fillId="5" borderId="8" xfId="14" applyNumberFormat="1" applyFill="1" applyBorder="1" applyAlignment="1">
      <alignment horizontal="center" vertical="center" shrinkToFit="1"/>
    </xf>
    <xf numFmtId="180" fontId="1" fillId="3" borderId="7" xfId="14" applyNumberFormat="1" applyFont="1" applyFill="1" applyBorder="1" applyAlignment="1">
      <alignment horizontal="center" vertical="center"/>
    </xf>
    <xf numFmtId="0" fontId="1" fillId="3" borderId="7" xfId="14" applyFont="1" applyFill="1" applyBorder="1" applyAlignment="1">
      <alignment horizontal="center" vertical="center"/>
    </xf>
    <xf numFmtId="176" fontId="1" fillId="3" borderId="7" xfId="14" applyNumberFormat="1" applyFont="1" applyFill="1" applyBorder="1" applyAlignment="1">
      <alignment horizontal="center" vertical="center"/>
    </xf>
    <xf numFmtId="181" fontId="1" fillId="3" borderId="7" xfId="14" applyNumberFormat="1" applyFont="1" applyFill="1" applyBorder="1" applyAlignment="1">
      <alignment horizontal="center" vertical="center"/>
    </xf>
    <xf numFmtId="0" fontId="1" fillId="3" borderId="3" xfId="14" applyFont="1" applyFill="1" applyBorder="1" applyAlignment="1">
      <alignment horizontal="center" vertical="center"/>
    </xf>
    <xf numFmtId="0" fontId="1" fillId="3" borderId="6" xfId="14" applyFont="1" applyFill="1" applyBorder="1" applyAlignment="1">
      <alignment horizontal="center" vertical="center"/>
    </xf>
    <xf numFmtId="0" fontId="1" fillId="3" borderId="9" xfId="14" applyFont="1" applyFill="1" applyBorder="1" applyAlignment="1">
      <alignment horizontal="center" vertical="center"/>
    </xf>
    <xf numFmtId="0" fontId="1" fillId="3" borderId="1" xfId="14" applyFont="1" applyFill="1" applyBorder="1" applyAlignment="1">
      <alignment horizontal="center" vertical="center" wrapText="1"/>
    </xf>
    <xf numFmtId="0" fontId="1" fillId="3" borderId="5" xfId="14" applyFont="1" applyFill="1" applyBorder="1" applyAlignment="1">
      <alignment horizontal="center" vertical="center" wrapText="1"/>
    </xf>
    <xf numFmtId="0" fontId="1" fillId="3" borderId="8" xfId="14" applyFont="1" applyFill="1" applyBorder="1" applyAlignment="1">
      <alignment horizontal="center" vertical="center" wrapText="1"/>
    </xf>
    <xf numFmtId="0" fontId="1" fillId="3" borderId="1" xfId="14" quotePrefix="1" applyFont="1" applyFill="1" applyBorder="1" applyAlignment="1">
      <alignment horizontal="center" vertical="center" wrapText="1"/>
    </xf>
    <xf numFmtId="0" fontId="6" fillId="3" borderId="1" xfId="14" applyFont="1" applyFill="1" applyBorder="1" applyAlignment="1">
      <alignment horizontal="center" vertical="center" wrapText="1"/>
    </xf>
    <xf numFmtId="0" fontId="6" fillId="3" borderId="5" xfId="14" applyFont="1" applyFill="1" applyBorder="1" applyAlignment="1">
      <alignment horizontal="center" vertical="center" wrapText="1"/>
    </xf>
    <xf numFmtId="0" fontId="6" fillId="3" borderId="8" xfId="14" applyFont="1" applyFill="1" applyBorder="1" applyAlignment="1">
      <alignment horizontal="center" vertical="center" wrapText="1"/>
    </xf>
    <xf numFmtId="49" fontId="6" fillId="3" borderId="1" xfId="14" applyNumberFormat="1" applyFont="1" applyFill="1" applyBorder="1" applyAlignment="1">
      <alignment horizontal="center" vertical="center" wrapText="1"/>
    </xf>
    <xf numFmtId="49" fontId="6" fillId="3" borderId="5" xfId="14" applyNumberFormat="1" applyFont="1" applyFill="1" applyBorder="1" applyAlignment="1">
      <alignment horizontal="center" vertical="center" wrapText="1"/>
    </xf>
    <xf numFmtId="49" fontId="6" fillId="3" borderId="8" xfId="14" applyNumberFormat="1" applyFont="1" applyFill="1" applyBorder="1" applyAlignment="1">
      <alignment horizontal="center" vertical="center" wrapText="1"/>
    </xf>
    <xf numFmtId="177" fontId="6" fillId="3" borderId="7" xfId="11" applyNumberFormat="1" applyFont="1" applyFill="1" applyBorder="1" applyAlignment="1">
      <alignment horizontal="center" vertical="center"/>
    </xf>
    <xf numFmtId="0" fontId="6" fillId="3" borderId="7" xfId="14" applyFont="1" applyFill="1" applyBorder="1" applyAlignment="1">
      <alignment horizontal="center" vertical="center" wrapText="1"/>
    </xf>
    <xf numFmtId="177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7" xfId="14" applyFont="1" applyFill="1" applyBorder="1" applyAlignment="1">
      <alignment horizontal="center" vertical="center" wrapText="1"/>
    </xf>
    <xf numFmtId="49" fontId="6" fillId="3" borderId="7" xfId="14" applyNumberFormat="1" applyFont="1" applyFill="1" applyBorder="1" applyAlignment="1">
      <alignment horizontal="center" vertical="center" wrapText="1"/>
    </xf>
    <xf numFmtId="180" fontId="1" fillId="3" borderId="7" xfId="14" applyNumberFormat="1" applyFont="1" applyFill="1" applyBorder="1" applyAlignment="1">
      <alignment horizontal="center" vertical="center" wrapText="1"/>
    </xf>
    <xf numFmtId="0" fontId="10" fillId="0" borderId="3" xfId="14" applyBorder="1" applyAlignment="1">
      <alignment horizontal="center" vertical="center" wrapText="1"/>
    </xf>
    <xf numFmtId="0" fontId="10" fillId="0" borderId="6" xfId="14" applyBorder="1" applyAlignment="1">
      <alignment horizontal="center" vertical="center" wrapText="1"/>
    </xf>
    <xf numFmtId="0" fontId="10" fillId="0" borderId="1" xfId="14" applyBorder="1" applyAlignment="1">
      <alignment horizontal="center" vertical="center" wrapText="1" shrinkToFit="1"/>
    </xf>
    <xf numFmtId="0" fontId="10" fillId="0" borderId="5" xfId="14" applyBorder="1" applyAlignment="1">
      <alignment horizontal="center" vertical="center" wrapText="1" shrinkToFit="1"/>
    </xf>
    <xf numFmtId="177" fontId="7" fillId="0" borderId="1" xfId="14" applyNumberFormat="1" applyFont="1" applyBorder="1" applyAlignment="1">
      <alignment horizontal="center" vertical="center" wrapText="1"/>
    </xf>
    <xf numFmtId="177" fontId="7" fillId="0" borderId="8" xfId="14" applyNumberFormat="1" applyFont="1" applyBorder="1" applyAlignment="1">
      <alignment horizontal="center" vertical="center" wrapText="1"/>
    </xf>
    <xf numFmtId="0" fontId="10" fillId="0" borderId="7" xfId="14" applyBorder="1" applyAlignment="1">
      <alignment horizontal="center" vertical="center" wrapText="1"/>
    </xf>
    <xf numFmtId="0" fontId="10" fillId="0" borderId="1" xfId="14" applyBorder="1" applyAlignment="1">
      <alignment horizontal="center" vertical="center" wrapText="1"/>
    </xf>
    <xf numFmtId="0" fontId="10" fillId="0" borderId="7" xfId="14" applyBorder="1" applyAlignment="1">
      <alignment horizontal="center" vertical="center"/>
    </xf>
    <xf numFmtId="182" fontId="10" fillId="4" borderId="1" xfId="14" applyNumberFormat="1" applyFill="1" applyBorder="1" applyAlignment="1">
      <alignment horizontal="center" vertical="center" shrinkToFit="1"/>
    </xf>
    <xf numFmtId="182" fontId="10" fillId="4" borderId="8" xfId="14" applyNumberFormat="1" applyFill="1" applyBorder="1" applyAlignment="1">
      <alignment horizontal="center" vertical="center" shrinkToFit="1"/>
    </xf>
    <xf numFmtId="182" fontId="10" fillId="5" borderId="1" xfId="14" applyNumberFormat="1" applyFill="1" applyBorder="1" applyAlignment="1">
      <alignment horizontal="center" vertical="center" wrapText="1" shrinkToFit="1"/>
    </xf>
    <xf numFmtId="182" fontId="10" fillId="5" borderId="8" xfId="14" applyNumberFormat="1" applyFill="1" applyBorder="1" applyAlignment="1">
      <alignment horizontal="center" vertical="center" wrapText="1" shrinkToFit="1"/>
    </xf>
    <xf numFmtId="177" fontId="7" fillId="0" borderId="1" xfId="14" applyNumberFormat="1" applyFont="1" applyBorder="1" applyAlignment="1">
      <alignment horizontal="center" vertical="center"/>
    </xf>
    <xf numFmtId="177" fontId="7" fillId="0" borderId="8" xfId="14" applyNumberFormat="1" applyFont="1" applyBorder="1" applyAlignment="1">
      <alignment horizontal="center" vertical="center"/>
    </xf>
    <xf numFmtId="0" fontId="10" fillId="0" borderId="4" xfId="14" applyBorder="1" applyAlignment="1">
      <alignment horizontal="center" vertical="center" wrapText="1" shrinkToFit="1"/>
    </xf>
    <xf numFmtId="0" fontId="10" fillId="0" borderId="10" xfId="14" applyBorder="1" applyAlignment="1">
      <alignment horizontal="center" vertical="center" wrapText="1" shrinkToFit="1"/>
    </xf>
    <xf numFmtId="0" fontId="10" fillId="0" borderId="11" xfId="14" applyBorder="1" applyAlignment="1">
      <alignment horizontal="center" vertical="center" wrapText="1" shrinkToFit="1"/>
    </xf>
    <xf numFmtId="179" fontId="10" fillId="0" borderId="4" xfId="14" applyNumberFormat="1" applyBorder="1" applyAlignment="1">
      <alignment horizontal="center" vertical="center" shrinkToFit="1"/>
    </xf>
    <xf numFmtId="181" fontId="10" fillId="0" borderId="10" xfId="14" applyNumberFormat="1" applyBorder="1" applyAlignment="1">
      <alignment horizontal="center" vertical="center" shrinkToFit="1"/>
    </xf>
    <xf numFmtId="179" fontId="10" fillId="0" borderId="11" xfId="14" applyNumberFormat="1" applyBorder="1" applyAlignment="1">
      <alignment horizontal="center" vertical="center" shrinkToFit="1"/>
    </xf>
    <xf numFmtId="182" fontId="10" fillId="0" borderId="4" xfId="14" applyNumberFormat="1" applyBorder="1" applyAlignment="1">
      <alignment horizontal="center" vertical="center"/>
    </xf>
    <xf numFmtId="182" fontId="10" fillId="0" borderId="11" xfId="14" applyNumberFormat="1" applyBorder="1" applyAlignment="1">
      <alignment horizontal="center" vertical="center"/>
    </xf>
    <xf numFmtId="182" fontId="10" fillId="0" borderId="1" xfId="14" applyNumberFormat="1" applyBorder="1" applyAlignment="1">
      <alignment horizontal="center" vertical="center"/>
    </xf>
    <xf numFmtId="182" fontId="10" fillId="0" borderId="5" xfId="14" applyNumberFormat="1" applyBorder="1" applyAlignment="1">
      <alignment horizontal="center" vertical="center"/>
    </xf>
    <xf numFmtId="182" fontId="10" fillId="0" borderId="7" xfId="14" applyNumberFormat="1" applyBorder="1" applyAlignment="1">
      <alignment horizontal="center" vertical="center"/>
    </xf>
    <xf numFmtId="49" fontId="5" fillId="2" borderId="2" xfId="15" applyNumberFormat="1" applyFont="1" applyFill="1" applyBorder="1" applyAlignment="1">
      <alignment horizontal="center" vertical="center" wrapText="1"/>
    </xf>
    <xf numFmtId="49" fontId="5" fillId="2" borderId="1" xfId="15" applyNumberFormat="1" applyFont="1" applyFill="1" applyBorder="1" applyAlignment="1">
      <alignment horizontal="center" vertical="center" wrapText="1"/>
    </xf>
    <xf numFmtId="0" fontId="10" fillId="0" borderId="8" xfId="14" applyBorder="1" applyAlignment="1">
      <alignment horizontal="center" vertical="center" wrapText="1" shrinkToFit="1"/>
    </xf>
    <xf numFmtId="182" fontId="10" fillId="0" borderId="3" xfId="14" applyNumberFormat="1" applyBorder="1" applyAlignment="1">
      <alignment horizontal="center" vertical="center" shrinkToFit="1"/>
    </xf>
    <xf numFmtId="182" fontId="10" fillId="0" borderId="9" xfId="14" applyNumberFormat="1" applyBorder="1" applyAlignment="1">
      <alignment horizontal="center" vertical="center" shrinkToFit="1"/>
    </xf>
    <xf numFmtId="0" fontId="10" fillId="0" borderId="5" xfId="14" applyBorder="1" applyAlignment="1">
      <alignment horizontal="center" vertical="center" wrapText="1"/>
    </xf>
    <xf numFmtId="0" fontId="10" fillId="0" borderId="1" xfId="14" applyBorder="1" applyAlignment="1">
      <alignment horizontal="center" vertical="center" shrinkToFit="1"/>
    </xf>
    <xf numFmtId="0" fontId="10" fillId="0" borderId="5" xfId="14" applyBorder="1" applyAlignment="1">
      <alignment horizontal="center" vertical="center" shrinkToFit="1"/>
    </xf>
    <xf numFmtId="184" fontId="1" fillId="3" borderId="7" xfId="14" applyNumberFormat="1" applyFont="1" applyFill="1" applyBorder="1" applyAlignment="1">
      <alignment horizontal="center" vertical="center"/>
    </xf>
    <xf numFmtId="184" fontId="1" fillId="7" borderId="7" xfId="14" applyNumberFormat="1" applyFont="1" applyFill="1" applyBorder="1" applyAlignment="1">
      <alignment horizontal="center" vertical="center"/>
    </xf>
    <xf numFmtId="184" fontId="1" fillId="4" borderId="7" xfId="14" applyNumberFormat="1" applyFont="1" applyFill="1" applyBorder="1" applyAlignment="1">
      <alignment horizontal="center" vertical="center"/>
    </xf>
    <xf numFmtId="9" fontId="1" fillId="3" borderId="7" xfId="17" applyFont="1" applyFill="1" applyBorder="1" applyAlignment="1">
      <alignment horizontal="center" vertical="center"/>
    </xf>
    <xf numFmtId="9" fontId="1" fillId="7" borderId="7" xfId="17" applyFont="1" applyFill="1" applyBorder="1" applyAlignment="1">
      <alignment horizontal="center" vertical="center"/>
    </xf>
    <xf numFmtId="0" fontId="1" fillId="5" borderId="12" xfId="14" applyFont="1" applyFill="1" applyBorder="1" applyAlignment="1">
      <alignment horizontal="center" vertical="center"/>
    </xf>
    <xf numFmtId="0" fontId="1" fillId="3" borderId="12" xfId="14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</cellXfs>
  <cellStyles count="18">
    <cellStyle name="BOM_Level_Below3" xfId="1" xr:uid="{00000000-0005-0000-0000-000009000000}"/>
    <cellStyle name="百分比" xfId="17" builtinId="5"/>
    <cellStyle name="百分比 2" xfId="16" xr:uid="{BF5EFFAC-3091-4011-ADF7-CD544B4987AE}"/>
    <cellStyle name="常规" xfId="0" builtinId="0"/>
    <cellStyle name="常规 10" xfId="7" xr:uid="{00000000-0005-0000-0000-000035000000}"/>
    <cellStyle name="常规 2" xfId="9" xr:uid="{00000000-0005-0000-0000-000039000000}"/>
    <cellStyle name="常规 2 10" xfId="8" xr:uid="{00000000-0005-0000-0000-000037000000}"/>
    <cellStyle name="常规 2 2" xfId="5" xr:uid="{00000000-0005-0000-0000-000030000000}"/>
    <cellStyle name="常规 2 2 10" xfId="10" xr:uid="{00000000-0005-0000-0000-00003A000000}"/>
    <cellStyle name="常规 2 2 2" xfId="3" xr:uid="{00000000-0005-0000-0000-000025000000}"/>
    <cellStyle name="常规 2 2 3" xfId="4" xr:uid="{00000000-0005-0000-0000-000028000000}"/>
    <cellStyle name="常规 2 2 6" xfId="2" xr:uid="{00000000-0005-0000-0000-000022000000}"/>
    <cellStyle name="常规 2 3" xfId="15" xr:uid="{09027573-2949-4187-81AF-C6BB5756DD0E}"/>
    <cellStyle name="常规 3" xfId="11" xr:uid="{00000000-0005-0000-0000-00003B000000}"/>
    <cellStyle name="常规 4" xfId="14" xr:uid="{073C7E4F-700A-4966-B53B-A39E237443DE}"/>
    <cellStyle name="常规 5" xfId="12" xr:uid="{00000000-0005-0000-0000-00003C000000}"/>
    <cellStyle name="样式 1" xfId="13" xr:uid="{00000000-0005-0000-0000-00003D000000}"/>
    <cellStyle name="样式 1 5 21" xfId="6" xr:uid="{00000000-0005-0000-0000-000033000000}"/>
  </cellStyles>
  <dxfs count="2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/2021&#24180;&#20215;&#26684;&#21327;&#35758;/&#21378;&#23478;&#20998;&#24320;&#21327;&#35758;/&#19975;&#26124;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万昌 1"/>
      <sheetName val="万昌2"/>
      <sheetName val="汇总表"/>
      <sheetName val="万昌-假"/>
      <sheetName val="Sheet1"/>
      <sheetName val="Sheet2"/>
      <sheetName val="Sheet3"/>
    </sheetNames>
    <sheetDataSet>
      <sheetData sheetId="0">
        <row r="9">
          <cell r="B9" t="str">
            <v>BFA0000438</v>
          </cell>
          <cell r="C9" t="str">
            <v>重卡紧固件</v>
          </cell>
          <cell r="D9" t="str">
            <v>02.01.05.003</v>
          </cell>
          <cell r="E9" t="str">
            <v>件</v>
          </cell>
          <cell r="F9">
            <v>0.21999999999999978</v>
          </cell>
          <cell r="G9">
            <v>0.21339999999999978</v>
          </cell>
        </row>
        <row r="10">
          <cell r="B10" t="str">
            <v>REM0001652</v>
          </cell>
          <cell r="C10" t="str">
            <v>1580定位片</v>
          </cell>
          <cell r="D10" t="str">
            <v>02.01.05.047</v>
          </cell>
          <cell r="E10" t="str">
            <v>件</v>
          </cell>
          <cell r="F10">
            <v>0.14384615384615354</v>
          </cell>
          <cell r="G10">
            <v>0.14240769230769201</v>
          </cell>
        </row>
        <row r="11">
          <cell r="B11" t="str">
            <v>BFA0000445</v>
          </cell>
          <cell r="C11" t="str">
            <v>1029紧固件（新）</v>
          </cell>
          <cell r="D11" t="str">
            <v>02.01.05.071</v>
          </cell>
          <cell r="E11" t="str">
            <v>件</v>
          </cell>
          <cell r="F11">
            <v>0.28769230769230808</v>
          </cell>
          <cell r="G11">
            <v>0.28481538461538497</v>
          </cell>
        </row>
        <row r="12">
          <cell r="B12" t="str">
            <v>SHT0001179</v>
          </cell>
          <cell r="C12" t="str">
            <v>气囊上支架</v>
          </cell>
          <cell r="D12" t="str">
            <v>02.03.03.068</v>
          </cell>
          <cell r="E12" t="str">
            <v>件</v>
          </cell>
          <cell r="F12">
            <v>2.470769230769235</v>
          </cell>
          <cell r="G12">
            <v>2.3966461538461581</v>
          </cell>
        </row>
        <row r="13">
          <cell r="B13" t="str">
            <v>SHT0001178</v>
          </cell>
          <cell r="C13" t="str">
            <v>调节螺杆支架</v>
          </cell>
          <cell r="D13" t="str">
            <v>02.03.03.073</v>
          </cell>
          <cell r="E13" t="str">
            <v>件</v>
          </cell>
          <cell r="F13">
            <v>0.25384615384615344</v>
          </cell>
          <cell r="G13">
            <v>0.24623076923076884</v>
          </cell>
        </row>
        <row r="14">
          <cell r="B14" t="str">
            <v>SHT0001165</v>
          </cell>
          <cell r="C14" t="str">
            <v>调节螺母上固定架（新）</v>
          </cell>
          <cell r="D14" t="str">
            <v>02.03.03.092</v>
          </cell>
          <cell r="E14" t="str">
            <v>件</v>
          </cell>
          <cell r="F14">
            <v>0.58384615384615413</v>
          </cell>
          <cell r="G14">
            <v>0.56633076923076953</v>
          </cell>
        </row>
        <row r="15">
          <cell r="B15" t="str">
            <v>SHT0001164</v>
          </cell>
          <cell r="C15" t="str">
            <v>调节螺母下固定架（新）</v>
          </cell>
          <cell r="D15" t="str">
            <v>02.03.03.093</v>
          </cell>
          <cell r="E15" t="str">
            <v>件</v>
          </cell>
          <cell r="F15">
            <v>0.49076923076923107</v>
          </cell>
          <cell r="G15">
            <v>0.47604615384615412</v>
          </cell>
        </row>
        <row r="16">
          <cell r="B16" t="str">
            <v>SLT0002019</v>
          </cell>
          <cell r="C16" t="str">
            <v>司机座骨架右支脚</v>
          </cell>
          <cell r="D16" t="str">
            <v>02.03.06.032</v>
          </cell>
          <cell r="E16" t="str">
            <v>件</v>
          </cell>
          <cell r="F16">
            <v>0.38923076923076905</v>
          </cell>
          <cell r="G16">
            <v>0.37755384615384596</v>
          </cell>
        </row>
        <row r="17">
          <cell r="B17" t="str">
            <v>SLT0002020</v>
          </cell>
          <cell r="C17" t="str">
            <v>欧马克左前支撑座</v>
          </cell>
          <cell r="D17" t="str">
            <v>02.03.06.034</v>
          </cell>
          <cell r="E17" t="str">
            <v>件</v>
          </cell>
          <cell r="F17">
            <v>1.1592307692307684</v>
          </cell>
          <cell r="G17">
            <v>1.1244538461538454</v>
          </cell>
        </row>
        <row r="18">
          <cell r="B18" t="str">
            <v>SHT0001142</v>
          </cell>
          <cell r="C18" t="str">
            <v>纵梁焊接组件加强板</v>
          </cell>
          <cell r="D18" t="str">
            <v>02.03.07.069</v>
          </cell>
          <cell r="E18" t="str">
            <v>件</v>
          </cell>
          <cell r="F18">
            <v>0.1184615384615388</v>
          </cell>
          <cell r="G18">
            <v>0.11490769230769263</v>
          </cell>
        </row>
        <row r="19">
          <cell r="B19" t="str">
            <v>SHT0001134</v>
          </cell>
          <cell r="C19" t="str">
            <v>限位板垫片</v>
          </cell>
          <cell r="D19" t="str">
            <v>02.03.07.118</v>
          </cell>
          <cell r="E19" t="str">
            <v>件</v>
          </cell>
          <cell r="F19">
            <v>0.46538461538461534</v>
          </cell>
          <cell r="G19">
            <v>0.45142307692307687</v>
          </cell>
        </row>
        <row r="20">
          <cell r="B20" t="str">
            <v>SHT0001133</v>
          </cell>
          <cell r="C20" t="str">
            <v>缓冲支架</v>
          </cell>
          <cell r="D20" t="str">
            <v>02.03.07.119</v>
          </cell>
          <cell r="E20" t="str">
            <v>件</v>
          </cell>
          <cell r="F20">
            <v>0.6092307692307688</v>
          </cell>
          <cell r="G20">
            <v>0.60313846153846107</v>
          </cell>
        </row>
        <row r="21">
          <cell r="B21" t="str">
            <v>SHT0001131</v>
          </cell>
          <cell r="C21" t="str">
            <v>欧曼靠背板总成左</v>
          </cell>
          <cell r="D21" t="str">
            <v>02.03.07.171A</v>
          </cell>
          <cell r="E21" t="str">
            <v>件</v>
          </cell>
          <cell r="F21">
            <v>2.3861538461538458</v>
          </cell>
          <cell r="G21">
            <v>2.3622923076923072</v>
          </cell>
        </row>
        <row r="22">
          <cell r="B22" t="str">
            <v>SHT0001130</v>
          </cell>
          <cell r="C22" t="str">
            <v>欧曼靠背板总成右</v>
          </cell>
          <cell r="D22" t="str">
            <v>02.03.07.172A</v>
          </cell>
          <cell r="E22" t="str">
            <v>件</v>
          </cell>
          <cell r="F22">
            <v>2.3861538461538458</v>
          </cell>
          <cell r="G22">
            <v>2.3622923076923072</v>
          </cell>
        </row>
        <row r="23">
          <cell r="B23" t="str">
            <v>SHT0001129</v>
          </cell>
          <cell r="C23" t="str">
            <v>后安装板左</v>
          </cell>
          <cell r="D23" t="str">
            <v>02.03.07.173</v>
          </cell>
          <cell r="E23" t="str">
            <v>件</v>
          </cell>
          <cell r="F23">
            <v>1.7007692307692328</v>
          </cell>
          <cell r="G23">
            <v>1.6837615384615405</v>
          </cell>
        </row>
        <row r="24">
          <cell r="B24" t="str">
            <v>SHT0001128</v>
          </cell>
          <cell r="C24" t="str">
            <v>后安装板右</v>
          </cell>
          <cell r="D24" t="str">
            <v>02.03.07.174</v>
          </cell>
          <cell r="E24" t="str">
            <v>件</v>
          </cell>
          <cell r="F24">
            <v>1.7007692307692328</v>
          </cell>
          <cell r="G24">
            <v>1.6837615384615405</v>
          </cell>
        </row>
        <row r="25">
          <cell r="B25" t="str">
            <v>SHT0001127</v>
          </cell>
          <cell r="C25" t="str">
            <v>陕汽锁紧齿板前</v>
          </cell>
          <cell r="D25" t="str">
            <v>02.03.07.175</v>
          </cell>
          <cell r="E25" t="str">
            <v>件</v>
          </cell>
          <cell r="F25">
            <v>1.1846153846153882</v>
          </cell>
          <cell r="G25">
            <v>1.1727692307692343</v>
          </cell>
        </row>
        <row r="26">
          <cell r="B26" t="str">
            <v>SHT0001126</v>
          </cell>
          <cell r="C26" t="str">
            <v>陕汽锁紧齿板后</v>
          </cell>
          <cell r="D26" t="str">
            <v>02.03.07.176</v>
          </cell>
          <cell r="E26" t="str">
            <v>件</v>
          </cell>
          <cell r="F26">
            <v>1.1846153846153882</v>
          </cell>
          <cell r="G26">
            <v>1.1727692307692343</v>
          </cell>
        </row>
        <row r="27">
          <cell r="B27" t="str">
            <v>SHT0001222</v>
          </cell>
          <cell r="C27" t="str">
            <v>左围框</v>
          </cell>
          <cell r="D27" t="str">
            <v>02.03.07.231</v>
          </cell>
          <cell r="E27" t="str">
            <v>件</v>
          </cell>
          <cell r="F27">
            <v>4.1592920353982308</v>
          </cell>
          <cell r="G27">
            <v>4.0345132743362839</v>
          </cell>
        </row>
        <row r="28">
          <cell r="B28" t="str">
            <v>SHT0001223</v>
          </cell>
          <cell r="C28" t="str">
            <v>右围框</v>
          </cell>
          <cell r="D28" t="str">
            <v>02.03.07.232</v>
          </cell>
          <cell r="E28" t="str">
            <v>件</v>
          </cell>
          <cell r="F28">
            <v>4.1592920353982308</v>
          </cell>
          <cell r="G28">
            <v>4.0345132743362839</v>
          </cell>
        </row>
        <row r="29">
          <cell r="B29" t="str">
            <v>SHT0001425</v>
          </cell>
          <cell r="C29" t="str">
            <v>陕汽减震器左围框</v>
          </cell>
          <cell r="D29" t="str">
            <v>02.03.07.233</v>
          </cell>
          <cell r="E29" t="str">
            <v>件</v>
          </cell>
          <cell r="F29">
            <v>4.1592920353982308</v>
          </cell>
          <cell r="G29">
            <v>4.0345132743362839</v>
          </cell>
        </row>
        <row r="30">
          <cell r="B30" t="str">
            <v>SHT0001426</v>
          </cell>
          <cell r="C30" t="str">
            <v>陕汽减震器右围框</v>
          </cell>
          <cell r="D30" t="str">
            <v>02.03.07.234</v>
          </cell>
          <cell r="E30" t="str">
            <v>件</v>
          </cell>
          <cell r="F30">
            <v>4.1592920353982308</v>
          </cell>
          <cell r="G30">
            <v>4.0345132743362839</v>
          </cell>
        </row>
        <row r="31">
          <cell r="B31" t="str">
            <v>SHT0001599</v>
          </cell>
          <cell r="C31" t="str">
            <v>H3000围框</v>
          </cell>
          <cell r="D31" t="str">
            <v>02.03.07.235</v>
          </cell>
          <cell r="E31" t="str">
            <v>件</v>
          </cell>
          <cell r="F31">
            <v>4.1592920353982308</v>
          </cell>
          <cell r="G31">
            <v>4.0345132743362839</v>
          </cell>
        </row>
        <row r="32">
          <cell r="B32" t="str">
            <v>SHT0001109</v>
          </cell>
          <cell r="C32" t="str">
            <v>调节臂1</v>
          </cell>
          <cell r="D32" t="str">
            <v>02.03.10.030</v>
          </cell>
          <cell r="E32" t="str">
            <v>件</v>
          </cell>
          <cell r="F32">
            <v>0.89692307692307693</v>
          </cell>
          <cell r="G32">
            <v>0.87001538461538463</v>
          </cell>
        </row>
        <row r="33">
          <cell r="B33" t="str">
            <v>SHT0001108</v>
          </cell>
          <cell r="C33" t="str">
            <v>调节臂2</v>
          </cell>
          <cell r="D33" t="str">
            <v>02.03.10.031</v>
          </cell>
          <cell r="E33" t="str">
            <v>件</v>
          </cell>
          <cell r="F33">
            <v>0.66000000000000025</v>
          </cell>
          <cell r="G33">
            <v>0.64020000000000021</v>
          </cell>
        </row>
        <row r="34">
          <cell r="B34" t="str">
            <v>SHT0001087</v>
          </cell>
          <cell r="C34" t="str">
            <v>涡簧固定片左</v>
          </cell>
          <cell r="D34" t="str">
            <v>02.03.19.021</v>
          </cell>
          <cell r="E34" t="str">
            <v>件</v>
          </cell>
          <cell r="F34">
            <v>0.20307692307692296</v>
          </cell>
          <cell r="G34">
            <v>0.19698461538461526</v>
          </cell>
        </row>
        <row r="35">
          <cell r="B35" t="str">
            <v>SHT0001086</v>
          </cell>
          <cell r="C35" t="str">
            <v>涡簧固定片右</v>
          </cell>
          <cell r="D35" t="str">
            <v>02.03.19.022</v>
          </cell>
          <cell r="E35" t="str">
            <v>件</v>
          </cell>
          <cell r="F35">
            <v>0.20307692307692296</v>
          </cell>
          <cell r="G35">
            <v>0.19698461538461526</v>
          </cell>
        </row>
        <row r="36">
          <cell r="B36" t="str">
            <v>SHT0001085</v>
          </cell>
          <cell r="C36" t="str">
            <v>阻尼器下支架总成</v>
          </cell>
          <cell r="D36" t="str">
            <v>02.03.19.025A</v>
          </cell>
          <cell r="E36" t="str">
            <v>件</v>
          </cell>
          <cell r="F36">
            <v>0.85461538461538433</v>
          </cell>
          <cell r="G36">
            <v>0.82897692307692283</v>
          </cell>
        </row>
        <row r="37">
          <cell r="B37" t="str">
            <v>SHT0001084</v>
          </cell>
          <cell r="C37" t="str">
            <v>座垫前倾角定位片</v>
          </cell>
          <cell r="D37" t="str">
            <v>02.03.19.027</v>
          </cell>
          <cell r="E37" t="str">
            <v>件</v>
          </cell>
          <cell r="F37">
            <v>0.27923076923076917</v>
          </cell>
          <cell r="G37">
            <v>0.27085384615384611</v>
          </cell>
        </row>
        <row r="38">
          <cell r="B38" t="str">
            <v>SHT0001083</v>
          </cell>
          <cell r="C38" t="str">
            <v>座垫前连接支架</v>
          </cell>
          <cell r="D38" t="str">
            <v>02.03.19.030</v>
          </cell>
          <cell r="E38" t="str">
            <v>件</v>
          </cell>
          <cell r="F38">
            <v>0.63461538461538458</v>
          </cell>
          <cell r="G38">
            <v>0.61557692307692302</v>
          </cell>
        </row>
        <row r="39">
          <cell r="B39" t="str">
            <v>SCS0004652</v>
          </cell>
          <cell r="C39" t="str">
            <v>座蛇形簧固定片</v>
          </cell>
          <cell r="D39" t="str">
            <v>02.03.22.010</v>
          </cell>
          <cell r="E39" t="str">
            <v>件</v>
          </cell>
          <cell r="F39">
            <v>0.15230769230769245</v>
          </cell>
          <cell r="G39">
            <v>0.14773846153846168</v>
          </cell>
        </row>
        <row r="40">
          <cell r="B40" t="str">
            <v>SHT0001044</v>
          </cell>
          <cell r="C40" t="str">
            <v>H4A调角器解锁手柄（正）</v>
          </cell>
          <cell r="D40" t="str">
            <v>02.03.26.044</v>
          </cell>
          <cell r="E40" t="str">
            <v>件</v>
          </cell>
          <cell r="F40">
            <v>0.55846153846153834</v>
          </cell>
          <cell r="G40">
            <v>0.54170769230769222</v>
          </cell>
        </row>
        <row r="41">
          <cell r="B41" t="str">
            <v>SHT0001391</v>
          </cell>
          <cell r="C41" t="str">
            <v>H4A调角器解锁手柄（副）</v>
          </cell>
          <cell r="D41" t="str">
            <v>02.03.26.047</v>
          </cell>
          <cell r="E41" t="str">
            <v>件</v>
          </cell>
          <cell r="F41">
            <v>0.55846153846153834</v>
          </cell>
          <cell r="G41">
            <v>0.54170769230769222</v>
          </cell>
        </row>
        <row r="42">
          <cell r="B42" t="str">
            <v>SHT0002039</v>
          </cell>
          <cell r="C42" t="str">
            <v>H4A阻尼器固定轴加强板</v>
          </cell>
          <cell r="D42" t="str">
            <v>02.03.26.091</v>
          </cell>
          <cell r="E42" t="str">
            <v>件</v>
          </cell>
          <cell r="F42">
            <v>1.177</v>
          </cell>
          <cell r="G42">
            <v>1.1416900000000001</v>
          </cell>
        </row>
        <row r="43">
          <cell r="B43" t="str">
            <v>SHT0002040</v>
          </cell>
          <cell r="C43" t="str">
            <v>H4A阻尼器拉线固定支架</v>
          </cell>
          <cell r="D43" t="str">
            <v>02.03.26.092</v>
          </cell>
          <cell r="E43" t="str">
            <v>件</v>
          </cell>
          <cell r="F43">
            <v>0.35399999999999998</v>
          </cell>
          <cell r="G43">
            <v>0.34337999999999996</v>
          </cell>
        </row>
        <row r="44">
          <cell r="B44" t="str">
            <v>SCS0004511</v>
          </cell>
          <cell r="C44" t="str">
            <v>C32B左后侧横梁支撑板</v>
          </cell>
          <cell r="D44" t="str">
            <v>02.03.29.143</v>
          </cell>
          <cell r="E44" t="str">
            <v>件</v>
          </cell>
          <cell r="F44">
            <v>3.2323076923076872</v>
          </cell>
          <cell r="G44">
            <v>3.1353384615384563</v>
          </cell>
        </row>
        <row r="45">
          <cell r="B45" t="str">
            <v>SCS0004510</v>
          </cell>
          <cell r="C45" t="str">
            <v>C32B右后侧横梁支撑板</v>
          </cell>
          <cell r="D45" t="str">
            <v>02.03.29.145</v>
          </cell>
          <cell r="E45" t="str">
            <v>件</v>
          </cell>
          <cell r="F45">
            <v>3.2323076923076872</v>
          </cell>
          <cell r="G45">
            <v>3.1353384615384563</v>
          </cell>
        </row>
        <row r="46">
          <cell r="B46" t="str">
            <v>SCS0004407</v>
          </cell>
          <cell r="C46" t="str">
            <v>扣手支架左（中期改款）</v>
          </cell>
          <cell r="D46" t="str">
            <v>02.03.30.141</v>
          </cell>
          <cell r="E46" t="str">
            <v>件</v>
          </cell>
          <cell r="F46">
            <v>1.78</v>
          </cell>
          <cell r="G46">
            <v>1.7265999999999999</v>
          </cell>
        </row>
        <row r="47">
          <cell r="B47" t="str">
            <v>SCS0004406</v>
          </cell>
          <cell r="C47" t="str">
            <v>扣手支架右（中期改款）</v>
          </cell>
          <cell r="D47" t="str">
            <v>02.03.30.142</v>
          </cell>
          <cell r="E47" t="str">
            <v>件</v>
          </cell>
          <cell r="F47">
            <v>1.78</v>
          </cell>
          <cell r="G47">
            <v>1.7265999999999999</v>
          </cell>
        </row>
        <row r="48">
          <cell r="B48" t="str">
            <v>SCS0004405</v>
          </cell>
          <cell r="C48" t="str">
            <v>扣手底座支架（中期改款）</v>
          </cell>
          <cell r="D48" t="str">
            <v>02.03.30.143</v>
          </cell>
          <cell r="E48" t="str">
            <v>件</v>
          </cell>
          <cell r="F48">
            <v>1.64</v>
          </cell>
          <cell r="G48">
            <v>1.5907999999999998</v>
          </cell>
        </row>
        <row r="49">
          <cell r="B49" t="str">
            <v>SCS0004404</v>
          </cell>
          <cell r="C49" t="str">
            <v>地锁拉线固定前支架左（中期改款）</v>
          </cell>
          <cell r="D49" t="str">
            <v>02.03.30.144</v>
          </cell>
          <cell r="E49" t="str">
            <v>件</v>
          </cell>
          <cell r="F49">
            <v>0.24</v>
          </cell>
          <cell r="G49">
            <v>0.23279999999999998</v>
          </cell>
        </row>
        <row r="50">
          <cell r="B50" t="str">
            <v>SCS0004403</v>
          </cell>
          <cell r="C50" t="str">
            <v>地锁拉线固定前支架右（中期改款）</v>
          </cell>
          <cell r="D50" t="str">
            <v>02.03.30.145</v>
          </cell>
          <cell r="E50" t="str">
            <v>件</v>
          </cell>
          <cell r="F50">
            <v>0.24</v>
          </cell>
          <cell r="G50">
            <v>0.23279999999999998</v>
          </cell>
        </row>
        <row r="51">
          <cell r="B51" t="str">
            <v>SCS0004371</v>
          </cell>
          <cell r="C51" t="str">
            <v>B40L左座椅座垫左前加强板（中期改款）</v>
          </cell>
          <cell r="D51" t="str">
            <v>02.03.30.178</v>
          </cell>
          <cell r="E51" t="str">
            <v>件</v>
          </cell>
          <cell r="F51">
            <v>4.7699999999999996</v>
          </cell>
          <cell r="G51">
            <v>4.6268999999999991</v>
          </cell>
        </row>
        <row r="52">
          <cell r="B52" t="str">
            <v>SCS0004370</v>
          </cell>
          <cell r="C52" t="str">
            <v>B40L左座椅座垫右前加强板（中期改款）</v>
          </cell>
          <cell r="D52" t="str">
            <v>02.03.30.179</v>
          </cell>
          <cell r="E52" t="str">
            <v>件</v>
          </cell>
          <cell r="F52">
            <v>4.3</v>
          </cell>
          <cell r="G52">
            <v>4.1709999999999994</v>
          </cell>
        </row>
        <row r="53">
          <cell r="B53" t="str">
            <v>SCS0004369</v>
          </cell>
          <cell r="C53" t="str">
            <v>B40L安全带出口钣金（中期改款）</v>
          </cell>
          <cell r="D53" t="str">
            <v>02.03.30.180</v>
          </cell>
          <cell r="E53" t="str">
            <v>件</v>
          </cell>
          <cell r="F53">
            <v>2.5</v>
          </cell>
          <cell r="G53">
            <v>2.4249999999999998</v>
          </cell>
        </row>
        <row r="54">
          <cell r="B54" t="str">
            <v>SHT0002047</v>
          </cell>
          <cell r="C54" t="str">
            <v>M4升降器前手柄钣金件</v>
          </cell>
          <cell r="D54" t="str">
            <v>02.03.34.004</v>
          </cell>
          <cell r="E54" t="str">
            <v>件</v>
          </cell>
          <cell r="F54">
            <v>1.3484482758620675</v>
          </cell>
          <cell r="G54">
            <v>1.3079948275862054</v>
          </cell>
        </row>
        <row r="55">
          <cell r="B55" t="str">
            <v>SHT0002048</v>
          </cell>
          <cell r="C55" t="str">
            <v>M4升降器后手柄钣金件</v>
          </cell>
          <cell r="D55" t="str">
            <v>02.03.34.005</v>
          </cell>
          <cell r="E55" t="str">
            <v>件</v>
          </cell>
          <cell r="F55">
            <v>1.2887068965517197</v>
          </cell>
          <cell r="G55">
            <v>1.2500456896551679</v>
          </cell>
        </row>
        <row r="56">
          <cell r="B56" t="str">
            <v>SHT0000992</v>
          </cell>
          <cell r="C56" t="str">
            <v>M4罩壳前固定板钣金件</v>
          </cell>
          <cell r="D56" t="str">
            <v>02.03.34.006</v>
          </cell>
          <cell r="E56" t="str">
            <v>件</v>
          </cell>
          <cell r="F56">
            <v>0.23896551724137974</v>
          </cell>
          <cell r="G56">
            <v>0.23179655172413835</v>
          </cell>
        </row>
        <row r="57">
          <cell r="B57" t="str">
            <v>SHT0000991</v>
          </cell>
          <cell r="C57" t="str">
            <v>M4罩壳后固定板钣金件</v>
          </cell>
          <cell r="D57" t="str">
            <v>02.03.34.007</v>
          </cell>
          <cell r="E57" t="str">
            <v>件</v>
          </cell>
          <cell r="F57">
            <v>0.31577586206896519</v>
          </cell>
          <cell r="G57">
            <v>0.30630258620689621</v>
          </cell>
        </row>
        <row r="58">
          <cell r="B58" t="str">
            <v>SCS0004364</v>
          </cell>
          <cell r="C58" t="str">
            <v>M50N左前侧横梁支撑板</v>
          </cell>
          <cell r="D58" t="str">
            <v>02.03.35.104</v>
          </cell>
          <cell r="E58" t="str">
            <v>件</v>
          </cell>
          <cell r="F58">
            <v>2.7923076923076917</v>
          </cell>
          <cell r="G58">
            <v>2.7085384615384607</v>
          </cell>
        </row>
        <row r="59">
          <cell r="B59" t="str">
            <v>SCS0004363</v>
          </cell>
          <cell r="C59" t="str">
            <v>M50N右前侧横梁支撑板</v>
          </cell>
          <cell r="D59" t="str">
            <v>02.03.35.105</v>
          </cell>
          <cell r="E59" t="str">
            <v>件</v>
          </cell>
          <cell r="F59">
            <v>2.7923076923076917</v>
          </cell>
          <cell r="G59">
            <v>2.7085384615384607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79D28-D636-443A-A425-4C3143F150AE}">
  <dimension ref="A1:C23"/>
  <sheetViews>
    <sheetView workbookViewId="0">
      <selection activeCell="G17" sqref="G17"/>
    </sheetView>
  </sheetViews>
  <sheetFormatPr defaultRowHeight="14.4"/>
  <cols>
    <col min="1" max="1" width="10.33203125" style="36" customWidth="1"/>
    <col min="2" max="2" width="11.21875" style="36" customWidth="1"/>
    <col min="3" max="3" width="13.109375" style="36" customWidth="1"/>
    <col min="4" max="17" width="7" style="32" customWidth="1"/>
    <col min="18" max="16384" width="8.88671875" style="32"/>
  </cols>
  <sheetData>
    <row r="1" spans="1:3">
      <c r="A1" s="31" t="s">
        <v>57</v>
      </c>
      <c r="B1" s="31" t="s">
        <v>58</v>
      </c>
      <c r="C1" s="31" t="s">
        <v>59</v>
      </c>
    </row>
    <row r="2" spans="1:3" ht="13.5" customHeight="1">
      <c r="A2" s="33" t="s">
        <v>60</v>
      </c>
      <c r="B2" s="33" t="s">
        <v>2</v>
      </c>
      <c r="C2" s="34">
        <v>0.03</v>
      </c>
    </row>
    <row r="3" spans="1:3" ht="13.5" customHeight="1">
      <c r="A3" s="33" t="s">
        <v>60</v>
      </c>
      <c r="B3" s="33" t="s">
        <v>3</v>
      </c>
      <c r="C3" s="34">
        <v>0.03</v>
      </c>
    </row>
    <row r="4" spans="1:3" ht="13.5" customHeight="1">
      <c r="A4" s="33" t="s">
        <v>60</v>
      </c>
      <c r="B4" s="33" t="s">
        <v>4</v>
      </c>
      <c r="C4" s="34">
        <v>0.03</v>
      </c>
    </row>
    <row r="5" spans="1:3" ht="13.5" customHeight="1">
      <c r="A5" s="33" t="s">
        <v>60</v>
      </c>
      <c r="B5" s="33" t="s">
        <v>5</v>
      </c>
      <c r="C5" s="34">
        <v>0.04</v>
      </c>
    </row>
    <row r="6" spans="1:3" ht="13.5" customHeight="1">
      <c r="A6" s="33" t="s">
        <v>60</v>
      </c>
      <c r="B6" s="33" t="s">
        <v>6</v>
      </c>
      <c r="C6" s="34">
        <v>0.04</v>
      </c>
    </row>
    <row r="7" spans="1:3" ht="13.5" customHeight="1">
      <c r="A7" s="33" t="s">
        <v>60</v>
      </c>
      <c r="B7" s="33" t="s">
        <v>7</v>
      </c>
      <c r="C7" s="34">
        <v>0.04</v>
      </c>
    </row>
    <row r="8" spans="1:3" ht="13.5" customHeight="1">
      <c r="A8" s="33" t="s">
        <v>60</v>
      </c>
      <c r="B8" s="33" t="s">
        <v>8</v>
      </c>
      <c r="C8" s="34">
        <v>0.05</v>
      </c>
    </row>
    <row r="9" spans="1:3" ht="13.5" customHeight="1">
      <c r="A9" s="33" t="s">
        <v>60</v>
      </c>
      <c r="B9" s="33" t="s">
        <v>9</v>
      </c>
      <c r="C9" s="34">
        <v>7.0000000000000007E-2</v>
      </c>
    </row>
    <row r="10" spans="1:3" ht="13.5" customHeight="1">
      <c r="A10" s="33" t="s">
        <v>60</v>
      </c>
      <c r="B10" s="33" t="s">
        <v>10</v>
      </c>
      <c r="C10" s="34">
        <v>7.4999999999999997E-2</v>
      </c>
    </row>
    <row r="11" spans="1:3" ht="13.5" customHeight="1">
      <c r="A11" s="33" t="s">
        <v>60</v>
      </c>
      <c r="B11" s="33" t="s">
        <v>11</v>
      </c>
      <c r="C11" s="34">
        <v>0.08</v>
      </c>
    </row>
    <row r="12" spans="1:3" ht="13.5" customHeight="1">
      <c r="A12" s="33" t="s">
        <v>60</v>
      </c>
      <c r="B12" s="33" t="s">
        <v>12</v>
      </c>
      <c r="C12" s="34">
        <v>0.1</v>
      </c>
    </row>
    <row r="13" spans="1:3" ht="13.5" customHeight="1">
      <c r="A13" s="33" t="s">
        <v>60</v>
      </c>
      <c r="B13" s="33" t="s">
        <v>13</v>
      </c>
      <c r="C13" s="35">
        <v>0.15</v>
      </c>
    </row>
    <row r="14" spans="1:3" ht="13.5" customHeight="1">
      <c r="A14" s="33" t="s">
        <v>60</v>
      </c>
      <c r="B14" s="33" t="s">
        <v>14</v>
      </c>
      <c r="C14" s="34">
        <v>0.18</v>
      </c>
    </row>
    <row r="15" spans="1:3" ht="13.5" customHeight="1">
      <c r="A15" s="33" t="s">
        <v>60</v>
      </c>
      <c r="B15" s="33" t="s">
        <v>17</v>
      </c>
      <c r="C15" s="35">
        <v>0.2</v>
      </c>
    </row>
    <row r="16" spans="1:3" ht="13.5" customHeight="1">
      <c r="A16" s="33" t="s">
        <v>60</v>
      </c>
      <c r="B16" s="33" t="s">
        <v>15</v>
      </c>
      <c r="C16" s="35">
        <v>0.28000000000000003</v>
      </c>
    </row>
    <row r="17" spans="1:3" ht="13.5" customHeight="1">
      <c r="A17" s="33" t="s">
        <v>60</v>
      </c>
      <c r="B17" s="33" t="s">
        <v>16</v>
      </c>
      <c r="C17" s="35"/>
    </row>
    <row r="18" spans="1:3" ht="13.5" customHeight="1">
      <c r="A18" s="33" t="s">
        <v>61</v>
      </c>
      <c r="B18" s="33" t="s">
        <v>12</v>
      </c>
      <c r="C18" s="35"/>
    </row>
    <row r="19" spans="1:3">
      <c r="A19" s="33" t="s">
        <v>61</v>
      </c>
      <c r="B19" s="33" t="s">
        <v>13</v>
      </c>
      <c r="C19" s="35">
        <v>0.2</v>
      </c>
    </row>
    <row r="20" spans="1:3">
      <c r="A20" s="33" t="s">
        <v>61</v>
      </c>
      <c r="B20" s="33" t="s">
        <v>17</v>
      </c>
      <c r="C20" s="35">
        <v>0.25</v>
      </c>
    </row>
    <row r="21" spans="1:3">
      <c r="A21" s="33" t="s">
        <v>61</v>
      </c>
      <c r="B21" s="33" t="s">
        <v>18</v>
      </c>
      <c r="C21" s="35">
        <v>0.53</v>
      </c>
    </row>
    <row r="22" spans="1:3">
      <c r="A22" s="33" t="s">
        <v>53</v>
      </c>
      <c r="B22" s="33" t="s">
        <v>62</v>
      </c>
      <c r="C22" s="35">
        <v>0.04</v>
      </c>
    </row>
    <row r="23" spans="1:3">
      <c r="A23" s="33" t="s">
        <v>63</v>
      </c>
      <c r="B23" s="33" t="s">
        <v>64</v>
      </c>
      <c r="C23" s="33">
        <v>7.0000000000000007E-2</v>
      </c>
    </row>
  </sheetData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125D2-1E82-4D9B-A81C-0BB7646B4D82}">
  <dimension ref="A1:XDI105"/>
  <sheetViews>
    <sheetView tabSelected="1" view="pageBreakPreview" zoomScale="70" zoomScaleNormal="80" zoomScaleSheetLayoutView="70" workbookViewId="0">
      <pane xSplit="26" ySplit="2" topLeftCell="AL3" activePane="bottomRight" state="frozen"/>
      <selection pane="topRight" activeCell="AA1" sqref="AA1"/>
      <selection pane="bottomLeft" activeCell="A3" sqref="A3"/>
      <selection pane="bottomRight" activeCell="AL23" sqref="AL23:AL26"/>
    </sheetView>
  </sheetViews>
  <sheetFormatPr defaultColWidth="9" defaultRowHeight="15.6"/>
  <cols>
    <col min="1" max="1" width="6.21875" style="23" customWidth="1"/>
    <col min="2" max="2" width="11.6640625" style="24" customWidth="1"/>
    <col min="3" max="3" width="14.33203125" style="25" hidden="1" customWidth="1"/>
    <col min="4" max="4" width="13.21875" style="25" customWidth="1"/>
    <col min="5" max="5" width="18.109375" style="23" customWidth="1"/>
    <col min="6" max="6" width="8.88671875" style="26" customWidth="1"/>
    <col min="7" max="7" width="11.5546875" style="27" hidden="1" customWidth="1"/>
    <col min="8" max="8" width="6.44140625" style="27" customWidth="1"/>
    <col min="9" max="10" width="7.109375" style="27" customWidth="1"/>
    <col min="11" max="11" width="4.6640625" style="27" customWidth="1"/>
    <col min="12" max="12" width="9.5546875" style="27" customWidth="1"/>
    <col min="13" max="13" width="7.33203125" style="27" customWidth="1"/>
    <col min="14" max="14" width="9.21875" style="27" customWidth="1"/>
    <col min="15" max="15" width="8.88671875" style="23" customWidth="1"/>
    <col min="16" max="16" width="6.88671875" style="23" customWidth="1"/>
    <col min="17" max="20" width="2.5546875" style="23" customWidth="1"/>
    <col min="21" max="21" width="8.109375" style="23" customWidth="1"/>
    <col min="22" max="22" width="9.88671875" style="28" customWidth="1"/>
    <col min="23" max="24" width="8.88671875" style="28" customWidth="1"/>
    <col min="25" max="25" width="10" style="23" customWidth="1"/>
    <col min="26" max="27" width="10.6640625" style="29" customWidth="1"/>
    <col min="28" max="28" width="15.21875" style="29" customWidth="1"/>
    <col min="29" max="29" width="11.6640625" style="23" customWidth="1"/>
    <col min="30" max="30" width="12.21875" style="23" customWidth="1"/>
    <col min="31" max="31" width="10.44140625" style="23" customWidth="1"/>
    <col min="32" max="32" width="13" style="23" customWidth="1"/>
    <col min="33" max="33" width="8.21875" style="23" customWidth="1"/>
    <col min="34" max="34" width="18.44140625" style="23" customWidth="1"/>
    <col min="35" max="35" width="28.33203125" style="23" customWidth="1"/>
    <col min="36" max="36" width="13.6640625" style="23" customWidth="1"/>
    <col min="37" max="37" width="19.44140625" style="23" customWidth="1"/>
    <col min="38" max="38" width="12" style="29" customWidth="1"/>
    <col min="39" max="39" width="16.88671875" style="23" customWidth="1"/>
    <col min="40" max="40" width="15.6640625" style="23" customWidth="1"/>
    <col min="41" max="189" width="9" style="23"/>
    <col min="190" max="190" width="5" style="23" customWidth="1"/>
    <col min="191" max="191" width="15" style="23" customWidth="1"/>
    <col min="192" max="193" width="14.6640625" style="23" customWidth="1"/>
    <col min="194" max="194" width="6.21875" style="23" customWidth="1"/>
    <col min="195" max="197" width="10.109375" style="23" customWidth="1"/>
    <col min="198" max="198" width="10.44140625" style="23" customWidth="1"/>
    <col min="199" max="216" width="9" style="23"/>
    <col min="217" max="217" width="6.44140625" style="23" customWidth="1"/>
    <col min="218" max="218" width="12.21875" style="23" customWidth="1"/>
    <col min="219" max="219" width="28.21875" style="23" customWidth="1"/>
    <col min="220" max="220" width="13.77734375" style="23" customWidth="1"/>
    <col min="221" max="221" width="5.6640625" style="23" customWidth="1"/>
    <col min="222" max="223" width="9.33203125" style="23" customWidth="1"/>
    <col min="224" max="224" width="13.109375" style="23" customWidth="1"/>
    <col min="225" max="445" width="9" style="23"/>
    <col min="446" max="446" width="5" style="23" customWidth="1"/>
    <col min="447" max="447" width="15" style="23" customWidth="1"/>
    <col min="448" max="449" width="14.6640625" style="23" customWidth="1"/>
    <col min="450" max="450" width="6.21875" style="23" customWidth="1"/>
    <col min="451" max="453" width="10.109375" style="23" customWidth="1"/>
    <col min="454" max="454" width="10.44140625" style="23" customWidth="1"/>
    <col min="455" max="472" width="9" style="23"/>
    <col min="473" max="473" width="6.44140625" style="23" customWidth="1"/>
    <col min="474" max="474" width="12.21875" style="23" customWidth="1"/>
    <col min="475" max="475" width="28.21875" style="23" customWidth="1"/>
    <col min="476" max="476" width="13.77734375" style="23" customWidth="1"/>
    <col min="477" max="477" width="5.6640625" style="23" customWidth="1"/>
    <col min="478" max="479" width="9.33203125" style="23" customWidth="1"/>
    <col min="480" max="480" width="13.109375" style="23" customWidth="1"/>
    <col min="481" max="701" width="9" style="23"/>
    <col min="702" max="702" width="5" style="23" customWidth="1"/>
    <col min="703" max="703" width="15" style="23" customWidth="1"/>
    <col min="704" max="705" width="14.6640625" style="23" customWidth="1"/>
    <col min="706" max="706" width="6.21875" style="23" customWidth="1"/>
    <col min="707" max="709" width="10.109375" style="23" customWidth="1"/>
    <col min="710" max="710" width="10.44140625" style="23" customWidth="1"/>
    <col min="711" max="728" width="9" style="23"/>
    <col min="729" max="729" width="6.44140625" style="23" customWidth="1"/>
    <col min="730" max="730" width="12.21875" style="23" customWidth="1"/>
    <col min="731" max="731" width="28.21875" style="23" customWidth="1"/>
    <col min="732" max="732" width="13.77734375" style="23" customWidth="1"/>
    <col min="733" max="733" width="5.6640625" style="23" customWidth="1"/>
    <col min="734" max="735" width="9.33203125" style="23" customWidth="1"/>
    <col min="736" max="736" width="13.109375" style="23" customWidth="1"/>
    <col min="737" max="957" width="9" style="23"/>
    <col min="958" max="958" width="5" style="23" customWidth="1"/>
    <col min="959" max="959" width="15" style="23" customWidth="1"/>
    <col min="960" max="961" width="14.6640625" style="23" customWidth="1"/>
    <col min="962" max="962" width="6.21875" style="23" customWidth="1"/>
    <col min="963" max="965" width="10.109375" style="23" customWidth="1"/>
    <col min="966" max="966" width="10.44140625" style="23" customWidth="1"/>
    <col min="967" max="984" width="9" style="23"/>
    <col min="985" max="985" width="6.44140625" style="23" customWidth="1"/>
    <col min="986" max="986" width="12.21875" style="23" customWidth="1"/>
    <col min="987" max="987" width="28.21875" style="23" customWidth="1"/>
    <col min="988" max="988" width="13.77734375" style="23" customWidth="1"/>
    <col min="989" max="989" width="5.6640625" style="23" customWidth="1"/>
    <col min="990" max="991" width="9.33203125" style="23" customWidth="1"/>
    <col min="992" max="992" width="13.109375" style="23" customWidth="1"/>
    <col min="993" max="1213" width="9" style="23"/>
    <col min="1214" max="1214" width="5" style="23" customWidth="1"/>
    <col min="1215" max="1215" width="15" style="23" customWidth="1"/>
    <col min="1216" max="1217" width="14.6640625" style="23" customWidth="1"/>
    <col min="1218" max="1218" width="6.21875" style="23" customWidth="1"/>
    <col min="1219" max="1221" width="10.109375" style="23" customWidth="1"/>
    <col min="1222" max="1222" width="10.44140625" style="23" customWidth="1"/>
    <col min="1223" max="1240" width="9" style="23"/>
    <col min="1241" max="1241" width="6.44140625" style="23" customWidth="1"/>
    <col min="1242" max="1242" width="12.21875" style="23" customWidth="1"/>
    <col min="1243" max="1243" width="28.21875" style="23" customWidth="1"/>
    <col min="1244" max="1244" width="13.77734375" style="23" customWidth="1"/>
    <col min="1245" max="1245" width="5.6640625" style="23" customWidth="1"/>
    <col min="1246" max="1247" width="9.33203125" style="23" customWidth="1"/>
    <col min="1248" max="1248" width="13.109375" style="23" customWidth="1"/>
    <col min="1249" max="1469" width="9" style="23"/>
    <col min="1470" max="1470" width="5" style="23" customWidth="1"/>
    <col min="1471" max="1471" width="15" style="23" customWidth="1"/>
    <col min="1472" max="1473" width="14.6640625" style="23" customWidth="1"/>
    <col min="1474" max="1474" width="6.21875" style="23" customWidth="1"/>
    <col min="1475" max="1477" width="10.109375" style="23" customWidth="1"/>
    <col min="1478" max="1478" width="10.44140625" style="23" customWidth="1"/>
    <col min="1479" max="1496" width="9" style="23"/>
    <col min="1497" max="1497" width="6.44140625" style="23" customWidth="1"/>
    <col min="1498" max="1498" width="12.21875" style="23" customWidth="1"/>
    <col min="1499" max="1499" width="28.21875" style="23" customWidth="1"/>
    <col min="1500" max="1500" width="13.77734375" style="23" customWidth="1"/>
    <col min="1501" max="1501" width="5.6640625" style="23" customWidth="1"/>
    <col min="1502" max="1503" width="9.33203125" style="23" customWidth="1"/>
    <col min="1504" max="1504" width="13.109375" style="23" customWidth="1"/>
    <col min="1505" max="1725" width="9" style="23"/>
    <col min="1726" max="1726" width="5" style="23" customWidth="1"/>
    <col min="1727" max="1727" width="15" style="23" customWidth="1"/>
    <col min="1728" max="1729" width="14.6640625" style="23" customWidth="1"/>
    <col min="1730" max="1730" width="6.21875" style="23" customWidth="1"/>
    <col min="1731" max="1733" width="10.109375" style="23" customWidth="1"/>
    <col min="1734" max="1734" width="10.44140625" style="23" customWidth="1"/>
    <col min="1735" max="1752" width="9" style="23"/>
    <col min="1753" max="1753" width="6.44140625" style="23" customWidth="1"/>
    <col min="1754" max="1754" width="12.21875" style="23" customWidth="1"/>
    <col min="1755" max="1755" width="28.21875" style="23" customWidth="1"/>
    <col min="1756" max="1756" width="13.77734375" style="23" customWidth="1"/>
    <col min="1757" max="1757" width="5.6640625" style="23" customWidth="1"/>
    <col min="1758" max="1759" width="9.33203125" style="23" customWidth="1"/>
    <col min="1760" max="1760" width="13.109375" style="23" customWidth="1"/>
    <col min="1761" max="1981" width="9" style="23"/>
    <col min="1982" max="1982" width="5" style="23" customWidth="1"/>
    <col min="1983" max="1983" width="15" style="23" customWidth="1"/>
    <col min="1984" max="1985" width="14.6640625" style="23" customWidth="1"/>
    <col min="1986" max="1986" width="6.21875" style="23" customWidth="1"/>
    <col min="1987" max="1989" width="10.109375" style="23" customWidth="1"/>
    <col min="1990" max="1990" width="10.44140625" style="23" customWidth="1"/>
    <col min="1991" max="2008" width="9" style="23"/>
    <col min="2009" max="2009" width="6.44140625" style="23" customWidth="1"/>
    <col min="2010" max="2010" width="12.21875" style="23" customWidth="1"/>
    <col min="2011" max="2011" width="28.21875" style="23" customWidth="1"/>
    <col min="2012" max="2012" width="13.77734375" style="23" customWidth="1"/>
    <col min="2013" max="2013" width="5.6640625" style="23" customWidth="1"/>
    <col min="2014" max="2015" width="9.33203125" style="23" customWidth="1"/>
    <col min="2016" max="2016" width="13.109375" style="23" customWidth="1"/>
    <col min="2017" max="2237" width="9" style="23"/>
    <col min="2238" max="2238" width="5" style="23" customWidth="1"/>
    <col min="2239" max="2239" width="15" style="23" customWidth="1"/>
    <col min="2240" max="2241" width="14.6640625" style="23" customWidth="1"/>
    <col min="2242" max="2242" width="6.21875" style="23" customWidth="1"/>
    <col min="2243" max="2245" width="10.109375" style="23" customWidth="1"/>
    <col min="2246" max="2246" width="10.44140625" style="23" customWidth="1"/>
    <col min="2247" max="2264" width="9" style="23"/>
    <col min="2265" max="2265" width="6.44140625" style="23" customWidth="1"/>
    <col min="2266" max="2266" width="12.21875" style="23" customWidth="1"/>
    <col min="2267" max="2267" width="28.21875" style="23" customWidth="1"/>
    <col min="2268" max="2268" width="13.77734375" style="23" customWidth="1"/>
    <col min="2269" max="2269" width="5.6640625" style="23" customWidth="1"/>
    <col min="2270" max="2271" width="9.33203125" style="23" customWidth="1"/>
    <col min="2272" max="2272" width="13.109375" style="23" customWidth="1"/>
    <col min="2273" max="2493" width="9" style="23"/>
    <col min="2494" max="2494" width="5" style="23" customWidth="1"/>
    <col min="2495" max="2495" width="15" style="23" customWidth="1"/>
    <col min="2496" max="2497" width="14.6640625" style="23" customWidth="1"/>
    <col min="2498" max="2498" width="6.21875" style="23" customWidth="1"/>
    <col min="2499" max="2501" width="10.109375" style="23" customWidth="1"/>
    <col min="2502" max="2502" width="10.44140625" style="23" customWidth="1"/>
    <col min="2503" max="2520" width="9" style="23"/>
    <col min="2521" max="2521" width="6.44140625" style="23" customWidth="1"/>
    <col min="2522" max="2522" width="12.21875" style="23" customWidth="1"/>
    <col min="2523" max="2523" width="28.21875" style="23" customWidth="1"/>
    <col min="2524" max="2524" width="13.77734375" style="23" customWidth="1"/>
    <col min="2525" max="2525" width="5.6640625" style="23" customWidth="1"/>
    <col min="2526" max="2527" width="9.33203125" style="23" customWidth="1"/>
    <col min="2528" max="2528" width="13.109375" style="23" customWidth="1"/>
    <col min="2529" max="2749" width="9" style="23"/>
    <col min="2750" max="2750" width="5" style="23" customWidth="1"/>
    <col min="2751" max="2751" width="15" style="23" customWidth="1"/>
    <col min="2752" max="2753" width="14.6640625" style="23" customWidth="1"/>
    <col min="2754" max="2754" width="6.21875" style="23" customWidth="1"/>
    <col min="2755" max="2757" width="10.109375" style="23" customWidth="1"/>
    <col min="2758" max="2758" width="10.44140625" style="23" customWidth="1"/>
    <col min="2759" max="2776" width="9" style="23"/>
    <col min="2777" max="2777" width="6.44140625" style="23" customWidth="1"/>
    <col min="2778" max="2778" width="12.21875" style="23" customWidth="1"/>
    <col min="2779" max="2779" width="28.21875" style="23" customWidth="1"/>
    <col min="2780" max="2780" width="13.77734375" style="23" customWidth="1"/>
    <col min="2781" max="2781" width="5.6640625" style="23" customWidth="1"/>
    <col min="2782" max="2783" width="9.33203125" style="23" customWidth="1"/>
    <col min="2784" max="2784" width="13.109375" style="23" customWidth="1"/>
    <col min="2785" max="3005" width="9" style="23"/>
    <col min="3006" max="3006" width="5" style="23" customWidth="1"/>
    <col min="3007" max="3007" width="15" style="23" customWidth="1"/>
    <col min="3008" max="3009" width="14.6640625" style="23" customWidth="1"/>
    <col min="3010" max="3010" width="6.21875" style="23" customWidth="1"/>
    <col min="3011" max="3013" width="10.109375" style="23" customWidth="1"/>
    <col min="3014" max="3014" width="10.44140625" style="23" customWidth="1"/>
    <col min="3015" max="3032" width="9" style="23"/>
    <col min="3033" max="3033" width="6.44140625" style="23" customWidth="1"/>
    <col min="3034" max="3034" width="12.21875" style="23" customWidth="1"/>
    <col min="3035" max="3035" width="28.21875" style="23" customWidth="1"/>
    <col min="3036" max="3036" width="13.77734375" style="23" customWidth="1"/>
    <col min="3037" max="3037" width="5.6640625" style="23" customWidth="1"/>
    <col min="3038" max="3039" width="9.33203125" style="23" customWidth="1"/>
    <col min="3040" max="3040" width="13.109375" style="23" customWidth="1"/>
    <col min="3041" max="3261" width="9" style="23"/>
    <col min="3262" max="3262" width="5" style="23" customWidth="1"/>
    <col min="3263" max="3263" width="15" style="23" customWidth="1"/>
    <col min="3264" max="3265" width="14.6640625" style="23" customWidth="1"/>
    <col min="3266" max="3266" width="6.21875" style="23" customWidth="1"/>
    <col min="3267" max="3269" width="10.109375" style="23" customWidth="1"/>
    <col min="3270" max="3270" width="10.44140625" style="23" customWidth="1"/>
    <col min="3271" max="3288" width="9" style="23"/>
    <col min="3289" max="3289" width="6.44140625" style="23" customWidth="1"/>
    <col min="3290" max="3290" width="12.21875" style="23" customWidth="1"/>
    <col min="3291" max="3291" width="28.21875" style="23" customWidth="1"/>
    <col min="3292" max="3292" width="13.77734375" style="23" customWidth="1"/>
    <col min="3293" max="3293" width="5.6640625" style="23" customWidth="1"/>
    <col min="3294" max="3295" width="9.33203125" style="23" customWidth="1"/>
    <col min="3296" max="3296" width="13.109375" style="23" customWidth="1"/>
    <col min="3297" max="3517" width="9" style="23"/>
    <col min="3518" max="3518" width="5" style="23" customWidth="1"/>
    <col min="3519" max="3519" width="15" style="23" customWidth="1"/>
    <col min="3520" max="3521" width="14.6640625" style="23" customWidth="1"/>
    <col min="3522" max="3522" width="6.21875" style="23" customWidth="1"/>
    <col min="3523" max="3525" width="10.109375" style="23" customWidth="1"/>
    <col min="3526" max="3526" width="10.44140625" style="23" customWidth="1"/>
    <col min="3527" max="3544" width="9" style="23"/>
    <col min="3545" max="3545" width="6.44140625" style="23" customWidth="1"/>
    <col min="3546" max="3546" width="12.21875" style="23" customWidth="1"/>
    <col min="3547" max="3547" width="28.21875" style="23" customWidth="1"/>
    <col min="3548" max="3548" width="13.77734375" style="23" customWidth="1"/>
    <col min="3549" max="3549" width="5.6640625" style="23" customWidth="1"/>
    <col min="3550" max="3551" width="9.33203125" style="23" customWidth="1"/>
    <col min="3552" max="3552" width="13.109375" style="23" customWidth="1"/>
    <col min="3553" max="3773" width="9" style="23"/>
    <col min="3774" max="3774" width="5" style="23" customWidth="1"/>
    <col min="3775" max="3775" width="15" style="23" customWidth="1"/>
    <col min="3776" max="3777" width="14.6640625" style="23" customWidth="1"/>
    <col min="3778" max="3778" width="6.21875" style="23" customWidth="1"/>
    <col min="3779" max="3781" width="10.109375" style="23" customWidth="1"/>
    <col min="3782" max="3782" width="10.44140625" style="23" customWidth="1"/>
    <col min="3783" max="3800" width="9" style="23"/>
    <col min="3801" max="3801" width="6.44140625" style="23" customWidth="1"/>
    <col min="3802" max="3802" width="12.21875" style="23" customWidth="1"/>
    <col min="3803" max="3803" width="28.21875" style="23" customWidth="1"/>
    <col min="3804" max="3804" width="13.77734375" style="23" customWidth="1"/>
    <col min="3805" max="3805" width="5.6640625" style="23" customWidth="1"/>
    <col min="3806" max="3807" width="9.33203125" style="23" customWidth="1"/>
    <col min="3808" max="3808" width="13.109375" style="23" customWidth="1"/>
    <col min="3809" max="4029" width="9" style="23"/>
    <col min="4030" max="4030" width="5" style="23" customWidth="1"/>
    <col min="4031" max="4031" width="15" style="23" customWidth="1"/>
    <col min="4032" max="4033" width="14.6640625" style="23" customWidth="1"/>
    <col min="4034" max="4034" width="6.21875" style="23" customWidth="1"/>
    <col min="4035" max="4037" width="10.109375" style="23" customWidth="1"/>
    <col min="4038" max="4038" width="10.44140625" style="23" customWidth="1"/>
    <col min="4039" max="4056" width="9" style="23"/>
    <col min="4057" max="4057" width="6.44140625" style="23" customWidth="1"/>
    <col min="4058" max="4058" width="12.21875" style="23" customWidth="1"/>
    <col min="4059" max="4059" width="28.21875" style="23" customWidth="1"/>
    <col min="4060" max="4060" width="13.77734375" style="23" customWidth="1"/>
    <col min="4061" max="4061" width="5.6640625" style="23" customWidth="1"/>
    <col min="4062" max="4063" width="9.33203125" style="23" customWidth="1"/>
    <col min="4064" max="4064" width="13.109375" style="23" customWidth="1"/>
    <col min="4065" max="4285" width="9" style="23"/>
    <col min="4286" max="4286" width="5" style="23" customWidth="1"/>
    <col min="4287" max="4287" width="15" style="23" customWidth="1"/>
    <col min="4288" max="4289" width="14.6640625" style="23" customWidth="1"/>
    <col min="4290" max="4290" width="6.21875" style="23" customWidth="1"/>
    <col min="4291" max="4293" width="10.109375" style="23" customWidth="1"/>
    <col min="4294" max="4294" width="10.44140625" style="23" customWidth="1"/>
    <col min="4295" max="4312" width="9" style="23"/>
    <col min="4313" max="4313" width="6.44140625" style="23" customWidth="1"/>
    <col min="4314" max="4314" width="12.21875" style="23" customWidth="1"/>
    <col min="4315" max="4315" width="28.21875" style="23" customWidth="1"/>
    <col min="4316" max="4316" width="13.77734375" style="23" customWidth="1"/>
    <col min="4317" max="4317" width="5.6640625" style="23" customWidth="1"/>
    <col min="4318" max="4319" width="9.33203125" style="23" customWidth="1"/>
    <col min="4320" max="4320" width="13.109375" style="23" customWidth="1"/>
    <col min="4321" max="4541" width="9" style="23"/>
    <col min="4542" max="4542" width="5" style="23" customWidth="1"/>
    <col min="4543" max="4543" width="15" style="23" customWidth="1"/>
    <col min="4544" max="4545" width="14.6640625" style="23" customWidth="1"/>
    <col min="4546" max="4546" width="6.21875" style="23" customWidth="1"/>
    <col min="4547" max="4549" width="10.109375" style="23" customWidth="1"/>
    <col min="4550" max="4550" width="10.44140625" style="23" customWidth="1"/>
    <col min="4551" max="4568" width="9" style="23"/>
    <col min="4569" max="4569" width="6.44140625" style="23" customWidth="1"/>
    <col min="4570" max="4570" width="12.21875" style="23" customWidth="1"/>
    <col min="4571" max="4571" width="28.21875" style="23" customWidth="1"/>
    <col min="4572" max="4572" width="13.77734375" style="23" customWidth="1"/>
    <col min="4573" max="4573" width="5.6640625" style="23" customWidth="1"/>
    <col min="4574" max="4575" width="9.33203125" style="23" customWidth="1"/>
    <col min="4576" max="4576" width="13.109375" style="23" customWidth="1"/>
    <col min="4577" max="4797" width="9" style="23"/>
    <col min="4798" max="4798" width="5" style="23" customWidth="1"/>
    <col min="4799" max="4799" width="15" style="23" customWidth="1"/>
    <col min="4800" max="4801" width="14.6640625" style="23" customWidth="1"/>
    <col min="4802" max="4802" width="6.21875" style="23" customWidth="1"/>
    <col min="4803" max="4805" width="10.109375" style="23" customWidth="1"/>
    <col min="4806" max="4806" width="10.44140625" style="23" customWidth="1"/>
    <col min="4807" max="4824" width="9" style="23"/>
    <col min="4825" max="4825" width="6.44140625" style="23" customWidth="1"/>
    <col min="4826" max="4826" width="12.21875" style="23" customWidth="1"/>
    <col min="4827" max="4827" width="28.21875" style="23" customWidth="1"/>
    <col min="4828" max="4828" width="13.77734375" style="23" customWidth="1"/>
    <col min="4829" max="4829" width="5.6640625" style="23" customWidth="1"/>
    <col min="4830" max="4831" width="9.33203125" style="23" customWidth="1"/>
    <col min="4832" max="4832" width="13.109375" style="23" customWidth="1"/>
    <col min="4833" max="5053" width="9" style="23"/>
    <col min="5054" max="5054" width="5" style="23" customWidth="1"/>
    <col min="5055" max="5055" width="15" style="23" customWidth="1"/>
    <col min="5056" max="5057" width="14.6640625" style="23" customWidth="1"/>
    <col min="5058" max="5058" width="6.21875" style="23" customWidth="1"/>
    <col min="5059" max="5061" width="10.109375" style="23" customWidth="1"/>
    <col min="5062" max="5062" width="10.44140625" style="23" customWidth="1"/>
    <col min="5063" max="5080" width="9" style="23"/>
    <col min="5081" max="5081" width="6.44140625" style="23" customWidth="1"/>
    <col min="5082" max="5082" width="12.21875" style="23" customWidth="1"/>
    <col min="5083" max="5083" width="28.21875" style="23" customWidth="1"/>
    <col min="5084" max="5084" width="13.77734375" style="23" customWidth="1"/>
    <col min="5085" max="5085" width="5.6640625" style="23" customWidth="1"/>
    <col min="5086" max="5087" width="9.33203125" style="23" customWidth="1"/>
    <col min="5088" max="5088" width="13.109375" style="23" customWidth="1"/>
    <col min="5089" max="5309" width="9" style="23"/>
    <col min="5310" max="5310" width="5" style="23" customWidth="1"/>
    <col min="5311" max="5311" width="15" style="23" customWidth="1"/>
    <col min="5312" max="5313" width="14.6640625" style="23" customWidth="1"/>
    <col min="5314" max="5314" width="6.21875" style="23" customWidth="1"/>
    <col min="5315" max="5317" width="10.109375" style="23" customWidth="1"/>
    <col min="5318" max="5318" width="10.44140625" style="23" customWidth="1"/>
    <col min="5319" max="5336" width="9" style="23"/>
    <col min="5337" max="5337" width="6.44140625" style="23" customWidth="1"/>
    <col min="5338" max="5338" width="12.21875" style="23" customWidth="1"/>
    <col min="5339" max="5339" width="28.21875" style="23" customWidth="1"/>
    <col min="5340" max="5340" width="13.77734375" style="23" customWidth="1"/>
    <col min="5341" max="5341" width="5.6640625" style="23" customWidth="1"/>
    <col min="5342" max="5343" width="9.33203125" style="23" customWidth="1"/>
    <col min="5344" max="5344" width="13.109375" style="23" customWidth="1"/>
    <col min="5345" max="5565" width="9" style="23"/>
    <col min="5566" max="5566" width="5" style="23" customWidth="1"/>
    <col min="5567" max="5567" width="15" style="23" customWidth="1"/>
    <col min="5568" max="5569" width="14.6640625" style="23" customWidth="1"/>
    <col min="5570" max="5570" width="6.21875" style="23" customWidth="1"/>
    <col min="5571" max="5573" width="10.109375" style="23" customWidth="1"/>
    <col min="5574" max="5574" width="10.44140625" style="23" customWidth="1"/>
    <col min="5575" max="5592" width="9" style="23"/>
    <col min="5593" max="5593" width="6.44140625" style="23" customWidth="1"/>
    <col min="5594" max="5594" width="12.21875" style="23" customWidth="1"/>
    <col min="5595" max="5595" width="28.21875" style="23" customWidth="1"/>
    <col min="5596" max="5596" width="13.77734375" style="23" customWidth="1"/>
    <col min="5597" max="5597" width="5.6640625" style="23" customWidth="1"/>
    <col min="5598" max="5599" width="9.33203125" style="23" customWidth="1"/>
    <col min="5600" max="5600" width="13.109375" style="23" customWidth="1"/>
    <col min="5601" max="5821" width="9" style="23"/>
    <col min="5822" max="5822" width="5" style="23" customWidth="1"/>
    <col min="5823" max="5823" width="15" style="23" customWidth="1"/>
    <col min="5824" max="5825" width="14.6640625" style="23" customWidth="1"/>
    <col min="5826" max="5826" width="6.21875" style="23" customWidth="1"/>
    <col min="5827" max="5829" width="10.109375" style="23" customWidth="1"/>
    <col min="5830" max="5830" width="10.44140625" style="23" customWidth="1"/>
    <col min="5831" max="5848" width="9" style="23"/>
    <col min="5849" max="5849" width="6.44140625" style="23" customWidth="1"/>
    <col min="5850" max="5850" width="12.21875" style="23" customWidth="1"/>
    <col min="5851" max="5851" width="28.21875" style="23" customWidth="1"/>
    <col min="5852" max="5852" width="13.77734375" style="23" customWidth="1"/>
    <col min="5853" max="5853" width="5.6640625" style="23" customWidth="1"/>
    <col min="5854" max="5855" width="9.33203125" style="23" customWidth="1"/>
    <col min="5856" max="5856" width="13.109375" style="23" customWidth="1"/>
    <col min="5857" max="6077" width="9" style="23"/>
    <col min="6078" max="6078" width="5" style="23" customWidth="1"/>
    <col min="6079" max="6079" width="15" style="23" customWidth="1"/>
    <col min="6080" max="6081" width="14.6640625" style="23" customWidth="1"/>
    <col min="6082" max="6082" width="6.21875" style="23" customWidth="1"/>
    <col min="6083" max="6085" width="10.109375" style="23" customWidth="1"/>
    <col min="6086" max="6086" width="10.44140625" style="23" customWidth="1"/>
    <col min="6087" max="6104" width="9" style="23"/>
    <col min="6105" max="6105" width="6.44140625" style="23" customWidth="1"/>
    <col min="6106" max="6106" width="12.21875" style="23" customWidth="1"/>
    <col min="6107" max="6107" width="28.21875" style="23" customWidth="1"/>
    <col min="6108" max="6108" width="13.77734375" style="23" customWidth="1"/>
    <col min="6109" max="6109" width="5.6640625" style="23" customWidth="1"/>
    <col min="6110" max="6111" width="9.33203125" style="23" customWidth="1"/>
    <col min="6112" max="6112" width="13.109375" style="23" customWidth="1"/>
    <col min="6113" max="6333" width="9" style="23"/>
    <col min="6334" max="6334" width="5" style="23" customWidth="1"/>
    <col min="6335" max="6335" width="15" style="23" customWidth="1"/>
    <col min="6336" max="6337" width="14.6640625" style="23" customWidth="1"/>
    <col min="6338" max="6338" width="6.21875" style="23" customWidth="1"/>
    <col min="6339" max="6341" width="10.109375" style="23" customWidth="1"/>
    <col min="6342" max="6342" width="10.44140625" style="23" customWidth="1"/>
    <col min="6343" max="6360" width="9" style="23"/>
    <col min="6361" max="6361" width="6.44140625" style="23" customWidth="1"/>
    <col min="6362" max="6362" width="12.21875" style="23" customWidth="1"/>
    <col min="6363" max="6363" width="28.21875" style="23" customWidth="1"/>
    <col min="6364" max="6364" width="13.77734375" style="23" customWidth="1"/>
    <col min="6365" max="6365" width="5.6640625" style="23" customWidth="1"/>
    <col min="6366" max="6367" width="9.33203125" style="23" customWidth="1"/>
    <col min="6368" max="6368" width="13.109375" style="23" customWidth="1"/>
    <col min="6369" max="6589" width="9" style="23"/>
    <col min="6590" max="6590" width="5" style="23" customWidth="1"/>
    <col min="6591" max="6591" width="15" style="23" customWidth="1"/>
    <col min="6592" max="6593" width="14.6640625" style="23" customWidth="1"/>
    <col min="6594" max="6594" width="6.21875" style="23" customWidth="1"/>
    <col min="6595" max="6597" width="10.109375" style="23" customWidth="1"/>
    <col min="6598" max="6598" width="10.44140625" style="23" customWidth="1"/>
    <col min="6599" max="6616" width="9" style="23"/>
    <col min="6617" max="6617" width="6.44140625" style="23" customWidth="1"/>
    <col min="6618" max="6618" width="12.21875" style="23" customWidth="1"/>
    <col min="6619" max="6619" width="28.21875" style="23" customWidth="1"/>
    <col min="6620" max="6620" width="13.77734375" style="23" customWidth="1"/>
    <col min="6621" max="6621" width="5.6640625" style="23" customWidth="1"/>
    <col min="6622" max="6623" width="9.33203125" style="23" customWidth="1"/>
    <col min="6624" max="6624" width="13.109375" style="23" customWidth="1"/>
    <col min="6625" max="6845" width="9" style="23"/>
    <col min="6846" max="6846" width="5" style="23" customWidth="1"/>
    <col min="6847" max="6847" width="15" style="23" customWidth="1"/>
    <col min="6848" max="6849" width="14.6640625" style="23" customWidth="1"/>
    <col min="6850" max="6850" width="6.21875" style="23" customWidth="1"/>
    <col min="6851" max="6853" width="10.109375" style="23" customWidth="1"/>
    <col min="6854" max="6854" width="10.44140625" style="23" customWidth="1"/>
    <col min="6855" max="6872" width="9" style="23"/>
    <col min="6873" max="6873" width="6.44140625" style="23" customWidth="1"/>
    <col min="6874" max="6874" width="12.21875" style="23" customWidth="1"/>
    <col min="6875" max="6875" width="28.21875" style="23" customWidth="1"/>
    <col min="6876" max="6876" width="13.77734375" style="23" customWidth="1"/>
    <col min="6877" max="6877" width="5.6640625" style="23" customWidth="1"/>
    <col min="6878" max="6879" width="9.33203125" style="23" customWidth="1"/>
    <col min="6880" max="6880" width="13.109375" style="23" customWidth="1"/>
    <col min="6881" max="7101" width="9" style="23"/>
    <col min="7102" max="7102" width="5" style="23" customWidth="1"/>
    <col min="7103" max="7103" width="15" style="23" customWidth="1"/>
    <col min="7104" max="7105" width="14.6640625" style="23" customWidth="1"/>
    <col min="7106" max="7106" width="6.21875" style="23" customWidth="1"/>
    <col min="7107" max="7109" width="10.109375" style="23" customWidth="1"/>
    <col min="7110" max="7110" width="10.44140625" style="23" customWidth="1"/>
    <col min="7111" max="7128" width="9" style="23"/>
    <col min="7129" max="7129" width="6.44140625" style="23" customWidth="1"/>
    <col min="7130" max="7130" width="12.21875" style="23" customWidth="1"/>
    <col min="7131" max="7131" width="28.21875" style="23" customWidth="1"/>
    <col min="7132" max="7132" width="13.77734375" style="23" customWidth="1"/>
    <col min="7133" max="7133" width="5.6640625" style="23" customWidth="1"/>
    <col min="7134" max="7135" width="9.33203125" style="23" customWidth="1"/>
    <col min="7136" max="7136" width="13.109375" style="23" customWidth="1"/>
    <col min="7137" max="7357" width="9" style="23"/>
    <col min="7358" max="7358" width="5" style="23" customWidth="1"/>
    <col min="7359" max="7359" width="15" style="23" customWidth="1"/>
    <col min="7360" max="7361" width="14.6640625" style="23" customWidth="1"/>
    <col min="7362" max="7362" width="6.21875" style="23" customWidth="1"/>
    <col min="7363" max="7365" width="10.109375" style="23" customWidth="1"/>
    <col min="7366" max="7366" width="10.44140625" style="23" customWidth="1"/>
    <col min="7367" max="7384" width="9" style="23"/>
    <col min="7385" max="7385" width="6.44140625" style="23" customWidth="1"/>
    <col min="7386" max="7386" width="12.21875" style="23" customWidth="1"/>
    <col min="7387" max="7387" width="28.21875" style="23" customWidth="1"/>
    <col min="7388" max="7388" width="13.77734375" style="23" customWidth="1"/>
    <col min="7389" max="7389" width="5.6640625" style="23" customWidth="1"/>
    <col min="7390" max="7391" width="9.33203125" style="23" customWidth="1"/>
    <col min="7392" max="7392" width="13.109375" style="23" customWidth="1"/>
    <col min="7393" max="7613" width="9" style="23"/>
    <col min="7614" max="7614" width="5" style="23" customWidth="1"/>
    <col min="7615" max="7615" width="15" style="23" customWidth="1"/>
    <col min="7616" max="7617" width="14.6640625" style="23" customWidth="1"/>
    <col min="7618" max="7618" width="6.21875" style="23" customWidth="1"/>
    <col min="7619" max="7621" width="10.109375" style="23" customWidth="1"/>
    <col min="7622" max="7622" width="10.44140625" style="23" customWidth="1"/>
    <col min="7623" max="7640" width="9" style="23"/>
    <col min="7641" max="7641" width="6.44140625" style="23" customWidth="1"/>
    <col min="7642" max="7642" width="12.21875" style="23" customWidth="1"/>
    <col min="7643" max="7643" width="28.21875" style="23" customWidth="1"/>
    <col min="7644" max="7644" width="13.77734375" style="23" customWidth="1"/>
    <col min="7645" max="7645" width="5.6640625" style="23" customWidth="1"/>
    <col min="7646" max="7647" width="9.33203125" style="23" customWidth="1"/>
    <col min="7648" max="7648" width="13.109375" style="23" customWidth="1"/>
    <col min="7649" max="7869" width="9" style="23"/>
    <col min="7870" max="7870" width="5" style="23" customWidth="1"/>
    <col min="7871" max="7871" width="15" style="23" customWidth="1"/>
    <col min="7872" max="7873" width="14.6640625" style="23" customWidth="1"/>
    <col min="7874" max="7874" width="6.21875" style="23" customWidth="1"/>
    <col min="7875" max="7877" width="10.109375" style="23" customWidth="1"/>
    <col min="7878" max="7878" width="10.44140625" style="23" customWidth="1"/>
    <col min="7879" max="7896" width="9" style="23"/>
    <col min="7897" max="7897" width="6.44140625" style="23" customWidth="1"/>
    <col min="7898" max="7898" width="12.21875" style="23" customWidth="1"/>
    <col min="7899" max="7899" width="28.21875" style="23" customWidth="1"/>
    <col min="7900" max="7900" width="13.77734375" style="23" customWidth="1"/>
    <col min="7901" max="7901" width="5.6640625" style="23" customWidth="1"/>
    <col min="7902" max="7903" width="9.33203125" style="23" customWidth="1"/>
    <col min="7904" max="7904" width="13.109375" style="23" customWidth="1"/>
    <col min="7905" max="8125" width="9" style="23"/>
    <col min="8126" max="8126" width="5" style="23" customWidth="1"/>
    <col min="8127" max="8127" width="15" style="23" customWidth="1"/>
    <col min="8128" max="8129" width="14.6640625" style="23" customWidth="1"/>
    <col min="8130" max="8130" width="6.21875" style="23" customWidth="1"/>
    <col min="8131" max="8133" width="10.109375" style="23" customWidth="1"/>
    <col min="8134" max="8134" width="10.44140625" style="23" customWidth="1"/>
    <col min="8135" max="8152" width="9" style="23"/>
    <col min="8153" max="8153" width="6.44140625" style="23" customWidth="1"/>
    <col min="8154" max="8154" width="12.21875" style="23" customWidth="1"/>
    <col min="8155" max="8155" width="28.21875" style="23" customWidth="1"/>
    <col min="8156" max="8156" width="13.77734375" style="23" customWidth="1"/>
    <col min="8157" max="8157" width="5.6640625" style="23" customWidth="1"/>
    <col min="8158" max="8159" width="9.33203125" style="23" customWidth="1"/>
    <col min="8160" max="8160" width="13.109375" style="23" customWidth="1"/>
    <col min="8161" max="8381" width="9" style="23"/>
    <col min="8382" max="8382" width="5" style="23" customWidth="1"/>
    <col min="8383" max="8383" width="15" style="23" customWidth="1"/>
    <col min="8384" max="8385" width="14.6640625" style="23" customWidth="1"/>
    <col min="8386" max="8386" width="6.21875" style="23" customWidth="1"/>
    <col min="8387" max="8389" width="10.109375" style="23" customWidth="1"/>
    <col min="8390" max="8390" width="10.44140625" style="23" customWidth="1"/>
    <col min="8391" max="8408" width="9" style="23"/>
    <col min="8409" max="8409" width="6.44140625" style="23" customWidth="1"/>
    <col min="8410" max="8410" width="12.21875" style="23" customWidth="1"/>
    <col min="8411" max="8411" width="28.21875" style="23" customWidth="1"/>
    <col min="8412" max="8412" width="13.77734375" style="23" customWidth="1"/>
    <col min="8413" max="8413" width="5.6640625" style="23" customWidth="1"/>
    <col min="8414" max="8415" width="9.33203125" style="23" customWidth="1"/>
    <col min="8416" max="8416" width="13.109375" style="23" customWidth="1"/>
    <col min="8417" max="8637" width="9" style="23"/>
    <col min="8638" max="8638" width="5" style="23" customWidth="1"/>
    <col min="8639" max="8639" width="15" style="23" customWidth="1"/>
    <col min="8640" max="8641" width="14.6640625" style="23" customWidth="1"/>
    <col min="8642" max="8642" width="6.21875" style="23" customWidth="1"/>
    <col min="8643" max="8645" width="10.109375" style="23" customWidth="1"/>
    <col min="8646" max="8646" width="10.44140625" style="23" customWidth="1"/>
    <col min="8647" max="8664" width="9" style="23"/>
    <col min="8665" max="8665" width="6.44140625" style="23" customWidth="1"/>
    <col min="8666" max="8666" width="12.21875" style="23" customWidth="1"/>
    <col min="8667" max="8667" width="28.21875" style="23" customWidth="1"/>
    <col min="8668" max="8668" width="13.77734375" style="23" customWidth="1"/>
    <col min="8669" max="8669" width="5.6640625" style="23" customWidth="1"/>
    <col min="8670" max="8671" width="9.33203125" style="23" customWidth="1"/>
    <col min="8672" max="8672" width="13.109375" style="23" customWidth="1"/>
    <col min="8673" max="8893" width="9" style="23"/>
    <col min="8894" max="8894" width="5" style="23" customWidth="1"/>
    <col min="8895" max="8895" width="15" style="23" customWidth="1"/>
    <col min="8896" max="8897" width="14.6640625" style="23" customWidth="1"/>
    <col min="8898" max="8898" width="6.21875" style="23" customWidth="1"/>
    <col min="8899" max="8901" width="10.109375" style="23" customWidth="1"/>
    <col min="8902" max="8902" width="10.44140625" style="23" customWidth="1"/>
    <col min="8903" max="8920" width="9" style="23"/>
    <col min="8921" max="8921" width="6.44140625" style="23" customWidth="1"/>
    <col min="8922" max="8922" width="12.21875" style="23" customWidth="1"/>
    <col min="8923" max="8923" width="28.21875" style="23" customWidth="1"/>
    <col min="8924" max="8924" width="13.77734375" style="23" customWidth="1"/>
    <col min="8925" max="8925" width="5.6640625" style="23" customWidth="1"/>
    <col min="8926" max="8927" width="9.33203125" style="23" customWidth="1"/>
    <col min="8928" max="8928" width="13.109375" style="23" customWidth="1"/>
    <col min="8929" max="9149" width="9" style="23"/>
    <col min="9150" max="9150" width="5" style="23" customWidth="1"/>
    <col min="9151" max="9151" width="15" style="23" customWidth="1"/>
    <col min="9152" max="9153" width="14.6640625" style="23" customWidth="1"/>
    <col min="9154" max="9154" width="6.21875" style="23" customWidth="1"/>
    <col min="9155" max="9157" width="10.109375" style="23" customWidth="1"/>
    <col min="9158" max="9158" width="10.44140625" style="23" customWidth="1"/>
    <col min="9159" max="9176" width="9" style="23"/>
    <col min="9177" max="9177" width="6.44140625" style="23" customWidth="1"/>
    <col min="9178" max="9178" width="12.21875" style="23" customWidth="1"/>
    <col min="9179" max="9179" width="28.21875" style="23" customWidth="1"/>
    <col min="9180" max="9180" width="13.77734375" style="23" customWidth="1"/>
    <col min="9181" max="9181" width="5.6640625" style="23" customWidth="1"/>
    <col min="9182" max="9183" width="9.33203125" style="23" customWidth="1"/>
    <col min="9184" max="9184" width="13.109375" style="23" customWidth="1"/>
    <col min="9185" max="9405" width="9" style="23"/>
    <col min="9406" max="9406" width="5" style="23" customWidth="1"/>
    <col min="9407" max="9407" width="15" style="23" customWidth="1"/>
    <col min="9408" max="9409" width="14.6640625" style="23" customWidth="1"/>
    <col min="9410" max="9410" width="6.21875" style="23" customWidth="1"/>
    <col min="9411" max="9413" width="10.109375" style="23" customWidth="1"/>
    <col min="9414" max="9414" width="10.44140625" style="23" customWidth="1"/>
    <col min="9415" max="9432" width="9" style="23"/>
    <col min="9433" max="9433" width="6.44140625" style="23" customWidth="1"/>
    <col min="9434" max="9434" width="12.21875" style="23" customWidth="1"/>
    <col min="9435" max="9435" width="28.21875" style="23" customWidth="1"/>
    <col min="9436" max="9436" width="13.77734375" style="23" customWidth="1"/>
    <col min="9437" max="9437" width="5.6640625" style="23" customWidth="1"/>
    <col min="9438" max="9439" width="9.33203125" style="23" customWidth="1"/>
    <col min="9440" max="9440" width="13.109375" style="23" customWidth="1"/>
    <col min="9441" max="9661" width="9" style="23"/>
    <col min="9662" max="9662" width="5" style="23" customWidth="1"/>
    <col min="9663" max="9663" width="15" style="23" customWidth="1"/>
    <col min="9664" max="9665" width="14.6640625" style="23" customWidth="1"/>
    <col min="9666" max="9666" width="6.21875" style="23" customWidth="1"/>
    <col min="9667" max="9669" width="10.109375" style="23" customWidth="1"/>
    <col min="9670" max="9670" width="10.44140625" style="23" customWidth="1"/>
    <col min="9671" max="9688" width="9" style="23"/>
    <col min="9689" max="9689" width="6.44140625" style="23" customWidth="1"/>
    <col min="9690" max="9690" width="12.21875" style="23" customWidth="1"/>
    <col min="9691" max="9691" width="28.21875" style="23" customWidth="1"/>
    <col min="9692" max="9692" width="13.77734375" style="23" customWidth="1"/>
    <col min="9693" max="9693" width="5.6640625" style="23" customWidth="1"/>
    <col min="9694" max="9695" width="9.33203125" style="23" customWidth="1"/>
    <col min="9696" max="9696" width="13.109375" style="23" customWidth="1"/>
    <col min="9697" max="9917" width="9" style="23"/>
    <col min="9918" max="9918" width="5" style="23" customWidth="1"/>
    <col min="9919" max="9919" width="15" style="23" customWidth="1"/>
    <col min="9920" max="9921" width="14.6640625" style="23" customWidth="1"/>
    <col min="9922" max="9922" width="6.21875" style="23" customWidth="1"/>
    <col min="9923" max="9925" width="10.109375" style="23" customWidth="1"/>
    <col min="9926" max="9926" width="10.44140625" style="23" customWidth="1"/>
    <col min="9927" max="9944" width="9" style="23"/>
    <col min="9945" max="9945" width="6.44140625" style="23" customWidth="1"/>
    <col min="9946" max="9946" width="12.21875" style="23" customWidth="1"/>
    <col min="9947" max="9947" width="28.21875" style="23" customWidth="1"/>
    <col min="9948" max="9948" width="13.77734375" style="23" customWidth="1"/>
    <col min="9949" max="9949" width="5.6640625" style="23" customWidth="1"/>
    <col min="9950" max="9951" width="9.33203125" style="23" customWidth="1"/>
    <col min="9952" max="9952" width="13.109375" style="23" customWidth="1"/>
    <col min="9953" max="10173" width="9" style="23"/>
    <col min="10174" max="10174" width="5" style="23" customWidth="1"/>
    <col min="10175" max="10175" width="15" style="23" customWidth="1"/>
    <col min="10176" max="10177" width="14.6640625" style="23" customWidth="1"/>
    <col min="10178" max="10178" width="6.21875" style="23" customWidth="1"/>
    <col min="10179" max="10181" width="10.109375" style="23" customWidth="1"/>
    <col min="10182" max="10182" width="10.44140625" style="23" customWidth="1"/>
    <col min="10183" max="10200" width="9" style="23"/>
    <col min="10201" max="10201" width="6.44140625" style="23" customWidth="1"/>
    <col min="10202" max="10202" width="12.21875" style="23" customWidth="1"/>
    <col min="10203" max="10203" width="28.21875" style="23" customWidth="1"/>
    <col min="10204" max="10204" width="13.77734375" style="23" customWidth="1"/>
    <col min="10205" max="10205" width="5.6640625" style="23" customWidth="1"/>
    <col min="10206" max="10207" width="9.33203125" style="23" customWidth="1"/>
    <col min="10208" max="10208" width="13.109375" style="23" customWidth="1"/>
    <col min="10209" max="10429" width="9" style="23"/>
    <col min="10430" max="10430" width="5" style="23" customWidth="1"/>
    <col min="10431" max="10431" width="15" style="23" customWidth="1"/>
    <col min="10432" max="10433" width="14.6640625" style="23" customWidth="1"/>
    <col min="10434" max="10434" width="6.21875" style="23" customWidth="1"/>
    <col min="10435" max="10437" width="10.109375" style="23" customWidth="1"/>
    <col min="10438" max="10438" width="10.44140625" style="23" customWidth="1"/>
    <col min="10439" max="10456" width="9" style="23"/>
    <col min="10457" max="10457" width="6.44140625" style="23" customWidth="1"/>
    <col min="10458" max="10458" width="12.21875" style="23" customWidth="1"/>
    <col min="10459" max="10459" width="28.21875" style="23" customWidth="1"/>
    <col min="10460" max="10460" width="13.77734375" style="23" customWidth="1"/>
    <col min="10461" max="10461" width="5.6640625" style="23" customWidth="1"/>
    <col min="10462" max="10463" width="9.33203125" style="23" customWidth="1"/>
    <col min="10464" max="10464" width="13.109375" style="23" customWidth="1"/>
    <col min="10465" max="10685" width="9" style="23"/>
    <col min="10686" max="10686" width="5" style="23" customWidth="1"/>
    <col min="10687" max="10687" width="15" style="23" customWidth="1"/>
    <col min="10688" max="10689" width="14.6640625" style="23" customWidth="1"/>
    <col min="10690" max="10690" width="6.21875" style="23" customWidth="1"/>
    <col min="10691" max="10693" width="10.109375" style="23" customWidth="1"/>
    <col min="10694" max="10694" width="10.44140625" style="23" customWidth="1"/>
    <col min="10695" max="10712" width="9" style="23"/>
    <col min="10713" max="10713" width="6.44140625" style="23" customWidth="1"/>
    <col min="10714" max="10714" width="12.21875" style="23" customWidth="1"/>
    <col min="10715" max="10715" width="28.21875" style="23" customWidth="1"/>
    <col min="10716" max="10716" width="13.77734375" style="23" customWidth="1"/>
    <col min="10717" max="10717" width="5.6640625" style="23" customWidth="1"/>
    <col min="10718" max="10719" width="9.33203125" style="23" customWidth="1"/>
    <col min="10720" max="10720" width="13.109375" style="23" customWidth="1"/>
    <col min="10721" max="10941" width="9" style="23"/>
    <col min="10942" max="10942" width="5" style="23" customWidth="1"/>
    <col min="10943" max="10943" width="15" style="23" customWidth="1"/>
    <col min="10944" max="10945" width="14.6640625" style="23" customWidth="1"/>
    <col min="10946" max="10946" width="6.21875" style="23" customWidth="1"/>
    <col min="10947" max="10949" width="10.109375" style="23" customWidth="1"/>
    <col min="10950" max="10950" width="10.44140625" style="23" customWidth="1"/>
    <col min="10951" max="10968" width="9" style="23"/>
    <col min="10969" max="10969" width="6.44140625" style="23" customWidth="1"/>
    <col min="10970" max="10970" width="12.21875" style="23" customWidth="1"/>
    <col min="10971" max="10971" width="28.21875" style="23" customWidth="1"/>
    <col min="10972" max="10972" width="13.77734375" style="23" customWidth="1"/>
    <col min="10973" max="10973" width="5.6640625" style="23" customWidth="1"/>
    <col min="10974" max="10975" width="9.33203125" style="23" customWidth="1"/>
    <col min="10976" max="10976" width="13.109375" style="23" customWidth="1"/>
    <col min="10977" max="11197" width="9" style="23"/>
    <col min="11198" max="11198" width="5" style="23" customWidth="1"/>
    <col min="11199" max="11199" width="15" style="23" customWidth="1"/>
    <col min="11200" max="11201" width="14.6640625" style="23" customWidth="1"/>
    <col min="11202" max="11202" width="6.21875" style="23" customWidth="1"/>
    <col min="11203" max="11205" width="10.109375" style="23" customWidth="1"/>
    <col min="11206" max="11206" width="10.44140625" style="23" customWidth="1"/>
    <col min="11207" max="11224" width="9" style="23"/>
    <col min="11225" max="11225" width="6.44140625" style="23" customWidth="1"/>
    <col min="11226" max="11226" width="12.21875" style="23" customWidth="1"/>
    <col min="11227" max="11227" width="28.21875" style="23" customWidth="1"/>
    <col min="11228" max="11228" width="13.77734375" style="23" customWidth="1"/>
    <col min="11229" max="11229" width="5.6640625" style="23" customWidth="1"/>
    <col min="11230" max="11231" width="9.33203125" style="23" customWidth="1"/>
    <col min="11232" max="11232" width="13.109375" style="23" customWidth="1"/>
    <col min="11233" max="11453" width="9" style="23"/>
    <col min="11454" max="11454" width="5" style="23" customWidth="1"/>
    <col min="11455" max="11455" width="15" style="23" customWidth="1"/>
    <col min="11456" max="11457" width="14.6640625" style="23" customWidth="1"/>
    <col min="11458" max="11458" width="6.21875" style="23" customWidth="1"/>
    <col min="11459" max="11461" width="10.109375" style="23" customWidth="1"/>
    <col min="11462" max="11462" width="10.44140625" style="23" customWidth="1"/>
    <col min="11463" max="11480" width="9" style="23"/>
    <col min="11481" max="11481" width="6.44140625" style="23" customWidth="1"/>
    <col min="11482" max="11482" width="12.21875" style="23" customWidth="1"/>
    <col min="11483" max="11483" width="28.21875" style="23" customWidth="1"/>
    <col min="11484" max="11484" width="13.77734375" style="23" customWidth="1"/>
    <col min="11485" max="11485" width="5.6640625" style="23" customWidth="1"/>
    <col min="11486" max="11487" width="9.33203125" style="23" customWidth="1"/>
    <col min="11488" max="11488" width="13.109375" style="23" customWidth="1"/>
    <col min="11489" max="11709" width="9" style="23"/>
    <col min="11710" max="11710" width="5" style="23" customWidth="1"/>
    <col min="11711" max="11711" width="15" style="23" customWidth="1"/>
    <col min="11712" max="11713" width="14.6640625" style="23" customWidth="1"/>
    <col min="11714" max="11714" width="6.21875" style="23" customWidth="1"/>
    <col min="11715" max="11717" width="10.109375" style="23" customWidth="1"/>
    <col min="11718" max="11718" width="10.44140625" style="23" customWidth="1"/>
    <col min="11719" max="11736" width="9" style="23"/>
    <col min="11737" max="11737" width="6.44140625" style="23" customWidth="1"/>
    <col min="11738" max="11738" width="12.21875" style="23" customWidth="1"/>
    <col min="11739" max="11739" width="28.21875" style="23" customWidth="1"/>
    <col min="11740" max="11740" width="13.77734375" style="23" customWidth="1"/>
    <col min="11741" max="11741" width="5.6640625" style="23" customWidth="1"/>
    <col min="11742" max="11743" width="9.33203125" style="23" customWidth="1"/>
    <col min="11744" max="11744" width="13.109375" style="23" customWidth="1"/>
    <col min="11745" max="11965" width="9" style="23"/>
    <col min="11966" max="11966" width="5" style="23" customWidth="1"/>
    <col min="11967" max="11967" width="15" style="23" customWidth="1"/>
    <col min="11968" max="11969" width="14.6640625" style="23" customWidth="1"/>
    <col min="11970" max="11970" width="6.21875" style="23" customWidth="1"/>
    <col min="11971" max="11973" width="10.109375" style="23" customWidth="1"/>
    <col min="11974" max="11974" width="10.44140625" style="23" customWidth="1"/>
    <col min="11975" max="11992" width="9" style="23"/>
    <col min="11993" max="11993" width="6.44140625" style="23" customWidth="1"/>
    <col min="11994" max="11994" width="12.21875" style="23" customWidth="1"/>
    <col min="11995" max="11995" width="28.21875" style="23" customWidth="1"/>
    <col min="11996" max="11996" width="13.77734375" style="23" customWidth="1"/>
    <col min="11997" max="11997" width="5.6640625" style="23" customWidth="1"/>
    <col min="11998" max="11999" width="9.33203125" style="23" customWidth="1"/>
    <col min="12000" max="12000" width="13.109375" style="23" customWidth="1"/>
    <col min="12001" max="12221" width="9" style="23"/>
    <col min="12222" max="12222" width="5" style="23" customWidth="1"/>
    <col min="12223" max="12223" width="15" style="23" customWidth="1"/>
    <col min="12224" max="12225" width="14.6640625" style="23" customWidth="1"/>
    <col min="12226" max="12226" width="6.21875" style="23" customWidth="1"/>
    <col min="12227" max="12229" width="10.109375" style="23" customWidth="1"/>
    <col min="12230" max="12230" width="10.44140625" style="23" customWidth="1"/>
    <col min="12231" max="12248" width="9" style="23"/>
    <col min="12249" max="12249" width="6.44140625" style="23" customWidth="1"/>
    <col min="12250" max="12250" width="12.21875" style="23" customWidth="1"/>
    <col min="12251" max="12251" width="28.21875" style="23" customWidth="1"/>
    <col min="12252" max="12252" width="13.77734375" style="23" customWidth="1"/>
    <col min="12253" max="12253" width="5.6640625" style="23" customWidth="1"/>
    <col min="12254" max="12255" width="9.33203125" style="23" customWidth="1"/>
    <col min="12256" max="12256" width="13.109375" style="23" customWidth="1"/>
    <col min="12257" max="12477" width="9" style="23"/>
    <col min="12478" max="12478" width="5" style="23" customWidth="1"/>
    <col min="12479" max="12479" width="15" style="23" customWidth="1"/>
    <col min="12480" max="12481" width="14.6640625" style="23" customWidth="1"/>
    <col min="12482" max="12482" width="6.21875" style="23" customWidth="1"/>
    <col min="12483" max="12485" width="10.109375" style="23" customWidth="1"/>
    <col min="12486" max="12486" width="10.44140625" style="23" customWidth="1"/>
    <col min="12487" max="12504" width="9" style="23"/>
    <col min="12505" max="12505" width="6.44140625" style="23" customWidth="1"/>
    <col min="12506" max="12506" width="12.21875" style="23" customWidth="1"/>
    <col min="12507" max="12507" width="28.21875" style="23" customWidth="1"/>
    <col min="12508" max="12508" width="13.77734375" style="23" customWidth="1"/>
    <col min="12509" max="12509" width="5.6640625" style="23" customWidth="1"/>
    <col min="12510" max="12511" width="9.33203125" style="23" customWidth="1"/>
    <col min="12512" max="12512" width="13.109375" style="23" customWidth="1"/>
    <col min="12513" max="12733" width="9" style="23"/>
    <col min="12734" max="12734" width="5" style="23" customWidth="1"/>
    <col min="12735" max="12735" width="15" style="23" customWidth="1"/>
    <col min="12736" max="12737" width="14.6640625" style="23" customWidth="1"/>
    <col min="12738" max="12738" width="6.21875" style="23" customWidth="1"/>
    <col min="12739" max="12741" width="10.109375" style="23" customWidth="1"/>
    <col min="12742" max="12742" width="10.44140625" style="23" customWidth="1"/>
    <col min="12743" max="12760" width="9" style="23"/>
    <col min="12761" max="12761" width="6.44140625" style="23" customWidth="1"/>
    <col min="12762" max="12762" width="12.21875" style="23" customWidth="1"/>
    <col min="12763" max="12763" width="28.21875" style="23" customWidth="1"/>
    <col min="12764" max="12764" width="13.77734375" style="23" customWidth="1"/>
    <col min="12765" max="12765" width="5.6640625" style="23" customWidth="1"/>
    <col min="12766" max="12767" width="9.33203125" style="23" customWidth="1"/>
    <col min="12768" max="12768" width="13.109375" style="23" customWidth="1"/>
    <col min="12769" max="12989" width="9" style="23"/>
    <col min="12990" max="12990" width="5" style="23" customWidth="1"/>
    <col min="12991" max="12991" width="15" style="23" customWidth="1"/>
    <col min="12992" max="12993" width="14.6640625" style="23" customWidth="1"/>
    <col min="12994" max="12994" width="6.21875" style="23" customWidth="1"/>
    <col min="12995" max="12997" width="10.109375" style="23" customWidth="1"/>
    <col min="12998" max="12998" width="10.44140625" style="23" customWidth="1"/>
    <col min="12999" max="13016" width="9" style="23"/>
    <col min="13017" max="13017" width="6.44140625" style="23" customWidth="1"/>
    <col min="13018" max="13018" width="12.21875" style="23" customWidth="1"/>
    <col min="13019" max="13019" width="28.21875" style="23" customWidth="1"/>
    <col min="13020" max="13020" width="13.77734375" style="23" customWidth="1"/>
    <col min="13021" max="13021" width="5.6640625" style="23" customWidth="1"/>
    <col min="13022" max="13023" width="9.33203125" style="23" customWidth="1"/>
    <col min="13024" max="13024" width="13.109375" style="23" customWidth="1"/>
    <col min="13025" max="13245" width="9" style="23"/>
    <col min="13246" max="13246" width="5" style="23" customWidth="1"/>
    <col min="13247" max="13247" width="15" style="23" customWidth="1"/>
    <col min="13248" max="13249" width="14.6640625" style="23" customWidth="1"/>
    <col min="13250" max="13250" width="6.21875" style="23" customWidth="1"/>
    <col min="13251" max="13253" width="10.109375" style="23" customWidth="1"/>
    <col min="13254" max="13254" width="10.44140625" style="23" customWidth="1"/>
    <col min="13255" max="13272" width="9" style="23"/>
    <col min="13273" max="13273" width="6.44140625" style="23" customWidth="1"/>
    <col min="13274" max="13274" width="12.21875" style="23" customWidth="1"/>
    <col min="13275" max="13275" width="28.21875" style="23" customWidth="1"/>
    <col min="13276" max="13276" width="13.77734375" style="23" customWidth="1"/>
    <col min="13277" max="13277" width="5.6640625" style="23" customWidth="1"/>
    <col min="13278" max="13279" width="9.33203125" style="23" customWidth="1"/>
    <col min="13280" max="13280" width="13.109375" style="23" customWidth="1"/>
    <col min="13281" max="13501" width="9" style="23"/>
    <col min="13502" max="13502" width="5" style="23" customWidth="1"/>
    <col min="13503" max="13503" width="15" style="23" customWidth="1"/>
    <col min="13504" max="13505" width="14.6640625" style="23" customWidth="1"/>
    <col min="13506" max="13506" width="6.21875" style="23" customWidth="1"/>
    <col min="13507" max="13509" width="10.109375" style="23" customWidth="1"/>
    <col min="13510" max="13510" width="10.44140625" style="23" customWidth="1"/>
    <col min="13511" max="13528" width="9" style="23"/>
    <col min="13529" max="13529" width="6.44140625" style="23" customWidth="1"/>
    <col min="13530" max="13530" width="12.21875" style="23" customWidth="1"/>
    <col min="13531" max="13531" width="28.21875" style="23" customWidth="1"/>
    <col min="13532" max="13532" width="13.77734375" style="23" customWidth="1"/>
    <col min="13533" max="13533" width="5.6640625" style="23" customWidth="1"/>
    <col min="13534" max="13535" width="9.33203125" style="23" customWidth="1"/>
    <col min="13536" max="13536" width="13.109375" style="23" customWidth="1"/>
    <col min="13537" max="13757" width="9" style="23"/>
    <col min="13758" max="13758" width="5" style="23" customWidth="1"/>
    <col min="13759" max="13759" width="15" style="23" customWidth="1"/>
    <col min="13760" max="13761" width="14.6640625" style="23" customWidth="1"/>
    <col min="13762" max="13762" width="6.21875" style="23" customWidth="1"/>
    <col min="13763" max="13765" width="10.109375" style="23" customWidth="1"/>
    <col min="13766" max="13766" width="10.44140625" style="23" customWidth="1"/>
    <col min="13767" max="13784" width="9" style="23"/>
    <col min="13785" max="13785" width="6.44140625" style="23" customWidth="1"/>
    <col min="13786" max="13786" width="12.21875" style="23" customWidth="1"/>
    <col min="13787" max="13787" width="28.21875" style="23" customWidth="1"/>
    <col min="13788" max="13788" width="13.77734375" style="23" customWidth="1"/>
    <col min="13789" max="13789" width="5.6640625" style="23" customWidth="1"/>
    <col min="13790" max="13791" width="9.33203125" style="23" customWidth="1"/>
    <col min="13792" max="13792" width="13.109375" style="23" customWidth="1"/>
    <col min="13793" max="14013" width="9" style="23"/>
    <col min="14014" max="14014" width="5" style="23" customWidth="1"/>
    <col min="14015" max="14015" width="15" style="23" customWidth="1"/>
    <col min="14016" max="14017" width="14.6640625" style="23" customWidth="1"/>
    <col min="14018" max="14018" width="6.21875" style="23" customWidth="1"/>
    <col min="14019" max="14021" width="10.109375" style="23" customWidth="1"/>
    <col min="14022" max="14022" width="10.44140625" style="23" customWidth="1"/>
    <col min="14023" max="14040" width="9" style="23"/>
    <col min="14041" max="14041" width="6.44140625" style="23" customWidth="1"/>
    <col min="14042" max="14042" width="12.21875" style="23" customWidth="1"/>
    <col min="14043" max="14043" width="28.21875" style="23" customWidth="1"/>
    <col min="14044" max="14044" width="13.77734375" style="23" customWidth="1"/>
    <col min="14045" max="14045" width="5.6640625" style="23" customWidth="1"/>
    <col min="14046" max="14047" width="9.33203125" style="23" customWidth="1"/>
    <col min="14048" max="14048" width="13.109375" style="23" customWidth="1"/>
    <col min="14049" max="14269" width="9" style="23"/>
    <col min="14270" max="14270" width="5" style="23" customWidth="1"/>
    <col min="14271" max="14271" width="15" style="23" customWidth="1"/>
    <col min="14272" max="14273" width="14.6640625" style="23" customWidth="1"/>
    <col min="14274" max="14274" width="6.21875" style="23" customWidth="1"/>
    <col min="14275" max="14277" width="10.109375" style="23" customWidth="1"/>
    <col min="14278" max="14278" width="10.44140625" style="23" customWidth="1"/>
    <col min="14279" max="14296" width="9" style="23"/>
    <col min="14297" max="14297" width="6.44140625" style="23" customWidth="1"/>
    <col min="14298" max="14298" width="12.21875" style="23" customWidth="1"/>
    <col min="14299" max="14299" width="28.21875" style="23" customWidth="1"/>
    <col min="14300" max="14300" width="13.77734375" style="23" customWidth="1"/>
    <col min="14301" max="14301" width="5.6640625" style="23" customWidth="1"/>
    <col min="14302" max="14303" width="9.33203125" style="23" customWidth="1"/>
    <col min="14304" max="14304" width="13.109375" style="23" customWidth="1"/>
    <col min="14305" max="14525" width="9" style="23"/>
    <col min="14526" max="14526" width="5" style="23" customWidth="1"/>
    <col min="14527" max="14527" width="15" style="23" customWidth="1"/>
    <col min="14528" max="14529" width="14.6640625" style="23" customWidth="1"/>
    <col min="14530" max="14530" width="6.21875" style="23" customWidth="1"/>
    <col min="14531" max="14533" width="10.109375" style="23" customWidth="1"/>
    <col min="14534" max="14534" width="10.44140625" style="23" customWidth="1"/>
    <col min="14535" max="14552" width="9" style="23"/>
    <col min="14553" max="14553" width="6.44140625" style="23" customWidth="1"/>
    <col min="14554" max="14554" width="12.21875" style="23" customWidth="1"/>
    <col min="14555" max="14555" width="28.21875" style="23" customWidth="1"/>
    <col min="14556" max="14556" width="13.77734375" style="23" customWidth="1"/>
    <col min="14557" max="14557" width="5.6640625" style="23" customWidth="1"/>
    <col min="14558" max="14559" width="9.33203125" style="23" customWidth="1"/>
    <col min="14560" max="14560" width="13.109375" style="23" customWidth="1"/>
    <col min="14561" max="14781" width="9" style="23"/>
    <col min="14782" max="14782" width="5" style="23" customWidth="1"/>
    <col min="14783" max="14783" width="15" style="23" customWidth="1"/>
    <col min="14784" max="14785" width="14.6640625" style="23" customWidth="1"/>
    <col min="14786" max="14786" width="6.21875" style="23" customWidth="1"/>
    <col min="14787" max="14789" width="10.109375" style="23" customWidth="1"/>
    <col min="14790" max="14790" width="10.44140625" style="23" customWidth="1"/>
    <col min="14791" max="14808" width="9" style="23"/>
    <col min="14809" max="14809" width="6.44140625" style="23" customWidth="1"/>
    <col min="14810" max="14810" width="12.21875" style="23" customWidth="1"/>
    <col min="14811" max="14811" width="28.21875" style="23" customWidth="1"/>
    <col min="14812" max="14812" width="13.77734375" style="23" customWidth="1"/>
    <col min="14813" max="14813" width="5.6640625" style="23" customWidth="1"/>
    <col min="14814" max="14815" width="9.33203125" style="23" customWidth="1"/>
    <col min="14816" max="14816" width="13.109375" style="23" customWidth="1"/>
    <col min="14817" max="15037" width="9" style="23"/>
    <col min="15038" max="15038" width="5" style="23" customWidth="1"/>
    <col min="15039" max="15039" width="15" style="23" customWidth="1"/>
    <col min="15040" max="15041" width="14.6640625" style="23" customWidth="1"/>
    <col min="15042" max="15042" width="6.21875" style="23" customWidth="1"/>
    <col min="15043" max="15045" width="10.109375" style="23" customWidth="1"/>
    <col min="15046" max="15046" width="10.44140625" style="23" customWidth="1"/>
    <col min="15047" max="15064" width="9" style="23"/>
    <col min="15065" max="15065" width="6.44140625" style="23" customWidth="1"/>
    <col min="15066" max="15066" width="12.21875" style="23" customWidth="1"/>
    <col min="15067" max="15067" width="28.21875" style="23" customWidth="1"/>
    <col min="15068" max="15068" width="13.77734375" style="23" customWidth="1"/>
    <col min="15069" max="15069" width="5.6640625" style="23" customWidth="1"/>
    <col min="15070" max="15071" width="9.33203125" style="23" customWidth="1"/>
    <col min="15072" max="15072" width="13.109375" style="23" customWidth="1"/>
    <col min="15073" max="15293" width="9" style="23"/>
    <col min="15294" max="15294" width="5" style="23" customWidth="1"/>
    <col min="15295" max="15295" width="15" style="23" customWidth="1"/>
    <col min="15296" max="15297" width="14.6640625" style="23" customWidth="1"/>
    <col min="15298" max="15298" width="6.21875" style="23" customWidth="1"/>
    <col min="15299" max="15301" width="10.109375" style="23" customWidth="1"/>
    <col min="15302" max="15302" width="10.44140625" style="23" customWidth="1"/>
    <col min="15303" max="15320" width="9" style="23"/>
    <col min="15321" max="15321" width="6.44140625" style="23" customWidth="1"/>
    <col min="15322" max="15322" width="12.21875" style="23" customWidth="1"/>
    <col min="15323" max="15323" width="28.21875" style="23" customWidth="1"/>
    <col min="15324" max="15324" width="13.77734375" style="23" customWidth="1"/>
    <col min="15325" max="15325" width="5.6640625" style="23" customWidth="1"/>
    <col min="15326" max="15327" width="9.33203125" style="23" customWidth="1"/>
    <col min="15328" max="15328" width="13.109375" style="23" customWidth="1"/>
    <col min="15329" max="15549" width="9" style="23"/>
    <col min="15550" max="15550" width="5" style="23" customWidth="1"/>
    <col min="15551" max="15551" width="15" style="23" customWidth="1"/>
    <col min="15552" max="15553" width="14.6640625" style="23" customWidth="1"/>
    <col min="15554" max="15554" width="6.21875" style="23" customWidth="1"/>
    <col min="15555" max="15557" width="10.109375" style="23" customWidth="1"/>
    <col min="15558" max="15558" width="10.44140625" style="23" customWidth="1"/>
    <col min="15559" max="15576" width="9" style="23"/>
    <col min="15577" max="15577" width="6.44140625" style="23" customWidth="1"/>
    <col min="15578" max="15578" width="12.21875" style="23" customWidth="1"/>
    <col min="15579" max="15579" width="28.21875" style="23" customWidth="1"/>
    <col min="15580" max="15580" width="13.77734375" style="23" customWidth="1"/>
    <col min="15581" max="15581" width="5.6640625" style="23" customWidth="1"/>
    <col min="15582" max="15583" width="9.33203125" style="23" customWidth="1"/>
    <col min="15584" max="15584" width="13.109375" style="23" customWidth="1"/>
    <col min="15585" max="15805" width="9" style="23"/>
    <col min="15806" max="15806" width="5" style="23" customWidth="1"/>
    <col min="15807" max="15807" width="15" style="23" customWidth="1"/>
    <col min="15808" max="15809" width="14.6640625" style="23" customWidth="1"/>
    <col min="15810" max="15810" width="6.21875" style="23" customWidth="1"/>
    <col min="15811" max="15813" width="10.109375" style="23" customWidth="1"/>
    <col min="15814" max="15814" width="10.44140625" style="23" customWidth="1"/>
    <col min="15815" max="15832" width="9" style="23"/>
    <col min="15833" max="15833" width="6.44140625" style="23" customWidth="1"/>
    <col min="15834" max="15834" width="12.21875" style="23" customWidth="1"/>
    <col min="15835" max="15835" width="28.21875" style="23" customWidth="1"/>
    <col min="15836" max="15836" width="13.77734375" style="23" customWidth="1"/>
    <col min="15837" max="15837" width="5.6640625" style="23" customWidth="1"/>
    <col min="15838" max="15839" width="9.33203125" style="23" customWidth="1"/>
    <col min="15840" max="15840" width="13.109375" style="23" customWidth="1"/>
    <col min="15841" max="16061" width="9" style="23"/>
    <col min="16062" max="16062" width="5" style="23" customWidth="1"/>
    <col min="16063" max="16063" width="15" style="23" customWidth="1"/>
    <col min="16064" max="16065" width="14.6640625" style="23" customWidth="1"/>
    <col min="16066" max="16066" width="6.21875" style="23" customWidth="1"/>
    <col min="16067" max="16069" width="10.109375" style="23" customWidth="1"/>
    <col min="16070" max="16070" width="10.44140625" style="23" customWidth="1"/>
    <col min="16071" max="16088" width="9" style="23"/>
    <col min="16089" max="16089" width="6.44140625" style="23" customWidth="1"/>
    <col min="16090" max="16090" width="12.21875" style="23" customWidth="1"/>
    <col min="16091" max="16091" width="28.21875" style="23" customWidth="1"/>
    <col min="16092" max="16092" width="13.77734375" style="23" customWidth="1"/>
    <col min="16093" max="16093" width="5.6640625" style="23" customWidth="1"/>
    <col min="16094" max="16095" width="9.33203125" style="23" customWidth="1"/>
    <col min="16096" max="16096" width="13.109375" style="23" customWidth="1"/>
    <col min="16097" max="16317" width="9" style="23"/>
    <col min="16318" max="16318" width="5" style="23" customWidth="1"/>
    <col min="16319" max="16319" width="15" style="23" customWidth="1"/>
    <col min="16320" max="16321" width="14.6640625" style="23" customWidth="1"/>
    <col min="16322" max="16322" width="6.21875" style="23" customWidth="1"/>
    <col min="16323" max="16325" width="10.109375" style="23" customWidth="1"/>
    <col min="16326" max="16326" width="10.44140625" style="23" customWidth="1"/>
    <col min="16327" max="16337" width="9" style="23"/>
    <col min="16338" max="16384" width="9" style="2"/>
  </cols>
  <sheetData>
    <row r="1" spans="1:40" s="2" customFormat="1" ht="14.4" customHeight="1">
      <c r="A1" s="1" t="s">
        <v>22</v>
      </c>
      <c r="B1" s="150" t="s">
        <v>0</v>
      </c>
      <c r="C1" s="124" t="s">
        <v>23</v>
      </c>
      <c r="D1" s="124" t="s">
        <v>24</v>
      </c>
      <c r="E1" s="131" t="s">
        <v>20</v>
      </c>
      <c r="F1" s="156" t="s">
        <v>1</v>
      </c>
      <c r="G1" s="126" t="s">
        <v>36</v>
      </c>
      <c r="H1" s="126" t="s">
        <v>55</v>
      </c>
      <c r="I1" s="139" t="s">
        <v>37</v>
      </c>
      <c r="J1" s="140"/>
      <c r="K1" s="141"/>
      <c r="L1" s="142" t="s">
        <v>25</v>
      </c>
      <c r="M1" s="143"/>
      <c r="N1" s="144"/>
      <c r="O1" s="145" t="s">
        <v>26</v>
      </c>
      <c r="P1" s="146"/>
      <c r="Q1" s="147" t="s">
        <v>19</v>
      </c>
      <c r="R1" s="149" t="s">
        <v>27</v>
      </c>
      <c r="S1" s="149"/>
      <c r="T1" s="149"/>
      <c r="U1" s="149"/>
      <c r="V1" s="149"/>
      <c r="W1" s="149"/>
      <c r="X1" s="149"/>
      <c r="Y1" s="153" t="s">
        <v>38</v>
      </c>
      <c r="Z1" s="133" t="s">
        <v>39</v>
      </c>
      <c r="AA1" s="135" t="s">
        <v>40</v>
      </c>
      <c r="AB1" s="135" t="s">
        <v>41</v>
      </c>
      <c r="AC1" s="137" t="s">
        <v>42</v>
      </c>
      <c r="AD1" s="128" t="s">
        <v>43</v>
      </c>
      <c r="AE1" s="128" t="s">
        <v>44</v>
      </c>
      <c r="AF1" s="128" t="s">
        <v>45</v>
      </c>
      <c r="AG1" s="130" t="s">
        <v>28</v>
      </c>
      <c r="AH1" s="132" t="s">
        <v>46</v>
      </c>
      <c r="AL1" s="63"/>
    </row>
    <row r="2" spans="1:40" s="2" customFormat="1" ht="24" customHeight="1">
      <c r="A2" s="3" t="s">
        <v>29</v>
      </c>
      <c r="B2" s="151"/>
      <c r="C2" s="125"/>
      <c r="D2" s="125"/>
      <c r="E2" s="155"/>
      <c r="F2" s="157"/>
      <c r="G2" s="127"/>
      <c r="H2" s="152"/>
      <c r="I2" s="4" t="s">
        <v>47</v>
      </c>
      <c r="J2" s="4" t="s">
        <v>48</v>
      </c>
      <c r="K2" s="37" t="s">
        <v>49</v>
      </c>
      <c r="L2" s="5" t="s">
        <v>30</v>
      </c>
      <c r="M2" s="6" t="s">
        <v>31</v>
      </c>
      <c r="N2" s="5" t="s">
        <v>32</v>
      </c>
      <c r="O2" s="7" t="s">
        <v>33</v>
      </c>
      <c r="P2" s="7" t="s">
        <v>32</v>
      </c>
      <c r="Q2" s="148"/>
      <c r="R2" s="7" t="s">
        <v>34</v>
      </c>
      <c r="S2" s="7" t="s">
        <v>35</v>
      </c>
      <c r="T2" s="7" t="s">
        <v>54</v>
      </c>
      <c r="U2" s="7" t="s">
        <v>50</v>
      </c>
      <c r="V2" s="8" t="s">
        <v>21</v>
      </c>
      <c r="W2" s="8" t="s">
        <v>51</v>
      </c>
      <c r="X2" s="8" t="s">
        <v>52</v>
      </c>
      <c r="Y2" s="154"/>
      <c r="Z2" s="134"/>
      <c r="AA2" s="136"/>
      <c r="AB2" s="136"/>
      <c r="AC2" s="138"/>
      <c r="AD2" s="129"/>
      <c r="AE2" s="129"/>
      <c r="AF2" s="129"/>
      <c r="AG2" s="131"/>
      <c r="AH2" s="132"/>
      <c r="AJ2" s="60" t="s">
        <v>168</v>
      </c>
      <c r="AK2" s="60" t="s">
        <v>169</v>
      </c>
      <c r="AL2" s="64" t="s">
        <v>170</v>
      </c>
      <c r="AM2" s="53" t="s">
        <v>171</v>
      </c>
      <c r="AN2" s="70" t="s">
        <v>174</v>
      </c>
    </row>
    <row r="3" spans="1:40" s="12" customFormat="1" ht="18" customHeight="1">
      <c r="A3" s="104">
        <v>1</v>
      </c>
      <c r="B3" s="107" t="s">
        <v>97</v>
      </c>
      <c r="C3" s="110"/>
      <c r="D3" s="107" t="s">
        <v>98</v>
      </c>
      <c r="E3" s="121" t="s">
        <v>98</v>
      </c>
      <c r="F3" s="118" t="s">
        <v>131</v>
      </c>
      <c r="G3" s="122"/>
      <c r="H3" s="114" t="s">
        <v>56</v>
      </c>
      <c r="I3" s="111">
        <f>233+6</f>
        <v>239</v>
      </c>
      <c r="J3" s="111">
        <f>75+6</f>
        <v>81</v>
      </c>
      <c r="K3" s="114" t="s">
        <v>132</v>
      </c>
      <c r="L3" s="117">
        <f>I3*J3*K3*7.85/1000000</f>
        <v>0.60787259999999999</v>
      </c>
      <c r="M3" s="118">
        <v>0.46300000000000002</v>
      </c>
      <c r="N3" s="119">
        <f>L3-M3</f>
        <v>0.14487259999999996</v>
      </c>
      <c r="O3" s="120">
        <v>6.89</v>
      </c>
      <c r="P3" s="120">
        <v>3.4</v>
      </c>
      <c r="Q3" s="119">
        <f>(L3*O3-N3*P3)*H3</f>
        <v>3.6956753739999999</v>
      </c>
      <c r="R3" s="9" t="s">
        <v>143</v>
      </c>
      <c r="S3" s="9" t="s">
        <v>144</v>
      </c>
      <c r="T3" s="9" t="s">
        <v>146</v>
      </c>
      <c r="U3" s="10">
        <v>1</v>
      </c>
      <c r="V3" s="59">
        <v>0.1</v>
      </c>
      <c r="W3" s="11">
        <v>1</v>
      </c>
      <c r="X3" s="11">
        <f>U3*V3/W3</f>
        <v>0.1</v>
      </c>
      <c r="Y3" s="103">
        <f>(Q7+X7)*1.12</f>
        <v>4.3295564188800002</v>
      </c>
      <c r="Z3" s="93">
        <f>Y3/1.13</f>
        <v>3.8314658574159299</v>
      </c>
      <c r="AA3" s="94">
        <f>M3/L3</f>
        <v>0.76167275840365245</v>
      </c>
      <c r="AB3" s="97">
        <f>L3*O3/1.13*1.1</f>
        <v>4.0770499428318585</v>
      </c>
      <c r="AC3" s="123" t="s">
        <v>159</v>
      </c>
      <c r="AD3" s="100">
        <v>100000</v>
      </c>
      <c r="AE3" s="100" t="e">
        <f>AC3/AD3/2</f>
        <v>#VALUE!</v>
      </c>
      <c r="AF3" s="100" t="e">
        <f>Z3+AE3</f>
        <v>#VALUE!</v>
      </c>
      <c r="AG3" s="102"/>
      <c r="AH3" s="101"/>
      <c r="AJ3" s="158">
        <f>VLOOKUP(B3,'[1]万昌 1'!$B$9:$G$59,6,0)</f>
        <v>2.3966461538461581</v>
      </c>
      <c r="AK3" s="158">
        <v>0.95</v>
      </c>
      <c r="AL3" s="160">
        <f>AJ3+AK3</f>
        <v>3.3466461538461578</v>
      </c>
      <c r="AM3" s="161">
        <f>(AL3-Z3)/Z3</f>
        <v>-0.12653634969273897</v>
      </c>
      <c r="AN3" s="68"/>
    </row>
    <row r="4" spans="1:40" s="12" customFormat="1" ht="18" customHeight="1">
      <c r="A4" s="105"/>
      <c r="B4" s="108"/>
      <c r="C4" s="108"/>
      <c r="D4" s="108"/>
      <c r="E4" s="121"/>
      <c r="F4" s="118"/>
      <c r="G4" s="122"/>
      <c r="H4" s="115"/>
      <c r="I4" s="112"/>
      <c r="J4" s="112"/>
      <c r="K4" s="115"/>
      <c r="L4" s="117"/>
      <c r="M4" s="118"/>
      <c r="N4" s="119"/>
      <c r="O4" s="120"/>
      <c r="P4" s="120"/>
      <c r="Q4" s="119"/>
      <c r="R4" s="9" t="s">
        <v>142</v>
      </c>
      <c r="S4" s="9" t="s">
        <v>145</v>
      </c>
      <c r="T4" s="9" t="s">
        <v>146</v>
      </c>
      <c r="U4" s="10">
        <v>1</v>
      </c>
      <c r="V4" s="59">
        <v>7.0000000000000007E-2</v>
      </c>
      <c r="W4" s="11">
        <v>1</v>
      </c>
      <c r="X4" s="11">
        <f>U4*V4/W4</f>
        <v>7.0000000000000007E-2</v>
      </c>
      <c r="Y4" s="103"/>
      <c r="Z4" s="93"/>
      <c r="AA4" s="95"/>
      <c r="AB4" s="98"/>
      <c r="AC4" s="100"/>
      <c r="AD4" s="101"/>
      <c r="AE4" s="100"/>
      <c r="AF4" s="100"/>
      <c r="AG4" s="102"/>
      <c r="AH4" s="101"/>
      <c r="AJ4" s="158"/>
      <c r="AK4" s="158"/>
      <c r="AL4" s="160"/>
      <c r="AM4" s="161"/>
      <c r="AN4" s="68"/>
    </row>
    <row r="5" spans="1:40" s="12" customFormat="1" ht="18" customHeight="1">
      <c r="A5" s="105"/>
      <c r="B5" s="108"/>
      <c r="C5" s="108"/>
      <c r="D5" s="108"/>
      <c r="E5" s="121"/>
      <c r="F5" s="118"/>
      <c r="G5" s="122"/>
      <c r="H5" s="115"/>
      <c r="I5" s="112"/>
      <c r="J5" s="112"/>
      <c r="K5" s="115"/>
      <c r="L5" s="117"/>
      <c r="M5" s="118"/>
      <c r="N5" s="119"/>
      <c r="O5" s="120"/>
      <c r="P5" s="120"/>
      <c r="Q5" s="119"/>
      <c r="R5" s="9"/>
      <c r="S5" s="9"/>
      <c r="T5" s="9"/>
      <c r="U5" s="10"/>
      <c r="V5" s="59"/>
      <c r="W5" s="11">
        <v>1</v>
      </c>
      <c r="X5" s="11">
        <f>U5*V5/W5</f>
        <v>0</v>
      </c>
      <c r="Y5" s="103"/>
      <c r="Z5" s="93"/>
      <c r="AA5" s="95"/>
      <c r="AB5" s="98"/>
      <c r="AC5" s="100"/>
      <c r="AD5" s="101"/>
      <c r="AE5" s="100"/>
      <c r="AF5" s="100"/>
      <c r="AG5" s="102"/>
      <c r="AH5" s="101"/>
      <c r="AJ5" s="158"/>
      <c r="AK5" s="158"/>
      <c r="AL5" s="160"/>
      <c r="AM5" s="161"/>
      <c r="AN5" s="68"/>
    </row>
    <row r="6" spans="1:40" s="12" customFormat="1" ht="18" customHeight="1">
      <c r="A6" s="105"/>
      <c r="B6" s="108"/>
      <c r="C6" s="108"/>
      <c r="D6" s="108"/>
      <c r="E6" s="121"/>
      <c r="F6" s="118"/>
      <c r="G6" s="122"/>
      <c r="H6" s="116"/>
      <c r="I6" s="113"/>
      <c r="J6" s="113"/>
      <c r="K6" s="116"/>
      <c r="L6" s="117"/>
      <c r="M6" s="118"/>
      <c r="N6" s="119"/>
      <c r="O6" s="120"/>
      <c r="P6" s="120"/>
      <c r="Q6" s="119"/>
      <c r="R6" s="9"/>
      <c r="S6" s="9"/>
      <c r="T6" s="9"/>
      <c r="U6" s="10"/>
      <c r="V6" s="59"/>
      <c r="W6" s="11">
        <v>1</v>
      </c>
      <c r="X6" s="11">
        <f>U6*V6/W6</f>
        <v>0</v>
      </c>
      <c r="Y6" s="103"/>
      <c r="Z6" s="93"/>
      <c r="AA6" s="96"/>
      <c r="AB6" s="99"/>
      <c r="AC6" s="100"/>
      <c r="AD6" s="101"/>
      <c r="AE6" s="100"/>
      <c r="AF6" s="100"/>
      <c r="AG6" s="102"/>
      <c r="AH6" s="101"/>
      <c r="AJ6" s="158"/>
      <c r="AK6" s="158"/>
      <c r="AL6" s="160"/>
      <c r="AM6" s="161"/>
      <c r="AN6" s="68"/>
    </row>
    <row r="7" spans="1:40" s="22" customFormat="1" ht="22.95" customHeight="1">
      <c r="A7" s="106"/>
      <c r="B7" s="109"/>
      <c r="C7" s="109"/>
      <c r="D7" s="109"/>
      <c r="E7" s="90" t="s">
        <v>52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2"/>
      <c r="Q7" s="13">
        <f>SUM(Q3:Q6)</f>
        <v>3.6956753739999999</v>
      </c>
      <c r="R7" s="14"/>
      <c r="S7" s="15"/>
      <c r="T7" s="15"/>
      <c r="U7" s="15"/>
      <c r="V7" s="20"/>
      <c r="W7" s="16"/>
      <c r="X7" s="17">
        <f>SUM(X3:X6)</f>
        <v>0.17</v>
      </c>
      <c r="Y7" s="18"/>
      <c r="Z7" s="18"/>
      <c r="AA7" s="18"/>
      <c r="AB7" s="18"/>
      <c r="AC7" s="44"/>
      <c r="AD7" s="19"/>
      <c r="AE7" s="20"/>
      <c r="AF7" s="20"/>
      <c r="AG7" s="21"/>
      <c r="AH7" s="101"/>
      <c r="AJ7" s="62"/>
      <c r="AK7" s="62"/>
      <c r="AL7" s="65"/>
      <c r="AM7" s="62"/>
      <c r="AN7" s="71"/>
    </row>
    <row r="8" spans="1:40" s="12" customFormat="1" ht="18" customHeight="1">
      <c r="A8" s="104">
        <v>2</v>
      </c>
      <c r="B8" s="107" t="s">
        <v>99</v>
      </c>
      <c r="C8" s="110"/>
      <c r="D8" s="107" t="s">
        <v>101</v>
      </c>
      <c r="E8" s="121" t="s">
        <v>101</v>
      </c>
      <c r="F8" s="118" t="s">
        <v>133</v>
      </c>
      <c r="G8" s="122"/>
      <c r="H8" s="114" t="s">
        <v>56</v>
      </c>
      <c r="I8" s="111">
        <f>115+8</f>
        <v>123</v>
      </c>
      <c r="J8" s="111">
        <f>25+8</f>
        <v>33</v>
      </c>
      <c r="K8" s="114" t="s">
        <v>132</v>
      </c>
      <c r="L8" s="117">
        <f>I8*J8*K8*7.85/1000000</f>
        <v>0.1274526</v>
      </c>
      <c r="M8" s="118">
        <v>7.1999999999999995E-2</v>
      </c>
      <c r="N8" s="119">
        <f>L8-M8</f>
        <v>5.5452600000000005E-2</v>
      </c>
      <c r="O8" s="120">
        <v>5.8</v>
      </c>
      <c r="P8" s="120">
        <v>3.4</v>
      </c>
      <c r="Q8" s="119">
        <f>(L8*O8-N8*P8)*H8</f>
        <v>0.55068623999999999</v>
      </c>
      <c r="R8" s="9" t="s">
        <v>143</v>
      </c>
      <c r="S8" s="54" t="s">
        <v>147</v>
      </c>
      <c r="T8" s="9" t="s">
        <v>146</v>
      </c>
      <c r="U8" s="52">
        <v>1</v>
      </c>
      <c r="V8" s="59">
        <v>7.0000000000000007E-2</v>
      </c>
      <c r="W8" s="11">
        <v>1</v>
      </c>
      <c r="X8" s="11">
        <f>U8*V8/W8</f>
        <v>7.0000000000000007E-2</v>
      </c>
      <c r="Y8" s="103">
        <f>(Q12+X12)*1.12</f>
        <v>0.69516858879999999</v>
      </c>
      <c r="Z8" s="93">
        <f>Y8/1.13</f>
        <v>0.61519344141592924</v>
      </c>
      <c r="AA8" s="94">
        <f>M8/L8</f>
        <v>0.56491589814566356</v>
      </c>
      <c r="AB8" s="97">
        <f>L8*O8/1.13*1</f>
        <v>0.65418148672566379</v>
      </c>
      <c r="AC8" s="123" t="s">
        <v>160</v>
      </c>
      <c r="AD8" s="100">
        <v>100000</v>
      </c>
      <c r="AE8" s="100" t="e">
        <f>AC8/AD8/2</f>
        <v>#VALUE!</v>
      </c>
      <c r="AF8" s="100" t="e">
        <f>Z8+AE8</f>
        <v>#VALUE!</v>
      </c>
      <c r="AG8" s="102"/>
      <c r="AH8" s="101"/>
      <c r="AJ8" s="158">
        <f>VLOOKUP(B8,'[1]万昌 1'!$B$9:$G$59,6,0)</f>
        <v>0.56633076923076953</v>
      </c>
      <c r="AK8" s="158">
        <v>0.32</v>
      </c>
      <c r="AL8" s="160">
        <f>AJ8+AK8</f>
        <v>0.88633076923076959</v>
      </c>
      <c r="AM8" s="162">
        <f>(AL8-Z8)/Z8</f>
        <v>0.44073507544357216</v>
      </c>
      <c r="AN8" s="164"/>
    </row>
    <row r="9" spans="1:40" s="12" customFormat="1" ht="18" customHeight="1">
      <c r="A9" s="105"/>
      <c r="B9" s="108"/>
      <c r="C9" s="108"/>
      <c r="D9" s="108"/>
      <c r="E9" s="121"/>
      <c r="F9" s="118"/>
      <c r="G9" s="122"/>
      <c r="H9" s="115"/>
      <c r="I9" s="112"/>
      <c r="J9" s="112"/>
      <c r="K9" s="115"/>
      <c r="L9" s="117"/>
      <c r="M9" s="118"/>
      <c r="N9" s="119"/>
      <c r="O9" s="120"/>
      <c r="P9" s="120"/>
      <c r="Q9" s="119"/>
      <c r="R9" s="9"/>
      <c r="S9" s="9"/>
      <c r="T9" s="9"/>
      <c r="U9" s="43"/>
      <c r="V9" s="59"/>
      <c r="W9" s="11">
        <v>1</v>
      </c>
      <c r="X9" s="11">
        <f>U9*V9/W9</f>
        <v>0</v>
      </c>
      <c r="Y9" s="103"/>
      <c r="Z9" s="93"/>
      <c r="AA9" s="95"/>
      <c r="AB9" s="98"/>
      <c r="AC9" s="100"/>
      <c r="AD9" s="101"/>
      <c r="AE9" s="100"/>
      <c r="AF9" s="100"/>
      <c r="AG9" s="102"/>
      <c r="AH9" s="101"/>
      <c r="AJ9" s="158"/>
      <c r="AK9" s="158"/>
      <c r="AL9" s="160"/>
      <c r="AM9" s="162"/>
      <c r="AN9" s="164"/>
    </row>
    <row r="10" spans="1:40" s="12" customFormat="1" ht="18" customHeight="1">
      <c r="A10" s="105"/>
      <c r="B10" s="108"/>
      <c r="C10" s="108"/>
      <c r="D10" s="108"/>
      <c r="E10" s="121"/>
      <c r="F10" s="118"/>
      <c r="G10" s="122"/>
      <c r="H10" s="115"/>
      <c r="I10" s="112"/>
      <c r="J10" s="112"/>
      <c r="K10" s="115"/>
      <c r="L10" s="117"/>
      <c r="M10" s="118"/>
      <c r="N10" s="119"/>
      <c r="O10" s="120"/>
      <c r="P10" s="120"/>
      <c r="Q10" s="119"/>
      <c r="R10" s="9"/>
      <c r="S10" s="9"/>
      <c r="T10" s="9"/>
      <c r="U10" s="43"/>
      <c r="V10" s="59"/>
      <c r="W10" s="11">
        <v>1</v>
      </c>
      <c r="X10" s="11">
        <f>U10*V10/W10</f>
        <v>0</v>
      </c>
      <c r="Y10" s="103"/>
      <c r="Z10" s="93"/>
      <c r="AA10" s="95"/>
      <c r="AB10" s="98"/>
      <c r="AC10" s="100"/>
      <c r="AD10" s="101"/>
      <c r="AE10" s="100"/>
      <c r="AF10" s="100"/>
      <c r="AG10" s="102"/>
      <c r="AH10" s="101"/>
      <c r="AJ10" s="158"/>
      <c r="AK10" s="158"/>
      <c r="AL10" s="160"/>
      <c r="AM10" s="162"/>
      <c r="AN10" s="164"/>
    </row>
    <row r="11" spans="1:40" s="12" customFormat="1" ht="18" customHeight="1">
      <c r="A11" s="105"/>
      <c r="B11" s="108"/>
      <c r="C11" s="108"/>
      <c r="D11" s="108"/>
      <c r="E11" s="121"/>
      <c r="F11" s="118"/>
      <c r="G11" s="122"/>
      <c r="H11" s="116"/>
      <c r="I11" s="113"/>
      <c r="J11" s="113"/>
      <c r="K11" s="116"/>
      <c r="L11" s="117"/>
      <c r="M11" s="118"/>
      <c r="N11" s="119"/>
      <c r="O11" s="120"/>
      <c r="P11" s="120"/>
      <c r="Q11" s="119"/>
      <c r="R11" s="9"/>
      <c r="S11" s="9"/>
      <c r="T11" s="9"/>
      <c r="U11" s="43"/>
      <c r="V11" s="59"/>
      <c r="W11" s="11">
        <v>1</v>
      </c>
      <c r="X11" s="11">
        <f>U11*V11/W11</f>
        <v>0</v>
      </c>
      <c r="Y11" s="103"/>
      <c r="Z11" s="93"/>
      <c r="AA11" s="96"/>
      <c r="AB11" s="99"/>
      <c r="AC11" s="100"/>
      <c r="AD11" s="101"/>
      <c r="AE11" s="100"/>
      <c r="AF11" s="100"/>
      <c r="AG11" s="102"/>
      <c r="AH11" s="101"/>
      <c r="AJ11" s="158"/>
      <c r="AK11" s="158"/>
      <c r="AL11" s="160"/>
      <c r="AM11" s="162"/>
      <c r="AN11" s="164"/>
    </row>
    <row r="12" spans="1:40" s="22" customFormat="1" ht="22.95" customHeight="1">
      <c r="A12" s="106"/>
      <c r="B12" s="109"/>
      <c r="C12" s="109"/>
      <c r="D12" s="109"/>
      <c r="E12" s="90" t="s">
        <v>52</v>
      </c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  <c r="Q12" s="13">
        <f>SUM(Q8:Q11)</f>
        <v>0.55068623999999999</v>
      </c>
      <c r="R12" s="14"/>
      <c r="S12" s="15"/>
      <c r="T12" s="15"/>
      <c r="U12" s="15"/>
      <c r="V12" s="20"/>
      <c r="W12" s="16"/>
      <c r="X12" s="17">
        <f>SUM(X8:X11)</f>
        <v>7.0000000000000007E-2</v>
      </c>
      <c r="Y12" s="18"/>
      <c r="Z12" s="18"/>
      <c r="AA12" s="18"/>
      <c r="AB12" s="18"/>
      <c r="AC12" s="44"/>
      <c r="AD12" s="19"/>
      <c r="AE12" s="20"/>
      <c r="AF12" s="20"/>
      <c r="AG12" s="21"/>
      <c r="AH12" s="101"/>
      <c r="AJ12" s="62"/>
      <c r="AK12" s="62"/>
      <c r="AL12" s="65"/>
      <c r="AM12" s="62"/>
    </row>
    <row r="13" spans="1:40" s="12" customFormat="1" ht="18" customHeight="1">
      <c r="A13" s="104">
        <v>3</v>
      </c>
      <c r="B13" s="107" t="s">
        <v>100</v>
      </c>
      <c r="C13" s="110"/>
      <c r="D13" s="107" t="s">
        <v>102</v>
      </c>
      <c r="E13" s="121" t="s">
        <v>102</v>
      </c>
      <c r="F13" s="118" t="s">
        <v>133</v>
      </c>
      <c r="G13" s="122"/>
      <c r="H13" s="114" t="s">
        <v>56</v>
      </c>
      <c r="I13" s="111">
        <f>125+8</f>
        <v>133</v>
      </c>
      <c r="J13" s="111">
        <f>25+8</f>
        <v>33</v>
      </c>
      <c r="K13" s="114" t="s">
        <v>132</v>
      </c>
      <c r="L13" s="117">
        <f>I13*J13*K13*7.85/1000000</f>
        <v>0.13781460000000001</v>
      </c>
      <c r="M13" s="118">
        <v>8.1000000000000003E-2</v>
      </c>
      <c r="N13" s="119">
        <f>L13-M13</f>
        <v>5.6814600000000007E-2</v>
      </c>
      <c r="O13" s="120">
        <v>5.8</v>
      </c>
      <c r="P13" s="120">
        <v>3.4</v>
      </c>
      <c r="Q13" s="119">
        <f>(L13*O13-N13*P13)*H13</f>
        <v>0.60615503999999998</v>
      </c>
      <c r="R13" s="9" t="s">
        <v>143</v>
      </c>
      <c r="S13" s="54" t="s">
        <v>147</v>
      </c>
      <c r="T13" s="9" t="s">
        <v>146</v>
      </c>
      <c r="U13" s="52">
        <v>1</v>
      </c>
      <c r="V13" s="59">
        <v>7.0000000000000007E-2</v>
      </c>
      <c r="W13" s="11">
        <v>1</v>
      </c>
      <c r="X13" s="11">
        <f>U13*V13/W13</f>
        <v>7.0000000000000007E-2</v>
      </c>
      <c r="Y13" s="103">
        <f>(Q17+X17)*1.12</f>
        <v>0.80209364480000001</v>
      </c>
      <c r="Z13" s="93">
        <f>Y13/1.13</f>
        <v>0.70981738477876111</v>
      </c>
      <c r="AA13" s="94">
        <f>M13/L13</f>
        <v>0.58774614590906915</v>
      </c>
      <c r="AB13" s="97">
        <f>L13*O13/1.13*1</f>
        <v>0.70736697345132749</v>
      </c>
      <c r="AC13" s="123" t="s">
        <v>160</v>
      </c>
      <c r="AD13" s="100">
        <v>100000</v>
      </c>
      <c r="AE13" s="100" t="e">
        <f>AC13/AD13/2</f>
        <v>#VALUE!</v>
      </c>
      <c r="AF13" s="100" t="e">
        <f>Z13+AE13</f>
        <v>#VALUE!</v>
      </c>
      <c r="AG13" s="102"/>
      <c r="AH13" s="101"/>
      <c r="AJ13" s="158">
        <f>VLOOKUP(B13,'[1]万昌 1'!$B$9:$G$59,6,0)</f>
        <v>0.47604615384615412</v>
      </c>
      <c r="AK13" s="158">
        <v>0.28000000000000003</v>
      </c>
      <c r="AL13" s="160">
        <f>AJ13+AK13</f>
        <v>0.75604615384615415</v>
      </c>
      <c r="AM13" s="161">
        <f>(AL13-Z13)/Z13</f>
        <v>6.5127693486687163E-2</v>
      </c>
      <c r="AN13" s="164"/>
    </row>
    <row r="14" spans="1:40" s="12" customFormat="1" ht="18" customHeight="1">
      <c r="A14" s="105"/>
      <c r="B14" s="108"/>
      <c r="C14" s="108"/>
      <c r="D14" s="108"/>
      <c r="E14" s="121"/>
      <c r="F14" s="118"/>
      <c r="G14" s="122"/>
      <c r="H14" s="115"/>
      <c r="I14" s="112"/>
      <c r="J14" s="112"/>
      <c r="K14" s="115"/>
      <c r="L14" s="117"/>
      <c r="M14" s="118"/>
      <c r="N14" s="119"/>
      <c r="O14" s="120"/>
      <c r="P14" s="120"/>
      <c r="Q14" s="119"/>
      <c r="R14" s="9" t="s">
        <v>142</v>
      </c>
      <c r="S14" s="54">
        <v>63</v>
      </c>
      <c r="T14" s="9" t="s">
        <v>146</v>
      </c>
      <c r="U14" s="52">
        <v>1</v>
      </c>
      <c r="V14" s="59">
        <v>0.04</v>
      </c>
      <c r="W14" s="11">
        <v>1</v>
      </c>
      <c r="X14" s="11">
        <f>U14*V14/W14</f>
        <v>0.04</v>
      </c>
      <c r="Y14" s="103"/>
      <c r="Z14" s="93"/>
      <c r="AA14" s="95"/>
      <c r="AB14" s="98"/>
      <c r="AC14" s="100"/>
      <c r="AD14" s="101"/>
      <c r="AE14" s="100"/>
      <c r="AF14" s="100"/>
      <c r="AG14" s="102"/>
      <c r="AH14" s="101"/>
      <c r="AJ14" s="158"/>
      <c r="AK14" s="158"/>
      <c r="AL14" s="160"/>
      <c r="AM14" s="161"/>
      <c r="AN14" s="164"/>
    </row>
    <row r="15" spans="1:40" s="12" customFormat="1" ht="18" customHeight="1">
      <c r="A15" s="105"/>
      <c r="B15" s="108"/>
      <c r="C15" s="108"/>
      <c r="D15" s="108"/>
      <c r="E15" s="121"/>
      <c r="F15" s="118"/>
      <c r="G15" s="122"/>
      <c r="H15" s="115"/>
      <c r="I15" s="112"/>
      <c r="J15" s="112"/>
      <c r="K15" s="115"/>
      <c r="L15" s="117"/>
      <c r="M15" s="118"/>
      <c r="N15" s="119"/>
      <c r="O15" s="120"/>
      <c r="P15" s="120"/>
      <c r="Q15" s="119"/>
      <c r="R15" s="9"/>
      <c r="S15" s="9"/>
      <c r="T15" s="9"/>
      <c r="U15" s="43"/>
      <c r="V15" s="59"/>
      <c r="W15" s="11">
        <v>1</v>
      </c>
      <c r="X15" s="11">
        <f>U15*V15/W15</f>
        <v>0</v>
      </c>
      <c r="Y15" s="103"/>
      <c r="Z15" s="93"/>
      <c r="AA15" s="95"/>
      <c r="AB15" s="98"/>
      <c r="AC15" s="100"/>
      <c r="AD15" s="101"/>
      <c r="AE15" s="100"/>
      <c r="AF15" s="100"/>
      <c r="AG15" s="102"/>
      <c r="AH15" s="101"/>
      <c r="AJ15" s="158"/>
      <c r="AK15" s="158"/>
      <c r="AL15" s="160"/>
      <c r="AM15" s="161"/>
      <c r="AN15" s="164"/>
    </row>
    <row r="16" spans="1:40" s="12" customFormat="1" ht="18" customHeight="1">
      <c r="A16" s="105"/>
      <c r="B16" s="108"/>
      <c r="C16" s="108"/>
      <c r="D16" s="108"/>
      <c r="E16" s="121"/>
      <c r="F16" s="118"/>
      <c r="G16" s="122"/>
      <c r="H16" s="116"/>
      <c r="I16" s="113"/>
      <c r="J16" s="113"/>
      <c r="K16" s="116"/>
      <c r="L16" s="117"/>
      <c r="M16" s="118"/>
      <c r="N16" s="119"/>
      <c r="O16" s="120"/>
      <c r="P16" s="120"/>
      <c r="Q16" s="119"/>
      <c r="R16" s="9"/>
      <c r="S16" s="9"/>
      <c r="T16" s="9"/>
      <c r="U16" s="43"/>
      <c r="V16" s="59"/>
      <c r="W16" s="11">
        <v>1</v>
      </c>
      <c r="X16" s="11">
        <f>U16*V16/W16</f>
        <v>0</v>
      </c>
      <c r="Y16" s="103"/>
      <c r="Z16" s="93"/>
      <c r="AA16" s="96"/>
      <c r="AB16" s="99"/>
      <c r="AC16" s="100"/>
      <c r="AD16" s="101"/>
      <c r="AE16" s="100"/>
      <c r="AF16" s="100"/>
      <c r="AG16" s="102"/>
      <c r="AH16" s="101"/>
      <c r="AJ16" s="158"/>
      <c r="AK16" s="158"/>
      <c r="AL16" s="160"/>
      <c r="AM16" s="161"/>
      <c r="AN16" s="164"/>
    </row>
    <row r="17" spans="1:40" s="22" customFormat="1" ht="22.95" customHeight="1">
      <c r="A17" s="106"/>
      <c r="B17" s="109"/>
      <c r="C17" s="109"/>
      <c r="D17" s="109"/>
      <c r="E17" s="90" t="s">
        <v>52</v>
      </c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2"/>
      <c r="Q17" s="13">
        <f>SUM(Q13:Q16)</f>
        <v>0.60615503999999998</v>
      </c>
      <c r="R17" s="14"/>
      <c r="S17" s="15"/>
      <c r="T17" s="15"/>
      <c r="U17" s="15"/>
      <c r="V17" s="20"/>
      <c r="W17" s="16"/>
      <c r="X17" s="17">
        <f>SUM(X13:X16)</f>
        <v>0.11000000000000001</v>
      </c>
      <c r="Y17" s="18"/>
      <c r="Z17" s="18"/>
      <c r="AA17" s="18"/>
      <c r="AB17" s="18"/>
      <c r="AC17" s="44"/>
      <c r="AD17" s="19"/>
      <c r="AE17" s="20"/>
      <c r="AF17" s="20"/>
      <c r="AG17" s="21"/>
      <c r="AH17" s="101"/>
      <c r="AJ17" s="62"/>
      <c r="AK17" s="62"/>
      <c r="AL17" s="65"/>
      <c r="AM17" s="62"/>
    </row>
    <row r="18" spans="1:40" s="12" customFormat="1" ht="18" customHeight="1">
      <c r="A18" s="104">
        <v>4</v>
      </c>
      <c r="B18" s="107" t="s">
        <v>103</v>
      </c>
      <c r="C18" s="110"/>
      <c r="D18" s="107" t="s">
        <v>104</v>
      </c>
      <c r="E18" s="121" t="s">
        <v>104</v>
      </c>
      <c r="F18" s="118" t="s">
        <v>134</v>
      </c>
      <c r="G18" s="122"/>
      <c r="H18" s="114" t="s">
        <v>56</v>
      </c>
      <c r="I18" s="111">
        <f>110+10</f>
        <v>120</v>
      </c>
      <c r="J18" s="111">
        <f>54+10</f>
        <v>64</v>
      </c>
      <c r="K18" s="114" t="s">
        <v>135</v>
      </c>
      <c r="L18" s="117">
        <f>I18*J18*K18*7.85/1000000</f>
        <v>0.30143999999999999</v>
      </c>
      <c r="M18" s="118">
        <v>0.11899999999999999</v>
      </c>
      <c r="N18" s="119">
        <f>L18-M18</f>
        <v>0.18243999999999999</v>
      </c>
      <c r="O18" s="120">
        <v>5.8</v>
      </c>
      <c r="P18" s="120">
        <v>3.4</v>
      </c>
      <c r="Q18" s="119">
        <f>(L18*O18-N18*P18)*H18</f>
        <v>1.1280559999999999</v>
      </c>
      <c r="R18" s="9" t="s">
        <v>143</v>
      </c>
      <c r="S18" s="54">
        <v>160</v>
      </c>
      <c r="T18" s="9" t="s">
        <v>146</v>
      </c>
      <c r="U18" s="52">
        <v>1</v>
      </c>
      <c r="V18" s="59">
        <v>0.1</v>
      </c>
      <c r="W18" s="11">
        <v>1</v>
      </c>
      <c r="X18" s="11">
        <f>U18*V18/W18</f>
        <v>0.1</v>
      </c>
      <c r="Y18" s="103">
        <f>(Q22+X22)*1.12</f>
        <v>1.3754227200000002</v>
      </c>
      <c r="Z18" s="93">
        <f>Y18/1.13</f>
        <v>1.2171882477876108</v>
      </c>
      <c r="AA18" s="94">
        <f>M18/L18</f>
        <v>0.39477176220806792</v>
      </c>
      <c r="AB18" s="97">
        <f>L18*O18/1.13*0.9</f>
        <v>1.392492743362832</v>
      </c>
      <c r="AC18" s="100" t="s">
        <v>161</v>
      </c>
      <c r="AD18" s="100">
        <v>100000</v>
      </c>
      <c r="AE18" s="100" t="e">
        <f>AC18/AD18/2</f>
        <v>#VALUE!</v>
      </c>
      <c r="AF18" s="100" t="e">
        <f>Z18+AE18</f>
        <v>#VALUE!</v>
      </c>
      <c r="AG18" s="102"/>
      <c r="AH18" s="101"/>
      <c r="AJ18" s="158">
        <f>VLOOKUP(B18,'[1]万昌 1'!$B$9:$G$59,6,0)</f>
        <v>0.87001538461538463</v>
      </c>
      <c r="AK18" s="158">
        <v>0.35</v>
      </c>
      <c r="AL18" s="160">
        <f>AJ18+AK18</f>
        <v>1.2200153846153845</v>
      </c>
      <c r="AM18" s="161">
        <f>(AL18-Z18)/Z18</f>
        <v>2.322678380203193E-3</v>
      </c>
    </row>
    <row r="19" spans="1:40" s="12" customFormat="1" ht="18" customHeight="1">
      <c r="A19" s="105"/>
      <c r="B19" s="108"/>
      <c r="C19" s="108"/>
      <c r="D19" s="108"/>
      <c r="E19" s="121"/>
      <c r="F19" s="118"/>
      <c r="G19" s="122"/>
      <c r="H19" s="115"/>
      <c r="I19" s="112"/>
      <c r="J19" s="112"/>
      <c r="K19" s="115"/>
      <c r="L19" s="117"/>
      <c r="M19" s="118"/>
      <c r="N19" s="119"/>
      <c r="O19" s="120"/>
      <c r="P19" s="120"/>
      <c r="Q19" s="119"/>
      <c r="R19" s="9"/>
      <c r="S19" s="9"/>
      <c r="T19" s="9"/>
      <c r="U19" s="43"/>
      <c r="V19" s="59"/>
      <c r="W19" s="11">
        <v>1</v>
      </c>
      <c r="X19" s="11">
        <f>U19*V19/W19</f>
        <v>0</v>
      </c>
      <c r="Y19" s="103"/>
      <c r="Z19" s="93"/>
      <c r="AA19" s="95"/>
      <c r="AB19" s="98"/>
      <c r="AC19" s="100"/>
      <c r="AD19" s="101"/>
      <c r="AE19" s="100"/>
      <c r="AF19" s="100"/>
      <c r="AG19" s="102"/>
      <c r="AH19" s="101"/>
      <c r="AJ19" s="158"/>
      <c r="AK19" s="158"/>
      <c r="AL19" s="160"/>
      <c r="AM19" s="161"/>
    </row>
    <row r="20" spans="1:40" s="12" customFormat="1" ht="18" customHeight="1">
      <c r="A20" s="105"/>
      <c r="B20" s="108"/>
      <c r="C20" s="108"/>
      <c r="D20" s="108"/>
      <c r="E20" s="121"/>
      <c r="F20" s="118"/>
      <c r="G20" s="122"/>
      <c r="H20" s="115"/>
      <c r="I20" s="112"/>
      <c r="J20" s="112"/>
      <c r="K20" s="115"/>
      <c r="L20" s="117"/>
      <c r="M20" s="118"/>
      <c r="N20" s="119"/>
      <c r="O20" s="120"/>
      <c r="P20" s="120"/>
      <c r="Q20" s="119"/>
      <c r="R20" s="9"/>
      <c r="S20" s="9"/>
      <c r="T20" s="9"/>
      <c r="U20" s="43"/>
      <c r="V20" s="59"/>
      <c r="W20" s="11">
        <v>1</v>
      </c>
      <c r="X20" s="11">
        <f>U20*V20/W20</f>
        <v>0</v>
      </c>
      <c r="Y20" s="103"/>
      <c r="Z20" s="93"/>
      <c r="AA20" s="95"/>
      <c r="AB20" s="98"/>
      <c r="AC20" s="100"/>
      <c r="AD20" s="101"/>
      <c r="AE20" s="100"/>
      <c r="AF20" s="100"/>
      <c r="AG20" s="102"/>
      <c r="AH20" s="101"/>
      <c r="AJ20" s="158"/>
      <c r="AK20" s="158"/>
      <c r="AL20" s="160"/>
      <c r="AM20" s="161"/>
    </row>
    <row r="21" spans="1:40" s="12" customFormat="1" ht="18" customHeight="1">
      <c r="A21" s="105"/>
      <c r="B21" s="108"/>
      <c r="C21" s="108"/>
      <c r="D21" s="108"/>
      <c r="E21" s="121"/>
      <c r="F21" s="118"/>
      <c r="G21" s="122"/>
      <c r="H21" s="116"/>
      <c r="I21" s="113"/>
      <c r="J21" s="113"/>
      <c r="K21" s="116"/>
      <c r="L21" s="117"/>
      <c r="M21" s="118"/>
      <c r="N21" s="119"/>
      <c r="O21" s="120"/>
      <c r="P21" s="120"/>
      <c r="Q21" s="119"/>
      <c r="R21" s="9"/>
      <c r="S21" s="9"/>
      <c r="T21" s="9"/>
      <c r="U21" s="43"/>
      <c r="V21" s="59"/>
      <c r="W21" s="11">
        <v>1</v>
      </c>
      <c r="X21" s="11">
        <f>U21*V21/W21</f>
        <v>0</v>
      </c>
      <c r="Y21" s="103"/>
      <c r="Z21" s="93"/>
      <c r="AA21" s="96"/>
      <c r="AB21" s="99"/>
      <c r="AC21" s="100"/>
      <c r="AD21" s="101"/>
      <c r="AE21" s="100"/>
      <c r="AF21" s="100"/>
      <c r="AG21" s="102"/>
      <c r="AH21" s="101"/>
      <c r="AJ21" s="158"/>
      <c r="AK21" s="158"/>
      <c r="AL21" s="160"/>
      <c r="AM21" s="161"/>
    </row>
    <row r="22" spans="1:40" s="22" customFormat="1" ht="22.95" customHeight="1">
      <c r="A22" s="106"/>
      <c r="B22" s="109"/>
      <c r="C22" s="109"/>
      <c r="D22" s="109"/>
      <c r="E22" s="90" t="s">
        <v>52</v>
      </c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2"/>
      <c r="Q22" s="13">
        <f>SUM(Q18:Q21)</f>
        <v>1.1280559999999999</v>
      </c>
      <c r="R22" s="14"/>
      <c r="S22" s="15"/>
      <c r="T22" s="15"/>
      <c r="U22" s="15"/>
      <c r="V22" s="20"/>
      <c r="W22" s="16"/>
      <c r="X22" s="17">
        <f>SUM(X18:X21)</f>
        <v>0.1</v>
      </c>
      <c r="Y22" s="18"/>
      <c r="Z22" s="18"/>
      <c r="AA22" s="18"/>
      <c r="AB22" s="18"/>
      <c r="AC22" s="44"/>
      <c r="AD22" s="19"/>
      <c r="AE22" s="20"/>
      <c r="AF22" s="20"/>
      <c r="AG22" s="21"/>
      <c r="AH22" s="101"/>
      <c r="AJ22" s="62"/>
      <c r="AK22" s="62"/>
      <c r="AL22" s="65"/>
      <c r="AM22" s="62"/>
    </row>
    <row r="23" spans="1:40" s="12" customFormat="1" ht="18" customHeight="1">
      <c r="A23" s="104">
        <v>5</v>
      </c>
      <c r="B23" s="107" t="s">
        <v>105</v>
      </c>
      <c r="C23" s="110"/>
      <c r="D23" s="107" t="s">
        <v>106</v>
      </c>
      <c r="E23" s="121" t="s">
        <v>106</v>
      </c>
      <c r="F23" s="118" t="s">
        <v>134</v>
      </c>
      <c r="G23" s="122"/>
      <c r="H23" s="114" t="s">
        <v>56</v>
      </c>
      <c r="I23" s="111">
        <f>125+8</f>
        <v>133</v>
      </c>
      <c r="J23" s="111">
        <f>25+8</f>
        <v>33</v>
      </c>
      <c r="K23" s="114" t="s">
        <v>132</v>
      </c>
      <c r="L23" s="117">
        <f>I23*J23*K23*7.85/1000000</f>
        <v>0.13781460000000001</v>
      </c>
      <c r="M23" s="118">
        <v>8.1000000000000003E-2</v>
      </c>
      <c r="N23" s="119">
        <f>L23-M23</f>
        <v>5.6814600000000007E-2</v>
      </c>
      <c r="O23" s="120">
        <v>5.8</v>
      </c>
      <c r="P23" s="120">
        <v>3.4</v>
      </c>
      <c r="Q23" s="119">
        <f>(L23*O23-N23*P23)*H23</f>
        <v>0.60615503999999998</v>
      </c>
      <c r="R23" s="9" t="s">
        <v>143</v>
      </c>
      <c r="S23" s="54" t="s">
        <v>147</v>
      </c>
      <c r="T23" s="9" t="s">
        <v>146</v>
      </c>
      <c r="U23" s="52">
        <v>1</v>
      </c>
      <c r="V23" s="59">
        <v>7.0000000000000007E-2</v>
      </c>
      <c r="W23" s="11">
        <v>1</v>
      </c>
      <c r="X23" s="11">
        <f>U23*V23/W23</f>
        <v>7.0000000000000007E-2</v>
      </c>
      <c r="Y23" s="103">
        <f>(Q27+X27)*1.12</f>
        <v>0.80209364480000001</v>
      </c>
      <c r="Z23" s="93">
        <f>Y23/1.13</f>
        <v>0.70981738477876111</v>
      </c>
      <c r="AA23" s="94">
        <f>M23/L23</f>
        <v>0.58774614590906915</v>
      </c>
      <c r="AB23" s="97">
        <f>L23*O23/1.13*1</f>
        <v>0.70736697345132749</v>
      </c>
      <c r="AC23" s="100" t="s">
        <v>161</v>
      </c>
      <c r="AD23" s="100">
        <v>100000</v>
      </c>
      <c r="AE23" s="100" t="e">
        <f>AC23/AD23/2</f>
        <v>#VALUE!</v>
      </c>
      <c r="AF23" s="100" t="e">
        <f>Z23+AE23</f>
        <v>#VALUE!</v>
      </c>
      <c r="AG23" s="102"/>
      <c r="AH23" s="101"/>
      <c r="AJ23" s="158">
        <f>VLOOKUP(B23,'[1]万昌 1'!$B$9:$G$59,6,0)</f>
        <v>0.64020000000000021</v>
      </c>
      <c r="AK23" s="158">
        <v>0.28999999999999998</v>
      </c>
      <c r="AL23" s="160">
        <f>AJ23+AK23</f>
        <v>0.93020000000000014</v>
      </c>
      <c r="AM23" s="162">
        <f>(AL23-Z23)/Z23</f>
        <v>0.31047790593340963</v>
      </c>
      <c r="AN23" s="164"/>
    </row>
    <row r="24" spans="1:40" s="12" customFormat="1" ht="18" customHeight="1">
      <c r="A24" s="105"/>
      <c r="B24" s="108"/>
      <c r="C24" s="108"/>
      <c r="D24" s="108"/>
      <c r="E24" s="121"/>
      <c r="F24" s="118"/>
      <c r="G24" s="122"/>
      <c r="H24" s="115"/>
      <c r="I24" s="112"/>
      <c r="J24" s="112"/>
      <c r="K24" s="115"/>
      <c r="L24" s="117"/>
      <c r="M24" s="118"/>
      <c r="N24" s="119"/>
      <c r="O24" s="120"/>
      <c r="P24" s="120"/>
      <c r="Q24" s="119"/>
      <c r="R24" s="9" t="s">
        <v>142</v>
      </c>
      <c r="S24" s="54">
        <v>63</v>
      </c>
      <c r="T24" s="9" t="s">
        <v>146</v>
      </c>
      <c r="U24" s="52">
        <v>1</v>
      </c>
      <c r="V24" s="59">
        <v>0.04</v>
      </c>
      <c r="W24" s="11">
        <v>1</v>
      </c>
      <c r="X24" s="11">
        <f>U24*V24/W24</f>
        <v>0.04</v>
      </c>
      <c r="Y24" s="103"/>
      <c r="Z24" s="93"/>
      <c r="AA24" s="95"/>
      <c r="AB24" s="98"/>
      <c r="AC24" s="100"/>
      <c r="AD24" s="101"/>
      <c r="AE24" s="100"/>
      <c r="AF24" s="100"/>
      <c r="AG24" s="102"/>
      <c r="AH24" s="101"/>
      <c r="AJ24" s="158"/>
      <c r="AK24" s="158"/>
      <c r="AL24" s="160"/>
      <c r="AM24" s="162"/>
      <c r="AN24" s="164"/>
    </row>
    <row r="25" spans="1:40" s="12" customFormat="1" ht="18" customHeight="1">
      <c r="A25" s="105"/>
      <c r="B25" s="108"/>
      <c r="C25" s="108"/>
      <c r="D25" s="108"/>
      <c r="E25" s="121"/>
      <c r="F25" s="118"/>
      <c r="G25" s="122"/>
      <c r="H25" s="115"/>
      <c r="I25" s="112"/>
      <c r="J25" s="112"/>
      <c r="K25" s="115"/>
      <c r="L25" s="117"/>
      <c r="M25" s="118"/>
      <c r="N25" s="119"/>
      <c r="O25" s="120"/>
      <c r="P25" s="120"/>
      <c r="Q25" s="119"/>
      <c r="R25" s="9"/>
      <c r="S25" s="9"/>
      <c r="T25" s="9"/>
      <c r="U25" s="43"/>
      <c r="V25" s="59"/>
      <c r="W25" s="11">
        <v>1</v>
      </c>
      <c r="X25" s="11">
        <f>U25*V25/W25</f>
        <v>0</v>
      </c>
      <c r="Y25" s="103"/>
      <c r="Z25" s="93"/>
      <c r="AA25" s="95"/>
      <c r="AB25" s="98"/>
      <c r="AC25" s="100"/>
      <c r="AD25" s="101"/>
      <c r="AE25" s="100"/>
      <c r="AF25" s="100"/>
      <c r="AG25" s="102"/>
      <c r="AH25" s="101"/>
      <c r="AJ25" s="158"/>
      <c r="AK25" s="158"/>
      <c r="AL25" s="160"/>
      <c r="AM25" s="162"/>
      <c r="AN25" s="164"/>
    </row>
    <row r="26" spans="1:40" s="12" customFormat="1" ht="18" customHeight="1">
      <c r="A26" s="105"/>
      <c r="B26" s="108"/>
      <c r="C26" s="108"/>
      <c r="D26" s="108"/>
      <c r="E26" s="121"/>
      <c r="F26" s="118"/>
      <c r="G26" s="122"/>
      <c r="H26" s="116"/>
      <c r="I26" s="113"/>
      <c r="J26" s="113"/>
      <c r="K26" s="116"/>
      <c r="L26" s="117"/>
      <c r="M26" s="118"/>
      <c r="N26" s="119"/>
      <c r="O26" s="120"/>
      <c r="P26" s="120"/>
      <c r="Q26" s="119"/>
      <c r="R26" s="9"/>
      <c r="S26" s="9"/>
      <c r="T26" s="9"/>
      <c r="U26" s="43"/>
      <c r="V26" s="59"/>
      <c r="W26" s="11">
        <v>1</v>
      </c>
      <c r="X26" s="11">
        <f>U26*V26/W26</f>
        <v>0</v>
      </c>
      <c r="Y26" s="103"/>
      <c r="Z26" s="93"/>
      <c r="AA26" s="96"/>
      <c r="AB26" s="99"/>
      <c r="AC26" s="100"/>
      <c r="AD26" s="101"/>
      <c r="AE26" s="100"/>
      <c r="AF26" s="100"/>
      <c r="AG26" s="102"/>
      <c r="AH26" s="101"/>
      <c r="AJ26" s="158"/>
      <c r="AK26" s="158"/>
      <c r="AL26" s="160"/>
      <c r="AM26" s="162"/>
      <c r="AN26" s="164"/>
    </row>
    <row r="27" spans="1:40" s="22" customFormat="1" ht="22.95" customHeight="1">
      <c r="A27" s="106"/>
      <c r="B27" s="109"/>
      <c r="C27" s="109"/>
      <c r="D27" s="109"/>
      <c r="E27" s="90" t="s">
        <v>52</v>
      </c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2"/>
      <c r="Q27" s="13">
        <f>SUM(Q23:Q26)</f>
        <v>0.60615503999999998</v>
      </c>
      <c r="R27" s="14"/>
      <c r="S27" s="15"/>
      <c r="T27" s="15"/>
      <c r="U27" s="15"/>
      <c r="V27" s="20"/>
      <c r="W27" s="16"/>
      <c r="X27" s="17">
        <f>SUM(X23:X26)</f>
        <v>0.11000000000000001</v>
      </c>
      <c r="Y27" s="18"/>
      <c r="Z27" s="18"/>
      <c r="AA27" s="18"/>
      <c r="AB27" s="18"/>
      <c r="AC27" s="44"/>
      <c r="AD27" s="19"/>
      <c r="AE27" s="20"/>
      <c r="AF27" s="20"/>
      <c r="AG27" s="21"/>
      <c r="AH27" s="101"/>
      <c r="AJ27" s="62"/>
      <c r="AK27" s="62"/>
      <c r="AL27" s="65"/>
      <c r="AM27" s="62"/>
    </row>
    <row r="28" spans="1:40" s="12" customFormat="1" ht="18" customHeight="1">
      <c r="A28" s="104">
        <v>6</v>
      </c>
      <c r="B28" s="107" t="s">
        <v>107</v>
      </c>
      <c r="C28" s="110"/>
      <c r="D28" s="107" t="s">
        <v>108</v>
      </c>
      <c r="E28" s="46" t="s">
        <v>108</v>
      </c>
      <c r="F28" s="47" t="s">
        <v>133</v>
      </c>
      <c r="G28" s="48"/>
      <c r="H28" s="48" t="s">
        <v>56</v>
      </c>
      <c r="I28" s="47">
        <f>70+8</f>
        <v>78</v>
      </c>
      <c r="J28" s="47">
        <f>15+8</f>
        <v>23</v>
      </c>
      <c r="K28" s="48" t="s">
        <v>132</v>
      </c>
      <c r="L28" s="49">
        <f>I28*J28*K28*7.85/1000000</f>
        <v>5.6331599999999996E-2</v>
      </c>
      <c r="M28" s="47">
        <f>0.033-0.003*2</f>
        <v>2.7000000000000003E-2</v>
      </c>
      <c r="N28" s="50">
        <f>L28-M28</f>
        <v>2.9331599999999992E-2</v>
      </c>
      <c r="O28" s="51">
        <v>5.8</v>
      </c>
      <c r="P28" s="51">
        <v>3.4</v>
      </c>
      <c r="Q28" s="50">
        <f>(L28*O28-N28*P28)*H28</f>
        <v>0.22699583999999998</v>
      </c>
      <c r="R28" s="9" t="s">
        <v>141</v>
      </c>
      <c r="S28" s="54">
        <v>63</v>
      </c>
      <c r="T28" s="9" t="s">
        <v>146</v>
      </c>
      <c r="U28" s="52">
        <v>1</v>
      </c>
      <c r="V28" s="59">
        <v>0.04</v>
      </c>
      <c r="W28" s="11">
        <v>1</v>
      </c>
      <c r="X28" s="11">
        <f>U28*V28/W28</f>
        <v>0.04</v>
      </c>
      <c r="Y28" s="103">
        <f>(Q33+X33)*1.12</f>
        <v>0.63029998080000005</v>
      </c>
      <c r="Z28" s="93">
        <f>Y28/1.13</f>
        <v>0.55778759362831865</v>
      </c>
      <c r="AA28" s="94">
        <f>M28/L28</f>
        <v>0.47930468866497677</v>
      </c>
      <c r="AB28" s="97">
        <f>L28*O28/1.13*1.1</f>
        <v>0.318049210619469</v>
      </c>
      <c r="AC28" s="123" t="s">
        <v>160</v>
      </c>
      <c r="AD28" s="100">
        <v>100000</v>
      </c>
      <c r="AE28" s="100" t="e">
        <f>AC28/AD28/2</f>
        <v>#VALUE!</v>
      </c>
      <c r="AF28" s="100" t="e">
        <f>Z28+AE28</f>
        <v>#VALUE!</v>
      </c>
      <c r="AG28" s="102"/>
      <c r="AH28" s="101"/>
      <c r="AJ28" s="158">
        <f>VLOOKUP(B28,'[1]万昌 1'!$B$9:$G$59,6,0)</f>
        <v>0.60313846153846107</v>
      </c>
      <c r="AK28" s="158">
        <v>0.3</v>
      </c>
      <c r="AL28" s="160">
        <f>AJ28+AK28</f>
        <v>0.903138461538461</v>
      </c>
      <c r="AM28" s="161">
        <f>(AL28-Z28)/Z28</f>
        <v>0.6191440466857473</v>
      </c>
      <c r="AN28" s="163" t="s">
        <v>173</v>
      </c>
    </row>
    <row r="29" spans="1:40" s="12" customFormat="1" ht="18" customHeight="1">
      <c r="A29" s="105"/>
      <c r="B29" s="108"/>
      <c r="C29" s="108"/>
      <c r="D29" s="108"/>
      <c r="E29" s="46" t="s">
        <v>148</v>
      </c>
      <c r="F29" s="47" t="s">
        <v>149</v>
      </c>
      <c r="G29" s="48"/>
      <c r="H29" s="48" t="s">
        <v>136</v>
      </c>
      <c r="I29" s="47"/>
      <c r="J29" s="47"/>
      <c r="K29" s="48"/>
      <c r="L29" s="49"/>
      <c r="M29" s="47"/>
      <c r="N29" s="50"/>
      <c r="O29" s="58">
        <f>0.0442*1.13</f>
        <v>4.9945999999999997E-2</v>
      </c>
      <c r="P29" s="51"/>
      <c r="Q29" s="50">
        <f>H29*O29</f>
        <v>9.9891999999999995E-2</v>
      </c>
      <c r="R29" s="9" t="s">
        <v>150</v>
      </c>
      <c r="S29" s="54">
        <v>40</v>
      </c>
      <c r="T29" s="9" t="s">
        <v>146</v>
      </c>
      <c r="U29" s="52">
        <v>1</v>
      </c>
      <c r="V29" s="59">
        <v>0.03</v>
      </c>
      <c r="W29" s="11">
        <v>1</v>
      </c>
      <c r="X29" s="11">
        <f>U29*V29/W29</f>
        <v>0.03</v>
      </c>
      <c r="Y29" s="103"/>
      <c r="Z29" s="93"/>
      <c r="AA29" s="95"/>
      <c r="AB29" s="98"/>
      <c r="AC29" s="100"/>
      <c r="AD29" s="101"/>
      <c r="AE29" s="100"/>
      <c r="AF29" s="100"/>
      <c r="AG29" s="102"/>
      <c r="AH29" s="101"/>
      <c r="AJ29" s="158"/>
      <c r="AK29" s="158"/>
      <c r="AL29" s="160"/>
      <c r="AM29" s="161"/>
      <c r="AN29" s="163"/>
    </row>
    <row r="30" spans="1:40" s="12" customFormat="1" ht="18" customHeight="1">
      <c r="A30" s="105"/>
      <c r="B30" s="108"/>
      <c r="C30" s="108"/>
      <c r="D30" s="108"/>
      <c r="E30" s="46"/>
      <c r="F30" s="47"/>
      <c r="G30" s="48"/>
      <c r="H30" s="48"/>
      <c r="I30" s="47"/>
      <c r="J30" s="47"/>
      <c r="K30" s="48"/>
      <c r="L30" s="49"/>
      <c r="M30" s="47"/>
      <c r="N30" s="50"/>
      <c r="O30" s="51"/>
      <c r="P30" s="51"/>
      <c r="Q30" s="50"/>
      <c r="R30" s="9" t="s">
        <v>142</v>
      </c>
      <c r="S30" s="54">
        <v>25</v>
      </c>
      <c r="T30" s="9" t="s">
        <v>146</v>
      </c>
      <c r="U30" s="52">
        <v>1</v>
      </c>
      <c r="V30" s="59">
        <v>0.03</v>
      </c>
      <c r="W30" s="11">
        <v>1</v>
      </c>
      <c r="X30" s="11">
        <f>U30*V30/W30</f>
        <v>0.03</v>
      </c>
      <c r="Y30" s="103"/>
      <c r="Z30" s="93"/>
      <c r="AA30" s="95"/>
      <c r="AB30" s="98"/>
      <c r="AC30" s="100"/>
      <c r="AD30" s="101"/>
      <c r="AE30" s="100"/>
      <c r="AF30" s="100"/>
      <c r="AG30" s="102"/>
      <c r="AH30" s="101"/>
      <c r="AJ30" s="158"/>
      <c r="AK30" s="158"/>
      <c r="AL30" s="160"/>
      <c r="AM30" s="161"/>
      <c r="AN30" s="163"/>
    </row>
    <row r="31" spans="1:40" s="12" customFormat="1" ht="18" customHeight="1">
      <c r="A31" s="105"/>
      <c r="B31" s="108"/>
      <c r="C31" s="108"/>
      <c r="D31" s="108"/>
      <c r="E31" s="46"/>
      <c r="F31" s="47"/>
      <c r="G31" s="48"/>
      <c r="H31" s="48"/>
      <c r="I31" s="47"/>
      <c r="J31" s="47"/>
      <c r="K31" s="48"/>
      <c r="L31" s="49"/>
      <c r="M31" s="47"/>
      <c r="N31" s="50"/>
      <c r="O31" s="51"/>
      <c r="P31" s="51"/>
      <c r="Q31" s="50"/>
      <c r="R31" s="9" t="s">
        <v>53</v>
      </c>
      <c r="S31" s="54"/>
      <c r="T31" s="9"/>
      <c r="U31" s="45">
        <v>4</v>
      </c>
      <c r="V31" s="59">
        <v>0.05</v>
      </c>
      <c r="W31" s="11">
        <v>2</v>
      </c>
      <c r="X31" s="11">
        <f>U31*V31/W31</f>
        <v>0.1</v>
      </c>
      <c r="Y31" s="103"/>
      <c r="Z31" s="93"/>
      <c r="AA31" s="95"/>
      <c r="AB31" s="98"/>
      <c r="AC31" s="100"/>
      <c r="AD31" s="101"/>
      <c r="AE31" s="100"/>
      <c r="AF31" s="100"/>
      <c r="AG31" s="102"/>
      <c r="AH31" s="101"/>
      <c r="AJ31" s="158"/>
      <c r="AK31" s="158"/>
      <c r="AL31" s="160"/>
      <c r="AM31" s="161"/>
      <c r="AN31" s="163"/>
    </row>
    <row r="32" spans="1:40" s="12" customFormat="1" ht="18" customHeight="1">
      <c r="A32" s="105"/>
      <c r="B32" s="108"/>
      <c r="C32" s="108"/>
      <c r="D32" s="108"/>
      <c r="E32" s="46"/>
      <c r="F32" s="47"/>
      <c r="G32" s="48"/>
      <c r="H32" s="48"/>
      <c r="I32" s="47"/>
      <c r="J32" s="47"/>
      <c r="K32" s="48"/>
      <c r="L32" s="49"/>
      <c r="M32" s="47"/>
      <c r="N32" s="50"/>
      <c r="O32" s="51"/>
      <c r="P32" s="51"/>
      <c r="Q32" s="50"/>
      <c r="R32" s="9" t="s">
        <v>151</v>
      </c>
      <c r="S32" s="9"/>
      <c r="T32" s="9"/>
      <c r="U32" s="43">
        <f>0.078*0.023*2</f>
        <v>3.588E-3</v>
      </c>
      <c r="V32" s="59">
        <v>10</v>
      </c>
      <c r="W32" s="11">
        <v>1</v>
      </c>
      <c r="X32" s="11">
        <f>U32*V32/W32</f>
        <v>3.5880000000000002E-2</v>
      </c>
      <c r="Y32" s="103"/>
      <c r="Z32" s="93"/>
      <c r="AA32" s="96"/>
      <c r="AB32" s="99"/>
      <c r="AC32" s="100"/>
      <c r="AD32" s="101"/>
      <c r="AE32" s="100"/>
      <c r="AF32" s="100"/>
      <c r="AG32" s="102"/>
      <c r="AH32" s="101"/>
      <c r="AJ32" s="158"/>
      <c r="AK32" s="158"/>
      <c r="AL32" s="160"/>
      <c r="AM32" s="161"/>
      <c r="AN32" s="163"/>
    </row>
    <row r="33" spans="1:40" s="22" customFormat="1" ht="22.95" customHeight="1">
      <c r="A33" s="106"/>
      <c r="B33" s="109"/>
      <c r="C33" s="109"/>
      <c r="D33" s="109"/>
      <c r="E33" s="90" t="s">
        <v>52</v>
      </c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2"/>
      <c r="Q33" s="13">
        <f>SUM(Q28:Q32)</f>
        <v>0.32688783999999999</v>
      </c>
      <c r="R33" s="14"/>
      <c r="S33" s="15"/>
      <c r="T33" s="15"/>
      <c r="U33" s="15"/>
      <c r="V33" s="20"/>
      <c r="W33" s="16"/>
      <c r="X33" s="17">
        <f>SUM(X28:X32)</f>
        <v>0.23588000000000001</v>
      </c>
      <c r="Y33" s="18"/>
      <c r="Z33" s="18"/>
      <c r="AA33" s="18"/>
      <c r="AB33" s="18"/>
      <c r="AC33" s="44"/>
      <c r="AD33" s="19"/>
      <c r="AE33" s="20"/>
      <c r="AF33" s="20"/>
      <c r="AG33" s="21"/>
      <c r="AH33" s="101"/>
      <c r="AJ33" s="62"/>
      <c r="AK33" s="62"/>
      <c r="AL33" s="65"/>
      <c r="AM33" s="62"/>
    </row>
    <row r="34" spans="1:40" s="12" customFormat="1" ht="18" customHeight="1">
      <c r="A34" s="104">
        <v>9</v>
      </c>
      <c r="B34" s="107" t="s">
        <v>109</v>
      </c>
      <c r="C34" s="110"/>
      <c r="D34" s="107" t="s">
        <v>110</v>
      </c>
      <c r="E34" s="121" t="s">
        <v>110</v>
      </c>
      <c r="F34" s="118" t="s">
        <v>137</v>
      </c>
      <c r="G34" s="122"/>
      <c r="H34" s="114" t="s">
        <v>56</v>
      </c>
      <c r="I34" s="111">
        <f>140+8</f>
        <v>148</v>
      </c>
      <c r="J34" s="111">
        <f>40+8</f>
        <v>48</v>
      </c>
      <c r="K34" s="114" t="s">
        <v>132</v>
      </c>
      <c r="L34" s="117">
        <f>I34*J34*K34*7.85/1000000</f>
        <v>0.22306559999999998</v>
      </c>
      <c r="M34" s="118">
        <v>8.4000000000000005E-2</v>
      </c>
      <c r="N34" s="119">
        <f>L34-M34</f>
        <v>0.13906559999999996</v>
      </c>
      <c r="O34" s="120">
        <v>6.79</v>
      </c>
      <c r="P34" s="120">
        <v>3.4</v>
      </c>
      <c r="Q34" s="119">
        <f>(L34*O34-N34*P34)*H34</f>
        <v>1.0417923839999998</v>
      </c>
      <c r="R34" s="9" t="s">
        <v>141</v>
      </c>
      <c r="S34" s="54">
        <v>125</v>
      </c>
      <c r="T34" s="9" t="s">
        <v>146</v>
      </c>
      <c r="U34" s="43">
        <v>1</v>
      </c>
      <c r="V34" s="52">
        <v>0.08</v>
      </c>
      <c r="W34" s="11">
        <v>1</v>
      </c>
      <c r="X34" s="11">
        <f>U34*V34/W34</f>
        <v>0.08</v>
      </c>
      <c r="Y34" s="103">
        <f>(Q39+X39)*1.12</f>
        <v>1.56113707008</v>
      </c>
      <c r="Z34" s="93">
        <f>Y34/1.13</f>
        <v>1.3815372301592921</v>
      </c>
      <c r="AA34" s="94">
        <f>M34/L34</f>
        <v>0.3765708383542779</v>
      </c>
      <c r="AB34" s="97">
        <f>L34*O34/1.13*0.9</f>
        <v>1.2063308686725664</v>
      </c>
      <c r="AC34" s="123" t="s">
        <v>161</v>
      </c>
      <c r="AD34" s="100">
        <v>100000</v>
      </c>
      <c r="AE34" s="100" t="e">
        <f>AC34/AD34/2</f>
        <v>#VALUE!</v>
      </c>
      <c r="AF34" s="100" t="e">
        <f>Z34+AE34</f>
        <v>#VALUE!</v>
      </c>
      <c r="AG34" s="102"/>
      <c r="AH34" s="101"/>
      <c r="AJ34" s="158">
        <f>VLOOKUP(B34,'[1]万昌 1'!$B$9:$G$59,6,0)</f>
        <v>1.1727692307692343</v>
      </c>
      <c r="AK34" s="158">
        <v>0.35</v>
      </c>
      <c r="AL34" s="160">
        <f>AJ34+AK34</f>
        <v>1.5227692307692342</v>
      </c>
      <c r="AM34" s="161">
        <f>(AL34-Z34)/Z34</f>
        <v>0.10222815391928163</v>
      </c>
      <c r="AN34" s="164"/>
    </row>
    <row r="35" spans="1:40" s="12" customFormat="1" ht="18" customHeight="1">
      <c r="A35" s="105"/>
      <c r="B35" s="108"/>
      <c r="C35" s="108"/>
      <c r="D35" s="108"/>
      <c r="E35" s="121"/>
      <c r="F35" s="118"/>
      <c r="G35" s="122"/>
      <c r="H35" s="115"/>
      <c r="I35" s="112"/>
      <c r="J35" s="112"/>
      <c r="K35" s="115"/>
      <c r="L35" s="117"/>
      <c r="M35" s="118"/>
      <c r="N35" s="119"/>
      <c r="O35" s="120"/>
      <c r="P35" s="120"/>
      <c r="Q35" s="119"/>
      <c r="R35" s="9" t="s">
        <v>152</v>
      </c>
      <c r="S35" s="54">
        <v>100</v>
      </c>
      <c r="T35" s="9" t="s">
        <v>146</v>
      </c>
      <c r="U35" s="43">
        <v>1</v>
      </c>
      <c r="V35" s="52">
        <f>0.07</f>
        <v>7.0000000000000007E-2</v>
      </c>
      <c r="W35" s="11">
        <v>1</v>
      </c>
      <c r="X35" s="11">
        <f>U35*V35/W35</f>
        <v>7.0000000000000007E-2</v>
      </c>
      <c r="Y35" s="103"/>
      <c r="Z35" s="93"/>
      <c r="AA35" s="95"/>
      <c r="AB35" s="98"/>
      <c r="AC35" s="123"/>
      <c r="AD35" s="101"/>
      <c r="AE35" s="100"/>
      <c r="AF35" s="100"/>
      <c r="AG35" s="102"/>
      <c r="AH35" s="101"/>
      <c r="AJ35" s="158"/>
      <c r="AK35" s="158"/>
      <c r="AL35" s="160"/>
      <c r="AM35" s="161"/>
      <c r="AN35" s="164"/>
    </row>
    <row r="36" spans="1:40" s="12" customFormat="1" ht="18" customHeight="1">
      <c r="A36" s="105"/>
      <c r="B36" s="108"/>
      <c r="C36" s="108"/>
      <c r="D36" s="108"/>
      <c r="E36" s="121"/>
      <c r="F36" s="118"/>
      <c r="G36" s="122"/>
      <c r="H36" s="115"/>
      <c r="I36" s="112"/>
      <c r="J36" s="112"/>
      <c r="K36" s="115"/>
      <c r="L36" s="117"/>
      <c r="M36" s="118"/>
      <c r="N36" s="119"/>
      <c r="O36" s="120"/>
      <c r="P36" s="120"/>
      <c r="Q36" s="119"/>
      <c r="R36" s="9" t="s">
        <v>153</v>
      </c>
      <c r="S36" s="54">
        <v>40</v>
      </c>
      <c r="T36" s="9" t="s">
        <v>146</v>
      </c>
      <c r="U36" s="43">
        <v>1</v>
      </c>
      <c r="V36" s="52">
        <v>0.03</v>
      </c>
      <c r="W36" s="11">
        <v>1</v>
      </c>
      <c r="X36" s="11">
        <f>U36*V36/W36</f>
        <v>0.03</v>
      </c>
      <c r="Y36" s="103"/>
      <c r="Z36" s="93"/>
      <c r="AA36" s="95"/>
      <c r="AB36" s="98"/>
      <c r="AC36" s="123"/>
      <c r="AD36" s="101"/>
      <c r="AE36" s="100"/>
      <c r="AF36" s="100"/>
      <c r="AG36" s="102"/>
      <c r="AH36" s="101"/>
      <c r="AJ36" s="158"/>
      <c r="AK36" s="158"/>
      <c r="AL36" s="160"/>
      <c r="AM36" s="161"/>
      <c r="AN36" s="164"/>
    </row>
    <row r="37" spans="1:40" s="12" customFormat="1" ht="18" customHeight="1">
      <c r="A37" s="105"/>
      <c r="B37" s="108"/>
      <c r="C37" s="108"/>
      <c r="D37" s="108"/>
      <c r="E37" s="121"/>
      <c r="F37" s="118"/>
      <c r="G37" s="122"/>
      <c r="H37" s="115"/>
      <c r="I37" s="112"/>
      <c r="J37" s="112"/>
      <c r="K37" s="115"/>
      <c r="L37" s="117"/>
      <c r="M37" s="118"/>
      <c r="N37" s="119"/>
      <c r="O37" s="120"/>
      <c r="P37" s="120"/>
      <c r="Q37" s="119"/>
      <c r="R37" s="9" t="s">
        <v>155</v>
      </c>
      <c r="S37" s="54">
        <v>40</v>
      </c>
      <c r="T37" s="9" t="s">
        <v>146</v>
      </c>
      <c r="U37" s="52">
        <v>1</v>
      </c>
      <c r="V37" s="52">
        <v>0.03</v>
      </c>
      <c r="W37" s="11">
        <v>1</v>
      </c>
      <c r="X37" s="11">
        <f>U37*V37/W37</f>
        <v>0.03</v>
      </c>
      <c r="Y37" s="103"/>
      <c r="Z37" s="93"/>
      <c r="AA37" s="95"/>
      <c r="AB37" s="98"/>
      <c r="AC37" s="123"/>
      <c r="AD37" s="101"/>
      <c r="AE37" s="100"/>
      <c r="AF37" s="100"/>
      <c r="AG37" s="102"/>
      <c r="AH37" s="101"/>
      <c r="AJ37" s="158"/>
      <c r="AK37" s="158"/>
      <c r="AL37" s="160"/>
      <c r="AM37" s="161"/>
      <c r="AN37" s="164"/>
    </row>
    <row r="38" spans="1:40" s="12" customFormat="1" ht="18" customHeight="1">
      <c r="A38" s="105"/>
      <c r="B38" s="108"/>
      <c r="C38" s="108"/>
      <c r="D38" s="108"/>
      <c r="E38" s="121"/>
      <c r="F38" s="118"/>
      <c r="G38" s="122"/>
      <c r="H38" s="116"/>
      <c r="I38" s="113"/>
      <c r="J38" s="113"/>
      <c r="K38" s="116"/>
      <c r="L38" s="117"/>
      <c r="M38" s="118"/>
      <c r="N38" s="119"/>
      <c r="O38" s="120"/>
      <c r="P38" s="120"/>
      <c r="Q38" s="119"/>
      <c r="R38" s="9" t="s">
        <v>151</v>
      </c>
      <c r="S38" s="54"/>
      <c r="T38" s="9"/>
      <c r="U38" s="9">
        <f>0.148*0.048*2</f>
        <v>1.4208E-2</v>
      </c>
      <c r="V38" s="59">
        <v>10</v>
      </c>
      <c r="W38" s="11">
        <v>1</v>
      </c>
      <c r="X38" s="11">
        <f>U38*V38/W38</f>
        <v>0.14208000000000001</v>
      </c>
      <c r="Y38" s="103"/>
      <c r="Z38" s="93"/>
      <c r="AA38" s="96"/>
      <c r="AB38" s="99"/>
      <c r="AC38" s="123"/>
      <c r="AD38" s="101"/>
      <c r="AE38" s="100"/>
      <c r="AF38" s="100"/>
      <c r="AG38" s="102"/>
      <c r="AH38" s="101"/>
      <c r="AJ38" s="158"/>
      <c r="AK38" s="158"/>
      <c r="AL38" s="160"/>
      <c r="AM38" s="161"/>
      <c r="AN38" s="164"/>
    </row>
    <row r="39" spans="1:40" s="22" customFormat="1" ht="22.95" customHeight="1">
      <c r="A39" s="106"/>
      <c r="B39" s="109"/>
      <c r="C39" s="109"/>
      <c r="D39" s="109"/>
      <c r="E39" s="90" t="s">
        <v>52</v>
      </c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2"/>
      <c r="Q39" s="13">
        <f>SUM(Q34:Q38)</f>
        <v>1.0417923839999998</v>
      </c>
      <c r="R39" s="14"/>
      <c r="S39" s="57"/>
      <c r="T39" s="15"/>
      <c r="U39" s="15"/>
      <c r="V39" s="20"/>
      <c r="W39" s="16"/>
      <c r="X39" s="17">
        <f>SUM(X34:X38)</f>
        <v>0.35208000000000006</v>
      </c>
      <c r="Y39" s="18"/>
      <c r="Z39" s="18"/>
      <c r="AA39" s="18"/>
      <c r="AB39" s="18"/>
      <c r="AC39" s="44"/>
      <c r="AD39" s="19"/>
      <c r="AE39" s="20"/>
      <c r="AF39" s="20"/>
      <c r="AG39" s="21"/>
      <c r="AH39" s="101"/>
      <c r="AJ39" s="62"/>
      <c r="AK39" s="62"/>
      <c r="AL39" s="65"/>
      <c r="AM39" s="62"/>
    </row>
    <row r="40" spans="1:40" s="12" customFormat="1" ht="18" customHeight="1">
      <c r="A40" s="104">
        <v>10</v>
      </c>
      <c r="B40" s="107" t="s">
        <v>111</v>
      </c>
      <c r="C40" s="110"/>
      <c r="D40" s="107" t="s">
        <v>112</v>
      </c>
      <c r="E40" s="121" t="s">
        <v>112</v>
      </c>
      <c r="F40" s="118" t="s">
        <v>137</v>
      </c>
      <c r="G40" s="122"/>
      <c r="H40" s="114" t="s">
        <v>56</v>
      </c>
      <c r="I40" s="111">
        <f>140+8</f>
        <v>148</v>
      </c>
      <c r="J40" s="111">
        <f>40+8</f>
        <v>48</v>
      </c>
      <c r="K40" s="114" t="s">
        <v>132</v>
      </c>
      <c r="L40" s="117">
        <f>I40*J40*K40*7.85/1000000</f>
        <v>0.22306559999999998</v>
      </c>
      <c r="M40" s="118">
        <v>8.4000000000000005E-2</v>
      </c>
      <c r="N40" s="119">
        <f>L40-M40</f>
        <v>0.13906559999999996</v>
      </c>
      <c r="O40" s="120">
        <v>6.79</v>
      </c>
      <c r="P40" s="120">
        <v>3.4</v>
      </c>
      <c r="Q40" s="119">
        <f>(L40*O40-N40*P40)*H40</f>
        <v>1.0417923839999998</v>
      </c>
      <c r="R40" s="9" t="s">
        <v>141</v>
      </c>
      <c r="S40" s="54">
        <v>125</v>
      </c>
      <c r="T40" s="9" t="s">
        <v>146</v>
      </c>
      <c r="U40" s="52">
        <v>1</v>
      </c>
      <c r="V40" s="52">
        <v>0.08</v>
      </c>
      <c r="W40" s="11">
        <v>1</v>
      </c>
      <c r="X40" s="11">
        <f>U40*V40/W40</f>
        <v>0.08</v>
      </c>
      <c r="Y40" s="103">
        <f>(Q45+X45)*1.12</f>
        <v>1.56113707008</v>
      </c>
      <c r="Z40" s="93">
        <f>Y40/1.13</f>
        <v>1.3815372301592921</v>
      </c>
      <c r="AA40" s="94">
        <f>M40/L40</f>
        <v>0.3765708383542779</v>
      </c>
      <c r="AB40" s="97">
        <f>L40*O40/1.13*0.9</f>
        <v>1.2063308686725664</v>
      </c>
      <c r="AC40" s="123" t="s">
        <v>161</v>
      </c>
      <c r="AD40" s="100">
        <v>100000</v>
      </c>
      <c r="AE40" s="100" t="e">
        <f>AC40/AD40/2</f>
        <v>#VALUE!</v>
      </c>
      <c r="AF40" s="100" t="e">
        <f>Z40+AE40</f>
        <v>#VALUE!</v>
      </c>
      <c r="AG40" s="102"/>
      <c r="AH40" s="101"/>
      <c r="AJ40" s="158">
        <f>VLOOKUP(B40,'[1]万昌 1'!$B$9:$G$59,6,0)</f>
        <v>1.1727692307692343</v>
      </c>
      <c r="AK40" s="158">
        <v>0.35</v>
      </c>
      <c r="AL40" s="160">
        <f>AJ40+AK40</f>
        <v>1.5227692307692342</v>
      </c>
      <c r="AM40" s="161">
        <f>(AL40-Z40)/Z40</f>
        <v>0.10222815391928163</v>
      </c>
      <c r="AN40" s="164"/>
    </row>
    <row r="41" spans="1:40" s="12" customFormat="1" ht="18" customHeight="1">
      <c r="A41" s="105"/>
      <c r="B41" s="108"/>
      <c r="C41" s="108"/>
      <c r="D41" s="108"/>
      <c r="E41" s="121"/>
      <c r="F41" s="118"/>
      <c r="G41" s="122"/>
      <c r="H41" s="115"/>
      <c r="I41" s="112"/>
      <c r="J41" s="112"/>
      <c r="K41" s="115"/>
      <c r="L41" s="117"/>
      <c r="M41" s="118"/>
      <c r="N41" s="119"/>
      <c r="O41" s="120"/>
      <c r="P41" s="120"/>
      <c r="Q41" s="119"/>
      <c r="R41" s="9" t="s">
        <v>152</v>
      </c>
      <c r="S41" s="54">
        <v>100</v>
      </c>
      <c r="T41" s="9" t="s">
        <v>146</v>
      </c>
      <c r="U41" s="52">
        <v>1</v>
      </c>
      <c r="V41" s="52">
        <v>7.0000000000000007E-2</v>
      </c>
      <c r="W41" s="11">
        <v>1</v>
      </c>
      <c r="X41" s="11">
        <f>U41*V41/W41</f>
        <v>7.0000000000000007E-2</v>
      </c>
      <c r="Y41" s="103"/>
      <c r="Z41" s="93"/>
      <c r="AA41" s="95"/>
      <c r="AB41" s="98"/>
      <c r="AC41" s="123"/>
      <c r="AD41" s="101"/>
      <c r="AE41" s="100"/>
      <c r="AF41" s="100"/>
      <c r="AG41" s="102"/>
      <c r="AH41" s="101"/>
      <c r="AJ41" s="158"/>
      <c r="AK41" s="158"/>
      <c r="AL41" s="160"/>
      <c r="AM41" s="161"/>
      <c r="AN41" s="164"/>
    </row>
    <row r="42" spans="1:40" s="12" customFormat="1" ht="18" customHeight="1">
      <c r="A42" s="105"/>
      <c r="B42" s="108"/>
      <c r="C42" s="108"/>
      <c r="D42" s="108"/>
      <c r="E42" s="121"/>
      <c r="F42" s="118"/>
      <c r="G42" s="122"/>
      <c r="H42" s="115"/>
      <c r="I42" s="112"/>
      <c r="J42" s="112"/>
      <c r="K42" s="115"/>
      <c r="L42" s="117"/>
      <c r="M42" s="118"/>
      <c r="N42" s="119"/>
      <c r="O42" s="120"/>
      <c r="P42" s="120"/>
      <c r="Q42" s="119"/>
      <c r="R42" s="9" t="s">
        <v>153</v>
      </c>
      <c r="S42" s="54">
        <v>40</v>
      </c>
      <c r="T42" s="9" t="s">
        <v>146</v>
      </c>
      <c r="U42" s="52">
        <v>1</v>
      </c>
      <c r="V42" s="52">
        <v>0.03</v>
      </c>
      <c r="W42" s="11">
        <v>1</v>
      </c>
      <c r="X42" s="11">
        <f>U42*V42/W42</f>
        <v>0.03</v>
      </c>
      <c r="Y42" s="103"/>
      <c r="Z42" s="93"/>
      <c r="AA42" s="95"/>
      <c r="AB42" s="98"/>
      <c r="AC42" s="123"/>
      <c r="AD42" s="101"/>
      <c r="AE42" s="100"/>
      <c r="AF42" s="100"/>
      <c r="AG42" s="102"/>
      <c r="AH42" s="101"/>
      <c r="AJ42" s="158"/>
      <c r="AK42" s="158"/>
      <c r="AL42" s="160"/>
      <c r="AM42" s="161"/>
      <c r="AN42" s="164"/>
    </row>
    <row r="43" spans="1:40" s="12" customFormat="1" ht="18" customHeight="1">
      <c r="A43" s="105"/>
      <c r="B43" s="108"/>
      <c r="C43" s="108"/>
      <c r="D43" s="108"/>
      <c r="E43" s="121"/>
      <c r="F43" s="118"/>
      <c r="G43" s="122"/>
      <c r="H43" s="115"/>
      <c r="I43" s="112"/>
      <c r="J43" s="112"/>
      <c r="K43" s="115"/>
      <c r="L43" s="117"/>
      <c r="M43" s="118"/>
      <c r="N43" s="119"/>
      <c r="O43" s="120"/>
      <c r="P43" s="120"/>
      <c r="Q43" s="119"/>
      <c r="R43" s="9" t="s">
        <v>155</v>
      </c>
      <c r="S43" s="54">
        <v>40</v>
      </c>
      <c r="T43" s="9" t="s">
        <v>146</v>
      </c>
      <c r="U43" s="52">
        <v>1</v>
      </c>
      <c r="V43" s="52">
        <v>0.03</v>
      </c>
      <c r="W43" s="11">
        <v>1</v>
      </c>
      <c r="X43" s="11">
        <f>U43*V43/W43</f>
        <v>0.03</v>
      </c>
      <c r="Y43" s="103"/>
      <c r="Z43" s="93"/>
      <c r="AA43" s="95"/>
      <c r="AB43" s="98"/>
      <c r="AC43" s="123"/>
      <c r="AD43" s="101"/>
      <c r="AE43" s="100"/>
      <c r="AF43" s="100"/>
      <c r="AG43" s="102"/>
      <c r="AH43" s="101"/>
      <c r="AJ43" s="158"/>
      <c r="AK43" s="158"/>
      <c r="AL43" s="160"/>
      <c r="AM43" s="161"/>
      <c r="AN43" s="164"/>
    </row>
    <row r="44" spans="1:40" s="12" customFormat="1" ht="18" customHeight="1">
      <c r="A44" s="105"/>
      <c r="B44" s="108"/>
      <c r="C44" s="108"/>
      <c r="D44" s="108"/>
      <c r="E44" s="121"/>
      <c r="F44" s="118"/>
      <c r="G44" s="122"/>
      <c r="H44" s="116"/>
      <c r="I44" s="113"/>
      <c r="J44" s="113"/>
      <c r="K44" s="116"/>
      <c r="L44" s="117"/>
      <c r="M44" s="118"/>
      <c r="N44" s="119"/>
      <c r="O44" s="120"/>
      <c r="P44" s="120"/>
      <c r="Q44" s="119"/>
      <c r="R44" s="9" t="s">
        <v>151</v>
      </c>
      <c r="S44" s="54"/>
      <c r="T44" s="9"/>
      <c r="U44" s="9">
        <f>0.148*0.048*2</f>
        <v>1.4208E-2</v>
      </c>
      <c r="V44" s="59">
        <v>10</v>
      </c>
      <c r="W44" s="11">
        <v>1</v>
      </c>
      <c r="X44" s="11">
        <f>U44*V44/W44</f>
        <v>0.14208000000000001</v>
      </c>
      <c r="Y44" s="103"/>
      <c r="Z44" s="93"/>
      <c r="AA44" s="96"/>
      <c r="AB44" s="99"/>
      <c r="AC44" s="123"/>
      <c r="AD44" s="101"/>
      <c r="AE44" s="100"/>
      <c r="AF44" s="100"/>
      <c r="AG44" s="102"/>
      <c r="AH44" s="101"/>
      <c r="AJ44" s="158"/>
      <c r="AK44" s="158"/>
      <c r="AL44" s="160"/>
      <c r="AM44" s="161"/>
      <c r="AN44" s="164"/>
    </row>
    <row r="45" spans="1:40" s="22" customFormat="1" ht="22.95" customHeight="1">
      <c r="A45" s="106"/>
      <c r="B45" s="109"/>
      <c r="C45" s="109"/>
      <c r="D45" s="109"/>
      <c r="E45" s="90" t="s">
        <v>52</v>
      </c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2"/>
      <c r="Q45" s="13">
        <f>SUM(Q40:Q44)</f>
        <v>1.0417923839999998</v>
      </c>
      <c r="R45" s="14"/>
      <c r="S45" s="57"/>
      <c r="T45" s="15"/>
      <c r="U45" s="15"/>
      <c r="V45" s="20"/>
      <c r="W45" s="16"/>
      <c r="X45" s="17">
        <f>SUM(X40:X44)</f>
        <v>0.35208000000000006</v>
      </c>
      <c r="Y45" s="18"/>
      <c r="Z45" s="18"/>
      <c r="AA45" s="18"/>
      <c r="AB45" s="18"/>
      <c r="AC45" s="44"/>
      <c r="AD45" s="19"/>
      <c r="AE45" s="20"/>
      <c r="AF45" s="20"/>
      <c r="AG45" s="21"/>
      <c r="AH45" s="101"/>
      <c r="AJ45" s="62"/>
      <c r="AK45" s="62"/>
      <c r="AL45" s="65"/>
      <c r="AM45" s="62"/>
    </row>
    <row r="46" spans="1:40" s="12" customFormat="1" ht="18" customHeight="1">
      <c r="A46" s="104">
        <v>11</v>
      </c>
      <c r="B46" s="107" t="s">
        <v>113</v>
      </c>
      <c r="C46" s="110"/>
      <c r="D46" s="107" t="s">
        <v>114</v>
      </c>
      <c r="E46" s="121" t="s">
        <v>114</v>
      </c>
      <c r="F46" s="118" t="s">
        <v>131</v>
      </c>
      <c r="G46" s="122"/>
      <c r="H46" s="114" t="s">
        <v>56</v>
      </c>
      <c r="I46" s="111">
        <f>90+6</f>
        <v>96</v>
      </c>
      <c r="J46" s="111">
        <f>90+6</f>
        <v>96</v>
      </c>
      <c r="K46" s="114" t="s">
        <v>138</v>
      </c>
      <c r="L46" s="117">
        <f>I46*J46*K46*7.85/1000000</f>
        <v>0.2170368</v>
      </c>
      <c r="M46" s="120">
        <v>0.126</v>
      </c>
      <c r="N46" s="119">
        <f>L46-M46</f>
        <v>9.1036800000000001E-2</v>
      </c>
      <c r="O46" s="120">
        <v>6.89</v>
      </c>
      <c r="P46" s="120">
        <v>3.4</v>
      </c>
      <c r="Q46" s="119">
        <f>(L46*O46-N46*P46)*H46</f>
        <v>1.1858584319999999</v>
      </c>
      <c r="R46" s="9" t="s">
        <v>141</v>
      </c>
      <c r="S46" s="54">
        <v>125</v>
      </c>
      <c r="T46" s="9" t="s">
        <v>146</v>
      </c>
      <c r="U46" s="52">
        <v>1</v>
      </c>
      <c r="V46" s="52">
        <v>0.08</v>
      </c>
      <c r="W46" s="11">
        <v>1</v>
      </c>
      <c r="X46" s="11">
        <f>U46*V46/W46</f>
        <v>0.08</v>
      </c>
      <c r="Y46" s="103">
        <f>(Q50+X50)*1.12</f>
        <v>1.7529998438399998</v>
      </c>
      <c r="Z46" s="93">
        <f>Y46/1.13</f>
        <v>1.5513272954336284</v>
      </c>
      <c r="AA46" s="94">
        <f>M46/L46</f>
        <v>0.58054670912951167</v>
      </c>
      <c r="AB46" s="97">
        <f>L46*O46/1.13*1</f>
        <v>1.3233482761061948</v>
      </c>
      <c r="AC46" s="123" t="s">
        <v>162</v>
      </c>
      <c r="AD46" s="100">
        <v>100000</v>
      </c>
      <c r="AE46" s="100" t="e">
        <f>AC46/AD46/2</f>
        <v>#VALUE!</v>
      </c>
      <c r="AF46" s="100" t="e">
        <f>Z46+AE46</f>
        <v>#VALUE!</v>
      </c>
      <c r="AG46" s="102"/>
      <c r="AH46" s="101"/>
      <c r="AJ46" s="158">
        <f>VLOOKUP(B46,'[1]万昌 1'!$B$9:$G$59,6,0)</f>
        <v>1.6837615384615405</v>
      </c>
      <c r="AK46" s="158">
        <v>0.25</v>
      </c>
      <c r="AL46" s="160">
        <f>AJ46+AK46</f>
        <v>1.9337615384615405</v>
      </c>
      <c r="AM46" s="161">
        <f>(AL46-Z46)/Z46</f>
        <v>0.24652066920605159</v>
      </c>
      <c r="AN46" s="163" t="s">
        <v>172</v>
      </c>
    </row>
    <row r="47" spans="1:40" s="12" customFormat="1" ht="18" customHeight="1">
      <c r="A47" s="105"/>
      <c r="B47" s="108"/>
      <c r="C47" s="108"/>
      <c r="D47" s="108"/>
      <c r="E47" s="121"/>
      <c r="F47" s="118"/>
      <c r="G47" s="122"/>
      <c r="H47" s="115"/>
      <c r="I47" s="112"/>
      <c r="J47" s="112"/>
      <c r="K47" s="115"/>
      <c r="L47" s="117"/>
      <c r="M47" s="120"/>
      <c r="N47" s="119"/>
      <c r="O47" s="120"/>
      <c r="P47" s="120"/>
      <c r="Q47" s="119"/>
      <c r="R47" s="9" t="s">
        <v>142</v>
      </c>
      <c r="S47" s="54">
        <v>63</v>
      </c>
      <c r="T47" s="9" t="s">
        <v>146</v>
      </c>
      <c r="U47" s="52">
        <v>1</v>
      </c>
      <c r="V47" s="52">
        <v>0.04</v>
      </c>
      <c r="W47" s="11">
        <v>1</v>
      </c>
      <c r="X47" s="11">
        <f>U47*V47/W47</f>
        <v>0.04</v>
      </c>
      <c r="Y47" s="103"/>
      <c r="Z47" s="93"/>
      <c r="AA47" s="95"/>
      <c r="AB47" s="98"/>
      <c r="AC47" s="123"/>
      <c r="AD47" s="101"/>
      <c r="AE47" s="100"/>
      <c r="AF47" s="100"/>
      <c r="AG47" s="102"/>
      <c r="AH47" s="101"/>
      <c r="AJ47" s="158"/>
      <c r="AK47" s="158"/>
      <c r="AL47" s="160"/>
      <c r="AM47" s="161"/>
      <c r="AN47" s="163"/>
    </row>
    <row r="48" spans="1:40" s="12" customFormat="1" ht="18" customHeight="1">
      <c r="A48" s="105"/>
      <c r="B48" s="108"/>
      <c r="C48" s="108"/>
      <c r="D48" s="108"/>
      <c r="E48" s="121"/>
      <c r="F48" s="118"/>
      <c r="G48" s="122"/>
      <c r="H48" s="115"/>
      <c r="I48" s="112"/>
      <c r="J48" s="112"/>
      <c r="K48" s="115"/>
      <c r="L48" s="117"/>
      <c r="M48" s="120"/>
      <c r="N48" s="119"/>
      <c r="O48" s="120"/>
      <c r="P48" s="120"/>
      <c r="Q48" s="119"/>
      <c r="R48" s="9" t="s">
        <v>53</v>
      </c>
      <c r="S48" s="54"/>
      <c r="T48" s="9"/>
      <c r="U48" s="43">
        <v>1.5</v>
      </c>
      <c r="V48" s="59">
        <v>0.05</v>
      </c>
      <c r="W48" s="11">
        <v>1</v>
      </c>
      <c r="X48" s="11">
        <f>U48*V48/W48</f>
        <v>7.5000000000000011E-2</v>
      </c>
      <c r="Y48" s="103"/>
      <c r="Z48" s="93"/>
      <c r="AA48" s="95"/>
      <c r="AB48" s="98"/>
      <c r="AC48" s="123"/>
      <c r="AD48" s="101"/>
      <c r="AE48" s="100"/>
      <c r="AF48" s="100"/>
      <c r="AG48" s="102"/>
      <c r="AH48" s="101"/>
      <c r="AJ48" s="158"/>
      <c r="AK48" s="158"/>
      <c r="AL48" s="160"/>
      <c r="AM48" s="161"/>
      <c r="AN48" s="163"/>
    </row>
    <row r="49" spans="1:40" s="12" customFormat="1" ht="18" customHeight="1">
      <c r="A49" s="105"/>
      <c r="B49" s="108"/>
      <c r="C49" s="108"/>
      <c r="D49" s="108"/>
      <c r="E49" s="121"/>
      <c r="F49" s="118"/>
      <c r="G49" s="122"/>
      <c r="H49" s="116"/>
      <c r="I49" s="113"/>
      <c r="J49" s="113"/>
      <c r="K49" s="116"/>
      <c r="L49" s="117"/>
      <c r="M49" s="120"/>
      <c r="N49" s="119"/>
      <c r="O49" s="120"/>
      <c r="P49" s="120"/>
      <c r="Q49" s="119"/>
      <c r="R49" s="9" t="s">
        <v>151</v>
      </c>
      <c r="S49" s="54"/>
      <c r="T49" s="9"/>
      <c r="U49" s="55">
        <f>0.096*0.096*2</f>
        <v>1.8432E-2</v>
      </c>
      <c r="V49" s="59">
        <v>10</v>
      </c>
      <c r="W49" s="11">
        <v>1</v>
      </c>
      <c r="X49" s="11">
        <f>U49*V49/W49</f>
        <v>0.18432000000000001</v>
      </c>
      <c r="Y49" s="103"/>
      <c r="Z49" s="93"/>
      <c r="AA49" s="96"/>
      <c r="AB49" s="99"/>
      <c r="AC49" s="123"/>
      <c r="AD49" s="101"/>
      <c r="AE49" s="100"/>
      <c r="AF49" s="100"/>
      <c r="AG49" s="102"/>
      <c r="AH49" s="101"/>
      <c r="AJ49" s="158"/>
      <c r="AK49" s="158"/>
      <c r="AL49" s="160"/>
      <c r="AM49" s="161"/>
      <c r="AN49" s="163"/>
    </row>
    <row r="50" spans="1:40" s="22" customFormat="1" ht="22.95" customHeight="1">
      <c r="A50" s="106"/>
      <c r="B50" s="109"/>
      <c r="C50" s="109"/>
      <c r="D50" s="109"/>
      <c r="E50" s="90" t="s">
        <v>52</v>
      </c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2"/>
      <c r="Q50" s="13">
        <f>SUM(Q46:Q49)</f>
        <v>1.1858584319999999</v>
      </c>
      <c r="R50" s="14"/>
      <c r="S50" s="57"/>
      <c r="T50" s="15"/>
      <c r="U50" s="15"/>
      <c r="V50" s="20"/>
      <c r="W50" s="16"/>
      <c r="X50" s="17">
        <f>SUM(X46:X49)</f>
        <v>0.37931999999999999</v>
      </c>
      <c r="Y50" s="18"/>
      <c r="Z50" s="18"/>
      <c r="AA50" s="18"/>
      <c r="AB50" s="18"/>
      <c r="AC50" s="44"/>
      <c r="AD50" s="19"/>
      <c r="AE50" s="20"/>
      <c r="AF50" s="20"/>
      <c r="AG50" s="21"/>
      <c r="AH50" s="101"/>
      <c r="AJ50" s="62"/>
      <c r="AK50" s="62"/>
      <c r="AL50" s="65"/>
      <c r="AM50" s="62"/>
    </row>
    <row r="51" spans="1:40" s="12" customFormat="1" ht="18" customHeight="1">
      <c r="A51" s="104">
        <v>12</v>
      </c>
      <c r="B51" s="107" t="s">
        <v>115</v>
      </c>
      <c r="C51" s="110"/>
      <c r="D51" s="107" t="s">
        <v>116</v>
      </c>
      <c r="E51" s="121" t="s">
        <v>116</v>
      </c>
      <c r="F51" s="118" t="s">
        <v>131</v>
      </c>
      <c r="G51" s="122"/>
      <c r="H51" s="114" t="s">
        <v>56</v>
      </c>
      <c r="I51" s="111">
        <f>90+6</f>
        <v>96</v>
      </c>
      <c r="J51" s="111">
        <f>90+6</f>
        <v>96</v>
      </c>
      <c r="K51" s="114" t="s">
        <v>138</v>
      </c>
      <c r="L51" s="117">
        <f>I51*J51*K51*7.85/1000000</f>
        <v>0.2170368</v>
      </c>
      <c r="M51" s="120">
        <v>0.126</v>
      </c>
      <c r="N51" s="119">
        <f>L51-M51</f>
        <v>9.1036800000000001E-2</v>
      </c>
      <c r="O51" s="120">
        <v>6.89</v>
      </c>
      <c r="P51" s="120">
        <v>3.4</v>
      </c>
      <c r="Q51" s="119">
        <f>(L51*O51-N51*P51)*H51</f>
        <v>1.1858584319999999</v>
      </c>
      <c r="R51" s="9" t="s">
        <v>141</v>
      </c>
      <c r="S51" s="54">
        <v>125</v>
      </c>
      <c r="T51" s="9" t="s">
        <v>146</v>
      </c>
      <c r="U51" s="52">
        <v>1</v>
      </c>
      <c r="V51" s="52">
        <v>0.08</v>
      </c>
      <c r="W51" s="11">
        <v>1</v>
      </c>
      <c r="X51" s="11">
        <f>U51*V51/W51</f>
        <v>0.08</v>
      </c>
      <c r="Y51" s="103">
        <f>(Q55+X55)*1.12</f>
        <v>1.7529998438399998</v>
      </c>
      <c r="Z51" s="93">
        <f>Y51/1.13</f>
        <v>1.5513272954336284</v>
      </c>
      <c r="AA51" s="94">
        <f>M51/L51</f>
        <v>0.58054670912951167</v>
      </c>
      <c r="AB51" s="97">
        <f>L51*O51/1.13*1</f>
        <v>1.3233482761061948</v>
      </c>
      <c r="AC51" s="123" t="s">
        <v>162</v>
      </c>
      <c r="AD51" s="100">
        <v>100000</v>
      </c>
      <c r="AE51" s="100" t="e">
        <f>AC51/AD51/2</f>
        <v>#VALUE!</v>
      </c>
      <c r="AF51" s="100" t="e">
        <f>Z51+AE51</f>
        <v>#VALUE!</v>
      </c>
      <c r="AG51" s="102"/>
      <c r="AH51" s="101"/>
      <c r="AJ51" s="158">
        <f>VLOOKUP(B51,'[1]万昌 1'!$B$9:$G$59,6,0)</f>
        <v>1.6837615384615405</v>
      </c>
      <c r="AK51" s="158">
        <v>0.25</v>
      </c>
      <c r="AL51" s="160">
        <f>AJ51+AK51</f>
        <v>1.9337615384615405</v>
      </c>
      <c r="AM51" s="161">
        <f>(AL51-Z51)/Z51</f>
        <v>0.24652066920605159</v>
      </c>
      <c r="AN51" s="163" t="s">
        <v>173</v>
      </c>
    </row>
    <row r="52" spans="1:40" s="12" customFormat="1" ht="18" customHeight="1">
      <c r="A52" s="105"/>
      <c r="B52" s="108"/>
      <c r="C52" s="108"/>
      <c r="D52" s="108"/>
      <c r="E52" s="121"/>
      <c r="F52" s="118"/>
      <c r="G52" s="122"/>
      <c r="H52" s="115"/>
      <c r="I52" s="112"/>
      <c r="J52" s="112"/>
      <c r="K52" s="115"/>
      <c r="L52" s="117"/>
      <c r="M52" s="120"/>
      <c r="N52" s="119"/>
      <c r="O52" s="120"/>
      <c r="P52" s="120"/>
      <c r="Q52" s="119"/>
      <c r="R52" s="9" t="s">
        <v>142</v>
      </c>
      <c r="S52" s="54">
        <v>63</v>
      </c>
      <c r="T52" s="9" t="s">
        <v>146</v>
      </c>
      <c r="U52" s="52">
        <v>1</v>
      </c>
      <c r="V52" s="52">
        <v>0.04</v>
      </c>
      <c r="W52" s="11">
        <v>1</v>
      </c>
      <c r="X52" s="11">
        <f>U52*V52/W52</f>
        <v>0.04</v>
      </c>
      <c r="Y52" s="103"/>
      <c r="Z52" s="93"/>
      <c r="AA52" s="95"/>
      <c r="AB52" s="98"/>
      <c r="AC52" s="123"/>
      <c r="AD52" s="101"/>
      <c r="AE52" s="100"/>
      <c r="AF52" s="100"/>
      <c r="AG52" s="102"/>
      <c r="AH52" s="101"/>
      <c r="AJ52" s="158"/>
      <c r="AK52" s="158"/>
      <c r="AL52" s="160"/>
      <c r="AM52" s="161"/>
      <c r="AN52" s="163"/>
    </row>
    <row r="53" spans="1:40" s="12" customFormat="1" ht="18" customHeight="1">
      <c r="A53" s="105"/>
      <c r="B53" s="108"/>
      <c r="C53" s="108"/>
      <c r="D53" s="108"/>
      <c r="E53" s="121"/>
      <c r="F53" s="118"/>
      <c r="G53" s="122"/>
      <c r="H53" s="115"/>
      <c r="I53" s="112"/>
      <c r="J53" s="112"/>
      <c r="K53" s="115"/>
      <c r="L53" s="117"/>
      <c r="M53" s="120"/>
      <c r="N53" s="119"/>
      <c r="O53" s="120"/>
      <c r="P53" s="120"/>
      <c r="Q53" s="119"/>
      <c r="R53" s="9" t="s">
        <v>53</v>
      </c>
      <c r="S53" s="54"/>
      <c r="T53" s="9"/>
      <c r="U53" s="45">
        <v>1.5</v>
      </c>
      <c r="V53" s="59">
        <v>0.05</v>
      </c>
      <c r="W53" s="11">
        <v>1</v>
      </c>
      <c r="X53" s="11">
        <f>U53*V53/W53</f>
        <v>7.5000000000000011E-2</v>
      </c>
      <c r="Y53" s="103"/>
      <c r="Z53" s="93"/>
      <c r="AA53" s="95"/>
      <c r="AB53" s="98"/>
      <c r="AC53" s="123"/>
      <c r="AD53" s="101"/>
      <c r="AE53" s="100"/>
      <c r="AF53" s="100"/>
      <c r="AG53" s="102"/>
      <c r="AH53" s="101"/>
      <c r="AJ53" s="158"/>
      <c r="AK53" s="158"/>
      <c r="AL53" s="160"/>
      <c r="AM53" s="161"/>
      <c r="AN53" s="163"/>
    </row>
    <row r="54" spans="1:40" s="12" customFormat="1" ht="18" customHeight="1">
      <c r="A54" s="105"/>
      <c r="B54" s="108"/>
      <c r="C54" s="108"/>
      <c r="D54" s="108"/>
      <c r="E54" s="121"/>
      <c r="F54" s="118"/>
      <c r="G54" s="122"/>
      <c r="H54" s="116"/>
      <c r="I54" s="113"/>
      <c r="J54" s="113"/>
      <c r="K54" s="116"/>
      <c r="L54" s="117"/>
      <c r="M54" s="120"/>
      <c r="N54" s="119"/>
      <c r="O54" s="120"/>
      <c r="P54" s="120"/>
      <c r="Q54" s="119"/>
      <c r="R54" s="9" t="s">
        <v>151</v>
      </c>
      <c r="S54" s="54"/>
      <c r="T54" s="9"/>
      <c r="U54" s="56">
        <f>0.096*0.096*2</f>
        <v>1.8432E-2</v>
      </c>
      <c r="V54" s="59">
        <v>10</v>
      </c>
      <c r="W54" s="11">
        <v>1</v>
      </c>
      <c r="X54" s="11">
        <f>U54*V54/W54</f>
        <v>0.18432000000000001</v>
      </c>
      <c r="Y54" s="103"/>
      <c r="Z54" s="93"/>
      <c r="AA54" s="96"/>
      <c r="AB54" s="99"/>
      <c r="AC54" s="123"/>
      <c r="AD54" s="101"/>
      <c r="AE54" s="100"/>
      <c r="AF54" s="100"/>
      <c r="AG54" s="102"/>
      <c r="AH54" s="101"/>
      <c r="AJ54" s="158"/>
      <c r="AK54" s="158"/>
      <c r="AL54" s="160"/>
      <c r="AM54" s="161"/>
      <c r="AN54" s="163"/>
    </row>
    <row r="55" spans="1:40" s="22" customFormat="1" ht="22.95" customHeight="1">
      <c r="A55" s="106"/>
      <c r="B55" s="109"/>
      <c r="C55" s="109"/>
      <c r="D55" s="109"/>
      <c r="E55" s="90" t="s">
        <v>52</v>
      </c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2"/>
      <c r="Q55" s="13">
        <f>SUM(Q51:Q54)</f>
        <v>1.1858584319999999</v>
      </c>
      <c r="R55" s="14"/>
      <c r="S55" s="57"/>
      <c r="T55" s="15"/>
      <c r="U55" s="15"/>
      <c r="V55" s="20"/>
      <c r="W55" s="16"/>
      <c r="X55" s="17">
        <f>SUM(X51:X54)</f>
        <v>0.37931999999999999</v>
      </c>
      <c r="Y55" s="18"/>
      <c r="Z55" s="18"/>
      <c r="AA55" s="18"/>
      <c r="AB55" s="18"/>
      <c r="AC55" s="44"/>
      <c r="AD55" s="19"/>
      <c r="AE55" s="20"/>
      <c r="AF55" s="20"/>
      <c r="AG55" s="21"/>
      <c r="AH55" s="101"/>
      <c r="AJ55" s="62"/>
      <c r="AK55" s="62"/>
      <c r="AL55" s="65"/>
      <c r="AM55" s="62"/>
      <c r="AN55" s="69"/>
    </row>
    <row r="56" spans="1:40" s="12" customFormat="1" ht="18" customHeight="1">
      <c r="A56" s="104">
        <v>13</v>
      </c>
      <c r="B56" s="107" t="s">
        <v>117</v>
      </c>
      <c r="C56" s="110"/>
      <c r="D56" s="107" t="s">
        <v>118</v>
      </c>
      <c r="E56" s="121" t="s">
        <v>118</v>
      </c>
      <c r="F56" s="118" t="s">
        <v>139</v>
      </c>
      <c r="G56" s="122"/>
      <c r="H56" s="114" t="s">
        <v>56</v>
      </c>
      <c r="I56" s="111">
        <f>117+4</f>
        <v>121</v>
      </c>
      <c r="J56" s="111">
        <f>70+4</f>
        <v>74</v>
      </c>
      <c r="K56" s="114" t="s">
        <v>136</v>
      </c>
      <c r="L56" s="117">
        <f>I56*J56*K56*7.85/1000000</f>
        <v>0.14057779999999998</v>
      </c>
      <c r="M56" s="118">
        <v>5.6000000000000001E-2</v>
      </c>
      <c r="N56" s="119">
        <f>L56-M56</f>
        <v>8.4577799999999981E-2</v>
      </c>
      <c r="O56" s="120">
        <v>6.79</v>
      </c>
      <c r="P56" s="120">
        <v>3.4</v>
      </c>
      <c r="Q56" s="119">
        <f>(L56*O56-N56*P56)*H56</f>
        <v>0.66695874199999983</v>
      </c>
      <c r="R56" s="9" t="s">
        <v>141</v>
      </c>
      <c r="S56" s="54">
        <v>63</v>
      </c>
      <c r="T56" s="9" t="s">
        <v>146</v>
      </c>
      <c r="U56" s="52">
        <v>1</v>
      </c>
      <c r="V56" s="52">
        <v>0.04</v>
      </c>
      <c r="W56" s="11">
        <v>1</v>
      </c>
      <c r="X56" s="11">
        <f t="shared" ref="X56:X61" si="0">U56*V56/W56</f>
        <v>0.04</v>
      </c>
      <c r="Y56" s="103">
        <f>(Q62+X62)*1.12</f>
        <v>0.97659379103999988</v>
      </c>
      <c r="Z56" s="93">
        <f>Y56/1.13</f>
        <v>0.86424229295575217</v>
      </c>
      <c r="AA56" s="94">
        <f>M56/L56</f>
        <v>0.39835592817642623</v>
      </c>
      <c r="AB56" s="97">
        <f>L56*O56/1.13*0.9</f>
        <v>0.76023976619469014</v>
      </c>
      <c r="AC56" s="100">
        <v>5308</v>
      </c>
      <c r="AD56" s="100">
        <v>40000</v>
      </c>
      <c r="AE56" s="100">
        <f>AC56/AD56/2</f>
        <v>6.6350000000000006E-2</v>
      </c>
      <c r="AF56" s="100">
        <f>Z56+AE56</f>
        <v>0.93059229295575219</v>
      </c>
      <c r="AG56" s="102"/>
      <c r="AH56" s="101"/>
      <c r="AJ56" s="159">
        <f>1.04425-0.1327</f>
        <v>0.91154999999999986</v>
      </c>
      <c r="AK56" s="159">
        <v>0.2</v>
      </c>
      <c r="AL56" s="160">
        <f>AJ56+AK56</f>
        <v>1.1115499999999998</v>
      </c>
      <c r="AM56" s="162">
        <f>(AL56-Z56)/Z56</f>
        <v>0.28615552497256624</v>
      </c>
      <c r="AN56" s="163" t="s">
        <v>173</v>
      </c>
    </row>
    <row r="57" spans="1:40" s="12" customFormat="1" ht="18" customHeight="1">
      <c r="A57" s="105"/>
      <c r="B57" s="108"/>
      <c r="C57" s="108"/>
      <c r="D57" s="108"/>
      <c r="E57" s="121"/>
      <c r="F57" s="118"/>
      <c r="G57" s="122"/>
      <c r="H57" s="115"/>
      <c r="I57" s="112"/>
      <c r="J57" s="112"/>
      <c r="K57" s="115"/>
      <c r="L57" s="117"/>
      <c r="M57" s="118"/>
      <c r="N57" s="119"/>
      <c r="O57" s="120"/>
      <c r="P57" s="120"/>
      <c r="Q57" s="119"/>
      <c r="R57" s="9" t="s">
        <v>142</v>
      </c>
      <c r="S57" s="54" t="s">
        <v>165</v>
      </c>
      <c r="T57" s="9" t="s">
        <v>146</v>
      </c>
      <c r="U57" s="52">
        <v>1</v>
      </c>
      <c r="V57" s="52">
        <v>0.05</v>
      </c>
      <c r="W57" s="11">
        <v>1</v>
      </c>
      <c r="X57" s="11">
        <f t="shared" si="0"/>
        <v>0.05</v>
      </c>
      <c r="Y57" s="103"/>
      <c r="Z57" s="93"/>
      <c r="AA57" s="95"/>
      <c r="AB57" s="98"/>
      <c r="AC57" s="100"/>
      <c r="AD57" s="101"/>
      <c r="AE57" s="100"/>
      <c r="AF57" s="100"/>
      <c r="AG57" s="102"/>
      <c r="AH57" s="101"/>
      <c r="AJ57" s="159"/>
      <c r="AK57" s="159"/>
      <c r="AL57" s="160"/>
      <c r="AM57" s="162"/>
      <c r="AN57" s="163"/>
    </row>
    <row r="58" spans="1:40" s="12" customFormat="1" ht="18" customHeight="1">
      <c r="A58" s="105"/>
      <c r="B58" s="108"/>
      <c r="C58" s="108"/>
      <c r="D58" s="108"/>
      <c r="E58" s="121"/>
      <c r="F58" s="118"/>
      <c r="G58" s="122"/>
      <c r="H58" s="115"/>
      <c r="I58" s="112"/>
      <c r="J58" s="112"/>
      <c r="K58" s="115"/>
      <c r="L58" s="117"/>
      <c r="M58" s="118"/>
      <c r="N58" s="119"/>
      <c r="O58" s="120"/>
      <c r="P58" s="120"/>
      <c r="Q58" s="119"/>
      <c r="R58" s="9" t="s">
        <v>142</v>
      </c>
      <c r="S58" s="54">
        <v>63</v>
      </c>
      <c r="T58" s="9" t="s">
        <v>146</v>
      </c>
      <c r="U58" s="52">
        <v>1</v>
      </c>
      <c r="V58" s="52">
        <v>0.04</v>
      </c>
      <c r="W58" s="11">
        <v>1</v>
      </c>
      <c r="X58" s="11">
        <f t="shared" si="0"/>
        <v>0.04</v>
      </c>
      <c r="Y58" s="103"/>
      <c r="Z58" s="93"/>
      <c r="AA58" s="95"/>
      <c r="AB58" s="98"/>
      <c r="AC58" s="100"/>
      <c r="AD58" s="101"/>
      <c r="AE58" s="100"/>
      <c r="AF58" s="100"/>
      <c r="AG58" s="102"/>
      <c r="AH58" s="101"/>
      <c r="AJ58" s="159"/>
      <c r="AK58" s="159"/>
      <c r="AL58" s="160"/>
      <c r="AM58" s="162"/>
      <c r="AN58" s="163"/>
    </row>
    <row r="59" spans="1:40" s="12" customFormat="1" ht="18" customHeight="1">
      <c r="A59" s="105"/>
      <c r="B59" s="108"/>
      <c r="C59" s="108"/>
      <c r="D59" s="108"/>
      <c r="E59" s="121"/>
      <c r="F59" s="118"/>
      <c r="G59" s="122"/>
      <c r="H59" s="115"/>
      <c r="I59" s="112"/>
      <c r="J59" s="112"/>
      <c r="K59" s="115"/>
      <c r="L59" s="117"/>
      <c r="M59" s="118"/>
      <c r="N59" s="119"/>
      <c r="O59" s="120"/>
      <c r="P59" s="120"/>
      <c r="Q59" s="119"/>
      <c r="R59" s="9" t="s">
        <v>156</v>
      </c>
      <c r="S59" s="54">
        <v>25</v>
      </c>
      <c r="T59" s="9" t="s">
        <v>146</v>
      </c>
      <c r="U59" s="52">
        <v>1</v>
      </c>
      <c r="V59" s="52">
        <v>0.03</v>
      </c>
      <c r="W59" s="11">
        <v>1</v>
      </c>
      <c r="X59" s="11">
        <f t="shared" si="0"/>
        <v>0.03</v>
      </c>
      <c r="Y59" s="103"/>
      <c r="Z59" s="93"/>
      <c r="AA59" s="95"/>
      <c r="AB59" s="98"/>
      <c r="AC59" s="100"/>
      <c r="AD59" s="101"/>
      <c r="AE59" s="100"/>
      <c r="AF59" s="100"/>
      <c r="AG59" s="102"/>
      <c r="AH59" s="101"/>
      <c r="AJ59" s="159"/>
      <c r="AK59" s="159"/>
      <c r="AL59" s="160"/>
      <c r="AM59" s="162"/>
      <c r="AN59" s="163"/>
    </row>
    <row r="60" spans="1:40" s="12" customFormat="1" ht="18" customHeight="1">
      <c r="A60" s="105"/>
      <c r="B60" s="108"/>
      <c r="C60" s="108"/>
      <c r="D60" s="108"/>
      <c r="E60" s="121"/>
      <c r="F60" s="118"/>
      <c r="G60" s="122"/>
      <c r="H60" s="115"/>
      <c r="I60" s="112"/>
      <c r="J60" s="112"/>
      <c r="K60" s="115"/>
      <c r="L60" s="117"/>
      <c r="M60" s="118"/>
      <c r="N60" s="119"/>
      <c r="O60" s="120"/>
      <c r="P60" s="120"/>
      <c r="Q60" s="119"/>
      <c r="R60" s="9" t="s">
        <v>142</v>
      </c>
      <c r="S60" s="54">
        <v>25</v>
      </c>
      <c r="T60" s="9" t="s">
        <v>146</v>
      </c>
      <c r="U60" s="52">
        <v>1</v>
      </c>
      <c r="V60" s="52">
        <v>0.03</v>
      </c>
      <c r="W60" s="11">
        <v>2</v>
      </c>
      <c r="X60" s="11">
        <f t="shared" si="0"/>
        <v>1.4999999999999999E-2</v>
      </c>
      <c r="Y60" s="103"/>
      <c r="Z60" s="93"/>
      <c r="AA60" s="95"/>
      <c r="AB60" s="98"/>
      <c r="AC60" s="100"/>
      <c r="AD60" s="101"/>
      <c r="AE60" s="100"/>
      <c r="AF60" s="100"/>
      <c r="AG60" s="102"/>
      <c r="AH60" s="101"/>
      <c r="AJ60" s="159"/>
      <c r="AK60" s="159"/>
      <c r="AL60" s="160"/>
      <c r="AM60" s="162"/>
      <c r="AN60" s="163"/>
    </row>
    <row r="61" spans="1:40" s="12" customFormat="1" ht="18" customHeight="1">
      <c r="A61" s="105"/>
      <c r="B61" s="108"/>
      <c r="C61" s="108"/>
      <c r="D61" s="108"/>
      <c r="E61" s="121"/>
      <c r="F61" s="118"/>
      <c r="G61" s="122"/>
      <c r="H61" s="116"/>
      <c r="I61" s="113"/>
      <c r="J61" s="113"/>
      <c r="K61" s="116"/>
      <c r="L61" s="117"/>
      <c r="M61" s="118"/>
      <c r="N61" s="119"/>
      <c r="O61" s="120"/>
      <c r="P61" s="120"/>
      <c r="Q61" s="119"/>
      <c r="R61" s="9" t="s">
        <v>142</v>
      </c>
      <c r="S61" s="54">
        <v>25</v>
      </c>
      <c r="T61" s="9" t="s">
        <v>146</v>
      </c>
      <c r="U61" s="52">
        <v>1</v>
      </c>
      <c r="V61" s="52">
        <v>0.03</v>
      </c>
      <c r="W61" s="11">
        <v>1</v>
      </c>
      <c r="X61" s="11">
        <f t="shared" si="0"/>
        <v>0.03</v>
      </c>
      <c r="Y61" s="103"/>
      <c r="Z61" s="93"/>
      <c r="AA61" s="96"/>
      <c r="AB61" s="99"/>
      <c r="AC61" s="100"/>
      <c r="AD61" s="101"/>
      <c r="AE61" s="100"/>
      <c r="AF61" s="100"/>
      <c r="AG61" s="102"/>
      <c r="AH61" s="101"/>
      <c r="AJ61" s="159"/>
      <c r="AK61" s="159"/>
      <c r="AL61" s="160"/>
      <c r="AM61" s="162"/>
      <c r="AN61" s="163"/>
    </row>
    <row r="62" spans="1:40" s="22" customFormat="1" ht="22.95" customHeight="1">
      <c r="A62" s="106"/>
      <c r="B62" s="109"/>
      <c r="C62" s="109"/>
      <c r="D62" s="109"/>
      <c r="E62" s="90" t="s">
        <v>52</v>
      </c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2"/>
      <c r="Q62" s="13">
        <f>SUM(Q56:Q61)</f>
        <v>0.66695874199999983</v>
      </c>
      <c r="R62" s="14"/>
      <c r="S62" s="15"/>
      <c r="T62" s="15"/>
      <c r="U62" s="15"/>
      <c r="V62" s="20"/>
      <c r="W62" s="16"/>
      <c r="X62" s="17">
        <f>SUM(X56:X61)</f>
        <v>0.20499999999999999</v>
      </c>
      <c r="Y62" s="18"/>
      <c r="Z62" s="18"/>
      <c r="AA62" s="18"/>
      <c r="AB62" s="18"/>
      <c r="AC62" s="44"/>
      <c r="AD62" s="19"/>
      <c r="AE62" s="20"/>
      <c r="AF62" s="20"/>
      <c r="AG62" s="21"/>
      <c r="AH62" s="101"/>
      <c r="AJ62" s="62"/>
      <c r="AK62" s="62"/>
      <c r="AL62" s="65"/>
      <c r="AM62" s="62"/>
    </row>
    <row r="63" spans="1:40" s="12" customFormat="1" ht="18" customHeight="1">
      <c r="A63" s="104">
        <v>14</v>
      </c>
      <c r="B63" s="107" t="s">
        <v>119</v>
      </c>
      <c r="C63" s="110"/>
      <c r="D63" s="107" t="s">
        <v>120</v>
      </c>
      <c r="E63" s="121" t="s">
        <v>120</v>
      </c>
      <c r="F63" s="118" t="s">
        <v>133</v>
      </c>
      <c r="G63" s="122"/>
      <c r="H63" s="114" t="s">
        <v>56</v>
      </c>
      <c r="I63" s="111">
        <f>42+4</f>
        <v>46</v>
      </c>
      <c r="J63" s="111">
        <f>45+4</f>
        <v>49</v>
      </c>
      <c r="K63" s="114" t="s">
        <v>136</v>
      </c>
      <c r="L63" s="117">
        <f>I63*J63*K63*7.85/1000000</f>
        <v>3.5387799999999997E-2</v>
      </c>
      <c r="M63" s="118">
        <v>1.7999999999999999E-2</v>
      </c>
      <c r="N63" s="119">
        <f>L63-M63</f>
        <v>1.7387799999999998E-2</v>
      </c>
      <c r="O63" s="120">
        <v>5.8</v>
      </c>
      <c r="P63" s="120">
        <v>3.4</v>
      </c>
      <c r="Q63" s="119">
        <f>(L63*O63-N63*P63)*H63</f>
        <v>0.14613071999999999</v>
      </c>
      <c r="R63" s="9" t="s">
        <v>141</v>
      </c>
      <c r="S63" s="54">
        <v>40</v>
      </c>
      <c r="T63" s="9" t="s">
        <v>146</v>
      </c>
      <c r="U63" s="52">
        <v>1</v>
      </c>
      <c r="V63" s="52">
        <v>0.03</v>
      </c>
      <c r="W63" s="11">
        <v>1</v>
      </c>
      <c r="X63" s="11">
        <f>U63*V63/W63</f>
        <v>0.03</v>
      </c>
      <c r="Y63" s="103">
        <f>(Q67+X67)*1.12</f>
        <v>0.27566640640000001</v>
      </c>
      <c r="Z63" s="93">
        <f>Y63/1.13</f>
        <v>0.24395257203539827</v>
      </c>
      <c r="AA63" s="94">
        <f>M63/L63</f>
        <v>0.50864987368528136</v>
      </c>
      <c r="AB63" s="97">
        <f>L63*O63/1.13*1</f>
        <v>0.18163649557522124</v>
      </c>
      <c r="AC63" s="100" t="s">
        <v>163</v>
      </c>
      <c r="AD63" s="100">
        <v>100000</v>
      </c>
      <c r="AE63" s="100" t="e">
        <f>AC63/AD63/2</f>
        <v>#VALUE!</v>
      </c>
      <c r="AF63" s="100" t="e">
        <f>Z63+AE63</f>
        <v>#VALUE!</v>
      </c>
      <c r="AG63" s="102"/>
      <c r="AH63" s="101"/>
      <c r="AJ63" s="158">
        <f>VLOOKUP(B63,'[1]万昌 1'!$B$9:$G$59,6,0)</f>
        <v>0.23279999999999998</v>
      </c>
      <c r="AK63" s="158">
        <v>0.15</v>
      </c>
      <c r="AL63" s="160">
        <f>AJ63+AK63</f>
        <v>0.38279999999999997</v>
      </c>
      <c r="AM63" s="161">
        <f>(AL63-Z63)/Z63</f>
        <v>0.56915746698688019</v>
      </c>
      <c r="AN63" s="163" t="s">
        <v>173</v>
      </c>
    </row>
    <row r="64" spans="1:40" s="12" customFormat="1" ht="18" customHeight="1">
      <c r="A64" s="105"/>
      <c r="B64" s="108"/>
      <c r="C64" s="108"/>
      <c r="D64" s="108"/>
      <c r="E64" s="121"/>
      <c r="F64" s="118"/>
      <c r="G64" s="122"/>
      <c r="H64" s="115"/>
      <c r="I64" s="112"/>
      <c r="J64" s="112"/>
      <c r="K64" s="115"/>
      <c r="L64" s="117"/>
      <c r="M64" s="118"/>
      <c r="N64" s="119"/>
      <c r="O64" s="120"/>
      <c r="P64" s="120"/>
      <c r="Q64" s="119"/>
      <c r="R64" s="9" t="s">
        <v>142</v>
      </c>
      <c r="S64" s="54" t="s">
        <v>166</v>
      </c>
      <c r="T64" s="9" t="s">
        <v>146</v>
      </c>
      <c r="U64" s="52">
        <v>1</v>
      </c>
      <c r="V64" s="52">
        <v>0.04</v>
      </c>
      <c r="W64" s="11">
        <v>1</v>
      </c>
      <c r="X64" s="11">
        <f>U64*V64/W64</f>
        <v>0.04</v>
      </c>
      <c r="Y64" s="103"/>
      <c r="Z64" s="93"/>
      <c r="AA64" s="95"/>
      <c r="AB64" s="98"/>
      <c r="AC64" s="100"/>
      <c r="AD64" s="101"/>
      <c r="AE64" s="100"/>
      <c r="AF64" s="100"/>
      <c r="AG64" s="102"/>
      <c r="AH64" s="101"/>
      <c r="AJ64" s="158"/>
      <c r="AK64" s="158"/>
      <c r="AL64" s="160"/>
      <c r="AM64" s="161"/>
      <c r="AN64" s="163"/>
    </row>
    <row r="65" spans="1:40" s="12" customFormat="1" ht="18" customHeight="1">
      <c r="A65" s="105"/>
      <c r="B65" s="108"/>
      <c r="C65" s="108"/>
      <c r="D65" s="108"/>
      <c r="E65" s="121"/>
      <c r="F65" s="118"/>
      <c r="G65" s="122"/>
      <c r="H65" s="115"/>
      <c r="I65" s="112"/>
      <c r="J65" s="112"/>
      <c r="K65" s="115"/>
      <c r="L65" s="117"/>
      <c r="M65" s="118"/>
      <c r="N65" s="119"/>
      <c r="O65" s="120"/>
      <c r="P65" s="120"/>
      <c r="Q65" s="119"/>
      <c r="R65" s="9" t="s">
        <v>150</v>
      </c>
      <c r="S65" s="54">
        <v>25</v>
      </c>
      <c r="T65" s="9" t="s">
        <v>146</v>
      </c>
      <c r="U65" s="52">
        <v>1</v>
      </c>
      <c r="V65" s="52">
        <v>0.03</v>
      </c>
      <c r="W65" s="11">
        <v>1</v>
      </c>
      <c r="X65" s="11">
        <f>U65*V65/W65</f>
        <v>0.03</v>
      </c>
      <c r="Y65" s="103"/>
      <c r="Z65" s="93"/>
      <c r="AA65" s="95"/>
      <c r="AB65" s="98"/>
      <c r="AC65" s="100"/>
      <c r="AD65" s="101"/>
      <c r="AE65" s="100"/>
      <c r="AF65" s="100"/>
      <c r="AG65" s="102"/>
      <c r="AH65" s="101"/>
      <c r="AJ65" s="158"/>
      <c r="AK65" s="158"/>
      <c r="AL65" s="160"/>
      <c r="AM65" s="161"/>
      <c r="AN65" s="163"/>
    </row>
    <row r="66" spans="1:40" s="12" customFormat="1" ht="18" customHeight="1">
      <c r="A66" s="105"/>
      <c r="B66" s="108"/>
      <c r="C66" s="108"/>
      <c r="D66" s="108"/>
      <c r="E66" s="121"/>
      <c r="F66" s="118"/>
      <c r="G66" s="122"/>
      <c r="H66" s="116"/>
      <c r="I66" s="113"/>
      <c r="J66" s="113"/>
      <c r="K66" s="116"/>
      <c r="L66" s="117"/>
      <c r="M66" s="118"/>
      <c r="N66" s="119"/>
      <c r="O66" s="120"/>
      <c r="P66" s="120"/>
      <c r="Q66" s="119"/>
      <c r="R66" s="9"/>
      <c r="S66" s="9"/>
      <c r="T66" s="9"/>
      <c r="U66" s="43"/>
      <c r="V66" s="59"/>
      <c r="W66" s="11">
        <v>1</v>
      </c>
      <c r="X66" s="11">
        <f>U66*V66/W66</f>
        <v>0</v>
      </c>
      <c r="Y66" s="103"/>
      <c r="Z66" s="93"/>
      <c r="AA66" s="96"/>
      <c r="AB66" s="99"/>
      <c r="AC66" s="100"/>
      <c r="AD66" s="101"/>
      <c r="AE66" s="100"/>
      <c r="AF66" s="100"/>
      <c r="AG66" s="102"/>
      <c r="AH66" s="101"/>
      <c r="AJ66" s="158"/>
      <c r="AK66" s="158"/>
      <c r="AL66" s="160"/>
      <c r="AM66" s="161"/>
      <c r="AN66" s="163"/>
    </row>
    <row r="67" spans="1:40" s="22" customFormat="1" ht="22.95" customHeight="1">
      <c r="A67" s="106"/>
      <c r="B67" s="109"/>
      <c r="C67" s="109"/>
      <c r="D67" s="109"/>
      <c r="E67" s="90" t="s">
        <v>52</v>
      </c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2"/>
      <c r="Q67" s="13">
        <f>SUM(Q63:Q66)</f>
        <v>0.14613071999999999</v>
      </c>
      <c r="R67" s="14"/>
      <c r="S67" s="15"/>
      <c r="T67" s="15"/>
      <c r="U67" s="15"/>
      <c r="V67" s="20"/>
      <c r="W67" s="16"/>
      <c r="X67" s="17">
        <f>SUM(X63:X66)</f>
        <v>0.1</v>
      </c>
      <c r="Y67" s="18"/>
      <c r="Z67" s="18"/>
      <c r="AA67" s="18"/>
      <c r="AB67" s="18"/>
      <c r="AC67" s="44"/>
      <c r="AD67" s="19"/>
      <c r="AE67" s="20"/>
      <c r="AF67" s="20"/>
      <c r="AG67" s="21"/>
      <c r="AH67" s="101"/>
      <c r="AJ67" s="62"/>
      <c r="AK67" s="62"/>
      <c r="AL67" s="65"/>
      <c r="AM67" s="62"/>
    </row>
    <row r="68" spans="1:40" s="12" customFormat="1" ht="18" customHeight="1">
      <c r="A68" s="104">
        <v>15</v>
      </c>
      <c r="B68" s="107" t="s">
        <v>121</v>
      </c>
      <c r="C68" s="110"/>
      <c r="D68" s="107" t="s">
        <v>122</v>
      </c>
      <c r="E68" s="121" t="s">
        <v>122</v>
      </c>
      <c r="F68" s="118" t="s">
        <v>133</v>
      </c>
      <c r="G68" s="122"/>
      <c r="H68" s="114" t="s">
        <v>56</v>
      </c>
      <c r="I68" s="111">
        <f>42+4</f>
        <v>46</v>
      </c>
      <c r="J68" s="111">
        <f>45+4</f>
        <v>49</v>
      </c>
      <c r="K68" s="114" t="s">
        <v>136</v>
      </c>
      <c r="L68" s="117">
        <f>I68*J68*K68*7.85/1000000</f>
        <v>3.5387799999999997E-2</v>
      </c>
      <c r="M68" s="118">
        <v>1.7999999999999999E-2</v>
      </c>
      <c r="N68" s="119">
        <f>L68-M68</f>
        <v>1.7387799999999998E-2</v>
      </c>
      <c r="O68" s="120">
        <v>5.8</v>
      </c>
      <c r="P68" s="120">
        <v>3.4</v>
      </c>
      <c r="Q68" s="119">
        <f>(L68*O68-N68*P68)*H68</f>
        <v>0.14613071999999999</v>
      </c>
      <c r="R68" s="9" t="s">
        <v>141</v>
      </c>
      <c r="S68" s="54">
        <v>40</v>
      </c>
      <c r="T68" s="9" t="s">
        <v>146</v>
      </c>
      <c r="U68" s="52">
        <v>1</v>
      </c>
      <c r="V68" s="52">
        <v>0.03</v>
      </c>
      <c r="W68" s="11">
        <v>1</v>
      </c>
      <c r="X68" s="11">
        <f>U68*V68/W68</f>
        <v>0.03</v>
      </c>
      <c r="Y68" s="103">
        <f>(Q72+X72)*1.12</f>
        <v>0.27566640640000001</v>
      </c>
      <c r="Z68" s="93">
        <f>Y68/1.13</f>
        <v>0.24395257203539827</v>
      </c>
      <c r="AA68" s="94">
        <f>M68/L68</f>
        <v>0.50864987368528136</v>
      </c>
      <c r="AB68" s="97">
        <f>L68*O68/1.13*1</f>
        <v>0.18163649557522124</v>
      </c>
      <c r="AC68" s="100" t="s">
        <v>163</v>
      </c>
      <c r="AD68" s="100">
        <v>100000</v>
      </c>
      <c r="AE68" s="100" t="e">
        <f>AC68/AD68/2</f>
        <v>#VALUE!</v>
      </c>
      <c r="AF68" s="100" t="e">
        <f>Z68+AE68</f>
        <v>#VALUE!</v>
      </c>
      <c r="AG68" s="102"/>
      <c r="AH68" s="101"/>
      <c r="AJ68" s="158">
        <f>VLOOKUP(B68,'[1]万昌 1'!$B$9:$G$59,6,0)</f>
        <v>0.23279999999999998</v>
      </c>
      <c r="AK68" s="158">
        <v>0.15</v>
      </c>
      <c r="AL68" s="160">
        <f>AJ68+AK68</f>
        <v>0.38279999999999997</v>
      </c>
      <c r="AM68" s="161">
        <f>(AL68-Z68)/Z68</f>
        <v>0.56915746698688019</v>
      </c>
      <c r="AN68" s="163" t="s">
        <v>173</v>
      </c>
    </row>
    <row r="69" spans="1:40" s="12" customFormat="1" ht="18" customHeight="1">
      <c r="A69" s="105"/>
      <c r="B69" s="108"/>
      <c r="C69" s="108"/>
      <c r="D69" s="108"/>
      <c r="E69" s="121"/>
      <c r="F69" s="118"/>
      <c r="G69" s="122"/>
      <c r="H69" s="115"/>
      <c r="I69" s="112"/>
      <c r="J69" s="112"/>
      <c r="K69" s="115"/>
      <c r="L69" s="117"/>
      <c r="M69" s="118"/>
      <c r="N69" s="119"/>
      <c r="O69" s="120"/>
      <c r="P69" s="120"/>
      <c r="Q69" s="119"/>
      <c r="R69" s="9" t="s">
        <v>142</v>
      </c>
      <c r="S69" s="54" t="s">
        <v>166</v>
      </c>
      <c r="T69" s="9" t="s">
        <v>146</v>
      </c>
      <c r="U69" s="52">
        <v>1</v>
      </c>
      <c r="V69" s="52">
        <v>0.04</v>
      </c>
      <c r="W69" s="11">
        <v>1</v>
      </c>
      <c r="X69" s="11">
        <f>U69*V69/W69</f>
        <v>0.04</v>
      </c>
      <c r="Y69" s="103"/>
      <c r="Z69" s="93"/>
      <c r="AA69" s="95"/>
      <c r="AB69" s="98"/>
      <c r="AC69" s="100"/>
      <c r="AD69" s="101"/>
      <c r="AE69" s="100"/>
      <c r="AF69" s="100"/>
      <c r="AG69" s="102"/>
      <c r="AH69" s="101"/>
      <c r="AJ69" s="158"/>
      <c r="AK69" s="158"/>
      <c r="AL69" s="160"/>
      <c r="AM69" s="161"/>
      <c r="AN69" s="163"/>
    </row>
    <row r="70" spans="1:40" s="12" customFormat="1" ht="18" customHeight="1">
      <c r="A70" s="105"/>
      <c r="B70" s="108"/>
      <c r="C70" s="108"/>
      <c r="D70" s="108"/>
      <c r="E70" s="121"/>
      <c r="F70" s="118"/>
      <c r="G70" s="122"/>
      <c r="H70" s="115"/>
      <c r="I70" s="112"/>
      <c r="J70" s="112"/>
      <c r="K70" s="115"/>
      <c r="L70" s="117"/>
      <c r="M70" s="118"/>
      <c r="N70" s="119"/>
      <c r="O70" s="120"/>
      <c r="P70" s="120"/>
      <c r="Q70" s="119"/>
      <c r="R70" s="9" t="s">
        <v>150</v>
      </c>
      <c r="S70" s="54">
        <v>25</v>
      </c>
      <c r="T70" s="9" t="s">
        <v>146</v>
      </c>
      <c r="U70" s="52">
        <v>1</v>
      </c>
      <c r="V70" s="52">
        <v>0.03</v>
      </c>
      <c r="W70" s="11">
        <v>1</v>
      </c>
      <c r="X70" s="11">
        <f>U70*V70/W70</f>
        <v>0.03</v>
      </c>
      <c r="Y70" s="103"/>
      <c r="Z70" s="93"/>
      <c r="AA70" s="95"/>
      <c r="AB70" s="98"/>
      <c r="AC70" s="100"/>
      <c r="AD70" s="101"/>
      <c r="AE70" s="100"/>
      <c r="AF70" s="100"/>
      <c r="AG70" s="102"/>
      <c r="AH70" s="101"/>
      <c r="AJ70" s="158"/>
      <c r="AK70" s="158"/>
      <c r="AL70" s="160"/>
      <c r="AM70" s="161"/>
      <c r="AN70" s="163"/>
    </row>
    <row r="71" spans="1:40" s="12" customFormat="1" ht="18" customHeight="1">
      <c r="A71" s="105"/>
      <c r="B71" s="108"/>
      <c r="C71" s="108"/>
      <c r="D71" s="108"/>
      <c r="E71" s="121"/>
      <c r="F71" s="118"/>
      <c r="G71" s="122"/>
      <c r="H71" s="116"/>
      <c r="I71" s="113"/>
      <c r="J71" s="113"/>
      <c r="K71" s="116"/>
      <c r="L71" s="117"/>
      <c r="M71" s="118"/>
      <c r="N71" s="119"/>
      <c r="O71" s="120"/>
      <c r="P71" s="120"/>
      <c r="Q71" s="119"/>
      <c r="R71" s="9"/>
      <c r="S71" s="9"/>
      <c r="T71" s="9"/>
      <c r="U71" s="43"/>
      <c r="V71" s="59"/>
      <c r="W71" s="11">
        <v>1</v>
      </c>
      <c r="X71" s="11">
        <f>U71*V71/W71</f>
        <v>0</v>
      </c>
      <c r="Y71" s="103"/>
      <c r="Z71" s="93"/>
      <c r="AA71" s="96"/>
      <c r="AB71" s="99"/>
      <c r="AC71" s="100"/>
      <c r="AD71" s="101"/>
      <c r="AE71" s="100"/>
      <c r="AF71" s="100"/>
      <c r="AG71" s="102"/>
      <c r="AH71" s="101"/>
      <c r="AJ71" s="158"/>
      <c r="AK71" s="158"/>
      <c r="AL71" s="160"/>
      <c r="AM71" s="161"/>
      <c r="AN71" s="163"/>
    </row>
    <row r="72" spans="1:40" s="22" customFormat="1" ht="22.95" customHeight="1">
      <c r="A72" s="106"/>
      <c r="B72" s="109"/>
      <c r="C72" s="109"/>
      <c r="D72" s="109"/>
      <c r="E72" s="90" t="s">
        <v>52</v>
      </c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2"/>
      <c r="Q72" s="13">
        <f>SUM(Q68:Q71)</f>
        <v>0.14613071999999999</v>
      </c>
      <c r="R72" s="14"/>
      <c r="S72" s="15"/>
      <c r="T72" s="15"/>
      <c r="U72" s="15"/>
      <c r="V72" s="20"/>
      <c r="W72" s="16"/>
      <c r="X72" s="17">
        <f>SUM(X68:X71)</f>
        <v>0.1</v>
      </c>
      <c r="Y72" s="18"/>
      <c r="Z72" s="18"/>
      <c r="AA72" s="18"/>
      <c r="AB72" s="18"/>
      <c r="AC72" s="44"/>
      <c r="AD72" s="19"/>
      <c r="AE72" s="20"/>
      <c r="AF72" s="20"/>
      <c r="AG72" s="21"/>
      <c r="AH72" s="101"/>
      <c r="AJ72" s="62"/>
      <c r="AK72" s="62"/>
      <c r="AL72" s="65"/>
      <c r="AM72" s="62"/>
    </row>
    <row r="73" spans="1:40" s="12" customFormat="1" ht="18" customHeight="1">
      <c r="A73" s="104">
        <v>16</v>
      </c>
      <c r="B73" s="107" t="s">
        <v>123</v>
      </c>
      <c r="C73" s="110"/>
      <c r="D73" s="107" t="s">
        <v>124</v>
      </c>
      <c r="E73" s="46" t="s">
        <v>124</v>
      </c>
      <c r="F73" s="47" t="s">
        <v>133</v>
      </c>
      <c r="G73" s="48"/>
      <c r="H73" s="48" t="s">
        <v>56</v>
      </c>
      <c r="I73" s="47">
        <v>213</v>
      </c>
      <c r="J73" s="47">
        <f>80+4</f>
        <v>84</v>
      </c>
      <c r="K73" s="48" t="s">
        <v>136</v>
      </c>
      <c r="L73" s="49">
        <f>I73*J73*K73*7.85/1000000</f>
        <v>0.28090439999999994</v>
      </c>
      <c r="M73" s="47">
        <f>0.124-0.021</f>
        <v>0.10299999999999999</v>
      </c>
      <c r="N73" s="50">
        <f>L73-M73</f>
        <v>0.17790439999999996</v>
      </c>
      <c r="O73" s="51">
        <v>5.8</v>
      </c>
      <c r="P73" s="51">
        <v>3.4</v>
      </c>
      <c r="Q73" s="50">
        <f>(L73*O73-N73*P73)*H73</f>
        <v>1.0243705599999997</v>
      </c>
      <c r="R73" s="9" t="s">
        <v>141</v>
      </c>
      <c r="S73" s="54">
        <v>125</v>
      </c>
      <c r="T73" s="9" t="s">
        <v>146</v>
      </c>
      <c r="U73" s="43">
        <v>1</v>
      </c>
      <c r="V73" s="59">
        <v>0.08</v>
      </c>
      <c r="W73" s="11">
        <v>1</v>
      </c>
      <c r="X73" s="11">
        <f t="shared" ref="X73:X78" si="1">U73*V73/W73</f>
        <v>0.08</v>
      </c>
      <c r="Y73" s="103">
        <f>(Q80+X80)*1.12</f>
        <v>1.8080950272</v>
      </c>
      <c r="Z73" s="93">
        <f>Y73/1.13</f>
        <v>1.6000840948672568</v>
      </c>
      <c r="AA73" s="94">
        <f>M73/L73</f>
        <v>0.3666727897462625</v>
      </c>
      <c r="AB73" s="97">
        <f>L73*O73*1.1</f>
        <v>1.7921700719999996</v>
      </c>
      <c r="AC73" s="100" t="s">
        <v>163</v>
      </c>
      <c r="AD73" s="100">
        <v>100000</v>
      </c>
      <c r="AE73" s="100" t="e">
        <f>AC73/AD73/2</f>
        <v>#VALUE!</v>
      </c>
      <c r="AF73" s="100" t="e">
        <f>Z73+AE73</f>
        <v>#VALUE!</v>
      </c>
      <c r="AG73" s="102"/>
      <c r="AH73" s="101"/>
      <c r="AJ73" s="158">
        <f>VLOOKUP(B73,'[1]万昌 1'!$B$9:$G$59,6,0)</f>
        <v>1.5907999999999998</v>
      </c>
      <c r="AK73" s="158">
        <v>0.27</v>
      </c>
      <c r="AL73" s="160">
        <f>AJ73+AK73</f>
        <v>1.8607999999999998</v>
      </c>
      <c r="AM73" s="161">
        <f>(AL73-Z73)/Z73</f>
        <v>0.16293887675595703</v>
      </c>
      <c r="AN73" s="163" t="s">
        <v>173</v>
      </c>
    </row>
    <row r="74" spans="1:40" s="12" customFormat="1" ht="18" customHeight="1">
      <c r="A74" s="105"/>
      <c r="B74" s="108"/>
      <c r="C74" s="108"/>
      <c r="D74" s="108"/>
      <c r="E74" s="46" t="s">
        <v>157</v>
      </c>
      <c r="F74" s="47" t="s">
        <v>133</v>
      </c>
      <c r="G74" s="48"/>
      <c r="H74" s="48" t="s">
        <v>56</v>
      </c>
      <c r="I74" s="47">
        <v>95</v>
      </c>
      <c r="J74" s="47">
        <v>6</v>
      </c>
      <c r="K74" s="48"/>
      <c r="L74" s="49"/>
      <c r="M74" s="47"/>
      <c r="N74" s="50"/>
      <c r="O74" s="51">
        <v>0.2</v>
      </c>
      <c r="P74" s="51"/>
      <c r="Q74" s="50">
        <f>H74*O74</f>
        <v>0.2</v>
      </c>
      <c r="R74" s="9" t="s">
        <v>150</v>
      </c>
      <c r="S74" s="54">
        <v>25</v>
      </c>
      <c r="T74" s="9" t="s">
        <v>146</v>
      </c>
      <c r="U74" s="52">
        <v>1</v>
      </c>
      <c r="V74" s="59">
        <v>0.03</v>
      </c>
      <c r="W74" s="11">
        <v>1</v>
      </c>
      <c r="X74" s="11">
        <f t="shared" si="1"/>
        <v>0.03</v>
      </c>
      <c r="Y74" s="103"/>
      <c r="Z74" s="93"/>
      <c r="AA74" s="95"/>
      <c r="AB74" s="98"/>
      <c r="AC74" s="100"/>
      <c r="AD74" s="101"/>
      <c r="AE74" s="100"/>
      <c r="AF74" s="100"/>
      <c r="AG74" s="102"/>
      <c r="AH74" s="101"/>
      <c r="AJ74" s="158"/>
      <c r="AK74" s="158"/>
      <c r="AL74" s="160"/>
      <c r="AM74" s="161"/>
      <c r="AN74" s="163"/>
    </row>
    <row r="75" spans="1:40" s="12" customFormat="1" ht="18" customHeight="1">
      <c r="A75" s="105"/>
      <c r="B75" s="108"/>
      <c r="C75" s="108"/>
      <c r="D75" s="108"/>
      <c r="E75" s="46"/>
      <c r="F75" s="47"/>
      <c r="G75" s="48"/>
      <c r="H75" s="48"/>
      <c r="I75" s="47"/>
      <c r="J75" s="47"/>
      <c r="K75" s="48"/>
      <c r="L75" s="49"/>
      <c r="M75" s="47"/>
      <c r="N75" s="50"/>
      <c r="O75" s="51"/>
      <c r="P75" s="51"/>
      <c r="Q75" s="50"/>
      <c r="R75" s="9" t="s">
        <v>153</v>
      </c>
      <c r="S75" s="54">
        <v>100</v>
      </c>
      <c r="T75" s="9" t="s">
        <v>146</v>
      </c>
      <c r="U75" s="52">
        <v>1</v>
      </c>
      <c r="V75" s="59">
        <v>7.0000000000000007E-2</v>
      </c>
      <c r="W75" s="11">
        <v>1</v>
      </c>
      <c r="X75" s="11">
        <f t="shared" si="1"/>
        <v>7.0000000000000007E-2</v>
      </c>
      <c r="Y75" s="103"/>
      <c r="Z75" s="93"/>
      <c r="AA75" s="95"/>
      <c r="AB75" s="98"/>
      <c r="AC75" s="100"/>
      <c r="AD75" s="101"/>
      <c r="AE75" s="100"/>
      <c r="AF75" s="100"/>
      <c r="AG75" s="102"/>
      <c r="AH75" s="101"/>
      <c r="AJ75" s="158"/>
      <c r="AK75" s="158"/>
      <c r="AL75" s="160"/>
      <c r="AM75" s="161"/>
      <c r="AN75" s="163"/>
    </row>
    <row r="76" spans="1:40" s="12" customFormat="1" ht="18" customHeight="1">
      <c r="A76" s="105"/>
      <c r="B76" s="108"/>
      <c r="C76" s="108"/>
      <c r="D76" s="108"/>
      <c r="E76" s="46"/>
      <c r="F76" s="47"/>
      <c r="G76" s="48"/>
      <c r="H76" s="48"/>
      <c r="I76" s="47"/>
      <c r="J76" s="47"/>
      <c r="K76" s="48"/>
      <c r="L76" s="49"/>
      <c r="M76" s="47"/>
      <c r="N76" s="50"/>
      <c r="O76" s="51"/>
      <c r="P76" s="51"/>
      <c r="Q76" s="50"/>
      <c r="R76" s="9" t="s">
        <v>154</v>
      </c>
      <c r="S76" s="54">
        <v>100</v>
      </c>
      <c r="T76" s="9" t="s">
        <v>146</v>
      </c>
      <c r="U76" s="52">
        <v>1</v>
      </c>
      <c r="V76" s="59">
        <v>7.0000000000000007E-2</v>
      </c>
      <c r="W76" s="11">
        <v>1</v>
      </c>
      <c r="X76" s="11">
        <f t="shared" si="1"/>
        <v>7.0000000000000007E-2</v>
      </c>
      <c r="Y76" s="103"/>
      <c r="Z76" s="93"/>
      <c r="AA76" s="95"/>
      <c r="AB76" s="98"/>
      <c r="AC76" s="100"/>
      <c r="AD76" s="101"/>
      <c r="AE76" s="100"/>
      <c r="AF76" s="100"/>
      <c r="AG76" s="102"/>
      <c r="AH76" s="101"/>
      <c r="AJ76" s="158"/>
      <c r="AK76" s="158"/>
      <c r="AL76" s="160"/>
      <c r="AM76" s="161"/>
      <c r="AN76" s="163"/>
    </row>
    <row r="77" spans="1:40" s="12" customFormat="1" ht="18" customHeight="1">
      <c r="A77" s="105"/>
      <c r="B77" s="108"/>
      <c r="C77" s="108"/>
      <c r="D77" s="108"/>
      <c r="E77" s="46"/>
      <c r="F77" s="47"/>
      <c r="G77" s="48"/>
      <c r="H77" s="48"/>
      <c r="I77" s="47"/>
      <c r="J77" s="47"/>
      <c r="K77" s="48"/>
      <c r="L77" s="49"/>
      <c r="M77" s="47"/>
      <c r="N77" s="50"/>
      <c r="O77" s="51"/>
      <c r="P77" s="51"/>
      <c r="Q77" s="50"/>
      <c r="R77" s="9" t="s">
        <v>158</v>
      </c>
      <c r="S77" s="54">
        <v>63</v>
      </c>
      <c r="T77" s="9" t="s">
        <v>146</v>
      </c>
      <c r="U77" s="52">
        <v>1</v>
      </c>
      <c r="V77" s="59">
        <v>0.04</v>
      </c>
      <c r="W77" s="11">
        <v>1</v>
      </c>
      <c r="X77" s="11">
        <f t="shared" si="1"/>
        <v>0.04</v>
      </c>
      <c r="Y77" s="103"/>
      <c r="Z77" s="93"/>
      <c r="AA77" s="95"/>
      <c r="AB77" s="98"/>
      <c r="AC77" s="100"/>
      <c r="AD77" s="101"/>
      <c r="AE77" s="100"/>
      <c r="AF77" s="100"/>
      <c r="AG77" s="102"/>
      <c r="AH77" s="101"/>
      <c r="AJ77" s="158"/>
      <c r="AK77" s="158"/>
      <c r="AL77" s="160"/>
      <c r="AM77" s="161"/>
      <c r="AN77" s="163"/>
    </row>
    <row r="78" spans="1:40" s="12" customFormat="1" ht="18" customHeight="1">
      <c r="A78" s="105"/>
      <c r="B78" s="108"/>
      <c r="C78" s="108"/>
      <c r="D78" s="108"/>
      <c r="E78" s="46"/>
      <c r="F78" s="47"/>
      <c r="G78" s="48"/>
      <c r="H78" s="48"/>
      <c r="I78" s="47"/>
      <c r="J78" s="47"/>
      <c r="K78" s="48"/>
      <c r="L78" s="49"/>
      <c r="M78" s="47"/>
      <c r="N78" s="50"/>
      <c r="O78" s="51"/>
      <c r="P78" s="51"/>
      <c r="Q78" s="50"/>
      <c r="R78" s="9" t="s">
        <v>53</v>
      </c>
      <c r="S78" s="9"/>
      <c r="T78" s="9"/>
      <c r="U78" s="45">
        <v>2</v>
      </c>
      <c r="V78" s="59">
        <v>0.05</v>
      </c>
      <c r="W78" s="11">
        <v>1</v>
      </c>
      <c r="X78" s="11">
        <f t="shared" si="1"/>
        <v>0.1</v>
      </c>
      <c r="Y78" s="103"/>
      <c r="Z78" s="93"/>
      <c r="AA78" s="95"/>
      <c r="AB78" s="98"/>
      <c r="AC78" s="100"/>
      <c r="AD78" s="101"/>
      <c r="AE78" s="100"/>
      <c r="AF78" s="100"/>
      <c r="AG78" s="102"/>
      <c r="AH78" s="101"/>
      <c r="AJ78" s="158"/>
      <c r="AK78" s="158"/>
      <c r="AL78" s="160"/>
      <c r="AM78" s="161"/>
      <c r="AN78" s="163"/>
    </row>
    <row r="79" spans="1:40" s="12" customFormat="1" ht="18" customHeight="1">
      <c r="A79" s="105"/>
      <c r="B79" s="108"/>
      <c r="C79" s="108"/>
      <c r="D79" s="108"/>
      <c r="E79" s="46"/>
      <c r="F79" s="47"/>
      <c r="G79" s="48"/>
      <c r="H79" s="48"/>
      <c r="I79" s="47"/>
      <c r="J79" s="47"/>
      <c r="K79" s="48"/>
      <c r="L79" s="49"/>
      <c r="M79" s="47"/>
      <c r="N79" s="50"/>
      <c r="O79" s="51"/>
      <c r="P79" s="51"/>
      <c r="Q79" s="50"/>
      <c r="R79" s="9"/>
      <c r="S79" s="9"/>
      <c r="T79" s="9"/>
      <c r="U79" s="43"/>
      <c r="V79" s="59"/>
      <c r="W79" s="11"/>
      <c r="X79" s="11"/>
      <c r="Y79" s="103"/>
      <c r="Z79" s="93"/>
      <c r="AA79" s="96"/>
      <c r="AB79" s="99"/>
      <c r="AC79" s="100"/>
      <c r="AD79" s="101"/>
      <c r="AE79" s="100"/>
      <c r="AF79" s="100"/>
      <c r="AG79" s="102"/>
      <c r="AH79" s="101"/>
      <c r="AJ79" s="158"/>
      <c r="AK79" s="158"/>
      <c r="AL79" s="160"/>
      <c r="AM79" s="161"/>
      <c r="AN79" s="163"/>
    </row>
    <row r="80" spans="1:40" s="22" customFormat="1" ht="22.95" customHeight="1">
      <c r="A80" s="106"/>
      <c r="B80" s="109"/>
      <c r="C80" s="109"/>
      <c r="D80" s="109"/>
      <c r="E80" s="90" t="s">
        <v>52</v>
      </c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2"/>
      <c r="Q80" s="13">
        <f>SUM(Q73:Q79)</f>
        <v>1.2243705599999997</v>
      </c>
      <c r="R80" s="14"/>
      <c r="S80" s="15"/>
      <c r="T80" s="15"/>
      <c r="U80" s="15"/>
      <c r="V80" s="20"/>
      <c r="W80" s="16"/>
      <c r="X80" s="17">
        <f>SUM(X73:X79)</f>
        <v>0.39</v>
      </c>
      <c r="Y80" s="18"/>
      <c r="Z80" s="18"/>
      <c r="AA80" s="18"/>
      <c r="AB80" s="18"/>
      <c r="AC80" s="44"/>
      <c r="AD80" s="19"/>
      <c r="AE80" s="20"/>
      <c r="AF80" s="20"/>
      <c r="AG80" s="21"/>
      <c r="AH80" s="101"/>
      <c r="AJ80" s="62"/>
      <c r="AK80" s="62"/>
      <c r="AL80" s="65"/>
      <c r="AM80" s="62"/>
    </row>
    <row r="81" spans="1:39" s="12" customFormat="1" ht="18" customHeight="1">
      <c r="A81" s="104">
        <v>17</v>
      </c>
      <c r="B81" s="107" t="s">
        <v>125</v>
      </c>
      <c r="C81" s="110"/>
      <c r="D81" s="107" t="s">
        <v>126</v>
      </c>
      <c r="E81" s="121" t="s">
        <v>126</v>
      </c>
      <c r="F81" s="118" t="s">
        <v>139</v>
      </c>
      <c r="G81" s="122"/>
      <c r="H81" s="114" t="s">
        <v>56</v>
      </c>
      <c r="I81" s="111">
        <f>335+6</f>
        <v>341</v>
      </c>
      <c r="J81" s="111">
        <f>65+6</f>
        <v>71</v>
      </c>
      <c r="K81" s="114" t="s">
        <v>138</v>
      </c>
      <c r="L81" s="117">
        <f>I81*J81*K81*7.85/1000000</f>
        <v>0.57016904999999996</v>
      </c>
      <c r="M81" s="118">
        <v>0.41199999999999998</v>
      </c>
      <c r="N81" s="119">
        <f>L81-M81</f>
        <v>0.15816904999999998</v>
      </c>
      <c r="O81" s="120">
        <v>6.79</v>
      </c>
      <c r="P81" s="120">
        <v>3.4</v>
      </c>
      <c r="Q81" s="119">
        <f>(L81*O81-N81*P81)*H81</f>
        <v>3.3336730794999996</v>
      </c>
      <c r="R81" s="9" t="s">
        <v>141</v>
      </c>
      <c r="S81" s="54">
        <v>160</v>
      </c>
      <c r="T81" s="9" t="s">
        <v>146</v>
      </c>
      <c r="U81" s="43">
        <v>1</v>
      </c>
      <c r="V81" s="59">
        <v>0.1</v>
      </c>
      <c r="W81" s="11">
        <v>1</v>
      </c>
      <c r="X81" s="11">
        <f>U81*V81/W81</f>
        <v>0.1</v>
      </c>
      <c r="Y81" s="103">
        <f>(Q85+X85)*1.12</f>
        <v>4.1817138490399994</v>
      </c>
      <c r="Z81" s="93">
        <f>Y81/1.13</f>
        <v>3.7006317248141589</v>
      </c>
      <c r="AA81" s="94">
        <f>M81/L81</f>
        <v>0.72259271175803041</v>
      </c>
      <c r="AB81" s="97">
        <f>L81*O81/1.13*1</f>
        <v>3.4260600438053097</v>
      </c>
      <c r="AC81" s="100">
        <v>8848</v>
      </c>
      <c r="AD81" s="100">
        <v>40000</v>
      </c>
      <c r="AE81" s="100">
        <f>AC81/AD81/2</f>
        <v>0.1106</v>
      </c>
      <c r="AF81" s="100">
        <f>Z81+AE81</f>
        <v>3.8112317248141587</v>
      </c>
      <c r="AG81" s="102"/>
      <c r="AH81" s="101"/>
      <c r="AJ81" s="159">
        <f>3.0354-0.2212</f>
        <v>2.8142</v>
      </c>
      <c r="AK81" s="159">
        <v>0.3</v>
      </c>
      <c r="AL81" s="160">
        <f>AJ81+AK81</f>
        <v>3.1141999999999999</v>
      </c>
      <c r="AM81" s="162">
        <f>(AL81-Z81)/Z81</f>
        <v>-0.15846800449823439</v>
      </c>
    </row>
    <row r="82" spans="1:39" s="12" customFormat="1" ht="18" customHeight="1">
      <c r="A82" s="105"/>
      <c r="B82" s="108"/>
      <c r="C82" s="108"/>
      <c r="D82" s="108"/>
      <c r="E82" s="121"/>
      <c r="F82" s="118"/>
      <c r="G82" s="122"/>
      <c r="H82" s="115"/>
      <c r="I82" s="112"/>
      <c r="J82" s="112"/>
      <c r="K82" s="115"/>
      <c r="L82" s="117"/>
      <c r="M82" s="118"/>
      <c r="N82" s="119"/>
      <c r="O82" s="120"/>
      <c r="P82" s="120"/>
      <c r="Q82" s="119"/>
      <c r="R82" s="9" t="s">
        <v>142</v>
      </c>
      <c r="S82" s="9" t="s">
        <v>167</v>
      </c>
      <c r="T82" s="9" t="s">
        <v>146</v>
      </c>
      <c r="U82" s="52">
        <v>1</v>
      </c>
      <c r="V82" s="59">
        <v>0.25</v>
      </c>
      <c r="W82" s="11">
        <v>1</v>
      </c>
      <c r="X82" s="11">
        <f>U82*V82/W82</f>
        <v>0.25</v>
      </c>
      <c r="Y82" s="103"/>
      <c r="Z82" s="93"/>
      <c r="AA82" s="95"/>
      <c r="AB82" s="98"/>
      <c r="AC82" s="100"/>
      <c r="AD82" s="101"/>
      <c r="AE82" s="100"/>
      <c r="AF82" s="100"/>
      <c r="AG82" s="102"/>
      <c r="AH82" s="101"/>
      <c r="AJ82" s="159"/>
      <c r="AK82" s="159"/>
      <c r="AL82" s="160"/>
      <c r="AM82" s="162"/>
    </row>
    <row r="83" spans="1:39" s="12" customFormat="1" ht="18" customHeight="1">
      <c r="A83" s="105"/>
      <c r="B83" s="108"/>
      <c r="C83" s="108"/>
      <c r="D83" s="108"/>
      <c r="E83" s="121"/>
      <c r="F83" s="118"/>
      <c r="G83" s="122"/>
      <c r="H83" s="115"/>
      <c r="I83" s="112"/>
      <c r="J83" s="112"/>
      <c r="K83" s="115"/>
      <c r="L83" s="117"/>
      <c r="M83" s="118"/>
      <c r="N83" s="119"/>
      <c r="O83" s="120"/>
      <c r="P83" s="120"/>
      <c r="Q83" s="119"/>
      <c r="R83" s="9" t="s">
        <v>150</v>
      </c>
      <c r="S83" s="54">
        <v>80</v>
      </c>
      <c r="T83" s="9" t="s">
        <v>146</v>
      </c>
      <c r="U83" s="52">
        <v>1</v>
      </c>
      <c r="V83" s="59">
        <v>0.05</v>
      </c>
      <c r="W83" s="11">
        <v>1</v>
      </c>
      <c r="X83" s="11">
        <f>U83*V83/W83</f>
        <v>0.05</v>
      </c>
      <c r="Y83" s="103"/>
      <c r="Z83" s="93"/>
      <c r="AA83" s="95"/>
      <c r="AB83" s="98"/>
      <c r="AC83" s="100"/>
      <c r="AD83" s="101"/>
      <c r="AE83" s="100"/>
      <c r="AF83" s="100"/>
      <c r="AG83" s="102"/>
      <c r="AH83" s="101"/>
      <c r="AJ83" s="159"/>
      <c r="AK83" s="159"/>
      <c r="AL83" s="160"/>
      <c r="AM83" s="162"/>
    </row>
    <row r="84" spans="1:39" s="12" customFormat="1" ht="18" customHeight="1">
      <c r="A84" s="105"/>
      <c r="B84" s="108"/>
      <c r="C84" s="108"/>
      <c r="D84" s="108"/>
      <c r="E84" s="121"/>
      <c r="F84" s="118"/>
      <c r="G84" s="122"/>
      <c r="H84" s="116"/>
      <c r="I84" s="113"/>
      <c r="J84" s="113"/>
      <c r="K84" s="116"/>
      <c r="L84" s="117"/>
      <c r="M84" s="118"/>
      <c r="N84" s="119"/>
      <c r="O84" s="120"/>
      <c r="P84" s="120"/>
      <c r="Q84" s="119"/>
      <c r="R84" s="9"/>
      <c r="S84" s="9"/>
      <c r="T84" s="9"/>
      <c r="U84" s="43"/>
      <c r="V84" s="59"/>
      <c r="W84" s="11"/>
      <c r="X84" s="11"/>
      <c r="Y84" s="103"/>
      <c r="Z84" s="93"/>
      <c r="AA84" s="96"/>
      <c r="AB84" s="99"/>
      <c r="AC84" s="100"/>
      <c r="AD84" s="101"/>
      <c r="AE84" s="100"/>
      <c r="AF84" s="100"/>
      <c r="AG84" s="102"/>
      <c r="AH84" s="101"/>
      <c r="AJ84" s="159"/>
      <c r="AK84" s="159"/>
      <c r="AL84" s="160"/>
      <c r="AM84" s="162"/>
    </row>
    <row r="85" spans="1:39" s="22" customFormat="1" ht="22.95" customHeight="1">
      <c r="A85" s="106"/>
      <c r="B85" s="109"/>
      <c r="C85" s="109"/>
      <c r="D85" s="109"/>
      <c r="E85" s="90" t="s">
        <v>52</v>
      </c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2"/>
      <c r="Q85" s="13">
        <f>SUM(Q81:Q84)</f>
        <v>3.3336730794999996</v>
      </c>
      <c r="R85" s="14"/>
      <c r="S85" s="15"/>
      <c r="T85" s="15"/>
      <c r="U85" s="15"/>
      <c r="V85" s="20"/>
      <c r="W85" s="16"/>
      <c r="X85" s="17">
        <f>SUM(X81:X84)</f>
        <v>0.39999999999999997</v>
      </c>
      <c r="Y85" s="18"/>
      <c r="Z85" s="18"/>
      <c r="AA85" s="18"/>
      <c r="AB85" s="18"/>
      <c r="AC85" s="44"/>
      <c r="AD85" s="19"/>
      <c r="AE85" s="20"/>
      <c r="AF85" s="20"/>
      <c r="AG85" s="21"/>
      <c r="AH85" s="101"/>
      <c r="AJ85" s="62"/>
      <c r="AK85" s="62"/>
      <c r="AL85" s="65"/>
      <c r="AM85" s="62"/>
    </row>
    <row r="86" spans="1:39" s="12" customFormat="1" ht="18" customHeight="1">
      <c r="A86" s="104">
        <v>18</v>
      </c>
      <c r="B86" s="107" t="s">
        <v>128</v>
      </c>
      <c r="C86" s="110"/>
      <c r="D86" s="107" t="s">
        <v>127</v>
      </c>
      <c r="E86" s="121" t="s">
        <v>127</v>
      </c>
      <c r="F86" s="118" t="s">
        <v>139</v>
      </c>
      <c r="G86" s="122"/>
      <c r="H86" s="114" t="s">
        <v>56</v>
      </c>
      <c r="I86" s="111">
        <f>335+6</f>
        <v>341</v>
      </c>
      <c r="J86" s="111">
        <f>65+6</f>
        <v>71</v>
      </c>
      <c r="K86" s="114" t="s">
        <v>138</v>
      </c>
      <c r="L86" s="117">
        <f>I86*J86*K86*7.85/1000000</f>
        <v>0.57016904999999996</v>
      </c>
      <c r="M86" s="118">
        <v>0.41199999999999998</v>
      </c>
      <c r="N86" s="119">
        <f>L86-M86</f>
        <v>0.15816904999999998</v>
      </c>
      <c r="O86" s="120">
        <v>6.79</v>
      </c>
      <c r="P86" s="120">
        <v>3.4</v>
      </c>
      <c r="Q86" s="119">
        <f>(L86*O86-N86*P86)*H86</f>
        <v>3.3336730794999996</v>
      </c>
      <c r="R86" s="9" t="s">
        <v>141</v>
      </c>
      <c r="S86" s="54">
        <v>160</v>
      </c>
      <c r="T86" s="9" t="s">
        <v>146</v>
      </c>
      <c r="U86" s="52">
        <v>1</v>
      </c>
      <c r="V86" s="59">
        <v>0.1</v>
      </c>
      <c r="W86" s="11">
        <v>1</v>
      </c>
      <c r="X86" s="11">
        <f>U86*V86/W86</f>
        <v>0.1</v>
      </c>
      <c r="Y86" s="103">
        <f>(Q90+X90)*1.12</f>
        <v>4.1817138490399994</v>
      </c>
      <c r="Z86" s="93">
        <f>Y86/1.13</f>
        <v>3.7006317248141589</v>
      </c>
      <c r="AA86" s="94">
        <f>M86/L86</f>
        <v>0.72259271175803041</v>
      </c>
      <c r="AB86" s="97">
        <f>L86*O86/1.13*1.1</f>
        <v>3.7686660481858412</v>
      </c>
      <c r="AC86" s="100">
        <v>8848</v>
      </c>
      <c r="AD86" s="100">
        <v>40000</v>
      </c>
      <c r="AE86" s="100">
        <f>AC86/AD86/2</f>
        <v>0.1106</v>
      </c>
      <c r="AF86" s="100">
        <f>Z86+AE86</f>
        <v>3.8112317248141587</v>
      </c>
      <c r="AG86" s="102"/>
      <c r="AH86" s="101"/>
      <c r="AJ86" s="159">
        <f>3.0354-0.2212</f>
        <v>2.8142</v>
      </c>
      <c r="AK86" s="159">
        <v>0.3</v>
      </c>
      <c r="AL86" s="160">
        <f>AJ86+AK86</f>
        <v>3.1141999999999999</v>
      </c>
      <c r="AM86" s="162">
        <f>(AL86-Z86)/Z86</f>
        <v>-0.15846800449823439</v>
      </c>
    </row>
    <row r="87" spans="1:39" s="12" customFormat="1" ht="18" customHeight="1">
      <c r="A87" s="105"/>
      <c r="B87" s="108"/>
      <c r="C87" s="108"/>
      <c r="D87" s="108"/>
      <c r="E87" s="121"/>
      <c r="F87" s="118"/>
      <c r="G87" s="122"/>
      <c r="H87" s="115"/>
      <c r="I87" s="112"/>
      <c r="J87" s="112"/>
      <c r="K87" s="115"/>
      <c r="L87" s="117"/>
      <c r="M87" s="118"/>
      <c r="N87" s="119"/>
      <c r="O87" s="120"/>
      <c r="P87" s="120"/>
      <c r="Q87" s="119"/>
      <c r="R87" s="9" t="s">
        <v>142</v>
      </c>
      <c r="S87" s="9" t="s">
        <v>167</v>
      </c>
      <c r="T87" s="9" t="s">
        <v>146</v>
      </c>
      <c r="U87" s="52">
        <v>1</v>
      </c>
      <c r="V87" s="59">
        <v>0.25</v>
      </c>
      <c r="W87" s="11">
        <v>1</v>
      </c>
      <c r="X87" s="11">
        <f>U87*V87/W87</f>
        <v>0.25</v>
      </c>
      <c r="Y87" s="103"/>
      <c r="Z87" s="93"/>
      <c r="AA87" s="95"/>
      <c r="AB87" s="98"/>
      <c r="AC87" s="100"/>
      <c r="AD87" s="101"/>
      <c r="AE87" s="100"/>
      <c r="AF87" s="100"/>
      <c r="AG87" s="102"/>
      <c r="AH87" s="101"/>
      <c r="AJ87" s="159"/>
      <c r="AK87" s="159"/>
      <c r="AL87" s="160"/>
      <c r="AM87" s="162"/>
    </row>
    <row r="88" spans="1:39" s="12" customFormat="1" ht="18" customHeight="1">
      <c r="A88" s="105"/>
      <c r="B88" s="108"/>
      <c r="C88" s="108"/>
      <c r="D88" s="108"/>
      <c r="E88" s="121"/>
      <c r="F88" s="118"/>
      <c r="G88" s="122"/>
      <c r="H88" s="115"/>
      <c r="I88" s="112"/>
      <c r="J88" s="112"/>
      <c r="K88" s="115"/>
      <c r="L88" s="117"/>
      <c r="M88" s="118"/>
      <c r="N88" s="119"/>
      <c r="O88" s="120"/>
      <c r="P88" s="120"/>
      <c r="Q88" s="119"/>
      <c r="R88" s="9" t="s">
        <v>150</v>
      </c>
      <c r="S88" s="54">
        <v>80</v>
      </c>
      <c r="T88" s="9" t="s">
        <v>146</v>
      </c>
      <c r="U88" s="52">
        <v>1</v>
      </c>
      <c r="V88" s="59">
        <v>0.05</v>
      </c>
      <c r="W88" s="11">
        <v>1</v>
      </c>
      <c r="X88" s="11">
        <f>U88*V88/W88</f>
        <v>0.05</v>
      </c>
      <c r="Y88" s="103"/>
      <c r="Z88" s="93"/>
      <c r="AA88" s="95"/>
      <c r="AB88" s="98"/>
      <c r="AC88" s="100"/>
      <c r="AD88" s="101"/>
      <c r="AE88" s="100"/>
      <c r="AF88" s="100"/>
      <c r="AG88" s="102"/>
      <c r="AH88" s="101"/>
      <c r="AJ88" s="159"/>
      <c r="AK88" s="159"/>
      <c r="AL88" s="160"/>
      <c r="AM88" s="162"/>
    </row>
    <row r="89" spans="1:39" s="12" customFormat="1" ht="18" customHeight="1">
      <c r="A89" s="105"/>
      <c r="B89" s="108"/>
      <c r="C89" s="108"/>
      <c r="D89" s="108"/>
      <c r="E89" s="121"/>
      <c r="F89" s="118"/>
      <c r="G89" s="122"/>
      <c r="H89" s="116"/>
      <c r="I89" s="113"/>
      <c r="J89" s="113"/>
      <c r="K89" s="116"/>
      <c r="L89" s="117"/>
      <c r="M89" s="118"/>
      <c r="N89" s="119"/>
      <c r="O89" s="120"/>
      <c r="P89" s="120"/>
      <c r="Q89" s="119"/>
      <c r="R89" s="9"/>
      <c r="S89" s="9"/>
      <c r="T89" s="9"/>
      <c r="U89" s="45"/>
      <c r="V89" s="59"/>
      <c r="W89" s="11"/>
      <c r="X89" s="11"/>
      <c r="Y89" s="103"/>
      <c r="Z89" s="93"/>
      <c r="AA89" s="96"/>
      <c r="AB89" s="99"/>
      <c r="AC89" s="100"/>
      <c r="AD89" s="101"/>
      <c r="AE89" s="100"/>
      <c r="AF89" s="100"/>
      <c r="AG89" s="102"/>
      <c r="AH89" s="101"/>
      <c r="AJ89" s="159"/>
      <c r="AK89" s="159"/>
      <c r="AL89" s="160"/>
      <c r="AM89" s="162"/>
    </row>
    <row r="90" spans="1:39" s="22" customFormat="1" ht="22.95" customHeight="1">
      <c r="A90" s="106"/>
      <c r="B90" s="109"/>
      <c r="C90" s="109"/>
      <c r="D90" s="109"/>
      <c r="E90" s="90" t="s">
        <v>52</v>
      </c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2"/>
      <c r="Q90" s="13">
        <f>SUM(Q86:Q89)</f>
        <v>3.3336730794999996</v>
      </c>
      <c r="R90" s="14"/>
      <c r="S90" s="15"/>
      <c r="T90" s="15"/>
      <c r="U90" s="15"/>
      <c r="V90" s="20"/>
      <c r="W90" s="16"/>
      <c r="X90" s="17">
        <f>SUM(X86:X89)</f>
        <v>0.39999999999999997</v>
      </c>
      <c r="Y90" s="18"/>
      <c r="Z90" s="18"/>
      <c r="AA90" s="18"/>
      <c r="AB90" s="18"/>
      <c r="AC90" s="44"/>
      <c r="AD90" s="19"/>
      <c r="AE90" s="20"/>
      <c r="AF90" s="20"/>
      <c r="AG90" s="21"/>
      <c r="AH90" s="101"/>
      <c r="AJ90" s="62"/>
      <c r="AK90" s="62"/>
      <c r="AL90" s="65"/>
      <c r="AM90" s="62"/>
    </row>
    <row r="91" spans="1:39" s="12" customFormat="1" ht="18" customHeight="1">
      <c r="A91" s="104">
        <v>19</v>
      </c>
      <c r="B91" s="107" t="s">
        <v>129</v>
      </c>
      <c r="C91" s="110"/>
      <c r="D91" s="107" t="s">
        <v>130</v>
      </c>
      <c r="E91" s="121" t="s">
        <v>130</v>
      </c>
      <c r="F91" s="118" t="s">
        <v>140</v>
      </c>
      <c r="G91" s="122"/>
      <c r="H91" s="114" t="s">
        <v>56</v>
      </c>
      <c r="I91" s="111">
        <f>195+6</f>
        <v>201</v>
      </c>
      <c r="J91" s="111">
        <f>75+6</f>
        <v>81</v>
      </c>
      <c r="K91" s="114" t="s">
        <v>138</v>
      </c>
      <c r="L91" s="117">
        <f>I91*J91*K91*7.85/1000000</f>
        <v>0.38341755</v>
      </c>
      <c r="M91" s="118">
        <v>0.26500000000000001</v>
      </c>
      <c r="N91" s="119">
        <f>L91-M91</f>
        <v>0.11841754999999998</v>
      </c>
      <c r="O91" s="120">
        <v>6.79</v>
      </c>
      <c r="P91" s="120">
        <v>3.4</v>
      </c>
      <c r="Q91" s="119">
        <f>(L91*O91-N91*P91)*H91</f>
        <v>2.2007854944999998</v>
      </c>
      <c r="R91" s="9" t="s">
        <v>141</v>
      </c>
      <c r="S91" s="54">
        <v>125</v>
      </c>
      <c r="T91" s="9" t="s">
        <v>146</v>
      </c>
      <c r="U91" s="52">
        <v>1</v>
      </c>
      <c r="V91" s="59">
        <v>0.08</v>
      </c>
      <c r="W91" s="11">
        <v>1</v>
      </c>
      <c r="X91" s="11">
        <f>U91*V91/W91</f>
        <v>0.08</v>
      </c>
      <c r="Y91" s="103">
        <f>(Q97+X97)*1.12</f>
        <v>2.9352797538400002</v>
      </c>
      <c r="Z91" s="93">
        <f>Y91/1.13</f>
        <v>2.5975927025132748</v>
      </c>
      <c r="AA91" s="94">
        <f>M91/L91</f>
        <v>0.69115250462583155</v>
      </c>
      <c r="AB91" s="97">
        <f>L91*O91/1.13*1.1</f>
        <v>2.5342882132300888</v>
      </c>
      <c r="AC91" s="100" t="s">
        <v>163</v>
      </c>
      <c r="AD91" s="100">
        <v>40000</v>
      </c>
      <c r="AE91" s="100" t="e">
        <f>AC91/AD91/2</f>
        <v>#VALUE!</v>
      </c>
      <c r="AF91" s="100" t="e">
        <f>Z91+AE91</f>
        <v>#VALUE!</v>
      </c>
      <c r="AG91" s="102"/>
      <c r="AH91" s="101"/>
      <c r="AJ91" s="81">
        <f>VLOOKUP(B91,'[1]万昌 1'!$B$9:$G$59,6,0)</f>
        <v>2.4249999999999998</v>
      </c>
      <c r="AK91" s="81">
        <v>0.15</v>
      </c>
      <c r="AL91" s="84">
        <f>AJ91+AK91</f>
        <v>2.5749999999999997</v>
      </c>
      <c r="AM91" s="87">
        <f>(AL91-Z91)/Z91</f>
        <v>-8.6975538895746468E-3</v>
      </c>
    </row>
    <row r="92" spans="1:39" s="12" customFormat="1" ht="18" customHeight="1">
      <c r="A92" s="105"/>
      <c r="B92" s="108"/>
      <c r="C92" s="108"/>
      <c r="D92" s="108"/>
      <c r="E92" s="121"/>
      <c r="F92" s="118"/>
      <c r="G92" s="122"/>
      <c r="H92" s="115"/>
      <c r="I92" s="112"/>
      <c r="J92" s="112"/>
      <c r="K92" s="115"/>
      <c r="L92" s="117"/>
      <c r="M92" s="118"/>
      <c r="N92" s="119"/>
      <c r="O92" s="120"/>
      <c r="P92" s="120"/>
      <c r="Q92" s="119"/>
      <c r="R92" s="9" t="s">
        <v>142</v>
      </c>
      <c r="S92" s="9" t="s">
        <v>167</v>
      </c>
      <c r="T92" s="9" t="s">
        <v>146</v>
      </c>
      <c r="U92" s="52">
        <v>1</v>
      </c>
      <c r="V92" s="59">
        <v>0.25</v>
      </c>
      <c r="W92" s="11">
        <v>1</v>
      </c>
      <c r="X92" s="11">
        <f>U92*V92/W92</f>
        <v>0.25</v>
      </c>
      <c r="Y92" s="103"/>
      <c r="Z92" s="93"/>
      <c r="AA92" s="95"/>
      <c r="AB92" s="98"/>
      <c r="AC92" s="100"/>
      <c r="AD92" s="101"/>
      <c r="AE92" s="100"/>
      <c r="AF92" s="100"/>
      <c r="AG92" s="102"/>
      <c r="AH92" s="101"/>
      <c r="AJ92" s="82"/>
      <c r="AK92" s="82"/>
      <c r="AL92" s="85"/>
      <c r="AM92" s="88"/>
    </row>
    <row r="93" spans="1:39" s="12" customFormat="1" ht="18" customHeight="1">
      <c r="A93" s="105"/>
      <c r="B93" s="108"/>
      <c r="C93" s="108"/>
      <c r="D93" s="108"/>
      <c r="E93" s="121"/>
      <c r="F93" s="118"/>
      <c r="G93" s="122"/>
      <c r="H93" s="115"/>
      <c r="I93" s="112"/>
      <c r="J93" s="112"/>
      <c r="K93" s="115"/>
      <c r="L93" s="117"/>
      <c r="M93" s="118"/>
      <c r="N93" s="119"/>
      <c r="O93" s="120"/>
      <c r="P93" s="120"/>
      <c r="Q93" s="119"/>
      <c r="R93" s="9" t="s">
        <v>150</v>
      </c>
      <c r="S93" s="54">
        <v>63</v>
      </c>
      <c r="T93" s="9" t="s">
        <v>146</v>
      </c>
      <c r="U93" s="52">
        <v>1</v>
      </c>
      <c r="V93" s="59">
        <v>0.04</v>
      </c>
      <c r="W93" s="11">
        <v>1</v>
      </c>
      <c r="X93" s="11">
        <f>U93*V93/W93</f>
        <v>0.04</v>
      </c>
      <c r="Y93" s="103"/>
      <c r="Z93" s="93"/>
      <c r="AA93" s="95"/>
      <c r="AB93" s="98"/>
      <c r="AC93" s="100"/>
      <c r="AD93" s="101"/>
      <c r="AE93" s="100"/>
      <c r="AF93" s="100"/>
      <c r="AG93" s="102"/>
      <c r="AH93" s="101"/>
      <c r="AJ93" s="82"/>
      <c r="AK93" s="82"/>
      <c r="AL93" s="85"/>
      <c r="AM93" s="88"/>
    </row>
    <row r="94" spans="1:39" s="12" customFormat="1" ht="18" customHeight="1">
      <c r="A94" s="105"/>
      <c r="B94" s="108"/>
      <c r="C94" s="108"/>
      <c r="D94" s="108"/>
      <c r="E94" s="121"/>
      <c r="F94" s="118"/>
      <c r="G94" s="122"/>
      <c r="H94" s="115"/>
      <c r="I94" s="112"/>
      <c r="J94" s="112"/>
      <c r="K94" s="115"/>
      <c r="L94" s="117"/>
      <c r="M94" s="118"/>
      <c r="N94" s="119"/>
      <c r="O94" s="120"/>
      <c r="P94" s="120"/>
      <c r="Q94" s="119"/>
      <c r="R94" s="9" t="s">
        <v>164</v>
      </c>
      <c r="S94" s="54">
        <v>80</v>
      </c>
      <c r="T94" s="9" t="s">
        <v>146</v>
      </c>
      <c r="U94" s="52">
        <v>1</v>
      </c>
      <c r="V94" s="59">
        <v>0.05</v>
      </c>
      <c r="W94" s="11">
        <v>1</v>
      </c>
      <c r="X94" s="11">
        <f>U94*V94/W94</f>
        <v>0.05</v>
      </c>
      <c r="Y94" s="103"/>
      <c r="Z94" s="93"/>
      <c r="AA94" s="95"/>
      <c r="AB94" s="98"/>
      <c r="AC94" s="100"/>
      <c r="AD94" s="101"/>
      <c r="AE94" s="100"/>
      <c r="AF94" s="100"/>
      <c r="AG94" s="102"/>
      <c r="AH94" s="101"/>
      <c r="AJ94" s="82"/>
      <c r="AK94" s="82"/>
      <c r="AL94" s="85"/>
      <c r="AM94" s="88"/>
    </row>
    <row r="95" spans="1:39" s="12" customFormat="1" ht="18" customHeight="1">
      <c r="A95" s="105"/>
      <c r="B95" s="108"/>
      <c r="C95" s="108"/>
      <c r="D95" s="108"/>
      <c r="E95" s="121"/>
      <c r="F95" s="118"/>
      <c r="G95" s="122"/>
      <c r="H95" s="115"/>
      <c r="I95" s="112"/>
      <c r="J95" s="112"/>
      <c r="K95" s="115"/>
      <c r="L95" s="117"/>
      <c r="M95" s="118"/>
      <c r="N95" s="119"/>
      <c r="O95" s="120"/>
      <c r="P95" s="120"/>
      <c r="Q95" s="119"/>
      <c r="R95" s="9"/>
      <c r="S95" s="9"/>
      <c r="T95" s="9"/>
      <c r="U95" s="45"/>
      <c r="V95" s="59"/>
      <c r="W95" s="11">
        <v>1</v>
      </c>
      <c r="X95" s="11">
        <f>U95*V95/W95</f>
        <v>0</v>
      </c>
      <c r="Y95" s="103"/>
      <c r="Z95" s="93"/>
      <c r="AA95" s="95"/>
      <c r="AB95" s="98"/>
      <c r="AC95" s="100"/>
      <c r="AD95" s="101"/>
      <c r="AE95" s="100"/>
      <c r="AF95" s="100"/>
      <c r="AG95" s="102"/>
      <c r="AH95" s="101"/>
      <c r="AJ95" s="82"/>
      <c r="AK95" s="82"/>
      <c r="AL95" s="85"/>
      <c r="AM95" s="88"/>
    </row>
    <row r="96" spans="1:39" s="12" customFormat="1" ht="18" customHeight="1">
      <c r="A96" s="105"/>
      <c r="B96" s="108"/>
      <c r="C96" s="108"/>
      <c r="D96" s="108"/>
      <c r="E96" s="121"/>
      <c r="F96" s="118"/>
      <c r="G96" s="122"/>
      <c r="H96" s="116"/>
      <c r="I96" s="113"/>
      <c r="J96" s="113"/>
      <c r="K96" s="116"/>
      <c r="L96" s="117"/>
      <c r="M96" s="118"/>
      <c r="N96" s="119"/>
      <c r="O96" s="120"/>
      <c r="P96" s="120"/>
      <c r="Q96" s="119"/>
      <c r="R96" s="9"/>
      <c r="S96" s="9"/>
      <c r="T96" s="9"/>
      <c r="U96" s="43"/>
      <c r="V96" s="59"/>
      <c r="W96" s="11"/>
      <c r="X96" s="11"/>
      <c r="Y96" s="103"/>
      <c r="Z96" s="93"/>
      <c r="AA96" s="96"/>
      <c r="AB96" s="99"/>
      <c r="AC96" s="100"/>
      <c r="AD96" s="101"/>
      <c r="AE96" s="100"/>
      <c r="AF96" s="100"/>
      <c r="AG96" s="102"/>
      <c r="AH96" s="101"/>
      <c r="AJ96" s="83"/>
      <c r="AK96" s="83"/>
      <c r="AL96" s="86"/>
      <c r="AM96" s="89"/>
    </row>
    <row r="97" spans="1:39" s="22" customFormat="1" ht="22.95" customHeight="1">
      <c r="A97" s="106"/>
      <c r="B97" s="109"/>
      <c r="C97" s="109"/>
      <c r="D97" s="109"/>
      <c r="E97" s="90" t="s">
        <v>52</v>
      </c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2"/>
      <c r="Q97" s="13">
        <f>SUM(Q91:Q96)</f>
        <v>2.2007854944999998</v>
      </c>
      <c r="R97" s="14"/>
      <c r="S97" s="15"/>
      <c r="T97" s="15"/>
      <c r="U97" s="15"/>
      <c r="V97" s="20"/>
      <c r="W97" s="16"/>
      <c r="X97" s="17">
        <f>SUM(X91:X96)</f>
        <v>0.42</v>
      </c>
      <c r="Y97" s="18"/>
      <c r="Z97" s="18"/>
      <c r="AA97" s="18"/>
      <c r="AB97" s="18"/>
      <c r="AC97" s="44"/>
      <c r="AD97" s="19"/>
      <c r="AE97" s="20"/>
      <c r="AF97" s="20"/>
      <c r="AG97" s="21"/>
      <c r="AH97" s="101"/>
      <c r="AJ97" s="61"/>
      <c r="AK97" s="61"/>
      <c r="AL97" s="66"/>
      <c r="AM97" s="61"/>
    </row>
    <row r="98" spans="1:39" s="12" customFormat="1" ht="18" hidden="1" customHeight="1">
      <c r="A98" s="104">
        <v>20</v>
      </c>
      <c r="B98" s="107" t="s">
        <v>175</v>
      </c>
      <c r="C98" s="110"/>
      <c r="D98" s="107" t="s">
        <v>176</v>
      </c>
      <c r="E98" s="79" t="s">
        <v>177</v>
      </c>
      <c r="F98" s="76" t="s">
        <v>139</v>
      </c>
      <c r="G98" s="80"/>
      <c r="H98" s="80" t="s">
        <v>56</v>
      </c>
      <c r="I98" s="73"/>
      <c r="J98" s="76"/>
      <c r="K98" s="74" t="s">
        <v>138</v>
      </c>
      <c r="L98" s="75">
        <f>I98*J98*K98*7.85/1000000</f>
        <v>0</v>
      </c>
      <c r="M98" s="76">
        <f>0.054-0.003</f>
        <v>5.0999999999999997E-2</v>
      </c>
      <c r="N98" s="77">
        <f>L98-M98</f>
        <v>-5.0999999999999997E-2</v>
      </c>
      <c r="O98" s="78">
        <v>6.79</v>
      </c>
      <c r="P98" s="78">
        <v>3.4</v>
      </c>
      <c r="Q98" s="77">
        <f>(L98*O98-N98*P98)*H98</f>
        <v>0.17339999999999997</v>
      </c>
      <c r="R98" s="9" t="s">
        <v>141</v>
      </c>
      <c r="S98" s="54">
        <v>160</v>
      </c>
      <c r="T98" s="9" t="s">
        <v>146</v>
      </c>
      <c r="U98" s="67">
        <v>1</v>
      </c>
      <c r="V98" s="59">
        <v>0.05</v>
      </c>
      <c r="W98" s="11">
        <v>1</v>
      </c>
      <c r="X98" s="11">
        <f>U98*V98/W98</f>
        <v>0.05</v>
      </c>
      <c r="Y98" s="103">
        <f>(Q104+X104)*1.12</f>
        <v>0.81020800000000015</v>
      </c>
      <c r="Z98" s="93">
        <f>Y98/1.13</f>
        <v>0.71699823008849572</v>
      </c>
      <c r="AA98" s="94" t="e">
        <f>M98/L98</f>
        <v>#DIV/0!</v>
      </c>
      <c r="AB98" s="97">
        <f>L98*O98/1.13*1.1</f>
        <v>0</v>
      </c>
      <c r="AC98" s="100" t="s">
        <v>163</v>
      </c>
      <c r="AD98" s="100">
        <v>40000</v>
      </c>
      <c r="AE98" s="100" t="e">
        <f>AC98/AD98/2</f>
        <v>#VALUE!</v>
      </c>
      <c r="AF98" s="100" t="e">
        <f>Z98+AE98</f>
        <v>#VALUE!</v>
      </c>
      <c r="AG98" s="102"/>
      <c r="AH98" s="101"/>
      <c r="AJ98" s="81" t="e">
        <f>VLOOKUP(B98,'[1]万昌 1'!$B$9:$G$59,6,0)</f>
        <v>#N/A</v>
      </c>
      <c r="AK98" s="81">
        <v>0.15</v>
      </c>
      <c r="AL98" s="84" t="e">
        <f>AJ98+AK98</f>
        <v>#N/A</v>
      </c>
      <c r="AM98" s="87" t="e">
        <f>(AL98-Z98)/Z98</f>
        <v>#N/A</v>
      </c>
    </row>
    <row r="99" spans="1:39" s="12" customFormat="1" ht="18" hidden="1" customHeight="1">
      <c r="A99" s="105"/>
      <c r="B99" s="108"/>
      <c r="C99" s="108"/>
      <c r="D99" s="108"/>
      <c r="E99" s="79"/>
      <c r="F99" s="76"/>
      <c r="G99" s="80"/>
      <c r="H99" s="80"/>
      <c r="I99" s="76"/>
      <c r="J99" s="76"/>
      <c r="K99" s="80"/>
      <c r="L99" s="75"/>
      <c r="M99" s="76"/>
      <c r="N99" s="77"/>
      <c r="O99" s="78"/>
      <c r="P99" s="78"/>
      <c r="Q99" s="77"/>
      <c r="R99" s="9" t="s">
        <v>142</v>
      </c>
      <c r="S99" s="54">
        <v>100</v>
      </c>
      <c r="T99" s="9" t="s">
        <v>146</v>
      </c>
      <c r="U99" s="67">
        <v>1</v>
      </c>
      <c r="V99" s="59">
        <v>0.25</v>
      </c>
      <c r="W99" s="11">
        <v>1</v>
      </c>
      <c r="X99" s="11">
        <f>U99*V99/W99</f>
        <v>0.25</v>
      </c>
      <c r="Y99" s="103"/>
      <c r="Z99" s="93"/>
      <c r="AA99" s="95"/>
      <c r="AB99" s="98"/>
      <c r="AC99" s="100"/>
      <c r="AD99" s="101"/>
      <c r="AE99" s="100"/>
      <c r="AF99" s="100"/>
      <c r="AG99" s="102"/>
      <c r="AH99" s="101"/>
      <c r="AJ99" s="82"/>
      <c r="AK99" s="82"/>
      <c r="AL99" s="85"/>
      <c r="AM99" s="88"/>
    </row>
    <row r="100" spans="1:39" s="12" customFormat="1" ht="18" hidden="1" customHeight="1">
      <c r="A100" s="105"/>
      <c r="B100" s="108"/>
      <c r="C100" s="108"/>
      <c r="D100" s="108"/>
      <c r="E100" s="79"/>
      <c r="F100" s="76"/>
      <c r="G100" s="80"/>
      <c r="H100" s="80"/>
      <c r="I100" s="76"/>
      <c r="J100" s="76"/>
      <c r="K100" s="80"/>
      <c r="L100" s="75"/>
      <c r="M100" s="76"/>
      <c r="N100" s="77"/>
      <c r="O100" s="78"/>
      <c r="P100" s="78"/>
      <c r="Q100" s="77"/>
      <c r="R100" s="9" t="s">
        <v>150</v>
      </c>
      <c r="S100" s="54">
        <v>80</v>
      </c>
      <c r="T100" s="9" t="s">
        <v>146</v>
      </c>
      <c r="U100" s="72">
        <v>1</v>
      </c>
      <c r="V100" s="59">
        <v>0.25</v>
      </c>
      <c r="W100" s="11">
        <v>1</v>
      </c>
      <c r="X100" s="11">
        <f>U100*V100/W100</f>
        <v>0.25</v>
      </c>
      <c r="Y100" s="103"/>
      <c r="Z100" s="93"/>
      <c r="AA100" s="95"/>
      <c r="AB100" s="98"/>
      <c r="AC100" s="100"/>
      <c r="AD100" s="101"/>
      <c r="AE100" s="100"/>
      <c r="AF100" s="100"/>
      <c r="AG100" s="102"/>
      <c r="AH100" s="101"/>
      <c r="AJ100" s="82"/>
      <c r="AK100" s="82"/>
      <c r="AL100" s="85"/>
      <c r="AM100" s="88"/>
    </row>
    <row r="101" spans="1:39" s="12" customFormat="1" ht="18" hidden="1" customHeight="1">
      <c r="A101" s="105"/>
      <c r="B101" s="108"/>
      <c r="C101" s="108"/>
      <c r="D101" s="108"/>
      <c r="E101" s="79"/>
      <c r="F101" s="76"/>
      <c r="G101" s="80"/>
      <c r="H101" s="80"/>
      <c r="I101" s="76"/>
      <c r="J101" s="76"/>
      <c r="K101" s="80"/>
      <c r="L101" s="75"/>
      <c r="M101" s="76"/>
      <c r="N101" s="77"/>
      <c r="O101" s="78"/>
      <c r="P101" s="78"/>
      <c r="Q101" s="77"/>
      <c r="R101" s="9"/>
      <c r="S101" s="54"/>
      <c r="T101" s="9"/>
      <c r="U101" s="67"/>
      <c r="V101" s="59"/>
      <c r="W101" s="11"/>
      <c r="X101" s="11"/>
      <c r="Y101" s="103"/>
      <c r="Z101" s="93"/>
      <c r="AA101" s="95"/>
      <c r="AB101" s="98"/>
      <c r="AC101" s="100"/>
      <c r="AD101" s="101"/>
      <c r="AE101" s="100"/>
      <c r="AF101" s="100"/>
      <c r="AG101" s="102"/>
      <c r="AH101" s="101"/>
      <c r="AJ101" s="82"/>
      <c r="AK101" s="82"/>
      <c r="AL101" s="85"/>
      <c r="AM101" s="88"/>
    </row>
    <row r="102" spans="1:39" s="12" customFormat="1" ht="18" hidden="1" customHeight="1">
      <c r="A102" s="105"/>
      <c r="B102" s="108"/>
      <c r="C102" s="108"/>
      <c r="D102" s="108"/>
      <c r="E102" s="79"/>
      <c r="F102" s="76"/>
      <c r="G102" s="80"/>
      <c r="H102" s="80"/>
      <c r="I102" s="76"/>
      <c r="J102" s="76"/>
      <c r="K102" s="80"/>
      <c r="L102" s="75"/>
      <c r="M102" s="76"/>
      <c r="N102" s="77"/>
      <c r="O102" s="78"/>
      <c r="P102" s="78"/>
      <c r="Q102" s="77"/>
      <c r="R102" s="9"/>
      <c r="S102" s="9"/>
      <c r="T102" s="9"/>
      <c r="U102" s="67"/>
      <c r="V102" s="59"/>
      <c r="W102" s="11"/>
      <c r="X102" s="11"/>
      <c r="Y102" s="103"/>
      <c r="Z102" s="93"/>
      <c r="AA102" s="95"/>
      <c r="AB102" s="98"/>
      <c r="AC102" s="100"/>
      <c r="AD102" s="101"/>
      <c r="AE102" s="100"/>
      <c r="AF102" s="100"/>
      <c r="AG102" s="102"/>
      <c r="AH102" s="101"/>
      <c r="AJ102" s="82"/>
      <c r="AK102" s="82"/>
      <c r="AL102" s="85"/>
      <c r="AM102" s="88"/>
    </row>
    <row r="103" spans="1:39" s="12" customFormat="1" ht="18" hidden="1" customHeight="1">
      <c r="A103" s="105"/>
      <c r="B103" s="108"/>
      <c r="C103" s="108"/>
      <c r="D103" s="108"/>
      <c r="E103" s="79"/>
      <c r="F103" s="76"/>
      <c r="G103" s="80"/>
      <c r="H103" s="80"/>
      <c r="I103" s="76"/>
      <c r="J103" s="76"/>
      <c r="K103" s="80"/>
      <c r="L103" s="75"/>
      <c r="M103" s="76"/>
      <c r="N103" s="77"/>
      <c r="O103" s="78"/>
      <c r="P103" s="78"/>
      <c r="Q103" s="77"/>
      <c r="R103" s="9"/>
      <c r="S103" s="9"/>
      <c r="T103" s="9"/>
      <c r="U103" s="67"/>
      <c r="V103" s="59"/>
      <c r="W103" s="11"/>
      <c r="X103" s="11"/>
      <c r="Y103" s="103"/>
      <c r="Z103" s="93"/>
      <c r="AA103" s="96"/>
      <c r="AB103" s="99"/>
      <c r="AC103" s="100"/>
      <c r="AD103" s="101"/>
      <c r="AE103" s="100"/>
      <c r="AF103" s="100"/>
      <c r="AG103" s="102"/>
      <c r="AH103" s="101"/>
      <c r="AJ103" s="83"/>
      <c r="AK103" s="83"/>
      <c r="AL103" s="86"/>
      <c r="AM103" s="89"/>
    </row>
    <row r="104" spans="1:39" s="22" customFormat="1" ht="22.95" hidden="1" customHeight="1">
      <c r="A104" s="106"/>
      <c r="B104" s="109"/>
      <c r="C104" s="109"/>
      <c r="D104" s="109"/>
      <c r="E104" s="90" t="s">
        <v>52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2"/>
      <c r="Q104" s="13">
        <f>SUM(Q98:Q103)</f>
        <v>0.17339999999999997</v>
      </c>
      <c r="R104" s="14"/>
      <c r="S104" s="15"/>
      <c r="T104" s="15"/>
      <c r="U104" s="15"/>
      <c r="V104" s="20"/>
      <c r="W104" s="16"/>
      <c r="X104" s="17">
        <f>SUM(X98:X103)</f>
        <v>0.55000000000000004</v>
      </c>
      <c r="Y104" s="18"/>
      <c r="Z104" s="18"/>
      <c r="AA104" s="18"/>
      <c r="AB104" s="18"/>
      <c r="AC104" s="44"/>
      <c r="AD104" s="19"/>
      <c r="AE104" s="20"/>
      <c r="AF104" s="20"/>
      <c r="AG104" s="21"/>
      <c r="AH104" s="101"/>
      <c r="AJ104" s="61"/>
      <c r="AK104" s="61"/>
      <c r="AL104" s="66"/>
      <c r="AM104" s="61"/>
    </row>
    <row r="105" spans="1:39" s="23" customFormat="1" hidden="1">
      <c r="B105" s="24"/>
      <c r="C105" s="25"/>
      <c r="D105" s="25"/>
      <c r="F105" s="26"/>
      <c r="G105" s="27"/>
      <c r="H105" s="27"/>
      <c r="I105" s="27"/>
      <c r="J105" s="27"/>
      <c r="K105" s="27"/>
      <c r="L105" s="27"/>
      <c r="M105" s="27"/>
      <c r="N105" s="27"/>
      <c r="O105" s="30"/>
      <c r="V105" s="28"/>
      <c r="W105" s="28"/>
      <c r="X105" s="28"/>
      <c r="Z105" s="29"/>
      <c r="AA105" s="29"/>
      <c r="AB105" s="29"/>
      <c r="AL105" s="29"/>
    </row>
  </sheetData>
  <autoFilter ref="A2:XDI97" xr:uid="{00000000-0001-0000-0600-000000000000}"/>
  <mergeCells count="571">
    <mergeCell ref="AN73:AN79"/>
    <mergeCell ref="AN34:AN38"/>
    <mergeCell ref="AN40:AN44"/>
    <mergeCell ref="AN8:AN11"/>
    <mergeCell ref="AN13:AN16"/>
    <mergeCell ref="AN23:AN26"/>
    <mergeCell ref="AN28:AN32"/>
    <mergeCell ref="AN63:AN66"/>
    <mergeCell ref="AN68:AN71"/>
    <mergeCell ref="AN56:AN61"/>
    <mergeCell ref="AN46:AN49"/>
    <mergeCell ref="AN51:AN54"/>
    <mergeCell ref="AM51:AM54"/>
    <mergeCell ref="AM56:AM61"/>
    <mergeCell ref="AM63:AM66"/>
    <mergeCell ref="AM68:AM71"/>
    <mergeCell ref="AM73:AM79"/>
    <mergeCell ref="AM81:AM84"/>
    <mergeCell ref="AM86:AM89"/>
    <mergeCell ref="AM91:AM96"/>
    <mergeCell ref="AM3:AM6"/>
    <mergeCell ref="AM8:AM11"/>
    <mergeCell ref="AM13:AM16"/>
    <mergeCell ref="AM18:AM21"/>
    <mergeCell ref="AM23:AM26"/>
    <mergeCell ref="AM28:AM32"/>
    <mergeCell ref="AM34:AM38"/>
    <mergeCell ref="AM40:AM44"/>
    <mergeCell ref="AM46:AM49"/>
    <mergeCell ref="AL51:AL54"/>
    <mergeCell ref="AL56:AL61"/>
    <mergeCell ref="AL63:AL66"/>
    <mergeCell ref="AL68:AL71"/>
    <mergeCell ref="AL73:AL79"/>
    <mergeCell ref="AL81:AL84"/>
    <mergeCell ref="AL86:AL89"/>
    <mergeCell ref="AJ91:AJ96"/>
    <mergeCell ref="AK91:AK96"/>
    <mergeCell ref="AL91:AL96"/>
    <mergeCell ref="AJ86:AJ89"/>
    <mergeCell ref="AK51:AK54"/>
    <mergeCell ref="AK56:AK61"/>
    <mergeCell ref="AK63:AK66"/>
    <mergeCell ref="AK68:AK71"/>
    <mergeCell ref="AK73:AK79"/>
    <mergeCell ref="AK81:AK84"/>
    <mergeCell ref="AK86:AK89"/>
    <mergeCell ref="AL3:AL6"/>
    <mergeCell ref="AL8:AL11"/>
    <mergeCell ref="AL13:AL16"/>
    <mergeCell ref="AL18:AL21"/>
    <mergeCell ref="AL23:AL26"/>
    <mergeCell ref="AL28:AL32"/>
    <mergeCell ref="AL34:AL38"/>
    <mergeCell ref="AL40:AL44"/>
    <mergeCell ref="AL46:AL49"/>
    <mergeCell ref="AK3:AK6"/>
    <mergeCell ref="AK8:AK11"/>
    <mergeCell ref="AK13:AK16"/>
    <mergeCell ref="AK18:AK21"/>
    <mergeCell ref="AK23:AK26"/>
    <mergeCell ref="AK28:AK32"/>
    <mergeCell ref="AK34:AK38"/>
    <mergeCell ref="AK40:AK44"/>
    <mergeCell ref="AK46:AK49"/>
    <mergeCell ref="AJ34:AJ38"/>
    <mergeCell ref="AJ40:AJ44"/>
    <mergeCell ref="AJ46:AJ49"/>
    <mergeCell ref="AJ51:AJ54"/>
    <mergeCell ref="AJ56:AJ61"/>
    <mergeCell ref="AJ63:AJ66"/>
    <mergeCell ref="AJ68:AJ71"/>
    <mergeCell ref="AJ73:AJ79"/>
    <mergeCell ref="AJ81:AJ84"/>
    <mergeCell ref="AF28:AF32"/>
    <mergeCell ref="AG28:AG32"/>
    <mergeCell ref="AH28:AH33"/>
    <mergeCell ref="AJ3:AJ6"/>
    <mergeCell ref="AJ13:AJ16"/>
    <mergeCell ref="AJ8:AJ11"/>
    <mergeCell ref="AJ18:AJ21"/>
    <mergeCell ref="AJ23:AJ26"/>
    <mergeCell ref="AJ28:AJ32"/>
    <mergeCell ref="AG23:AG26"/>
    <mergeCell ref="AH23:AH27"/>
    <mergeCell ref="AF23:AF26"/>
    <mergeCell ref="AG18:AG21"/>
    <mergeCell ref="AH18:AH22"/>
    <mergeCell ref="AD28:AD32"/>
    <mergeCell ref="AE28:AE32"/>
    <mergeCell ref="A28:A33"/>
    <mergeCell ref="B28:B33"/>
    <mergeCell ref="C28:C33"/>
    <mergeCell ref="D28:D33"/>
    <mergeCell ref="E33:P33"/>
    <mergeCell ref="Y28:Y32"/>
    <mergeCell ref="Z28:Z32"/>
    <mergeCell ref="AC28:AC32"/>
    <mergeCell ref="E27:P27"/>
    <mergeCell ref="AA23:AA26"/>
    <mergeCell ref="AB23:AB26"/>
    <mergeCell ref="AC23:AC26"/>
    <mergeCell ref="AD23:AD26"/>
    <mergeCell ref="AE23:AE26"/>
    <mergeCell ref="A23:A27"/>
    <mergeCell ref="B23:B27"/>
    <mergeCell ref="C23:C27"/>
    <mergeCell ref="D23:D27"/>
    <mergeCell ref="Y23:Y26"/>
    <mergeCell ref="Z23:Z26"/>
    <mergeCell ref="E22:P22"/>
    <mergeCell ref="H1:H2"/>
    <mergeCell ref="H3:H6"/>
    <mergeCell ref="H8:H11"/>
    <mergeCell ref="AC13:AC16"/>
    <mergeCell ref="AG13:AG16"/>
    <mergeCell ref="AH13:AH17"/>
    <mergeCell ref="F8:F11"/>
    <mergeCell ref="AG8:AG11"/>
    <mergeCell ref="AH8:AH12"/>
    <mergeCell ref="AE8:AE11"/>
    <mergeCell ref="AF8:AF11"/>
    <mergeCell ref="AD8:AD11"/>
    <mergeCell ref="G8:G11"/>
    <mergeCell ref="I8:I11"/>
    <mergeCell ref="J8:J11"/>
    <mergeCell ref="K8:K11"/>
    <mergeCell ref="L8:L11"/>
    <mergeCell ref="Y1:Y2"/>
    <mergeCell ref="E1:E2"/>
    <mergeCell ref="F1:F2"/>
    <mergeCell ref="AF3:AF6"/>
    <mergeCell ref="AG3:AG6"/>
    <mergeCell ref="AH3:AH7"/>
    <mergeCell ref="D18:D22"/>
    <mergeCell ref="Y18:Y21"/>
    <mergeCell ref="Z18:Z21"/>
    <mergeCell ref="AD13:AD16"/>
    <mergeCell ref="AE13:AE16"/>
    <mergeCell ref="AF13:AF16"/>
    <mergeCell ref="E17:P17"/>
    <mergeCell ref="A13:A17"/>
    <mergeCell ref="B13:B17"/>
    <mergeCell ref="C13:C17"/>
    <mergeCell ref="D13:D17"/>
    <mergeCell ref="AD18:AD21"/>
    <mergeCell ref="AE18:AE21"/>
    <mergeCell ref="AF18:AF21"/>
    <mergeCell ref="E13:E16"/>
    <mergeCell ref="F13:F16"/>
    <mergeCell ref="G13:G16"/>
    <mergeCell ref="H13:H16"/>
    <mergeCell ref="I13:I16"/>
    <mergeCell ref="J13:J16"/>
    <mergeCell ref="K13:K16"/>
    <mergeCell ref="L13:L16"/>
    <mergeCell ref="M13:M16"/>
    <mergeCell ref="N13:N16"/>
    <mergeCell ref="A8:A12"/>
    <mergeCell ref="B8:B12"/>
    <mergeCell ref="C8:C12"/>
    <mergeCell ref="D8:D12"/>
    <mergeCell ref="E8:E11"/>
    <mergeCell ref="E12:P12"/>
    <mergeCell ref="Z8:Z11"/>
    <mergeCell ref="AA8:AA11"/>
    <mergeCell ref="AB8:AB11"/>
    <mergeCell ref="N8:N11"/>
    <mergeCell ref="O8:O11"/>
    <mergeCell ref="P8:P11"/>
    <mergeCell ref="Q8:Q11"/>
    <mergeCell ref="Y8:Y11"/>
    <mergeCell ref="M8:M11"/>
    <mergeCell ref="E7:P7"/>
    <mergeCell ref="AA3:AA6"/>
    <mergeCell ref="AB3:AB6"/>
    <mergeCell ref="AD3:AD6"/>
    <mergeCell ref="AE3:AE6"/>
    <mergeCell ref="N3:N6"/>
    <mergeCell ref="O3:O6"/>
    <mergeCell ref="P3:P6"/>
    <mergeCell ref="Q3:Q6"/>
    <mergeCell ref="Y3:Y6"/>
    <mergeCell ref="Z3:Z6"/>
    <mergeCell ref="G3:G6"/>
    <mergeCell ref="I3:I6"/>
    <mergeCell ref="J3:J6"/>
    <mergeCell ref="K3:K6"/>
    <mergeCell ref="L3:L6"/>
    <mergeCell ref="M3:M6"/>
    <mergeCell ref="AC3:AC6"/>
    <mergeCell ref="AC8:AC11"/>
    <mergeCell ref="G1:G2"/>
    <mergeCell ref="AE1:AE2"/>
    <mergeCell ref="AF1:AF2"/>
    <mergeCell ref="AG1:AG2"/>
    <mergeCell ref="AH1:AH2"/>
    <mergeCell ref="A3:A7"/>
    <mergeCell ref="B3:B7"/>
    <mergeCell ref="C3:C7"/>
    <mergeCell ref="D3:D7"/>
    <mergeCell ref="E3:E6"/>
    <mergeCell ref="F3:F6"/>
    <mergeCell ref="Z1:Z2"/>
    <mergeCell ref="AA1:AA2"/>
    <mergeCell ref="AB1:AB2"/>
    <mergeCell ref="AC1:AC2"/>
    <mergeCell ref="AD1:AD2"/>
    <mergeCell ref="I1:K1"/>
    <mergeCell ref="L1:N1"/>
    <mergeCell ref="O1:P1"/>
    <mergeCell ref="Q1:Q2"/>
    <mergeCell ref="R1:X1"/>
    <mergeCell ref="B1:B2"/>
    <mergeCell ref="C1:C2"/>
    <mergeCell ref="D1:D2"/>
    <mergeCell ref="O13:O16"/>
    <mergeCell ref="P13:P16"/>
    <mergeCell ref="Q13:Q16"/>
    <mergeCell ref="Y13:Y16"/>
    <mergeCell ref="Z13:Z16"/>
    <mergeCell ref="AA13:AA16"/>
    <mergeCell ref="AB13:AB16"/>
    <mergeCell ref="A18:A22"/>
    <mergeCell ref="B18:B22"/>
    <mergeCell ref="C18:C22"/>
    <mergeCell ref="E18:E21"/>
    <mergeCell ref="F18:F21"/>
    <mergeCell ref="G18:G21"/>
    <mergeCell ref="H18:H21"/>
    <mergeCell ref="I18:I21"/>
    <mergeCell ref="J18:J21"/>
    <mergeCell ref="K18:K21"/>
    <mergeCell ref="L18:L21"/>
    <mergeCell ref="M18:M21"/>
    <mergeCell ref="N18:N21"/>
    <mergeCell ref="O18:O21"/>
    <mergeCell ref="P18:P21"/>
    <mergeCell ref="Q18:Q21"/>
    <mergeCell ref="Z34:Z38"/>
    <mergeCell ref="AA34:AA38"/>
    <mergeCell ref="AB34:AB38"/>
    <mergeCell ref="AC34:AC38"/>
    <mergeCell ref="AB18:AB21"/>
    <mergeCell ref="AA18:AA21"/>
    <mergeCell ref="AC18:AC21"/>
    <mergeCell ref="E23:E26"/>
    <mergeCell ref="F23:F26"/>
    <mergeCell ref="G23:G26"/>
    <mergeCell ref="H23:H26"/>
    <mergeCell ref="I23:I26"/>
    <mergeCell ref="J23:J26"/>
    <mergeCell ref="K23:K26"/>
    <mergeCell ref="L23:L26"/>
    <mergeCell ref="M23:M26"/>
    <mergeCell ref="N23:N26"/>
    <mergeCell ref="O23:O26"/>
    <mergeCell ref="P23:P26"/>
    <mergeCell ref="Q23:Q26"/>
    <mergeCell ref="AA28:AA32"/>
    <mergeCell ref="AB28:AB32"/>
    <mergeCell ref="J34:J38"/>
    <mergeCell ref="K34:K38"/>
    <mergeCell ref="L34:L38"/>
    <mergeCell ref="M34:M38"/>
    <mergeCell ref="N34:N38"/>
    <mergeCell ref="O34:O38"/>
    <mergeCell ref="P34:P38"/>
    <mergeCell ref="Q34:Q38"/>
    <mergeCell ref="Y34:Y38"/>
    <mergeCell ref="A34:A39"/>
    <mergeCell ref="B34:B39"/>
    <mergeCell ref="C34:C39"/>
    <mergeCell ref="D34:D39"/>
    <mergeCell ref="E34:E38"/>
    <mergeCell ref="F34:F38"/>
    <mergeCell ref="G34:G38"/>
    <mergeCell ref="H34:H38"/>
    <mergeCell ref="I34:I38"/>
    <mergeCell ref="AD34:AD38"/>
    <mergeCell ref="AE34:AE38"/>
    <mergeCell ref="AF34:AF38"/>
    <mergeCell ref="AG34:AG38"/>
    <mergeCell ref="AH34:AH39"/>
    <mergeCell ref="E39:P39"/>
    <mergeCell ref="A40:A45"/>
    <mergeCell ref="B40:B45"/>
    <mergeCell ref="C40:C45"/>
    <mergeCell ref="D40:D45"/>
    <mergeCell ref="E40:E44"/>
    <mergeCell ref="F40:F44"/>
    <mergeCell ref="G40:G44"/>
    <mergeCell ref="H40:H44"/>
    <mergeCell ref="I40:I44"/>
    <mergeCell ref="J40:J44"/>
    <mergeCell ref="K40:K44"/>
    <mergeCell ref="L40:L44"/>
    <mergeCell ref="M40:M44"/>
    <mergeCell ref="N40:N44"/>
    <mergeCell ref="O40:O44"/>
    <mergeCell ref="P40:P44"/>
    <mergeCell ref="Q40:Q44"/>
    <mergeCell ref="Y40:Y44"/>
    <mergeCell ref="Z40:Z44"/>
    <mergeCell ref="AA40:AA44"/>
    <mergeCell ref="AB40:AB44"/>
    <mergeCell ref="AC40:AC44"/>
    <mergeCell ref="AD40:AD44"/>
    <mergeCell ref="AE40:AE44"/>
    <mergeCell ref="AF40:AF44"/>
    <mergeCell ref="AG40:AG44"/>
    <mergeCell ref="AH40:AH45"/>
    <mergeCell ref="E45:P45"/>
    <mergeCell ref="A46:A50"/>
    <mergeCell ref="B46:B50"/>
    <mergeCell ref="C46:C50"/>
    <mergeCell ref="D46:D50"/>
    <mergeCell ref="E46:E49"/>
    <mergeCell ref="F46:F49"/>
    <mergeCell ref="G46:G49"/>
    <mergeCell ref="H46:H49"/>
    <mergeCell ref="I46:I49"/>
    <mergeCell ref="J46:J49"/>
    <mergeCell ref="K46:K49"/>
    <mergeCell ref="L46:L49"/>
    <mergeCell ref="M46:M49"/>
    <mergeCell ref="N46:N49"/>
    <mergeCell ref="O46:O49"/>
    <mergeCell ref="P46:P49"/>
    <mergeCell ref="Q46:Q49"/>
    <mergeCell ref="Y46:Y49"/>
    <mergeCell ref="Z46:Z49"/>
    <mergeCell ref="AA46:AA49"/>
    <mergeCell ref="AB46:AB49"/>
    <mergeCell ref="AC46:AC49"/>
    <mergeCell ref="AD46:AD49"/>
    <mergeCell ref="AE46:AE49"/>
    <mergeCell ref="AF46:AF49"/>
    <mergeCell ref="AG46:AG49"/>
    <mergeCell ref="AH46:AH50"/>
    <mergeCell ref="E50:P50"/>
    <mergeCell ref="A51:A55"/>
    <mergeCell ref="B51:B55"/>
    <mergeCell ref="C51:C55"/>
    <mergeCell ref="D51:D55"/>
    <mergeCell ref="E51:E54"/>
    <mergeCell ref="F51:F54"/>
    <mergeCell ref="G51:G54"/>
    <mergeCell ref="H51:H54"/>
    <mergeCell ref="I51:I54"/>
    <mergeCell ref="J51:J54"/>
    <mergeCell ref="K51:K54"/>
    <mergeCell ref="L51:L54"/>
    <mergeCell ref="M51:M54"/>
    <mergeCell ref="N51:N54"/>
    <mergeCell ref="O51:O54"/>
    <mergeCell ref="P51:P54"/>
    <mergeCell ref="Q51:Q54"/>
    <mergeCell ref="Y51:Y54"/>
    <mergeCell ref="Z51:Z54"/>
    <mergeCell ref="AA51:AA54"/>
    <mergeCell ref="AB51:AB54"/>
    <mergeCell ref="AC51:AC54"/>
    <mergeCell ref="AD51:AD54"/>
    <mergeCell ref="AE51:AE54"/>
    <mergeCell ref="AF51:AF54"/>
    <mergeCell ref="AG51:AG54"/>
    <mergeCell ref="AH51:AH55"/>
    <mergeCell ref="E55:P55"/>
    <mergeCell ref="A56:A62"/>
    <mergeCell ref="B56:B62"/>
    <mergeCell ref="C56:C62"/>
    <mergeCell ref="D56:D62"/>
    <mergeCell ref="E56:E61"/>
    <mergeCell ref="F56:F61"/>
    <mergeCell ref="G56:G61"/>
    <mergeCell ref="H56:H61"/>
    <mergeCell ref="I56:I61"/>
    <mergeCell ref="J56:J61"/>
    <mergeCell ref="K56:K61"/>
    <mergeCell ref="L56:L61"/>
    <mergeCell ref="M56:M61"/>
    <mergeCell ref="N56:N61"/>
    <mergeCell ref="O56:O61"/>
    <mergeCell ref="P56:P61"/>
    <mergeCell ref="Q56:Q61"/>
    <mergeCell ref="Y56:Y61"/>
    <mergeCell ref="Z56:Z61"/>
    <mergeCell ref="AA56:AA61"/>
    <mergeCell ref="AB56:AB61"/>
    <mergeCell ref="AC56:AC61"/>
    <mergeCell ref="AD56:AD61"/>
    <mergeCell ref="AE56:AE61"/>
    <mergeCell ref="AF56:AF61"/>
    <mergeCell ref="AG56:AG61"/>
    <mergeCell ref="AH56:AH62"/>
    <mergeCell ref="E62:P62"/>
    <mergeCell ref="A63:A67"/>
    <mergeCell ref="B63:B67"/>
    <mergeCell ref="C63:C67"/>
    <mergeCell ref="D63:D67"/>
    <mergeCell ref="E63:E66"/>
    <mergeCell ref="F63:F66"/>
    <mergeCell ref="G63:G66"/>
    <mergeCell ref="H63:H66"/>
    <mergeCell ref="I63:I66"/>
    <mergeCell ref="J63:J66"/>
    <mergeCell ref="K63:K66"/>
    <mergeCell ref="L63:L66"/>
    <mergeCell ref="M63:M66"/>
    <mergeCell ref="N63:N66"/>
    <mergeCell ref="O63:O66"/>
    <mergeCell ref="P63:P66"/>
    <mergeCell ref="Q63:Q66"/>
    <mergeCell ref="Y63:Y66"/>
    <mergeCell ref="Z63:Z66"/>
    <mergeCell ref="AA63:AA66"/>
    <mergeCell ref="AB63:AB66"/>
    <mergeCell ref="AC63:AC66"/>
    <mergeCell ref="E67:P67"/>
    <mergeCell ref="A68:A72"/>
    <mergeCell ref="B68:B72"/>
    <mergeCell ref="C68:C72"/>
    <mergeCell ref="D68:D72"/>
    <mergeCell ref="E68:E71"/>
    <mergeCell ref="F68:F71"/>
    <mergeCell ref="G68:G71"/>
    <mergeCell ref="H68:H71"/>
    <mergeCell ref="I68:I71"/>
    <mergeCell ref="J68:J71"/>
    <mergeCell ref="K68:K71"/>
    <mergeCell ref="L68:L71"/>
    <mergeCell ref="M68:M71"/>
    <mergeCell ref="N68:N71"/>
    <mergeCell ref="O68:O71"/>
    <mergeCell ref="P68:P71"/>
    <mergeCell ref="AE68:AE71"/>
    <mergeCell ref="AF68:AF71"/>
    <mergeCell ref="AG68:AG71"/>
    <mergeCell ref="AH68:AH72"/>
    <mergeCell ref="AD63:AD66"/>
    <mergeCell ref="AE63:AE66"/>
    <mergeCell ref="AF63:AF66"/>
    <mergeCell ref="AG63:AG66"/>
    <mergeCell ref="AH63:AH67"/>
    <mergeCell ref="A73:A80"/>
    <mergeCell ref="B73:B80"/>
    <mergeCell ref="C73:C80"/>
    <mergeCell ref="D73:D80"/>
    <mergeCell ref="Z68:Z71"/>
    <mergeCell ref="AA68:AA71"/>
    <mergeCell ref="AB68:AB71"/>
    <mergeCell ref="AC68:AC71"/>
    <mergeCell ref="AD68:AD71"/>
    <mergeCell ref="Q68:Q71"/>
    <mergeCell ref="Y68:Y71"/>
    <mergeCell ref="Y73:Y79"/>
    <mergeCell ref="Z73:Z79"/>
    <mergeCell ref="AA73:AA79"/>
    <mergeCell ref="AB73:AB79"/>
    <mergeCell ref="AC73:AC79"/>
    <mergeCell ref="AD73:AD79"/>
    <mergeCell ref="AE73:AE79"/>
    <mergeCell ref="AF73:AF79"/>
    <mergeCell ref="E72:P72"/>
    <mergeCell ref="AG73:AG79"/>
    <mergeCell ref="AH73:AH80"/>
    <mergeCell ref="E80:P80"/>
    <mergeCell ref="A81:A85"/>
    <mergeCell ref="B81:B85"/>
    <mergeCell ref="C81:C85"/>
    <mergeCell ref="D81:D85"/>
    <mergeCell ref="E81:E84"/>
    <mergeCell ref="F81:F84"/>
    <mergeCell ref="G81:G84"/>
    <mergeCell ref="H81:H84"/>
    <mergeCell ref="I81:I84"/>
    <mergeCell ref="J81:J84"/>
    <mergeCell ref="K81:K84"/>
    <mergeCell ref="L81:L84"/>
    <mergeCell ref="M81:M84"/>
    <mergeCell ref="N81:N84"/>
    <mergeCell ref="O81:O84"/>
    <mergeCell ref="P81:P84"/>
    <mergeCell ref="Q81:Q84"/>
    <mergeCell ref="Y81:Y84"/>
    <mergeCell ref="Z81:Z84"/>
    <mergeCell ref="AA81:AA84"/>
    <mergeCell ref="AB81:AB84"/>
    <mergeCell ref="AC81:AC84"/>
    <mergeCell ref="AD81:AD84"/>
    <mergeCell ref="AE81:AE84"/>
    <mergeCell ref="AF81:AF84"/>
    <mergeCell ref="AG81:AG84"/>
    <mergeCell ref="AH81:AH85"/>
    <mergeCell ref="E85:P85"/>
    <mergeCell ref="A86:A90"/>
    <mergeCell ref="B86:B90"/>
    <mergeCell ref="C86:C90"/>
    <mergeCell ref="D86:D90"/>
    <mergeCell ref="E86:E89"/>
    <mergeCell ref="F86:F89"/>
    <mergeCell ref="G86:G89"/>
    <mergeCell ref="H86:H89"/>
    <mergeCell ref="I86:I89"/>
    <mergeCell ref="J86:J89"/>
    <mergeCell ref="K86:K89"/>
    <mergeCell ref="L86:L89"/>
    <mergeCell ref="M86:M89"/>
    <mergeCell ref="N86:N89"/>
    <mergeCell ref="O86:O89"/>
    <mergeCell ref="P86:P89"/>
    <mergeCell ref="E90:P90"/>
    <mergeCell ref="Q86:Q89"/>
    <mergeCell ref="Y86:Y89"/>
    <mergeCell ref="Z86:Z89"/>
    <mergeCell ref="AA86:AA89"/>
    <mergeCell ref="AB86:AB89"/>
    <mergeCell ref="AC86:AC89"/>
    <mergeCell ref="AH91:AH97"/>
    <mergeCell ref="AD86:AD89"/>
    <mergeCell ref="AE86:AE89"/>
    <mergeCell ref="AF86:AF89"/>
    <mergeCell ref="AG86:AG89"/>
    <mergeCell ref="AH86:AH90"/>
    <mergeCell ref="AG91:AG96"/>
    <mergeCell ref="Z91:Z96"/>
    <mergeCell ref="AA91:AA96"/>
    <mergeCell ref="AB91:AB96"/>
    <mergeCell ref="AC91:AC96"/>
    <mergeCell ref="AD91:AD96"/>
    <mergeCell ref="AE91:AE96"/>
    <mergeCell ref="AF91:AF96"/>
    <mergeCell ref="Y91:Y96"/>
    <mergeCell ref="O91:O96"/>
    <mergeCell ref="P91:P96"/>
    <mergeCell ref="Q91:Q96"/>
    <mergeCell ref="E97:P97"/>
    <mergeCell ref="A91:A97"/>
    <mergeCell ref="B91:B97"/>
    <mergeCell ref="C91:C97"/>
    <mergeCell ref="D91:D97"/>
    <mergeCell ref="E91:E96"/>
    <mergeCell ref="F91:F96"/>
    <mergeCell ref="G91:G96"/>
    <mergeCell ref="H91:H96"/>
    <mergeCell ref="I91:I96"/>
    <mergeCell ref="A98:A104"/>
    <mergeCell ref="B98:B104"/>
    <mergeCell ref="C98:C104"/>
    <mergeCell ref="D98:D104"/>
    <mergeCell ref="J91:J96"/>
    <mergeCell ref="K91:K96"/>
    <mergeCell ref="L91:L96"/>
    <mergeCell ref="M91:M96"/>
    <mergeCell ref="N91:N96"/>
    <mergeCell ref="AJ98:AJ103"/>
    <mergeCell ref="AK98:AK103"/>
    <mergeCell ref="AL98:AL103"/>
    <mergeCell ref="AM98:AM103"/>
    <mergeCell ref="E104:P104"/>
    <mergeCell ref="Z98:Z103"/>
    <mergeCell ref="AA98:AA103"/>
    <mergeCell ref="AB98:AB103"/>
    <mergeCell ref="AC98:AC103"/>
    <mergeCell ref="AD98:AD103"/>
    <mergeCell ref="AE98:AE103"/>
    <mergeCell ref="AF98:AF103"/>
    <mergeCell ref="AG98:AG103"/>
    <mergeCell ref="AH98:AH104"/>
    <mergeCell ref="Y98:Y103"/>
  </mergeCells>
  <phoneticPr fontId="14" type="noConversion"/>
  <conditionalFormatting sqref="G3 I3:K3">
    <cfRule type="duplicateValues" dxfId="23" priority="41"/>
  </conditionalFormatting>
  <conditionalFormatting sqref="C105:D1048576">
    <cfRule type="duplicateValues" dxfId="22" priority="42"/>
  </conditionalFormatting>
  <conditionalFormatting sqref="G8 I8:K8">
    <cfRule type="duplicateValues" dxfId="21" priority="28"/>
  </conditionalFormatting>
  <conditionalFormatting sqref="G13 I13:K13">
    <cfRule type="duplicateValues" dxfId="20" priority="27"/>
  </conditionalFormatting>
  <conditionalFormatting sqref="G18 I18:K18">
    <cfRule type="duplicateValues" dxfId="19" priority="26"/>
  </conditionalFormatting>
  <conditionalFormatting sqref="G23 I23:K23">
    <cfRule type="duplicateValues" dxfId="18" priority="25"/>
  </conditionalFormatting>
  <conditionalFormatting sqref="G28 I28:K28">
    <cfRule type="duplicateValues" dxfId="17" priority="24"/>
  </conditionalFormatting>
  <conditionalFormatting sqref="I34:K34">
    <cfRule type="duplicateValues" dxfId="16" priority="23"/>
  </conditionalFormatting>
  <conditionalFormatting sqref="G34">
    <cfRule type="duplicateValues" dxfId="15" priority="21"/>
  </conditionalFormatting>
  <conditionalFormatting sqref="G46 I46:K46">
    <cfRule type="duplicateValues" dxfId="14" priority="19"/>
  </conditionalFormatting>
  <conditionalFormatting sqref="G56 I56:K56">
    <cfRule type="duplicateValues" dxfId="13" priority="17"/>
  </conditionalFormatting>
  <conditionalFormatting sqref="G63 I63:K63">
    <cfRule type="duplicateValues" dxfId="12" priority="16"/>
  </conditionalFormatting>
  <conditionalFormatting sqref="G81 I81:K81">
    <cfRule type="duplicateValues" dxfId="11" priority="13"/>
  </conditionalFormatting>
  <conditionalFormatting sqref="G91 I91:K91">
    <cfRule type="duplicateValues" dxfId="10" priority="11"/>
  </conditionalFormatting>
  <conditionalFormatting sqref="G40 K40">
    <cfRule type="duplicateValues" dxfId="9" priority="10"/>
  </conditionalFormatting>
  <conditionalFormatting sqref="G51">
    <cfRule type="duplicateValues" dxfId="8" priority="9"/>
  </conditionalFormatting>
  <conditionalFormatting sqref="G68 K68">
    <cfRule type="duplicateValues" dxfId="7" priority="8"/>
  </conditionalFormatting>
  <conditionalFormatting sqref="G73 I73:K73">
    <cfRule type="duplicateValues" dxfId="6" priority="7"/>
  </conditionalFormatting>
  <conditionalFormatting sqref="G86">
    <cfRule type="duplicateValues" dxfId="5" priority="6"/>
  </conditionalFormatting>
  <conditionalFormatting sqref="I40:J40">
    <cfRule type="duplicateValues" dxfId="4" priority="5"/>
  </conditionalFormatting>
  <conditionalFormatting sqref="I51:K51">
    <cfRule type="duplicateValues" dxfId="3" priority="4"/>
  </conditionalFormatting>
  <conditionalFormatting sqref="I68:J68">
    <cfRule type="duplicateValues" dxfId="2" priority="3"/>
  </conditionalFormatting>
  <conditionalFormatting sqref="I86:K86">
    <cfRule type="duplicateValues" dxfId="1" priority="2"/>
  </conditionalFormatting>
  <conditionalFormatting sqref="G98 I98:K9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37" orientation="landscape" horizontalDpi="200" verticalDpi="300" r:id="rId1"/>
  <rowBreaks count="1" manualBreakCount="1">
    <brk id="62" max="16383" man="1"/>
  </rowBreaks>
  <colBreaks count="1" manualBreakCount="1">
    <brk id="3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workbookViewId="0">
      <selection sqref="A1:J11"/>
    </sheetView>
  </sheetViews>
  <sheetFormatPr defaultColWidth="9" defaultRowHeight="14.4"/>
  <cols>
    <col min="1" max="1" width="5.109375" customWidth="1"/>
    <col min="2" max="2" width="14.33203125" customWidth="1"/>
    <col min="3" max="3" width="13.5546875" customWidth="1"/>
    <col min="4" max="5" width="5" customWidth="1"/>
    <col min="8" max="8" width="11.33203125" customWidth="1"/>
    <col min="9" max="9" width="13.109375" customWidth="1"/>
    <col min="10" max="10" width="22.44140625" customWidth="1"/>
  </cols>
  <sheetData>
    <row r="1" spans="1:10" s="38" customFormat="1">
      <c r="A1" s="40" t="s">
        <v>65</v>
      </c>
      <c r="B1" s="40" t="s">
        <v>66</v>
      </c>
      <c r="C1" s="40" t="s">
        <v>67</v>
      </c>
      <c r="D1" s="40" t="s">
        <v>68</v>
      </c>
      <c r="E1" s="40" t="s">
        <v>69</v>
      </c>
      <c r="F1" s="40" t="s">
        <v>70</v>
      </c>
      <c r="G1" s="40" t="s">
        <v>71</v>
      </c>
      <c r="H1" s="40" t="s">
        <v>72</v>
      </c>
      <c r="I1" s="40" t="s">
        <v>73</v>
      </c>
      <c r="J1" s="40" t="s">
        <v>74</v>
      </c>
    </row>
    <row r="2" spans="1:10" s="39" customFormat="1" ht="33.6" customHeight="1">
      <c r="A2" s="40">
        <v>1</v>
      </c>
      <c r="B2" s="42" t="s">
        <v>80</v>
      </c>
      <c r="C2" s="40" t="s">
        <v>89</v>
      </c>
      <c r="D2" s="40" t="s">
        <v>83</v>
      </c>
      <c r="E2" s="40">
        <v>1</v>
      </c>
      <c r="F2" s="40">
        <v>10000</v>
      </c>
      <c r="G2" s="40">
        <f>E2*F2</f>
        <v>10000</v>
      </c>
      <c r="H2" s="40">
        <f>G2*0.13</f>
        <v>1300</v>
      </c>
      <c r="I2" s="40">
        <f>G2+H2</f>
        <v>11300</v>
      </c>
      <c r="J2" s="165" t="s">
        <v>77</v>
      </c>
    </row>
    <row r="3" spans="1:10" s="39" customFormat="1" ht="33.6" customHeight="1">
      <c r="A3" s="40">
        <v>2</v>
      </c>
      <c r="B3" s="42" t="s">
        <v>81</v>
      </c>
      <c r="C3" s="40" t="s">
        <v>90</v>
      </c>
      <c r="D3" s="40" t="s">
        <v>83</v>
      </c>
      <c r="E3" s="40">
        <v>1</v>
      </c>
      <c r="F3" s="40">
        <v>10000</v>
      </c>
      <c r="G3" s="40">
        <f t="shared" ref="G3:G9" si="0">E3*F3</f>
        <v>10000</v>
      </c>
      <c r="H3" s="40">
        <f t="shared" ref="H3:H9" si="1">G3*0.13</f>
        <v>1300</v>
      </c>
      <c r="I3" s="40">
        <f t="shared" ref="I3:I8" si="2">G3+H3</f>
        <v>11300</v>
      </c>
      <c r="J3" s="166"/>
    </row>
    <row r="4" spans="1:10" s="39" customFormat="1" ht="33.6" customHeight="1">
      <c r="A4" s="40">
        <v>3</v>
      </c>
      <c r="B4" s="42" t="s">
        <v>82</v>
      </c>
      <c r="C4" s="40" t="s">
        <v>91</v>
      </c>
      <c r="D4" s="40" t="s">
        <v>83</v>
      </c>
      <c r="E4" s="40">
        <v>1</v>
      </c>
      <c r="F4" s="40">
        <v>2000</v>
      </c>
      <c r="G4" s="40">
        <f t="shared" si="0"/>
        <v>2000</v>
      </c>
      <c r="H4" s="40">
        <f t="shared" si="1"/>
        <v>260</v>
      </c>
      <c r="I4" s="40">
        <f t="shared" si="2"/>
        <v>2260</v>
      </c>
      <c r="J4" s="167"/>
    </row>
    <row r="5" spans="1:10" s="39" customFormat="1" ht="33.6" customHeight="1">
      <c r="A5" s="40">
        <v>4</v>
      </c>
      <c r="B5" s="42" t="s">
        <v>84</v>
      </c>
      <c r="C5" s="40" t="s">
        <v>92</v>
      </c>
      <c r="D5" s="40" t="s">
        <v>83</v>
      </c>
      <c r="E5" s="40">
        <v>1</v>
      </c>
      <c r="F5" s="40">
        <v>6500</v>
      </c>
      <c r="G5" s="40">
        <f t="shared" si="0"/>
        <v>6500</v>
      </c>
      <c r="H5" s="40">
        <f t="shared" si="1"/>
        <v>845</v>
      </c>
      <c r="I5" s="40">
        <f t="shared" si="2"/>
        <v>7345</v>
      </c>
      <c r="J5" s="165" t="s">
        <v>78</v>
      </c>
    </row>
    <row r="6" spans="1:10" s="39" customFormat="1" ht="33.6" customHeight="1">
      <c r="A6" s="40">
        <v>5</v>
      </c>
      <c r="B6" s="42" t="s">
        <v>85</v>
      </c>
      <c r="C6" s="40" t="s">
        <v>93</v>
      </c>
      <c r="D6" s="40" t="s">
        <v>83</v>
      </c>
      <c r="E6" s="40">
        <v>1</v>
      </c>
      <c r="F6" s="40">
        <v>6500</v>
      </c>
      <c r="G6" s="40">
        <f t="shared" si="0"/>
        <v>6500</v>
      </c>
      <c r="H6" s="40">
        <f t="shared" si="1"/>
        <v>845</v>
      </c>
      <c r="I6" s="40">
        <f t="shared" si="2"/>
        <v>7345</v>
      </c>
      <c r="J6" s="167"/>
    </row>
    <row r="7" spans="1:10" s="39" customFormat="1" ht="43.2" customHeight="1">
      <c r="A7" s="40">
        <v>6</v>
      </c>
      <c r="B7" s="42" t="s">
        <v>86</v>
      </c>
      <c r="C7" s="40" t="s">
        <v>94</v>
      </c>
      <c r="D7" s="40" t="s">
        <v>83</v>
      </c>
      <c r="E7" s="40">
        <v>1</v>
      </c>
      <c r="F7" s="40">
        <v>10000</v>
      </c>
      <c r="G7" s="40">
        <f t="shared" si="0"/>
        <v>10000</v>
      </c>
      <c r="H7" s="40">
        <f t="shared" si="1"/>
        <v>1300</v>
      </c>
      <c r="I7" s="40">
        <f t="shared" si="2"/>
        <v>11300</v>
      </c>
      <c r="J7" s="165" t="s">
        <v>79</v>
      </c>
    </row>
    <row r="8" spans="1:10" s="39" customFormat="1" ht="43.8" customHeight="1">
      <c r="A8" s="40">
        <v>7</v>
      </c>
      <c r="B8" s="42" t="s">
        <v>88</v>
      </c>
      <c r="C8" s="40" t="s">
        <v>95</v>
      </c>
      <c r="D8" s="40" t="s">
        <v>83</v>
      </c>
      <c r="E8" s="40">
        <v>1</v>
      </c>
      <c r="F8" s="40">
        <v>11000</v>
      </c>
      <c r="G8" s="40">
        <f t="shared" si="0"/>
        <v>11000</v>
      </c>
      <c r="H8" s="40">
        <f t="shared" si="1"/>
        <v>1430</v>
      </c>
      <c r="I8" s="40">
        <f t="shared" si="2"/>
        <v>12430</v>
      </c>
      <c r="J8" s="166"/>
    </row>
    <row r="9" spans="1:10" s="39" customFormat="1" ht="52.8" customHeight="1">
      <c r="A9" s="40">
        <v>8</v>
      </c>
      <c r="B9" s="42" t="s">
        <v>87</v>
      </c>
      <c r="C9" s="40" t="s">
        <v>96</v>
      </c>
      <c r="D9" s="40" t="s">
        <v>83</v>
      </c>
      <c r="E9" s="40">
        <v>1</v>
      </c>
      <c r="F9" s="40">
        <v>11000</v>
      </c>
      <c r="G9" s="40">
        <f t="shared" si="0"/>
        <v>11000</v>
      </c>
      <c r="H9" s="40">
        <f t="shared" si="1"/>
        <v>1430</v>
      </c>
      <c r="I9" s="40">
        <f>G9+H9</f>
        <v>12430</v>
      </c>
      <c r="J9" s="167"/>
    </row>
    <row r="10" spans="1:10" s="39" customFormat="1">
      <c r="A10" s="169" t="s">
        <v>75</v>
      </c>
      <c r="B10" s="170"/>
      <c r="C10" s="170"/>
      <c r="D10" s="170"/>
      <c r="E10" s="170"/>
      <c r="F10" s="170"/>
      <c r="G10" s="170"/>
      <c r="H10" s="171"/>
      <c r="I10" s="41">
        <f>SUM(I2:I9)</f>
        <v>75710</v>
      </c>
      <c r="J10" s="40"/>
    </row>
    <row r="11" spans="1:10" s="39" customFormat="1" ht="15" customHeight="1">
      <c r="A11" s="168" t="s">
        <v>76</v>
      </c>
      <c r="B11" s="168"/>
      <c r="C11" s="168"/>
      <c r="D11" s="168"/>
      <c r="E11" s="168"/>
      <c r="F11" s="168"/>
      <c r="G11" s="168"/>
      <c r="H11" s="168"/>
      <c r="I11" s="168"/>
      <c r="J11" s="168"/>
    </row>
  </sheetData>
  <mergeCells count="5">
    <mergeCell ref="J2:J4"/>
    <mergeCell ref="J5:J6"/>
    <mergeCell ref="J7:J9"/>
    <mergeCell ref="A11:J11"/>
    <mergeCell ref="A10:H10"/>
  </mergeCells>
  <phoneticPr fontId="14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冲压工序费</vt:lpstr>
      <vt:lpstr>成本核算</vt:lpstr>
      <vt:lpstr>Sheet2</vt:lpstr>
      <vt:lpstr>成本核算!Print_Area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2006-09-13T11:21:00Z</dcterms:created>
  <dcterms:modified xsi:type="dcterms:W3CDTF">2022-06-21T06:02:39Z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