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欧马可\"/>
    </mc:Choice>
  </mc:AlternateContent>
  <bookViews>
    <workbookView xWindow="-105" yWindow="-105" windowWidth="23250" windowHeight="12720"/>
  </bookViews>
  <sheets>
    <sheet name="外购件开发申请单-机加工件（最终报价）" sheetId="2" r:id="rId1"/>
    <sheet name="机加件测算 (欧马可)" sheetId="3" r:id="rId2"/>
  </sheets>
  <externalReferences>
    <externalReference r:id="rId3"/>
    <externalReference r:id="rId4"/>
  </externalReferences>
  <definedNames>
    <definedName name="_xlnm._FilterDatabase" localSheetId="0" hidden="1">'外购件开发申请单-机加工件（最终报价）'!$A$4:$AM$15</definedName>
    <definedName name="_xlnm.Print_Area" localSheetId="0">'外购件开发申请单-机加工件（最终报价）'!$A$1:$AL$28</definedName>
    <definedName name="_xlnm.Print_Titles" localSheetId="0">'外购件开发申请单-机加工件（最终报价）'!$2:$4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" i="2" l="1"/>
  <c r="U8" i="2"/>
  <c r="U9" i="2"/>
  <c r="U10" i="2"/>
  <c r="U11" i="2"/>
  <c r="U12" i="2"/>
  <c r="U13" i="2"/>
  <c r="U14" i="2"/>
  <c r="U15" i="2"/>
  <c r="U5" i="2"/>
  <c r="L54" i="3"/>
  <c r="P54" i="3" s="1"/>
  <c r="K54" i="3"/>
  <c r="N53" i="3"/>
  <c r="O52" i="3"/>
  <c r="K52" i="3"/>
  <c r="L52" i="3" s="1"/>
  <c r="P52" i="3" s="1"/>
  <c r="N49" i="3"/>
  <c r="O49" i="3" s="1"/>
  <c r="K49" i="3"/>
  <c r="L49" i="3" s="1"/>
  <c r="P49" i="3" s="1"/>
  <c r="N43" i="3"/>
  <c r="O43" i="3" s="1"/>
  <c r="L43" i="3"/>
  <c r="K43" i="3"/>
  <c r="L42" i="3"/>
  <c r="P42" i="3" s="1"/>
  <c r="K42" i="3"/>
  <c r="O39" i="3"/>
  <c r="K39" i="3"/>
  <c r="L39" i="3" s="1"/>
  <c r="P39" i="3" s="1"/>
  <c r="K38" i="3"/>
  <c r="L38" i="3" s="1"/>
  <c r="P38" i="3" s="1"/>
  <c r="O31" i="3"/>
  <c r="K31" i="3"/>
  <c r="L31" i="3" s="1"/>
  <c r="P31" i="3" s="1"/>
  <c r="O24" i="3"/>
  <c r="L24" i="3"/>
  <c r="P24" i="3" s="1"/>
  <c r="K24" i="3"/>
  <c r="L23" i="3"/>
  <c r="P23" i="3" s="1"/>
  <c r="K23" i="3"/>
  <c r="O20" i="3"/>
  <c r="K20" i="3"/>
  <c r="L20" i="3" s="1"/>
  <c r="P20" i="3" s="1"/>
  <c r="O18" i="3"/>
  <c r="K18" i="3"/>
  <c r="L18" i="3" s="1"/>
  <c r="P18" i="3" s="1"/>
  <c r="O14" i="3"/>
  <c r="L14" i="3"/>
  <c r="P14" i="3" s="1"/>
  <c r="K14" i="3"/>
  <c r="O9" i="3"/>
  <c r="K9" i="3"/>
  <c r="L9" i="3" s="1"/>
  <c r="P9" i="3" s="1"/>
  <c r="O3" i="3"/>
  <c r="K3" i="3"/>
  <c r="L3" i="3" s="1"/>
  <c r="P3" i="3" s="1"/>
  <c r="P43" i="3" l="1"/>
  <c r="P15" i="2"/>
  <c r="T14" i="2"/>
  <c r="P14" i="2"/>
  <c r="T13" i="2"/>
  <c r="P13" i="2"/>
  <c r="M13" i="2"/>
  <c r="P12" i="2"/>
  <c r="M12" i="2"/>
  <c r="P11" i="2"/>
  <c r="M11" i="2"/>
  <c r="P10" i="2"/>
  <c r="M10" i="2"/>
  <c r="P9" i="2"/>
  <c r="M9" i="2"/>
  <c r="P8" i="2"/>
  <c r="M8" i="2"/>
  <c r="T7" i="2"/>
  <c r="P7" i="2"/>
  <c r="N7" i="2"/>
  <c r="M7" i="2"/>
  <c r="T6" i="2"/>
  <c r="P6" i="2"/>
  <c r="P5" i="2"/>
  <c r="N5" i="2"/>
  <c r="M5" i="2"/>
</calcChain>
</file>

<file path=xl/sharedStrings.xml><?xml version="1.0" encoding="utf-8"?>
<sst xmlns="http://schemas.openxmlformats.org/spreadsheetml/2006/main" count="353" uniqueCount="188">
  <si>
    <t>资源说明：1.黄骅创合和北京三浦新产品暂不承接。2.其余几家均为我司前期合作供应商</t>
    <phoneticPr fontId="3" type="noConversion"/>
  </si>
  <si>
    <t>项目名称：福田欧马可</t>
    <phoneticPr fontId="3" type="noConversion"/>
  </si>
  <si>
    <t>项目代码：ZY2130</t>
  </si>
  <si>
    <t>发起日期</t>
  </si>
  <si>
    <t>2022.04.27</t>
  </si>
  <si>
    <t>未税报价情况</t>
    <phoneticPr fontId="3" type="noConversion"/>
  </si>
  <si>
    <t>定价情况</t>
    <phoneticPr fontId="3" type="noConversion"/>
  </si>
  <si>
    <t>是否达成目标</t>
    <phoneticPr fontId="3" type="noConversion"/>
  </si>
  <si>
    <t>说明</t>
    <phoneticPr fontId="3" type="noConversion"/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</si>
  <si>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</si>
  <si>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</si>
  <si>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</si>
  <si>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</si>
  <si>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</si>
  <si>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</si>
  <si>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</si>
  <si>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</si>
  <si>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</si>
  <si>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</si>
  <si>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</si>
  <si>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</si>
  <si>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</si>
  <si>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初选供应商</t>
    <phoneticPr fontId="3" type="noConversion"/>
  </si>
  <si>
    <t>单台使用量</t>
  </si>
  <si>
    <t>年使用量</t>
  </si>
  <si>
    <t>设计对接人</t>
  </si>
  <si>
    <t>备注</t>
  </si>
  <si>
    <t>自制/委外</t>
    <phoneticPr fontId="3" type="noConversion"/>
  </si>
  <si>
    <t>未税目标价-价值部二次出具</t>
    <phoneticPr fontId="3" type="noConversion"/>
  </si>
  <si>
    <t>黄骅兴岳</t>
    <phoneticPr fontId="3" type="noConversion"/>
  </si>
  <si>
    <t>霸州政锦</t>
    <phoneticPr fontId="3" type="noConversion"/>
  </si>
  <si>
    <t>沧州旭兴</t>
    <phoneticPr fontId="3" type="noConversion"/>
  </si>
  <si>
    <t>常州上锐</t>
    <phoneticPr fontId="3" type="noConversion"/>
  </si>
  <si>
    <t>机加</t>
    <phoneticPr fontId="3" type="noConversion"/>
  </si>
  <si>
    <t>冷镦</t>
    <phoneticPr fontId="3" type="noConversion"/>
  </si>
  <si>
    <t>一次报价-机加</t>
    <phoneticPr fontId="3" type="noConversion"/>
  </si>
  <si>
    <t>最终报价-机加</t>
    <phoneticPr fontId="3" type="noConversion"/>
  </si>
  <si>
    <t>最终报价-冷镦</t>
    <phoneticPr fontId="3" type="noConversion"/>
  </si>
  <si>
    <t>冷镦模具费</t>
    <phoneticPr fontId="3" type="noConversion"/>
  </si>
  <si>
    <t>未税报价-机加一次</t>
    <phoneticPr fontId="3" type="noConversion"/>
  </si>
  <si>
    <t>未税报价-机加最终</t>
    <phoneticPr fontId="3" type="noConversion"/>
  </si>
  <si>
    <t>一次报价-机加</t>
  </si>
  <si>
    <t>最终报价-机加</t>
  </si>
  <si>
    <t>最终报价-冷镦</t>
  </si>
  <si>
    <t>冷镦模具费</t>
  </si>
  <si>
    <t>未税报价</t>
    <phoneticPr fontId="3" type="noConversion"/>
  </si>
  <si>
    <t>推荐供应商</t>
    <phoneticPr fontId="3" type="noConversion"/>
  </si>
  <si>
    <t>未税价</t>
    <phoneticPr fontId="3" type="noConversion"/>
  </si>
  <si>
    <t>BFA0010084</t>
  </si>
  <si>
    <t>十字槽沉头螺钉</t>
  </si>
  <si>
    <t>EA</t>
  </si>
  <si>
    <t>标准件</t>
  </si>
  <si>
    <t>M6*16
4.8级</t>
  </si>
  <si>
    <t>新开</t>
    <phoneticPr fontId="3" type="noConversion"/>
  </si>
  <si>
    <t>河北外购</t>
  </si>
  <si>
    <t>李燕龙</t>
  </si>
  <si>
    <t>委外</t>
    <phoneticPr fontId="3" type="noConversion"/>
  </si>
  <si>
    <t>电泳黑0.22/环保黑锌0.15，起订10万</t>
    <phoneticPr fontId="3" type="noConversion"/>
  </si>
  <si>
    <t>常州上锐</t>
  </si>
  <si>
    <t>是</t>
    <phoneticPr fontId="3" type="noConversion"/>
  </si>
  <si>
    <t>1.由常州上锐直接开发冷镦。无模具垫付，但有一定起订量。量产前先按1000套常州上锐储备材料</t>
    <phoneticPr fontId="3" type="noConversion"/>
  </si>
  <si>
    <t>SLT0010907</t>
    <phoneticPr fontId="3" type="noConversion"/>
  </si>
  <si>
    <t>座椅靠背调节限位柱B</t>
  </si>
  <si>
    <t>Q235 Ø8</t>
    <phoneticPr fontId="3" type="noConversion"/>
  </si>
  <si>
    <t>刘志富</t>
  </si>
  <si>
    <t>兴岳/旭兴/政锦</t>
    <phoneticPr fontId="3" type="noConversion"/>
  </si>
  <si>
    <t>否</t>
    <phoneticPr fontId="3" type="noConversion"/>
  </si>
  <si>
    <t>1.由沧州旭兴先制作机加，待产品稳定无设变后（预计1000件），由沧州旭兴开发冷镦，荣昌预付模具费，10万件后返还模具费
2.因新项目开发会向客户报备供应商，并且如机加和冷镦分两家开发，对产品的熟悉程度和PPAP批准有影响，因此建议机加和冷镦由一家承接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</si>
  <si>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</si>
  <si>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</si>
  <si>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</si>
  <si>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</si>
  <si>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</si>
  <si>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电泳黑0.19/环保黑锌0.13，起订1万</t>
  </si>
  <si>
    <t>SLT0010889</t>
  </si>
  <si>
    <t>SLT0010889</t>
    <phoneticPr fontId="3" type="noConversion"/>
  </si>
  <si>
    <t>靠背锁付阶梯螺栓</t>
  </si>
  <si>
    <t>非标件</t>
  </si>
  <si>
    <t>45# M8</t>
  </si>
  <si>
    <t>旭兴/兴岳/霸州政锦</t>
  </si>
  <si>
    <t>修改规格型号</t>
  </si>
  <si>
    <t>电泳黑3.2/环保黑锌3.1，起订3000</t>
    <phoneticPr fontId="3" type="noConversion"/>
  </si>
  <si>
    <t>1.由于机加价格影响，机加由霸州政锦开发，待产品稳定无设变后（预计1000件），由沧州旭兴开发冷镦，荣昌预付模具费，10万件后返还模具费</t>
    <phoneticPr fontId="3" type="noConversion"/>
  </si>
  <si>
    <t>SLT0011051</t>
  </si>
  <si>
    <t>固定板锁付螺纹套筒</t>
  </si>
  <si>
    <t>新开，锁付副驾靠背固定板</t>
  </si>
  <si>
    <t>45#  M8</t>
  </si>
  <si>
    <t>旭兴/兴岳/霸州政锦</t>
    <phoneticPr fontId="3" type="noConversion"/>
  </si>
  <si>
    <t>电泳黑2.8/环保黑锌2.7，起订3000</t>
    <phoneticPr fontId="3" type="noConversion"/>
  </si>
  <si>
    <t>由霸州政锦用机加方式供货，其他厂家冷镦价仍高于机加</t>
    <phoneticPr fontId="3" type="noConversion"/>
  </si>
  <si>
    <t>SLT0011040</t>
  </si>
  <si>
    <t>副驾中间固定支架旋转轴</t>
  </si>
  <si>
    <t>机加件</t>
  </si>
  <si>
    <t xml:space="preserve">Q195  </t>
  </si>
  <si>
    <t>SLT0011100</t>
  </si>
  <si>
    <t>SLT0011100</t>
    <phoneticPr fontId="3" type="noConversion"/>
  </si>
  <si>
    <t>限位轴</t>
  </si>
  <si>
    <t xml:space="preserve">Q235 </t>
  </si>
  <si>
    <t>由霸州政锦用机加方式供货，不能实现冷镦</t>
    <phoneticPr fontId="3" type="noConversion"/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</si>
  <si>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</si>
  <si>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</si>
  <si>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</si>
  <si>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</si>
  <si>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</si>
  <si>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</si>
  <si>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</si>
  <si>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2022.04.12增加</t>
  </si>
  <si>
    <t>1.沧州旭兴先做机加件，待产品稳定无设变后（预计1000件），开发冷镦，荣昌预付模具费，10万件后返还模具费</t>
    <phoneticPr fontId="3" type="noConversion"/>
  </si>
  <si>
    <t>SLT0010893</t>
    <phoneticPr fontId="3" type="noConversion"/>
  </si>
  <si>
    <t>座椅靠背调节限位柱A</t>
  </si>
  <si>
    <t>新开件</t>
  </si>
  <si>
    <t>圆钢</t>
  </si>
  <si>
    <t>Q235  φ8</t>
  </si>
  <si>
    <t>吴英格</t>
    <phoneticPr fontId="3" type="noConversion"/>
  </si>
  <si>
    <t>2022.04.27增加</t>
  </si>
  <si>
    <t>SLT0011113</t>
  </si>
  <si>
    <t>SLT0011113</t>
    <phoneticPr fontId="3" type="noConversion"/>
  </si>
  <si>
    <t>解锁旋转轴</t>
  </si>
  <si>
    <t>Q235 φ4</t>
  </si>
  <si>
    <t>沧州旭兴</t>
  </si>
  <si>
    <t>SLT0010907</t>
  </si>
  <si>
    <t>SLT0010893</t>
  </si>
  <si>
    <t>孙沛霖测算</t>
    <phoneticPr fontId="3" type="noConversion"/>
  </si>
  <si>
    <t>物料代码</t>
  </si>
  <si>
    <t>产品名称</t>
  </si>
  <si>
    <t>图片</t>
  </si>
  <si>
    <t>材质</t>
  </si>
  <si>
    <t>下料尺寸</t>
  </si>
  <si>
    <t>不含税单价</t>
  </si>
  <si>
    <t>重量</t>
  </si>
  <si>
    <t>材料费</t>
  </si>
  <si>
    <t>加工成本</t>
  </si>
  <si>
    <t>不含税</t>
  </si>
  <si>
    <t>废铁</t>
  </si>
  <si>
    <t>毛重</t>
  </si>
  <si>
    <t>净重</t>
  </si>
  <si>
    <t>工序</t>
  </si>
  <si>
    <t>工序费</t>
  </si>
  <si>
    <t>合计</t>
  </si>
  <si>
    <t>核算价</t>
  </si>
  <si>
    <t>02.03.51.010</t>
  </si>
  <si>
    <t>轴套螺母</t>
  </si>
  <si>
    <t>35#</t>
  </si>
  <si>
    <t>22*13</t>
  </si>
  <si>
    <t>切断</t>
  </si>
  <si>
    <t>平头*2</t>
  </si>
  <si>
    <t>钻孔</t>
  </si>
  <si>
    <t>车台</t>
  </si>
  <si>
    <t>掏眼</t>
  </si>
  <si>
    <t>攻丝</t>
  </si>
  <si>
    <t>02.03.03.013</t>
  </si>
  <si>
    <t>内绞架钢轴套</t>
  </si>
  <si>
    <t>20#</t>
  </si>
  <si>
    <t>34*23</t>
  </si>
  <si>
    <t>BAS0000049</t>
  </si>
  <si>
    <t>连杆板2铁套</t>
  </si>
  <si>
    <t>20*12</t>
  </si>
  <si>
    <t>车削*2</t>
  </si>
  <si>
    <t>倒角*2</t>
  </si>
  <si>
    <t>SHT0012030</t>
  </si>
  <si>
    <t>内绞架左侧轴套</t>
  </si>
  <si>
    <t>25*19</t>
  </si>
  <si>
    <t>冷墩</t>
  </si>
  <si>
    <t>车削*4</t>
  </si>
  <si>
    <t>SHT0012043</t>
  </si>
  <si>
    <t>升降连杆固定轴</t>
  </si>
  <si>
    <t>13*58</t>
  </si>
  <si>
    <t>倒角*3</t>
  </si>
  <si>
    <t>Q235</t>
  </si>
  <si>
    <t>10*20</t>
  </si>
  <si>
    <t>45#</t>
  </si>
  <si>
    <t>20*24</t>
  </si>
  <si>
    <t>粗车</t>
  </si>
  <si>
    <t>精车*3</t>
  </si>
  <si>
    <t>挑扣</t>
  </si>
  <si>
    <t>压方</t>
  </si>
  <si>
    <t>电泳</t>
  </si>
  <si>
    <t>18*38.5</t>
  </si>
  <si>
    <t>11*25</t>
  </si>
  <si>
    <t>6*65</t>
  </si>
  <si>
    <t>车槽</t>
  </si>
  <si>
    <t>11*19</t>
  </si>
  <si>
    <t>Q195</t>
  </si>
  <si>
    <t>16*55</t>
  </si>
  <si>
    <t>精车*4</t>
  </si>
  <si>
    <t>22*25</t>
  </si>
  <si>
    <t>10*85</t>
  </si>
  <si>
    <t>14*60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</si>
</sst>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 "/>
    <numFmt numFmtId="177" formatCode="0_);[Red]\(0\)"/>
    <numFmt numFmtId="178" formatCode="0.0000"/>
    <numFmt numFmtId="179" formatCode="0.00_);[Red]\(0.00\)"/>
    <numFmt numFmtId="180" formatCode="0.00_ "/>
    <numFmt numFmtId="181" formatCode="0.000_ "/>
  </numFmts>
  <fonts count="1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 Light"/>
      <family val="3"/>
      <charset val="134"/>
      <scheme val="major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25">
    <xf numFmtId="0" fontId="0" fillId="0" borderId="0" xfId="0"/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8" fillId="0" borderId="2" xfId="3" applyBorder="1" applyAlignment="1">
      <alignment horizontal="center" vertical="center"/>
    </xf>
    <xf numFmtId="0" fontId="8" fillId="0" borderId="0" xfId="3">
      <alignment vertical="center"/>
    </xf>
    <xf numFmtId="0" fontId="10" fillId="0" borderId="2" xfId="4" applyFont="1" applyFill="1" applyBorder="1" applyAlignment="1" applyProtection="1">
      <alignment horizontal="center" vertical="center" wrapText="1" shrinkToFit="1"/>
      <protection locked="0"/>
    </xf>
    <xf numFmtId="0" fontId="8" fillId="0" borderId="3" xfId="3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2" xfId="1" quotePrefix="1" applyFont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  <protection locked="0"/>
    </xf>
    <xf numFmtId="49" fontId="12" fillId="0" borderId="2" xfId="5" applyNumberFormat="1" applyFont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12" fillId="0" borderId="2" xfId="5" applyFont="1" applyBorder="1" applyAlignment="1">
      <alignment horizontal="center" vertical="center" wrapText="1"/>
    </xf>
    <xf numFmtId="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3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8" fillId="0" borderId="3" xfId="3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8" fillId="0" borderId="2" xfId="3" applyBorder="1" applyAlignment="1">
      <alignment horizontal="center" vertical="center"/>
    </xf>
    <xf numFmtId="49" fontId="10" fillId="0" borderId="6" xfId="1" applyNumberFormat="1" applyFont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6" fillId="2" borderId="6" xfId="4" applyFont="1" applyFill="1" applyBorder="1" applyAlignment="1" applyProtection="1">
      <alignment horizontal="center" vertical="center" wrapText="1" shrinkToFit="1"/>
      <protection locked="0"/>
    </xf>
    <xf numFmtId="0" fontId="16" fillId="2" borderId="9" xfId="4" applyFont="1" applyFill="1" applyBorder="1" applyAlignment="1" applyProtection="1">
      <alignment horizontal="center" vertical="center" wrapText="1" shrinkToFit="1"/>
      <protection locked="0"/>
    </xf>
    <xf numFmtId="0" fontId="15" fillId="2" borderId="2" xfId="4" applyFont="1" applyFill="1" applyBorder="1" applyAlignment="1" applyProtection="1">
      <alignment horizontal="center" vertical="center" wrapText="1"/>
      <protection locked="0"/>
    </xf>
    <xf numFmtId="178" fontId="15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/>
    </xf>
    <xf numFmtId="0" fontId="15" fillId="4" borderId="2" xfId="1" applyFont="1" applyFill="1" applyBorder="1" applyAlignment="1" applyProtection="1">
      <alignment horizontal="center" vertical="center" wrapText="1"/>
      <protection locked="0"/>
    </xf>
    <xf numFmtId="0" fontId="15" fillId="4" borderId="3" xfId="1" applyFont="1" applyFill="1" applyBorder="1" applyAlignment="1" applyProtection="1">
      <alignment horizontal="center" vertical="center" wrapText="1"/>
      <protection locked="0"/>
    </xf>
    <xf numFmtId="0" fontId="15" fillId="4" borderId="2" xfId="4" applyFont="1" applyFill="1" applyBorder="1" applyAlignment="1" applyProtection="1">
      <alignment horizontal="center" vertical="center" wrapText="1"/>
      <protection locked="0"/>
    </xf>
    <xf numFmtId="2" fontId="15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1" applyFont="1" applyFill="1" applyBorder="1" applyAlignment="1" applyProtection="1">
      <alignment horizontal="center" vertical="center" wrapText="1"/>
      <protection locked="0"/>
    </xf>
    <xf numFmtId="0" fontId="15" fillId="3" borderId="2" xfId="4" applyFont="1" applyFill="1" applyBorder="1" applyAlignment="1" applyProtection="1">
      <alignment horizontal="center" vertical="center" wrapText="1"/>
      <protection locked="0"/>
    </xf>
    <xf numFmtId="2" fontId="1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180" fontId="8" fillId="0" borderId="6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180" fontId="8" fillId="0" borderId="9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179" fontId="8" fillId="0" borderId="6" xfId="3" applyNumberFormat="1" applyFont="1" applyFill="1" applyBorder="1" applyAlignment="1">
      <alignment horizontal="center" vertical="center"/>
    </xf>
    <xf numFmtId="180" fontId="8" fillId="0" borderId="6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/>
    </xf>
    <xf numFmtId="180" fontId="8" fillId="0" borderId="2" xfId="3" applyNumberFormat="1" applyFont="1" applyFill="1" applyBorder="1" applyAlignment="1">
      <alignment vertical="center"/>
    </xf>
    <xf numFmtId="180" fontId="8" fillId="0" borderId="9" xfId="3" applyNumberFormat="1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179" fontId="8" fillId="0" borderId="11" xfId="3" applyNumberFormat="1" applyFont="1" applyFill="1" applyBorder="1" applyAlignment="1">
      <alignment horizontal="center" vertical="center"/>
    </xf>
    <xf numFmtId="180" fontId="8" fillId="0" borderId="11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wrapText="1"/>
    </xf>
    <xf numFmtId="179" fontId="8" fillId="0" borderId="9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179" fontId="8" fillId="0" borderId="6" xfId="3" applyNumberFormat="1" applyBorder="1" applyAlignment="1">
      <alignment horizontal="center" vertical="center"/>
    </xf>
    <xf numFmtId="180" fontId="8" fillId="0" borderId="6" xfId="3" applyNumberFormat="1" applyBorder="1" applyAlignment="1">
      <alignment horizontal="center" vertical="center"/>
    </xf>
    <xf numFmtId="0" fontId="8" fillId="0" borderId="2" xfId="3" applyBorder="1">
      <alignment vertical="center"/>
    </xf>
    <xf numFmtId="180" fontId="8" fillId="0" borderId="2" xfId="3" applyNumberFormat="1" applyBorder="1">
      <alignment vertical="center"/>
    </xf>
    <xf numFmtId="0" fontId="8" fillId="0" borderId="11" xfId="3" applyBorder="1" applyAlignment="1">
      <alignment horizontal="center" vertical="center"/>
    </xf>
    <xf numFmtId="0" fontId="8" fillId="0" borderId="11" xfId="3" applyBorder="1" applyAlignment="1">
      <alignment horizontal="center" vertical="center"/>
    </xf>
    <xf numFmtId="179" fontId="8" fillId="0" borderId="11" xfId="3" applyNumberFormat="1" applyBorder="1" applyAlignment="1">
      <alignment horizontal="center" vertical="center"/>
    </xf>
    <xf numFmtId="180" fontId="8" fillId="0" borderId="11" xfId="3" applyNumberFormat="1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179" fontId="8" fillId="0" borderId="9" xfId="3" applyNumberFormat="1" applyBorder="1" applyAlignment="1">
      <alignment horizontal="center" vertical="center"/>
    </xf>
    <xf numFmtId="180" fontId="8" fillId="0" borderId="9" xfId="3" applyNumberFormat="1" applyBorder="1" applyAlignment="1">
      <alignment horizontal="center" vertical="center"/>
    </xf>
    <xf numFmtId="179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79" fontId="8" fillId="0" borderId="2" xfId="3" applyNumberFormat="1" applyBorder="1">
      <alignment vertical="center"/>
    </xf>
    <xf numFmtId="0" fontId="8" fillId="0" borderId="2" xfId="3" applyBorder="1" applyAlignment="1">
      <alignment horizontal="center" vertical="center" wrapText="1"/>
    </xf>
    <xf numFmtId="179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 wrapText="1"/>
    </xf>
    <xf numFmtId="181" fontId="8" fillId="0" borderId="2" xfId="3" applyNumberFormat="1" applyBorder="1" applyAlignment="1">
      <alignment horizontal="center" vertical="center"/>
    </xf>
    <xf numFmtId="179" fontId="8" fillId="0" borderId="0" xfId="3" applyNumberFormat="1">
      <alignment vertical="center"/>
    </xf>
    <xf numFmtId="180" fontId="8" fillId="0" borderId="0" xfId="3" applyNumberFormat="1">
      <alignment vertical="center"/>
    </xf>
    <xf numFmtId="0" fontId="15" fillId="5" borderId="2" xfId="1" applyFont="1" applyFill="1" applyBorder="1" applyAlignment="1" applyProtection="1">
      <alignment horizontal="center" vertical="center" wrapText="1"/>
      <protection locked="0"/>
    </xf>
    <xf numFmtId="0" fontId="15" fillId="5" borderId="2" xfId="4" applyFont="1" applyFill="1" applyBorder="1" applyAlignment="1" applyProtection="1">
      <alignment horizontal="center" vertical="center" wrapText="1"/>
      <protection locked="0"/>
    </xf>
    <xf numFmtId="49" fontId="16" fillId="0" borderId="6" xfId="1" applyNumberFormat="1" applyFont="1" applyBorder="1" applyAlignment="1" applyProtection="1">
      <alignment horizontal="center" vertical="center" wrapText="1"/>
      <protection locked="0"/>
    </xf>
    <xf numFmtId="49" fontId="16" fillId="0" borderId="9" xfId="1" applyNumberFormat="1" applyFont="1" applyBorder="1" applyAlignment="1" applyProtection="1">
      <alignment horizontal="center" vertical="center" wrapText="1"/>
      <protection locked="0"/>
    </xf>
    <xf numFmtId="49" fontId="17" fillId="0" borderId="2" xfId="3" applyNumberFormat="1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177" fontId="17" fillId="0" borderId="2" xfId="3" applyNumberFormat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</cellXfs>
  <cellStyles count="6">
    <cellStyle name="BOM_Level_Below3" xfId="4"/>
    <cellStyle name="常规" xfId="0" builtinId="0"/>
    <cellStyle name="常规 2" xfId="3"/>
    <cellStyle name="常规 41" xfId="5"/>
    <cellStyle name="样式 1" xfId="1"/>
    <cellStyle name="样式 1 5 2" xfId="2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2" Type="http://schemas.openxmlformats.org/officeDocument/2006/relationships/image" Target="../media/image8.emf"/><Relationship Id="rId1" Type="http://schemas.openxmlformats.org/officeDocument/2006/relationships/image" Target="../media/image10.emf"/><Relationship Id="rId6" Type="http://schemas.openxmlformats.org/officeDocument/2006/relationships/image" Target="../media/image1.emf"/><Relationship Id="rId5" Type="http://schemas.openxmlformats.org/officeDocument/2006/relationships/image" Target="../media/image9.emf"/><Relationship Id="rId10" Type="http://schemas.openxmlformats.org/officeDocument/2006/relationships/image" Target="../media/image7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132805</xdr:colOff>
      <xdr:row>4</xdr:row>
      <xdr:rowOff>223430</xdr:rowOff>
    </xdr:from>
    <xdr:to>
      <xdr:col>6</xdr:col>
      <xdr:colOff>459830</xdr:colOff>
      <xdr:row>4</xdr:row>
      <xdr:rowOff>444410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0E4C1D-EFD0-41BF-94D0-6218E9BF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7545" y="1838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</xdr:row>
      <xdr:rowOff>47625</xdr:rowOff>
    </xdr:from>
    <xdr:to>
      <xdr:col>6</xdr:col>
      <xdr:colOff>352425</xdr:colOff>
      <xdr:row>6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780C10A-4808-4E34-B0AB-5AF086B8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670" y="335470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128905</xdr:rowOff>
    </xdr:from>
    <xdr:to>
      <xdr:col>6</xdr:col>
      <xdr:colOff>464185</xdr:colOff>
      <xdr:row>7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B07AF2-1C4D-433C-BB23-3A3541E0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5710" y="405320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</xdr:row>
      <xdr:rowOff>107950</xdr:rowOff>
    </xdr:from>
    <xdr:to>
      <xdr:col>6</xdr:col>
      <xdr:colOff>373380</xdr:colOff>
      <xdr:row>8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1838C4-A85C-4979-84F1-7269D098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47180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</xdr:row>
      <xdr:rowOff>28575</xdr:rowOff>
    </xdr:from>
    <xdr:to>
      <xdr:col>6</xdr:col>
      <xdr:colOff>559435</xdr:colOff>
      <xdr:row>9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56AB9FC-FD97-48F8-AA0A-701F5B52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165" y="50653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</xdr:row>
      <xdr:rowOff>123825</xdr:rowOff>
    </xdr:from>
    <xdr:to>
      <xdr:col>6</xdr:col>
      <xdr:colOff>511810</xdr:colOff>
      <xdr:row>10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631A3E66-27B8-4FE8-94B4-0924F5F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90620" y="55873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</xdr:row>
      <xdr:rowOff>160020</xdr:rowOff>
    </xdr:from>
    <xdr:to>
      <xdr:col>6</xdr:col>
      <xdr:colOff>542925</xdr:colOff>
      <xdr:row>11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CB91A35-CC5A-4ABB-BA52-F446F6B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3795" y="60502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12</xdr:row>
      <xdr:rowOff>65405</xdr:rowOff>
    </xdr:from>
    <xdr:to>
      <xdr:col>6</xdr:col>
      <xdr:colOff>455295</xdr:colOff>
      <xdr:row>12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86C8B1E-FD58-4181-8518-46ED0B7B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63823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</xdr:row>
      <xdr:rowOff>123190</xdr:rowOff>
    </xdr:from>
    <xdr:to>
      <xdr:col>6</xdr:col>
      <xdr:colOff>417195</xdr:colOff>
      <xdr:row>14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7AE8C94-5D40-4BAB-89B1-2A2CF7BA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7788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</xdr:row>
      <xdr:rowOff>9525</xdr:rowOff>
    </xdr:from>
    <xdr:to>
      <xdr:col>6</xdr:col>
      <xdr:colOff>371474</xdr:colOff>
      <xdr:row>5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249437-92AE-4BE5-9C89-37C75C48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0465" y="230314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</xdr:row>
      <xdr:rowOff>9525</xdr:rowOff>
    </xdr:from>
    <xdr:to>
      <xdr:col>6</xdr:col>
      <xdr:colOff>480060</xdr:colOff>
      <xdr:row>14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3196A08-8BC6-4651-A7E3-2D2F44F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870" y="7050405"/>
          <a:ext cx="45593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</xdr:row>
      <xdr:rowOff>0</xdr:rowOff>
    </xdr:from>
    <xdr:to>
      <xdr:col>50</xdr:col>
      <xdr:colOff>615094</xdr:colOff>
      <xdr:row>12</xdr:row>
      <xdr:rowOff>213096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B6A981-E0FB-4D22-BEC0-4655421D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69900" y="2293620"/>
          <a:ext cx="6787295" cy="4236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22</xdr:row>
      <xdr:rowOff>66675</xdr:rowOff>
    </xdr:from>
    <xdr:to>
      <xdr:col>3</xdr:col>
      <xdr:colOff>942340</xdr:colOff>
      <xdr:row>22</xdr:row>
      <xdr:rowOff>422910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275" y="409575"/>
          <a:ext cx="8566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30</xdr:row>
      <xdr:rowOff>76200</xdr:rowOff>
    </xdr:from>
    <xdr:to>
      <xdr:col>3</xdr:col>
      <xdr:colOff>1043305</xdr:colOff>
      <xdr:row>36</xdr:row>
      <xdr:rowOff>75565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1750" y="2095500"/>
          <a:ext cx="967105" cy="102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1120775</xdr:colOff>
      <xdr:row>28</xdr:row>
      <xdr:rowOff>99060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3650" y="1028700"/>
          <a:ext cx="108267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36</xdr:row>
      <xdr:rowOff>142875</xdr:rowOff>
    </xdr:from>
    <xdr:to>
      <xdr:col>3</xdr:col>
      <xdr:colOff>856615</xdr:colOff>
      <xdr:row>38</xdr:row>
      <xdr:rowOff>53975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8925" y="3190875"/>
          <a:ext cx="523240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257175</xdr:colOff>
      <xdr:row>38</xdr:row>
      <xdr:rowOff>142875</xdr:rowOff>
    </xdr:from>
    <xdr:to>
      <xdr:col>3</xdr:col>
      <xdr:colOff>660400</xdr:colOff>
      <xdr:row>40</xdr:row>
      <xdr:rowOff>115570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2725" y="3743325"/>
          <a:ext cx="40322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41</xdr:row>
      <xdr:rowOff>28575</xdr:rowOff>
    </xdr:from>
    <xdr:to>
      <xdr:col>3</xdr:col>
      <xdr:colOff>964565</xdr:colOff>
      <xdr:row>41</xdr:row>
      <xdr:rowOff>325755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4143375"/>
          <a:ext cx="9169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66040</xdr:colOff>
      <xdr:row>43</xdr:row>
      <xdr:rowOff>9525</xdr:rowOff>
    </xdr:from>
    <xdr:to>
      <xdr:col>3</xdr:col>
      <xdr:colOff>1099185</xdr:colOff>
      <xdr:row>47</xdr:row>
      <xdr:rowOff>27940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1590" y="4676775"/>
          <a:ext cx="1033145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48</xdr:row>
      <xdr:rowOff>37465</xdr:rowOff>
    </xdr:from>
    <xdr:to>
      <xdr:col>3</xdr:col>
      <xdr:colOff>795020</xdr:colOff>
      <xdr:row>50</xdr:row>
      <xdr:rowOff>140970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19375" y="5561965"/>
          <a:ext cx="67119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51</xdr:row>
      <xdr:rowOff>38100</xdr:rowOff>
    </xdr:from>
    <xdr:to>
      <xdr:col>3</xdr:col>
      <xdr:colOff>894080</xdr:colOff>
      <xdr:row>52</xdr:row>
      <xdr:rowOff>123190</xdr:rowOff>
    </xdr:to>
    <xdr:pic>
      <xdr:nvPicPr>
        <xdr:cNvPr id="10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2552700" y="6076950"/>
          <a:ext cx="836930" cy="25654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142875</xdr:colOff>
      <xdr:row>53</xdr:row>
      <xdr:rowOff>47625</xdr:rowOff>
    </xdr:from>
    <xdr:to>
      <xdr:col>3</xdr:col>
      <xdr:colOff>626745</xdr:colOff>
      <xdr:row>53</xdr:row>
      <xdr:rowOff>330200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8425" y="6429375"/>
          <a:ext cx="48387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556;&#33521;&#26684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 xml:space="preserve"> φ16  1.0</v>
          </cell>
          <cell r="K41" t="str">
            <v>河北外购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 xml:space="preserve"> φ12  1.0</v>
          </cell>
          <cell r="K119" t="str">
            <v>河北外购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 xml:space="preserve">Q195  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 xml:space="preserve">Q235 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 xml:space="preserve">Q235 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17"/>
  <sheetViews>
    <sheetView showGridLines="0" tabSelected="1" view="pageBreakPreview" zoomScale="70" zoomScaleNormal="100" zoomScaleSheetLayoutView="70" workbookViewId="0">
      <pane xSplit="21" ySplit="4" topLeftCell="AF5" activePane="bottomRight" state="frozen"/>
      <selection pane="topRight" activeCell="V1" sqref="V1"/>
      <selection pane="bottomLeft" activeCell="A5" sqref="A5"/>
      <selection pane="bottomRight" activeCell="I6" sqref="I6"/>
    </sheetView>
  </sheetViews>
  <sheetFormatPr defaultColWidth="9" defaultRowHeight="18.75" x14ac:dyDescent="0.2"/>
  <cols>
    <col min="1" max="1" width="4.625" style="1" customWidth="1"/>
    <col min="2" max="2" width="16.25" style="47" customWidth="1"/>
    <col min="3" max="3" width="11.75" style="1" customWidth="1"/>
    <col min="4" max="4" width="19.125" style="47" customWidth="1"/>
    <col min="5" max="5" width="14.625" style="1" hidden="1" customWidth="1"/>
    <col min="6" max="6" width="6.75" style="1" customWidth="1"/>
    <col min="7" max="7" width="10.25" style="1" customWidth="1"/>
    <col min="8" max="8" width="7.875" style="1" customWidth="1"/>
    <col min="9" max="9" width="9.625" style="1" customWidth="1"/>
    <col min="10" max="10" width="6.625" style="1" customWidth="1"/>
    <col min="11" max="11" width="6.625" style="1" hidden="1" customWidth="1"/>
    <col min="12" max="13" width="9.25" style="1" hidden="1" customWidth="1"/>
    <col min="14" max="14" width="25.25" style="1" hidden="1" customWidth="1"/>
    <col min="15" max="15" width="6.625" style="1" customWidth="1"/>
    <col min="16" max="16" width="12" style="1" customWidth="1"/>
    <col min="17" max="17" width="10.25" style="1" hidden="1" customWidth="1"/>
    <col min="18" max="18" width="13.625" style="1" hidden="1" customWidth="1"/>
    <col min="19" max="19" width="13.25" style="1" hidden="1" customWidth="1"/>
    <col min="20" max="21" width="9.125" style="47" customWidth="1"/>
    <col min="22" max="25" width="10.625" style="1" customWidth="1"/>
    <col min="26" max="27" width="12.75" style="1" customWidth="1"/>
    <col min="28" max="31" width="10" style="1" customWidth="1"/>
    <col min="32" max="32" width="16" style="1" customWidth="1"/>
    <col min="33" max="33" width="13.375" style="47" customWidth="1"/>
    <col min="34" max="36" width="11.875" style="47" customWidth="1"/>
    <col min="37" max="37" width="8.375" style="1" customWidth="1"/>
    <col min="38" max="38" width="55.625" style="1" customWidth="1"/>
    <col min="39" max="39" width="11.625" style="1" customWidth="1"/>
    <col min="40" max="16384" width="9" style="1"/>
  </cols>
  <sheetData>
    <row r="1" spans="1:38" ht="30.6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s="4" customFormat="1" ht="20.100000000000001" customHeight="1" x14ac:dyDescent="0.2">
      <c r="A2" s="34" t="s">
        <v>1</v>
      </c>
      <c r="B2" s="35"/>
      <c r="C2" s="35"/>
      <c r="D2" s="34"/>
      <c r="E2" s="34"/>
      <c r="F2" s="36" t="s">
        <v>2</v>
      </c>
      <c r="G2" s="34"/>
      <c r="H2" s="34"/>
      <c r="I2" s="36"/>
      <c r="J2" s="34"/>
      <c r="K2" s="34"/>
      <c r="L2" s="34"/>
      <c r="M2" s="2"/>
      <c r="N2" s="37" t="s">
        <v>3</v>
      </c>
      <c r="O2" s="37"/>
      <c r="P2" s="37" t="s">
        <v>4</v>
      </c>
      <c r="Q2" s="37"/>
      <c r="R2" s="37"/>
      <c r="S2" s="30" t="s">
        <v>5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44" t="s">
        <v>6</v>
      </c>
      <c r="AH2" s="45"/>
      <c r="AI2" s="45"/>
      <c r="AJ2" s="45"/>
      <c r="AK2" s="38" t="s">
        <v>7</v>
      </c>
      <c r="AL2" s="39" t="s">
        <v>8</v>
      </c>
    </row>
    <row r="3" spans="1:38" s="4" customFormat="1" ht="20.100000000000001" customHeight="1" x14ac:dyDescent="0.2">
      <c r="A3" s="42" t="s">
        <v>9</v>
      </c>
      <c r="B3" s="119" t="s">
        <v>10</v>
      </c>
      <c r="C3" s="31" t="s">
        <v>11</v>
      </c>
      <c r="D3" s="119" t="s">
        <v>12</v>
      </c>
      <c r="E3" s="31" t="s">
        <v>13</v>
      </c>
      <c r="F3" s="31" t="s">
        <v>14</v>
      </c>
      <c r="G3" s="31" t="s">
        <v>15</v>
      </c>
      <c r="H3" s="31" t="s">
        <v>16</v>
      </c>
      <c r="I3" s="31" t="s">
        <v>17</v>
      </c>
      <c r="J3" s="31" t="s">
        <v>18</v>
      </c>
      <c r="K3" s="31" t="s">
        <v>19</v>
      </c>
      <c r="L3" s="31" t="s">
        <v>20</v>
      </c>
      <c r="M3" s="31" t="s">
        <v>21</v>
      </c>
      <c r="N3" s="31" t="s">
        <v>22</v>
      </c>
      <c r="O3" s="31" t="s">
        <v>23</v>
      </c>
      <c r="P3" s="31" t="s">
        <v>24</v>
      </c>
      <c r="Q3" s="5" t="s">
        <v>25</v>
      </c>
      <c r="R3" s="5" t="s">
        <v>26</v>
      </c>
      <c r="S3" s="5" t="s">
        <v>27</v>
      </c>
      <c r="T3" s="48" t="s">
        <v>28</v>
      </c>
      <c r="U3" s="48" t="s">
        <v>122</v>
      </c>
      <c r="V3" s="27" t="s">
        <v>29</v>
      </c>
      <c r="W3" s="28"/>
      <c r="X3" s="28"/>
      <c r="Y3" s="29"/>
      <c r="Z3" s="27" t="s">
        <v>30</v>
      </c>
      <c r="AA3" s="29"/>
      <c r="AB3" s="27" t="s">
        <v>31</v>
      </c>
      <c r="AC3" s="28"/>
      <c r="AD3" s="28"/>
      <c r="AE3" s="29"/>
      <c r="AF3" s="6" t="s">
        <v>32</v>
      </c>
      <c r="AG3" s="52" t="s">
        <v>33</v>
      </c>
      <c r="AH3" s="52"/>
      <c r="AI3" s="53" t="s">
        <v>34</v>
      </c>
      <c r="AJ3" s="54"/>
      <c r="AK3" s="38"/>
      <c r="AL3" s="40"/>
    </row>
    <row r="4" spans="1:38" s="8" customFormat="1" ht="57" customHeight="1" x14ac:dyDescent="0.2">
      <c r="A4" s="43"/>
      <c r="B4" s="120"/>
      <c r="C4" s="32"/>
      <c r="D4" s="120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5"/>
      <c r="R4" s="5"/>
      <c r="S4" s="5"/>
      <c r="T4" s="49"/>
      <c r="U4" s="49"/>
      <c r="V4" s="5" t="s">
        <v>35</v>
      </c>
      <c r="W4" s="5" t="s">
        <v>36</v>
      </c>
      <c r="X4" s="5" t="s">
        <v>37</v>
      </c>
      <c r="Y4" s="5" t="s">
        <v>38</v>
      </c>
      <c r="Z4" s="5" t="s">
        <v>39</v>
      </c>
      <c r="AA4" s="5" t="s">
        <v>40</v>
      </c>
      <c r="AB4" s="5" t="s">
        <v>41</v>
      </c>
      <c r="AC4" s="5" t="s">
        <v>42</v>
      </c>
      <c r="AD4" s="5" t="s">
        <v>43</v>
      </c>
      <c r="AE4" s="5" t="s">
        <v>44</v>
      </c>
      <c r="AF4" s="5" t="s">
        <v>45</v>
      </c>
      <c r="AG4" s="59" t="s">
        <v>46</v>
      </c>
      <c r="AH4" s="59" t="s">
        <v>47</v>
      </c>
      <c r="AI4" s="55" t="s">
        <v>46</v>
      </c>
      <c r="AJ4" s="56" t="s">
        <v>47</v>
      </c>
      <c r="AK4" s="38"/>
      <c r="AL4" s="41"/>
    </row>
    <row r="5" spans="1:38" ht="53.45" customHeight="1" x14ac:dyDescent="0.2">
      <c r="A5" s="7">
        <v>1</v>
      </c>
      <c r="B5" s="46" t="s">
        <v>48</v>
      </c>
      <c r="C5" s="9" t="s">
        <v>48</v>
      </c>
      <c r="D5" s="46" t="s">
        <v>49</v>
      </c>
      <c r="E5" s="7"/>
      <c r="F5" s="10" t="s">
        <v>50</v>
      </c>
      <c r="G5" s="7"/>
      <c r="H5" s="7" t="s">
        <v>51</v>
      </c>
      <c r="I5" s="7" t="s">
        <v>52</v>
      </c>
      <c r="J5" s="7"/>
      <c r="K5" s="11" t="s">
        <v>53</v>
      </c>
      <c r="L5" s="12" t="s">
        <v>54</v>
      </c>
      <c r="M5" s="12" t="str">
        <f>VLOOKUP(C5,[1]外购件开发申请单!$C$8:$L$148,10,0)</f>
        <v>刘志富</v>
      </c>
      <c r="N5" s="12" t="str">
        <f>VLOOKUP(C5,[1]外购件开发申请单!$C$8:$M$148,11,0)</f>
        <v>常州上锐、北京三浦</v>
      </c>
      <c r="O5" s="7">
        <v>4</v>
      </c>
      <c r="P5" s="7">
        <f t="shared" ref="P5:P15" si="0">30000*O5</f>
        <v>120000</v>
      </c>
      <c r="Q5" s="7" t="s">
        <v>55</v>
      </c>
      <c r="R5" s="7"/>
      <c r="S5" s="13" t="s">
        <v>56</v>
      </c>
      <c r="T5" s="50">
        <v>0.13</v>
      </c>
      <c r="U5" s="50">
        <f>VLOOKUP(B5,'机加件测算 (欧马可)'!$B$23:$P$54,15,0)</f>
        <v>0.12432000000000003</v>
      </c>
      <c r="V5" s="7"/>
      <c r="W5" s="7"/>
      <c r="X5" s="7"/>
      <c r="Y5" s="7"/>
      <c r="Z5" s="7"/>
      <c r="AA5" s="7"/>
      <c r="AB5" s="7">
        <v>0.4</v>
      </c>
      <c r="AC5" s="7">
        <v>0.4</v>
      </c>
      <c r="AD5" s="7">
        <v>0.15</v>
      </c>
      <c r="AE5" s="7">
        <v>1000</v>
      </c>
      <c r="AF5" s="7" t="s">
        <v>57</v>
      </c>
      <c r="AG5" s="59"/>
      <c r="AH5" s="59"/>
      <c r="AI5" s="117" t="s">
        <v>58</v>
      </c>
      <c r="AJ5" s="117">
        <v>0.13</v>
      </c>
      <c r="AK5" s="7" t="s">
        <v>59</v>
      </c>
      <c r="AL5" s="14" t="s">
        <v>60</v>
      </c>
    </row>
    <row r="6" spans="1:38" s="21" customFormat="1" ht="79.900000000000006" customHeight="1" x14ac:dyDescent="0.2">
      <c r="A6" s="15">
        <v>2</v>
      </c>
      <c r="B6" s="121" t="s">
        <v>120</v>
      </c>
      <c r="C6" s="16" t="s">
        <v>61</v>
      </c>
      <c r="D6" s="122" t="s">
        <v>62</v>
      </c>
      <c r="E6" s="7" t="s">
        <v>63</v>
      </c>
      <c r="F6" s="10"/>
      <c r="G6" s="18"/>
      <c r="H6" s="19"/>
      <c r="I6" s="20"/>
      <c r="J6" s="11"/>
      <c r="K6" s="11" t="s">
        <v>53</v>
      </c>
      <c r="L6" s="12" t="s">
        <v>54</v>
      </c>
      <c r="M6" s="12" t="s">
        <v>64</v>
      </c>
      <c r="N6" s="12" t="s">
        <v>65</v>
      </c>
      <c r="O6" s="7">
        <v>1</v>
      </c>
      <c r="P6" s="7">
        <f t="shared" si="0"/>
        <v>30000</v>
      </c>
      <c r="Q6" s="7"/>
      <c r="R6" s="7"/>
      <c r="S6" s="13" t="s">
        <v>56</v>
      </c>
      <c r="T6" s="50">
        <f>VLOOKUP(C6,'[2]外购件开发申请单-刘志富开'!$C$7:$T$112,18,0)</f>
        <v>0.15</v>
      </c>
      <c r="U6" s="50">
        <f>VLOOKUP(B6,'机加件测算 (欧马可)'!$B$23:$P$54,15,0)</f>
        <v>0.14579999999999999</v>
      </c>
      <c r="V6" s="13">
        <v>0.55000000000000004</v>
      </c>
      <c r="W6" s="13">
        <v>0.55000000000000004</v>
      </c>
      <c r="X6" s="13">
        <v>0.5</v>
      </c>
      <c r="Y6" s="13">
        <v>5000</v>
      </c>
      <c r="Z6" s="13">
        <v>0.5</v>
      </c>
      <c r="AA6" s="13">
        <v>0.5</v>
      </c>
      <c r="AB6" s="13">
        <v>0.56999999999999995</v>
      </c>
      <c r="AC6" s="13">
        <v>0.56999999999999995</v>
      </c>
      <c r="AD6" s="13">
        <v>0.3</v>
      </c>
      <c r="AE6" s="13">
        <v>1000</v>
      </c>
      <c r="AF6" s="13"/>
      <c r="AG6" s="59" t="s">
        <v>31</v>
      </c>
      <c r="AH6" s="60">
        <v>0.56999999999999995</v>
      </c>
      <c r="AI6" s="55" t="s">
        <v>31</v>
      </c>
      <c r="AJ6" s="57">
        <v>0.3</v>
      </c>
      <c r="AK6" s="13" t="s">
        <v>66</v>
      </c>
      <c r="AL6" s="14" t="s">
        <v>67</v>
      </c>
    </row>
    <row r="7" spans="1:38" s="21" customFormat="1" ht="48.6" customHeight="1" x14ac:dyDescent="0.2">
      <c r="A7" s="7">
        <v>3</v>
      </c>
      <c r="B7" s="122" t="s">
        <v>68</v>
      </c>
      <c r="C7" s="16" t="s">
        <v>69</v>
      </c>
      <c r="D7" s="124" t="s">
        <v>70</v>
      </c>
      <c r="E7" s="7"/>
      <c r="F7" s="10" t="s">
        <v>50</v>
      </c>
      <c r="G7" s="18"/>
      <c r="H7" s="19" t="s">
        <v>51</v>
      </c>
      <c r="I7" s="22" t="s">
        <v>71</v>
      </c>
      <c r="J7" s="11"/>
      <c r="K7" s="11" t="s">
        <v>53</v>
      </c>
      <c r="L7" s="12" t="s">
        <v>54</v>
      </c>
      <c r="M7" s="12" t="str">
        <f>VLOOKUP(C7,[1]外购件开发申请单!$C$8:$L$148,10,0)</f>
        <v>刘志富</v>
      </c>
      <c r="N7" s="12" t="str">
        <f>VLOOKUP(C7,[1]外购件开发申请单!$C$8:$M$148,11,0)</f>
        <v>常州上锐、北京三浦</v>
      </c>
      <c r="O7" s="7">
        <v>1</v>
      </c>
      <c r="P7" s="7">
        <f t="shared" si="0"/>
        <v>30000</v>
      </c>
      <c r="Q7" s="7" t="s">
        <v>55</v>
      </c>
      <c r="R7" s="7" t="s">
        <v>72</v>
      </c>
      <c r="S7" s="13" t="s">
        <v>56</v>
      </c>
      <c r="T7" s="50">
        <f>VLOOKUP(C7,'[2]外购件开发申请单-刘志富开'!$C$7:$T$112,18,0)</f>
        <v>0.11</v>
      </c>
      <c r="U7" s="50"/>
      <c r="V7" s="13"/>
      <c r="W7" s="7"/>
      <c r="X7" s="7"/>
      <c r="Y7" s="7"/>
      <c r="Z7" s="13"/>
      <c r="AA7" s="13"/>
      <c r="AB7" s="13">
        <v>0.8</v>
      </c>
      <c r="AC7" s="13">
        <v>0.8</v>
      </c>
      <c r="AD7" s="13"/>
      <c r="AE7" s="13"/>
      <c r="AF7" s="13" t="s">
        <v>73</v>
      </c>
      <c r="AG7" s="60"/>
      <c r="AH7" s="60"/>
      <c r="AI7" s="118" t="s">
        <v>32</v>
      </c>
      <c r="AJ7" s="118">
        <v>0.13</v>
      </c>
      <c r="AK7" s="13" t="s">
        <v>66</v>
      </c>
      <c r="AL7" s="14" t="s">
        <v>60</v>
      </c>
    </row>
    <row r="8" spans="1:38" s="21" customFormat="1" ht="54" customHeight="1" x14ac:dyDescent="0.2">
      <c r="A8" s="15">
        <v>4</v>
      </c>
      <c r="B8" s="121" t="s">
        <v>74</v>
      </c>
      <c r="C8" s="16" t="s">
        <v>75</v>
      </c>
      <c r="D8" s="124" t="s">
        <v>76</v>
      </c>
      <c r="E8" s="7"/>
      <c r="F8" s="10" t="s">
        <v>50</v>
      </c>
      <c r="G8" s="18"/>
      <c r="H8" s="19" t="s">
        <v>77</v>
      </c>
      <c r="I8" s="22" t="s">
        <v>78</v>
      </c>
      <c r="J8" s="11"/>
      <c r="K8" s="11" t="s">
        <v>53</v>
      </c>
      <c r="L8" s="12" t="s">
        <v>54</v>
      </c>
      <c r="M8" s="12" t="str">
        <f>VLOOKUP(C8,[1]外购件开发申请单!$C$8:$L$148,10,0)</f>
        <v>刘志富</v>
      </c>
      <c r="N8" s="12" t="s">
        <v>79</v>
      </c>
      <c r="O8" s="7">
        <v>1</v>
      </c>
      <c r="P8" s="7">
        <f t="shared" si="0"/>
        <v>30000</v>
      </c>
      <c r="Q8" s="7" t="s">
        <v>55</v>
      </c>
      <c r="R8" s="7" t="s">
        <v>80</v>
      </c>
      <c r="S8" s="13" t="s">
        <v>56</v>
      </c>
      <c r="T8" s="50">
        <v>0.34</v>
      </c>
      <c r="U8" s="50">
        <f>VLOOKUP(B8,'机加件测算 (欧马可)'!$B$23:$P$54,15,0)</f>
        <v>0.70020000000000004</v>
      </c>
      <c r="V8" s="13">
        <v>2</v>
      </c>
      <c r="W8" s="23">
        <v>2</v>
      </c>
      <c r="X8" s="23">
        <v>1.7</v>
      </c>
      <c r="Y8" s="23">
        <v>8000</v>
      </c>
      <c r="Z8" s="13">
        <v>1.2</v>
      </c>
      <c r="AA8" s="13">
        <v>1.2</v>
      </c>
      <c r="AB8" s="13">
        <v>1.7</v>
      </c>
      <c r="AC8" s="13">
        <v>1.7</v>
      </c>
      <c r="AD8" s="13">
        <v>0.8</v>
      </c>
      <c r="AE8" s="13">
        <v>2000</v>
      </c>
      <c r="AF8" s="13" t="s">
        <v>81</v>
      </c>
      <c r="AG8" s="60" t="s">
        <v>31</v>
      </c>
      <c r="AH8" s="60">
        <v>1.7</v>
      </c>
      <c r="AI8" s="117" t="s">
        <v>31</v>
      </c>
      <c r="AJ8" s="118">
        <v>0.8</v>
      </c>
      <c r="AK8" s="13" t="s">
        <v>66</v>
      </c>
      <c r="AL8" s="14" t="s">
        <v>82</v>
      </c>
    </row>
    <row r="9" spans="1:38" s="21" customFormat="1" ht="33.950000000000003" customHeight="1" x14ac:dyDescent="0.2">
      <c r="A9" s="7">
        <v>5</v>
      </c>
      <c r="B9" s="123" t="s">
        <v>83</v>
      </c>
      <c r="C9" s="24" t="s">
        <v>83</v>
      </c>
      <c r="D9" s="124" t="s">
        <v>84</v>
      </c>
      <c r="E9" s="9" t="s">
        <v>85</v>
      </c>
      <c r="F9" s="10" t="s">
        <v>50</v>
      </c>
      <c r="G9" s="18"/>
      <c r="H9" s="19" t="s">
        <v>77</v>
      </c>
      <c r="I9" s="22" t="s">
        <v>86</v>
      </c>
      <c r="J9" s="11"/>
      <c r="K9" s="11" t="s">
        <v>53</v>
      </c>
      <c r="L9" s="12" t="s">
        <v>54</v>
      </c>
      <c r="M9" s="12" t="str">
        <f>VLOOKUP(C9,[1]外购件开发申请单!$C$8:$L$148,10,0)</f>
        <v>刘志富</v>
      </c>
      <c r="N9" s="12" t="s">
        <v>87</v>
      </c>
      <c r="O9" s="7">
        <v>1</v>
      </c>
      <c r="P9" s="7">
        <f t="shared" si="0"/>
        <v>30000</v>
      </c>
      <c r="Q9" s="7" t="s">
        <v>55</v>
      </c>
      <c r="R9" s="7" t="s">
        <v>72</v>
      </c>
      <c r="S9" s="13" t="s">
        <v>56</v>
      </c>
      <c r="T9" s="50">
        <v>0.62</v>
      </c>
      <c r="U9" s="50">
        <f>VLOOKUP(B9,'机加件测算 (欧马可)'!$B$23:$P$54,15,0)</f>
        <v>0.64739999999999998</v>
      </c>
      <c r="V9" s="13">
        <v>2.1</v>
      </c>
      <c r="W9" s="23">
        <v>2.1</v>
      </c>
      <c r="X9" s="23">
        <v>1.8</v>
      </c>
      <c r="Y9" s="23">
        <v>15000</v>
      </c>
      <c r="Z9" s="13">
        <v>1.1000000000000001</v>
      </c>
      <c r="AA9" s="13">
        <v>1.1000000000000001</v>
      </c>
      <c r="AB9" s="13">
        <v>1.7</v>
      </c>
      <c r="AC9" s="13">
        <v>1.7</v>
      </c>
      <c r="AD9" s="13">
        <v>1.3</v>
      </c>
      <c r="AE9" s="13">
        <v>3000</v>
      </c>
      <c r="AF9" s="13" t="s">
        <v>88</v>
      </c>
      <c r="AG9" s="60" t="s">
        <v>30</v>
      </c>
      <c r="AH9" s="60">
        <v>1.1000000000000001</v>
      </c>
      <c r="AI9" s="57"/>
      <c r="AJ9" s="57"/>
      <c r="AK9" s="13" t="s">
        <v>66</v>
      </c>
      <c r="AL9" s="14" t="s">
        <v>89</v>
      </c>
    </row>
    <row r="10" spans="1:38" s="21" customFormat="1" ht="33.950000000000003" customHeight="1" x14ac:dyDescent="0.2">
      <c r="A10" s="15">
        <v>6</v>
      </c>
      <c r="B10" s="123" t="s">
        <v>90</v>
      </c>
      <c r="C10" s="24" t="s">
        <v>90</v>
      </c>
      <c r="D10" s="124" t="s">
        <v>91</v>
      </c>
      <c r="E10" s="7"/>
      <c r="F10" s="10" t="s">
        <v>50</v>
      </c>
      <c r="G10" s="18"/>
      <c r="H10" s="19" t="s">
        <v>92</v>
      </c>
      <c r="I10" s="22" t="s">
        <v>93</v>
      </c>
      <c r="J10" s="11"/>
      <c r="K10" s="11" t="s">
        <v>53</v>
      </c>
      <c r="L10" s="12" t="s">
        <v>54</v>
      </c>
      <c r="M10" s="12" t="str">
        <f>VLOOKUP(C10,[1]外购件开发申请单!$C$8:$L$148,10,0)</f>
        <v>刘志富</v>
      </c>
      <c r="N10" s="12" t="s">
        <v>79</v>
      </c>
      <c r="O10" s="7">
        <v>1</v>
      </c>
      <c r="P10" s="7">
        <f t="shared" si="0"/>
        <v>30000</v>
      </c>
      <c r="Q10" s="7" t="s">
        <v>55</v>
      </c>
      <c r="R10" s="7" t="s">
        <v>72</v>
      </c>
      <c r="S10" s="13" t="s">
        <v>56</v>
      </c>
      <c r="T10" s="50">
        <v>1.1759999999999999</v>
      </c>
      <c r="U10" s="50">
        <f>VLOOKUP(B10,'机加件测算 (欧马可)'!$B$23:$P$54,15,0)</f>
        <v>0.89759999999999995</v>
      </c>
      <c r="V10" s="13">
        <v>1.8</v>
      </c>
      <c r="W10" s="13">
        <v>1.7</v>
      </c>
      <c r="X10" s="13"/>
      <c r="Y10" s="13"/>
      <c r="Z10" s="13">
        <v>1.5</v>
      </c>
      <c r="AA10" s="13">
        <v>1.5</v>
      </c>
      <c r="AB10" s="13">
        <v>1.8</v>
      </c>
      <c r="AC10" s="13">
        <v>1.8</v>
      </c>
      <c r="AD10" s="13">
        <v>1.5</v>
      </c>
      <c r="AE10" s="13">
        <v>2000</v>
      </c>
      <c r="AF10" s="13"/>
      <c r="AG10" s="60" t="s">
        <v>30</v>
      </c>
      <c r="AH10" s="60">
        <v>1.5</v>
      </c>
      <c r="AI10" s="57"/>
      <c r="AJ10" s="57"/>
      <c r="AK10" s="13" t="s">
        <v>66</v>
      </c>
      <c r="AL10" s="14" t="s">
        <v>89</v>
      </c>
    </row>
    <row r="11" spans="1:38" s="21" customFormat="1" ht="33.950000000000003" customHeight="1" x14ac:dyDescent="0.2">
      <c r="A11" s="7">
        <v>7</v>
      </c>
      <c r="B11" s="123" t="s">
        <v>94</v>
      </c>
      <c r="C11" s="24" t="s">
        <v>95</v>
      </c>
      <c r="D11" s="124" t="s">
        <v>96</v>
      </c>
      <c r="E11" s="7"/>
      <c r="F11" s="10" t="s">
        <v>50</v>
      </c>
      <c r="G11" s="18"/>
      <c r="H11" s="19" t="s">
        <v>92</v>
      </c>
      <c r="I11" s="22" t="s">
        <v>97</v>
      </c>
      <c r="J11" s="11"/>
      <c r="K11" s="11" t="s">
        <v>53</v>
      </c>
      <c r="L11" s="12" t="s">
        <v>54</v>
      </c>
      <c r="M11" s="12" t="str">
        <f>VLOOKUP(C11,[1]外购件开发申请单!$C$8:$L$148,10,0)</f>
        <v>刘志富</v>
      </c>
      <c r="N11" s="12" t="s">
        <v>79</v>
      </c>
      <c r="O11" s="7">
        <v>1</v>
      </c>
      <c r="P11" s="7">
        <f t="shared" si="0"/>
        <v>30000</v>
      </c>
      <c r="Q11" s="7" t="s">
        <v>55</v>
      </c>
      <c r="R11" s="7" t="s">
        <v>72</v>
      </c>
      <c r="S11" s="13" t="s">
        <v>56</v>
      </c>
      <c r="T11" s="50">
        <v>0.84</v>
      </c>
      <c r="U11" s="50">
        <f>VLOOKUP(B11,'机加件测算 (欧马可)'!$B$23:$P$54,15,0)</f>
        <v>0.44519999999999998</v>
      </c>
      <c r="V11" s="13">
        <v>1.3</v>
      </c>
      <c r="W11" s="13">
        <v>1.25</v>
      </c>
      <c r="X11" s="13"/>
      <c r="Y11" s="13"/>
      <c r="Z11" s="13">
        <v>1.2</v>
      </c>
      <c r="AA11" s="13">
        <v>1.2</v>
      </c>
      <c r="AB11" s="13">
        <v>1.2</v>
      </c>
      <c r="AC11" s="13">
        <v>1.2</v>
      </c>
      <c r="AD11" s="13"/>
      <c r="AE11" s="13"/>
      <c r="AF11" s="13"/>
      <c r="AG11" s="60" t="s">
        <v>30</v>
      </c>
      <c r="AH11" s="60">
        <v>1.2</v>
      </c>
      <c r="AI11" s="57"/>
      <c r="AJ11" s="57"/>
      <c r="AK11" s="13" t="s">
        <v>66</v>
      </c>
      <c r="AL11" s="14" t="s">
        <v>98</v>
      </c>
    </row>
    <row r="12" spans="1:38" s="21" customFormat="1" ht="33.950000000000003" customHeight="1" x14ac:dyDescent="0.2">
      <c r="A12" s="15">
        <v>8</v>
      </c>
      <c r="B12" s="123" t="s">
        <v>99</v>
      </c>
      <c r="C12" s="24" t="s">
        <v>100</v>
      </c>
      <c r="D12" s="124" t="s">
        <v>101</v>
      </c>
      <c r="E12" s="7"/>
      <c r="F12" s="10" t="s">
        <v>50</v>
      </c>
      <c r="G12" s="18"/>
      <c r="H12" s="19" t="s">
        <v>92</v>
      </c>
      <c r="I12" s="22" t="s">
        <v>97</v>
      </c>
      <c r="J12" s="11"/>
      <c r="K12" s="11" t="s">
        <v>53</v>
      </c>
      <c r="L12" s="12" t="s">
        <v>54</v>
      </c>
      <c r="M12" s="12" t="str">
        <f>VLOOKUP(C12,[1]外购件开发申请单!$C$8:$L$148,10,0)</f>
        <v>刘志富</v>
      </c>
      <c r="N12" s="12" t="s">
        <v>79</v>
      </c>
      <c r="O12" s="7">
        <v>1</v>
      </c>
      <c r="P12" s="7">
        <f t="shared" si="0"/>
        <v>30000</v>
      </c>
      <c r="Q12" s="7" t="s">
        <v>55</v>
      </c>
      <c r="R12" s="7" t="s">
        <v>72</v>
      </c>
      <c r="S12" s="13" t="s">
        <v>56</v>
      </c>
      <c r="T12" s="50">
        <v>1.32</v>
      </c>
      <c r="U12" s="50">
        <f>VLOOKUP(B12,'机加件测算 (欧马可)'!$B$23:$P$54,15,0)</f>
        <v>0.51295999999999997</v>
      </c>
      <c r="V12" s="13">
        <v>1.1499999999999999</v>
      </c>
      <c r="W12" s="13">
        <v>1.1000000000000001</v>
      </c>
      <c r="X12" s="13"/>
      <c r="Y12" s="13"/>
      <c r="Z12" s="13">
        <v>1</v>
      </c>
      <c r="AA12" s="23">
        <v>1</v>
      </c>
      <c r="AB12" s="13">
        <v>1.4</v>
      </c>
      <c r="AC12" s="13">
        <v>1.4</v>
      </c>
      <c r="AD12" s="13"/>
      <c r="AE12" s="13"/>
      <c r="AF12" s="13"/>
      <c r="AG12" s="60" t="s">
        <v>30</v>
      </c>
      <c r="AH12" s="61">
        <v>1</v>
      </c>
      <c r="AI12" s="58"/>
      <c r="AJ12" s="58"/>
      <c r="AK12" s="13" t="s">
        <v>59</v>
      </c>
      <c r="AL12" s="14" t="s">
        <v>98</v>
      </c>
    </row>
    <row r="13" spans="1:38" s="21" customFormat="1" ht="57" customHeight="1" x14ac:dyDescent="0.2">
      <c r="A13" s="7">
        <v>9</v>
      </c>
      <c r="B13" s="121" t="s">
        <v>102</v>
      </c>
      <c r="C13" s="16" t="s">
        <v>103</v>
      </c>
      <c r="D13" s="124" t="s">
        <v>104</v>
      </c>
      <c r="E13" s="7" t="s">
        <v>105</v>
      </c>
      <c r="F13" s="10" t="s">
        <v>50</v>
      </c>
      <c r="G13" s="18"/>
      <c r="H13" s="19" t="s">
        <v>77</v>
      </c>
      <c r="I13" s="25" t="s">
        <v>86</v>
      </c>
      <c r="J13" s="11"/>
      <c r="K13" s="11" t="s">
        <v>53</v>
      </c>
      <c r="L13" s="12" t="s">
        <v>54</v>
      </c>
      <c r="M13" s="12" t="str">
        <f>VLOOKUP(C13,[1]外购件开发申请单!$C$8:$L$148,10,0)</f>
        <v>刘志富</v>
      </c>
      <c r="N13" s="12" t="s">
        <v>79</v>
      </c>
      <c r="O13" s="7">
        <v>1</v>
      </c>
      <c r="P13" s="7">
        <f t="shared" si="0"/>
        <v>30000</v>
      </c>
      <c r="Q13" s="7" t="s">
        <v>55</v>
      </c>
      <c r="R13" s="7" t="s">
        <v>106</v>
      </c>
      <c r="S13" s="13" t="s">
        <v>56</v>
      </c>
      <c r="T13" s="50">
        <f>VLOOKUP(C13,'[2]外购件开发申请单-刘志富开'!$C$7:$T$112,18,0)</f>
        <v>0.76</v>
      </c>
      <c r="U13" s="50">
        <f>VLOOKUP(B13,'机加件测算 (欧马可)'!$B$23:$P$54,15,0)</f>
        <v>0.85739999999999983</v>
      </c>
      <c r="V13" s="13">
        <v>2.2999999999999998</v>
      </c>
      <c r="W13" s="13">
        <v>2.2999999999999998</v>
      </c>
      <c r="X13" s="13">
        <v>2</v>
      </c>
      <c r="Y13" s="13">
        <v>8000</v>
      </c>
      <c r="Z13" s="13">
        <v>1.2</v>
      </c>
      <c r="AA13" s="23">
        <v>1.2</v>
      </c>
      <c r="AB13" s="13">
        <v>1.1000000000000001</v>
      </c>
      <c r="AC13" s="13">
        <v>1.1000000000000001</v>
      </c>
      <c r="AD13" s="13">
        <v>0.95</v>
      </c>
      <c r="AE13" s="13">
        <v>2000</v>
      </c>
      <c r="AF13" s="13"/>
      <c r="AG13" s="60" t="s">
        <v>31</v>
      </c>
      <c r="AH13" s="60">
        <v>1.1000000000000001</v>
      </c>
      <c r="AI13" s="117" t="s">
        <v>31</v>
      </c>
      <c r="AJ13" s="118">
        <v>0.95</v>
      </c>
      <c r="AK13" s="13" t="s">
        <v>66</v>
      </c>
      <c r="AL13" s="14" t="s">
        <v>107</v>
      </c>
    </row>
    <row r="14" spans="1:38" s="21" customFormat="1" ht="49.15" customHeight="1" x14ac:dyDescent="0.2">
      <c r="A14" s="15">
        <v>10</v>
      </c>
      <c r="B14" s="122" t="s">
        <v>121</v>
      </c>
      <c r="C14" s="17" t="s">
        <v>108</v>
      </c>
      <c r="D14" s="124" t="s">
        <v>109</v>
      </c>
      <c r="E14" s="7" t="s">
        <v>110</v>
      </c>
      <c r="F14" s="10" t="s">
        <v>50</v>
      </c>
      <c r="G14" s="18"/>
      <c r="H14" s="19" t="s">
        <v>111</v>
      </c>
      <c r="I14" s="22" t="s">
        <v>112</v>
      </c>
      <c r="J14" s="11"/>
      <c r="K14" s="11" t="s">
        <v>53</v>
      </c>
      <c r="L14" s="12" t="s">
        <v>54</v>
      </c>
      <c r="M14" s="12" t="s">
        <v>113</v>
      </c>
      <c r="N14" s="12" t="s">
        <v>65</v>
      </c>
      <c r="O14" s="7">
        <v>1</v>
      </c>
      <c r="P14" s="7">
        <f t="shared" si="0"/>
        <v>30000</v>
      </c>
      <c r="Q14" s="7" t="s">
        <v>55</v>
      </c>
      <c r="R14" s="7" t="s">
        <v>114</v>
      </c>
      <c r="S14" s="13" t="s">
        <v>56</v>
      </c>
      <c r="T14" s="50">
        <f>VLOOKUP(C14,'[2]外购件开发申请单-刘志富开'!$C$7:$T$112,18,0)</f>
        <v>0.22</v>
      </c>
      <c r="U14" s="50">
        <f>VLOOKUP(B14,'机加件测算 (欧马可)'!$B$23:$P$54,15,0)</f>
        <v>0.22439999999999999</v>
      </c>
      <c r="V14" s="13">
        <v>0.55000000000000004</v>
      </c>
      <c r="W14" s="13">
        <v>0.55000000000000004</v>
      </c>
      <c r="X14" s="13">
        <v>0.5</v>
      </c>
      <c r="Y14" s="13">
        <v>5000</v>
      </c>
      <c r="Z14" s="13">
        <v>0.6</v>
      </c>
      <c r="AA14" s="13">
        <v>0.6</v>
      </c>
      <c r="AB14" s="13">
        <v>0.63</v>
      </c>
      <c r="AC14" s="13">
        <v>0.63</v>
      </c>
      <c r="AD14" s="13">
        <v>0.25</v>
      </c>
      <c r="AE14" s="13">
        <v>1000</v>
      </c>
      <c r="AF14" s="13"/>
      <c r="AG14" s="60" t="s">
        <v>31</v>
      </c>
      <c r="AH14" s="60">
        <v>0.63</v>
      </c>
      <c r="AI14" s="117" t="s">
        <v>31</v>
      </c>
      <c r="AJ14" s="118">
        <v>0.25</v>
      </c>
      <c r="AK14" s="13" t="s">
        <v>66</v>
      </c>
      <c r="AL14" s="14" t="s">
        <v>107</v>
      </c>
    </row>
    <row r="15" spans="1:38" s="21" customFormat="1" ht="60" customHeight="1" x14ac:dyDescent="0.2">
      <c r="A15" s="7">
        <v>11</v>
      </c>
      <c r="B15" s="123" t="s">
        <v>115</v>
      </c>
      <c r="C15" s="24" t="s">
        <v>116</v>
      </c>
      <c r="D15" s="124" t="s">
        <v>117</v>
      </c>
      <c r="E15" s="7"/>
      <c r="F15" s="10" t="s">
        <v>50</v>
      </c>
      <c r="G15" s="18"/>
      <c r="H15" s="19" t="s">
        <v>92</v>
      </c>
      <c r="I15" s="22" t="s">
        <v>118</v>
      </c>
      <c r="J15" s="11"/>
      <c r="K15" s="11" t="s">
        <v>53</v>
      </c>
      <c r="L15" s="12" t="s">
        <v>54</v>
      </c>
      <c r="M15" s="12" t="s">
        <v>113</v>
      </c>
      <c r="N15" s="12" t="s">
        <v>65</v>
      </c>
      <c r="O15" s="7">
        <v>1</v>
      </c>
      <c r="P15" s="7">
        <f t="shared" si="0"/>
        <v>30000</v>
      </c>
      <c r="Q15" s="7" t="s">
        <v>55</v>
      </c>
      <c r="R15" s="7" t="s">
        <v>114</v>
      </c>
      <c r="S15" s="13" t="s">
        <v>56</v>
      </c>
      <c r="T15" s="51">
        <v>0.1</v>
      </c>
      <c r="U15" s="50">
        <f>VLOOKUP(B15,'机加件测算 (欧马可)'!$B$23:$P$54,15,0)</f>
        <v>0.24360000000000001</v>
      </c>
      <c r="V15" s="13">
        <v>0.75</v>
      </c>
      <c r="W15" s="13">
        <v>0.75</v>
      </c>
      <c r="X15" s="13">
        <v>0.7</v>
      </c>
      <c r="Y15" s="13">
        <v>5000</v>
      </c>
      <c r="Z15" s="13">
        <v>1</v>
      </c>
      <c r="AA15" s="23">
        <v>1</v>
      </c>
      <c r="AB15" s="13">
        <v>0.9</v>
      </c>
      <c r="AC15" s="13">
        <v>0.9</v>
      </c>
      <c r="AD15" s="13">
        <v>0.45</v>
      </c>
      <c r="AE15" s="13">
        <v>1000</v>
      </c>
      <c r="AF15" s="13"/>
      <c r="AG15" s="60" t="s">
        <v>119</v>
      </c>
      <c r="AH15" s="60">
        <v>0.9</v>
      </c>
      <c r="AI15" s="118" t="s">
        <v>119</v>
      </c>
      <c r="AJ15" s="118">
        <v>0.3</v>
      </c>
      <c r="AK15" s="13" t="s">
        <v>66</v>
      </c>
      <c r="AL15" s="14" t="s">
        <v>107</v>
      </c>
    </row>
    <row r="16" spans="1:38" ht="48.6" customHeight="1" x14ac:dyDescent="0.2">
      <c r="C16" s="26"/>
    </row>
    <row r="17" spans="3:3" x14ac:dyDescent="0.2">
      <c r="C17" s="26"/>
    </row>
  </sheetData>
  <autoFilter ref="A4:AM15"/>
  <mergeCells count="32">
    <mergeCell ref="A1:AL1"/>
    <mergeCell ref="A2:E2"/>
    <mergeCell ref="F2:L2"/>
    <mergeCell ref="N2:O2"/>
    <mergeCell ref="P2:R2"/>
    <mergeCell ref="S2:AF2"/>
    <mergeCell ref="AG2:AJ2"/>
    <mergeCell ref="AK2:AK4"/>
    <mergeCell ref="AL2:AL4"/>
    <mergeCell ref="A3:A4"/>
    <mergeCell ref="U3:U4"/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B3:AE3"/>
    <mergeCell ref="AG3:AH3"/>
    <mergeCell ref="AI3:AJ3"/>
    <mergeCell ref="N3:N4"/>
    <mergeCell ref="O3:O4"/>
    <mergeCell ref="P3:P4"/>
    <mergeCell ref="T3:T4"/>
    <mergeCell ref="V3:Y3"/>
    <mergeCell ref="Z3:AA3"/>
  </mergeCells>
  <phoneticPr fontId="3" type="noConversion"/>
  <conditionalFormatting sqref="B5">
    <cfRule type="duplicateValues" dxfId="39" priority="18"/>
    <cfRule type="duplicateValues" dxfId="38" priority="19"/>
    <cfRule type="duplicateValues" dxfId="37" priority="20"/>
  </conditionalFormatting>
  <conditionalFormatting sqref="B7">
    <cfRule type="duplicateValues" dxfId="36" priority="15"/>
    <cfRule type="duplicateValues" dxfId="35" priority="16"/>
  </conditionalFormatting>
  <conditionalFormatting sqref="C7">
    <cfRule type="duplicateValues" dxfId="34" priority="17"/>
  </conditionalFormatting>
  <conditionalFormatting sqref="B8">
    <cfRule type="duplicateValues" dxfId="33" priority="12"/>
    <cfRule type="duplicateValues" dxfId="32" priority="13"/>
  </conditionalFormatting>
  <conditionalFormatting sqref="C8">
    <cfRule type="duplicateValues" dxfId="31" priority="14"/>
  </conditionalFormatting>
  <conditionalFormatting sqref="B13">
    <cfRule type="duplicateValues" dxfId="30" priority="8"/>
    <cfRule type="duplicateValues" dxfId="29" priority="9"/>
    <cfRule type="duplicateValues" dxfId="28" priority="10"/>
    <cfRule type="duplicateValues" dxfId="27" priority="11"/>
  </conditionalFormatting>
  <conditionalFormatting sqref="C13"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B16:B1048576 B2:B3">
    <cfRule type="duplicateValues" dxfId="22" priority="22"/>
    <cfRule type="duplicateValues" dxfId="21" priority="23"/>
  </conditionalFormatting>
  <conditionalFormatting sqref="C16:C1048576 C9:C12 C2 C5">
    <cfRule type="duplicateValues" dxfId="20" priority="21"/>
  </conditionalFormatting>
  <conditionalFormatting sqref="C5">
    <cfRule type="duplicateValues" dxfId="19" priority="24"/>
    <cfRule type="duplicateValues" dxfId="18" priority="25"/>
  </conditionalFormatting>
  <conditionalFormatting sqref="B6">
    <cfRule type="duplicateValues" dxfId="17" priority="26"/>
  </conditionalFormatting>
  <conditionalFormatting sqref="C6">
    <cfRule type="duplicateValues" dxfId="16" priority="27"/>
  </conditionalFormatting>
  <conditionalFormatting sqref="B9:B12">
    <cfRule type="duplicateValues" dxfId="15" priority="28"/>
  </conditionalFormatting>
  <conditionalFormatting sqref="B14:B15"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4:C15">
    <cfRule type="duplicateValues" dxfId="10" priority="33"/>
    <cfRule type="duplicateValues" dxfId="9" priority="34"/>
    <cfRule type="duplicateValues" dxfId="8" priority="35"/>
    <cfRule type="duplicateValues" dxfId="7" priority="36"/>
  </conditionalFormatting>
  <conditionalFormatting sqref="B16:B1048576 B9:B12 B5 B2:B3">
    <cfRule type="duplicateValues" dxfId="6" priority="37"/>
  </conditionalFormatting>
  <conditionalFormatting sqref="B16:B1048576 B7:B12 B5 B2:B3">
    <cfRule type="duplicateValues" dxfId="5" priority="38"/>
    <cfRule type="duplicateValues" dxfId="4" priority="39"/>
  </conditionalFormatting>
  <conditionalFormatting sqref="C3">
    <cfRule type="duplicateValues" dxfId="3" priority="3"/>
  </conditionalFormatting>
  <conditionalFormatting sqref="D3:P3">
    <cfRule type="duplicateValues" dxfId="2" priority="2"/>
  </conditionalFormatting>
  <conditionalFormatting sqref="B1:B1048576">
    <cfRule type="duplicateValues" dxfId="1" priority="1"/>
  </conditionalFormatting>
  <printOptions horizontalCentered="1"/>
  <pageMargins left="0.31496062992125984" right="0.27559055118110237" top="0.70866141732283472" bottom="0.31496062992125984" header="0.31496062992125984" footer="0.31496062992125984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B23" sqref="B23"/>
    </sheetView>
  </sheetViews>
  <sheetFormatPr defaultColWidth="9" defaultRowHeight="14.25" x14ac:dyDescent="0.2"/>
  <cols>
    <col min="1" max="1" width="5.125" style="4" customWidth="1"/>
    <col min="2" max="2" width="12.625" style="4" customWidth="1"/>
    <col min="3" max="4" width="15" style="4" customWidth="1"/>
    <col min="5" max="5" width="5.125" style="4" customWidth="1"/>
    <col min="6" max="6" width="9" style="4"/>
    <col min="7" max="8" width="6.375" style="115" customWidth="1"/>
    <col min="9" max="11" width="6.375" style="4" customWidth="1"/>
    <col min="12" max="12" width="7" style="116" customWidth="1"/>
    <col min="13" max="13" width="9" style="4" customWidth="1"/>
    <col min="14" max="14" width="7" style="116" customWidth="1"/>
    <col min="15" max="15" width="6.375" style="116" customWidth="1"/>
    <col min="16" max="16" width="7" style="116" customWidth="1"/>
    <col min="17" max="16384" width="9" style="4"/>
  </cols>
  <sheetData>
    <row r="1" spans="1:16" x14ac:dyDescent="0.2">
      <c r="A1" s="62" t="s">
        <v>9</v>
      </c>
      <c r="B1" s="63" t="s">
        <v>123</v>
      </c>
      <c r="C1" s="63" t="s">
        <v>124</v>
      </c>
      <c r="D1" s="64" t="s">
        <v>125</v>
      </c>
      <c r="E1" s="65" t="s">
        <v>126</v>
      </c>
      <c r="F1" s="62" t="s">
        <v>127</v>
      </c>
      <c r="G1" s="66" t="s">
        <v>128</v>
      </c>
      <c r="H1" s="66"/>
      <c r="I1" s="67" t="s">
        <v>129</v>
      </c>
      <c r="J1" s="67"/>
      <c r="K1" s="67"/>
      <c r="L1" s="67" t="s">
        <v>130</v>
      </c>
      <c r="M1" s="62" t="s">
        <v>131</v>
      </c>
      <c r="N1" s="67"/>
      <c r="O1" s="68"/>
      <c r="P1" s="69" t="s">
        <v>132</v>
      </c>
    </row>
    <row r="2" spans="1:16" x14ac:dyDescent="0.2">
      <c r="A2" s="62"/>
      <c r="B2" s="63"/>
      <c r="C2" s="63"/>
      <c r="D2" s="70"/>
      <c r="E2" s="71"/>
      <c r="F2" s="62"/>
      <c r="G2" s="72" t="s">
        <v>17</v>
      </c>
      <c r="H2" s="72" t="s">
        <v>133</v>
      </c>
      <c r="I2" s="73" t="s">
        <v>134</v>
      </c>
      <c r="J2" s="73" t="s">
        <v>135</v>
      </c>
      <c r="K2" s="73" t="s">
        <v>133</v>
      </c>
      <c r="L2" s="67"/>
      <c r="M2" s="74" t="s">
        <v>136</v>
      </c>
      <c r="N2" s="73" t="s">
        <v>137</v>
      </c>
      <c r="O2" s="75" t="s">
        <v>138</v>
      </c>
      <c r="P2" s="76" t="s">
        <v>139</v>
      </c>
    </row>
    <row r="3" spans="1:16" hidden="1" x14ac:dyDescent="0.2">
      <c r="A3" s="65">
        <v>2</v>
      </c>
      <c r="B3" s="64" t="s">
        <v>140</v>
      </c>
      <c r="C3" s="64" t="s">
        <v>141</v>
      </c>
      <c r="D3" s="77"/>
      <c r="E3" s="65" t="s">
        <v>142</v>
      </c>
      <c r="F3" s="65" t="s">
        <v>143</v>
      </c>
      <c r="G3" s="78">
        <v>5.2</v>
      </c>
      <c r="H3" s="78">
        <v>1</v>
      </c>
      <c r="I3" s="79">
        <v>0.04</v>
      </c>
      <c r="J3" s="79">
        <v>0.02</v>
      </c>
      <c r="K3" s="79">
        <f>I3-J3</f>
        <v>0.02</v>
      </c>
      <c r="L3" s="79">
        <f>G3*I3-H3*K3</f>
        <v>0.18800000000000003</v>
      </c>
      <c r="M3" s="80" t="s">
        <v>144</v>
      </c>
      <c r="N3" s="81">
        <v>0.15</v>
      </c>
      <c r="O3" s="67">
        <f>SUM(N3:N8)</f>
        <v>0.59</v>
      </c>
      <c r="P3" s="82">
        <f>(L3+O3)*1.2</f>
        <v>0.93359999999999999</v>
      </c>
    </row>
    <row r="4" spans="1:16" hidden="1" x14ac:dyDescent="0.2">
      <c r="A4" s="83"/>
      <c r="B4" s="84"/>
      <c r="C4" s="84"/>
      <c r="D4" s="85"/>
      <c r="E4" s="83"/>
      <c r="F4" s="83"/>
      <c r="G4" s="86"/>
      <c r="H4" s="86"/>
      <c r="I4" s="87"/>
      <c r="J4" s="87"/>
      <c r="K4" s="87"/>
      <c r="L4" s="87"/>
      <c r="M4" s="80" t="s">
        <v>145</v>
      </c>
      <c r="N4" s="81">
        <v>0.1</v>
      </c>
      <c r="O4" s="67"/>
      <c r="P4" s="67"/>
    </row>
    <row r="5" spans="1:16" hidden="1" x14ac:dyDescent="0.2">
      <c r="A5" s="83"/>
      <c r="B5" s="84"/>
      <c r="C5" s="84"/>
      <c r="D5" s="85"/>
      <c r="E5" s="83"/>
      <c r="F5" s="83"/>
      <c r="G5" s="86"/>
      <c r="H5" s="86"/>
      <c r="I5" s="87"/>
      <c r="J5" s="87"/>
      <c r="K5" s="87"/>
      <c r="L5" s="87"/>
      <c r="M5" s="80" t="s">
        <v>146</v>
      </c>
      <c r="N5" s="81">
        <v>0.1</v>
      </c>
      <c r="O5" s="67"/>
      <c r="P5" s="67"/>
    </row>
    <row r="6" spans="1:16" hidden="1" x14ac:dyDescent="0.2">
      <c r="A6" s="83"/>
      <c r="B6" s="84"/>
      <c r="C6" s="84"/>
      <c r="D6" s="85"/>
      <c r="E6" s="83"/>
      <c r="F6" s="83"/>
      <c r="G6" s="86"/>
      <c r="H6" s="86"/>
      <c r="I6" s="87"/>
      <c r="J6" s="87"/>
      <c r="K6" s="87"/>
      <c r="L6" s="87"/>
      <c r="M6" s="80" t="s">
        <v>147</v>
      </c>
      <c r="N6" s="81">
        <v>0.08</v>
      </c>
      <c r="O6" s="67"/>
      <c r="P6" s="67"/>
    </row>
    <row r="7" spans="1:16" hidden="1" x14ac:dyDescent="0.2">
      <c r="A7" s="83"/>
      <c r="B7" s="84"/>
      <c r="C7" s="84"/>
      <c r="D7" s="85"/>
      <c r="E7" s="83"/>
      <c r="F7" s="83"/>
      <c r="G7" s="86"/>
      <c r="H7" s="86"/>
      <c r="I7" s="87"/>
      <c r="J7" s="87"/>
      <c r="K7" s="87"/>
      <c r="L7" s="87"/>
      <c r="M7" s="80" t="s">
        <v>148</v>
      </c>
      <c r="N7" s="81">
        <v>0.08</v>
      </c>
      <c r="O7" s="67"/>
      <c r="P7" s="67"/>
    </row>
    <row r="8" spans="1:16" hidden="1" x14ac:dyDescent="0.2">
      <c r="A8" s="71"/>
      <c r="B8" s="70"/>
      <c r="C8" s="70"/>
      <c r="D8" s="88"/>
      <c r="E8" s="71"/>
      <c r="F8" s="71"/>
      <c r="G8" s="89"/>
      <c r="H8" s="89"/>
      <c r="I8" s="82"/>
      <c r="J8" s="82"/>
      <c r="K8" s="82"/>
      <c r="L8" s="82"/>
      <c r="M8" s="80" t="s">
        <v>149</v>
      </c>
      <c r="N8" s="81">
        <v>0.08</v>
      </c>
      <c r="O8" s="67"/>
      <c r="P8" s="67"/>
    </row>
    <row r="9" spans="1:16" hidden="1" x14ac:dyDescent="0.2">
      <c r="A9" s="62">
        <v>13</v>
      </c>
      <c r="B9" s="63" t="s">
        <v>150</v>
      </c>
      <c r="C9" s="63" t="s">
        <v>151</v>
      </c>
      <c r="D9" s="90"/>
      <c r="E9" s="62" t="s">
        <v>152</v>
      </c>
      <c r="F9" s="62" t="s">
        <v>153</v>
      </c>
      <c r="G9" s="66">
        <v>5</v>
      </c>
      <c r="H9" s="66">
        <v>1</v>
      </c>
      <c r="I9" s="67">
        <v>0.16500000000000001</v>
      </c>
      <c r="J9" s="67">
        <v>5.5E-2</v>
      </c>
      <c r="K9" s="67">
        <f>I9-J9</f>
        <v>0.11000000000000001</v>
      </c>
      <c r="L9" s="67">
        <f>G9*I9-H9*K9</f>
        <v>0.71500000000000008</v>
      </c>
      <c r="M9" s="80" t="s">
        <v>144</v>
      </c>
      <c r="N9" s="81">
        <v>0.15</v>
      </c>
      <c r="O9" s="67">
        <f>SUM(N9:N13)</f>
        <v>0.65</v>
      </c>
      <c r="P9" s="67">
        <f>(L9+O9)*1.2</f>
        <v>1.6380000000000001</v>
      </c>
    </row>
    <row r="10" spans="1:16" hidden="1" x14ac:dyDescent="0.2">
      <c r="A10" s="62"/>
      <c r="B10" s="63"/>
      <c r="C10" s="63"/>
      <c r="D10" s="90"/>
      <c r="E10" s="62"/>
      <c r="F10" s="62"/>
      <c r="G10" s="66"/>
      <c r="H10" s="66"/>
      <c r="I10" s="67"/>
      <c r="J10" s="67"/>
      <c r="K10" s="67"/>
      <c r="L10" s="67"/>
      <c r="M10" s="80" t="s">
        <v>145</v>
      </c>
      <c r="N10" s="81">
        <v>0.15</v>
      </c>
      <c r="O10" s="67"/>
      <c r="P10" s="67"/>
    </row>
    <row r="11" spans="1:16" hidden="1" x14ac:dyDescent="0.2">
      <c r="A11" s="62"/>
      <c r="B11" s="63"/>
      <c r="C11" s="63"/>
      <c r="D11" s="90"/>
      <c r="E11" s="62"/>
      <c r="F11" s="62"/>
      <c r="G11" s="66"/>
      <c r="H11" s="66"/>
      <c r="I11" s="67"/>
      <c r="J11" s="67"/>
      <c r="K11" s="67"/>
      <c r="L11" s="67"/>
      <c r="M11" s="80" t="s">
        <v>146</v>
      </c>
      <c r="N11" s="81">
        <v>0.1</v>
      </c>
      <c r="O11" s="67"/>
      <c r="P11" s="67"/>
    </row>
    <row r="12" spans="1:16" hidden="1" x14ac:dyDescent="0.2">
      <c r="A12" s="62"/>
      <c r="B12" s="63"/>
      <c r="C12" s="63"/>
      <c r="D12" s="90"/>
      <c r="E12" s="62"/>
      <c r="F12" s="62"/>
      <c r="G12" s="66"/>
      <c r="H12" s="66"/>
      <c r="I12" s="67"/>
      <c r="J12" s="67"/>
      <c r="K12" s="67"/>
      <c r="L12" s="67"/>
      <c r="M12" s="80" t="s">
        <v>147</v>
      </c>
      <c r="N12" s="81">
        <v>0.1</v>
      </c>
      <c r="O12" s="67"/>
      <c r="P12" s="67"/>
    </row>
    <row r="13" spans="1:16" hidden="1" x14ac:dyDescent="0.2">
      <c r="A13" s="62"/>
      <c r="B13" s="63"/>
      <c r="C13" s="63"/>
      <c r="D13" s="90"/>
      <c r="E13" s="62"/>
      <c r="F13" s="62"/>
      <c r="G13" s="66"/>
      <c r="H13" s="66"/>
      <c r="I13" s="67"/>
      <c r="J13" s="67"/>
      <c r="K13" s="67"/>
      <c r="L13" s="67"/>
      <c r="M13" s="80" t="s">
        <v>148</v>
      </c>
      <c r="N13" s="81">
        <v>0.15</v>
      </c>
      <c r="O13" s="67"/>
      <c r="P13" s="67"/>
    </row>
    <row r="14" spans="1:16" hidden="1" x14ac:dyDescent="0.2">
      <c r="A14" s="91"/>
      <c r="B14" s="91" t="s">
        <v>154</v>
      </c>
      <c r="C14" s="91" t="s">
        <v>155</v>
      </c>
      <c r="D14" s="92"/>
      <c r="E14" s="91"/>
      <c r="F14" s="91" t="s">
        <v>156</v>
      </c>
      <c r="G14" s="93">
        <v>5</v>
      </c>
      <c r="H14" s="93">
        <v>1</v>
      </c>
      <c r="I14" s="91">
        <v>0.03</v>
      </c>
      <c r="J14" s="91">
        <v>6.0000000000000001E-3</v>
      </c>
      <c r="K14" s="91">
        <f>I14-J14</f>
        <v>2.4E-2</v>
      </c>
      <c r="L14" s="94">
        <f>G14*I14-H14*K14</f>
        <v>0.126</v>
      </c>
      <c r="M14" s="95" t="s">
        <v>144</v>
      </c>
      <c r="N14" s="96">
        <v>0.1</v>
      </c>
      <c r="O14" s="94">
        <f>SUM(N14:N17)</f>
        <v>0.33</v>
      </c>
      <c r="P14" s="94">
        <f>(L14+O14)*1.12</f>
        <v>0.51072000000000006</v>
      </c>
    </row>
    <row r="15" spans="1:16" hidden="1" x14ac:dyDescent="0.2">
      <c r="A15" s="97"/>
      <c r="B15" s="97"/>
      <c r="C15" s="97"/>
      <c r="D15" s="98"/>
      <c r="E15" s="97"/>
      <c r="F15" s="97"/>
      <c r="G15" s="99"/>
      <c r="H15" s="99"/>
      <c r="I15" s="97"/>
      <c r="J15" s="97"/>
      <c r="K15" s="97"/>
      <c r="L15" s="100"/>
      <c r="M15" s="95" t="s">
        <v>157</v>
      </c>
      <c r="N15" s="96">
        <v>0.12</v>
      </c>
      <c r="O15" s="100"/>
      <c r="P15" s="100"/>
    </row>
    <row r="16" spans="1:16" hidden="1" x14ac:dyDescent="0.2">
      <c r="A16" s="97"/>
      <c r="B16" s="97"/>
      <c r="C16" s="97"/>
      <c r="D16" s="98"/>
      <c r="E16" s="97"/>
      <c r="F16" s="97"/>
      <c r="G16" s="99"/>
      <c r="H16" s="99"/>
      <c r="I16" s="97"/>
      <c r="J16" s="97"/>
      <c r="K16" s="97"/>
      <c r="L16" s="100"/>
      <c r="M16" s="95" t="s">
        <v>158</v>
      </c>
      <c r="N16" s="96">
        <v>0.04</v>
      </c>
      <c r="O16" s="100"/>
      <c r="P16" s="100"/>
    </row>
    <row r="17" spans="1:16" hidden="1" x14ac:dyDescent="0.2">
      <c r="A17" s="101"/>
      <c r="B17" s="101"/>
      <c r="C17" s="101"/>
      <c r="D17" s="102"/>
      <c r="E17" s="101"/>
      <c r="F17" s="101"/>
      <c r="G17" s="103"/>
      <c r="H17" s="103"/>
      <c r="I17" s="101"/>
      <c r="J17" s="101"/>
      <c r="K17" s="101"/>
      <c r="L17" s="104"/>
      <c r="M17" s="95" t="s">
        <v>146</v>
      </c>
      <c r="N17" s="96">
        <v>7.0000000000000007E-2</v>
      </c>
      <c r="O17" s="104"/>
      <c r="P17" s="104"/>
    </row>
    <row r="18" spans="1:16" hidden="1" x14ac:dyDescent="0.2">
      <c r="A18" s="30"/>
      <c r="B18" s="30" t="s">
        <v>159</v>
      </c>
      <c r="C18" s="30" t="s">
        <v>160</v>
      </c>
      <c r="D18" s="3"/>
      <c r="E18" s="30"/>
      <c r="F18" s="30" t="s">
        <v>161</v>
      </c>
      <c r="G18" s="105">
        <v>5</v>
      </c>
      <c r="H18" s="105">
        <v>1</v>
      </c>
      <c r="I18" s="30">
        <v>7.2999999999999995E-2</v>
      </c>
      <c r="J18" s="30">
        <v>3.1E-2</v>
      </c>
      <c r="K18" s="30">
        <f>I18-J18</f>
        <v>4.1999999999999996E-2</v>
      </c>
      <c r="L18" s="106">
        <f>G18*I18-H18*K18</f>
        <v>0.32300000000000001</v>
      </c>
      <c r="M18" s="95" t="s">
        <v>162</v>
      </c>
      <c r="N18" s="96">
        <v>0.1</v>
      </c>
      <c r="O18" s="106">
        <f>N18+N19</f>
        <v>0.30000000000000004</v>
      </c>
      <c r="P18" s="106">
        <f>(L18+O18)*1.12</f>
        <v>0.69776000000000005</v>
      </c>
    </row>
    <row r="19" spans="1:16" hidden="1" x14ac:dyDescent="0.2">
      <c r="A19" s="30"/>
      <c r="B19" s="30"/>
      <c r="C19" s="30"/>
      <c r="D19" s="3"/>
      <c r="E19" s="30"/>
      <c r="F19" s="30"/>
      <c r="G19" s="105"/>
      <c r="H19" s="105"/>
      <c r="I19" s="30"/>
      <c r="J19" s="30"/>
      <c r="K19" s="30"/>
      <c r="L19" s="106"/>
      <c r="M19" s="95" t="s">
        <v>163</v>
      </c>
      <c r="N19" s="96">
        <v>0.2</v>
      </c>
      <c r="O19" s="106"/>
      <c r="P19" s="106"/>
    </row>
    <row r="20" spans="1:16" hidden="1" x14ac:dyDescent="0.2">
      <c r="A20" s="106"/>
      <c r="B20" s="106" t="s">
        <v>164</v>
      </c>
      <c r="C20" s="106" t="s">
        <v>165</v>
      </c>
      <c r="D20" s="107"/>
      <c r="E20" s="106"/>
      <c r="F20" s="106" t="s">
        <v>166</v>
      </c>
      <c r="G20" s="105">
        <v>5</v>
      </c>
      <c r="H20" s="105">
        <v>1</v>
      </c>
      <c r="I20" s="106">
        <v>6.3E-2</v>
      </c>
      <c r="J20" s="106">
        <v>5.2999999999999999E-2</v>
      </c>
      <c r="K20" s="106">
        <f>I20-J20</f>
        <v>1.0000000000000002E-2</v>
      </c>
      <c r="L20" s="106">
        <f>G20*I20-H20*K20</f>
        <v>0.30499999999999999</v>
      </c>
      <c r="M20" s="95" t="s">
        <v>144</v>
      </c>
      <c r="N20" s="96">
        <v>0.1</v>
      </c>
      <c r="O20" s="106">
        <f>N20+N21+N22</f>
        <v>0.34</v>
      </c>
      <c r="P20" s="106">
        <f>(L20+O20)*1.12</f>
        <v>0.72240000000000004</v>
      </c>
    </row>
    <row r="21" spans="1:16" hidden="1" x14ac:dyDescent="0.2">
      <c r="A21" s="106"/>
      <c r="B21" s="106"/>
      <c r="C21" s="106"/>
      <c r="D21" s="107"/>
      <c r="E21" s="106"/>
      <c r="F21" s="106"/>
      <c r="G21" s="105"/>
      <c r="H21" s="105"/>
      <c r="I21" s="106"/>
      <c r="J21" s="106"/>
      <c r="K21" s="106"/>
      <c r="L21" s="106"/>
      <c r="M21" s="95" t="s">
        <v>157</v>
      </c>
      <c r="N21" s="96">
        <v>0.16</v>
      </c>
      <c r="O21" s="106"/>
      <c r="P21" s="106"/>
    </row>
    <row r="22" spans="1:16" hidden="1" x14ac:dyDescent="0.2">
      <c r="A22" s="106"/>
      <c r="B22" s="106"/>
      <c r="C22" s="106"/>
      <c r="D22" s="107"/>
      <c r="E22" s="106"/>
      <c r="F22" s="106"/>
      <c r="G22" s="105"/>
      <c r="H22" s="105"/>
      <c r="I22" s="106"/>
      <c r="J22" s="106"/>
      <c r="K22" s="106"/>
      <c r="L22" s="106"/>
      <c r="M22" s="95" t="s">
        <v>167</v>
      </c>
      <c r="N22" s="96">
        <v>0.08</v>
      </c>
      <c r="O22" s="106"/>
      <c r="P22" s="106"/>
    </row>
    <row r="23" spans="1:16" ht="38.1" customHeight="1" x14ac:dyDescent="0.2">
      <c r="A23" s="95"/>
      <c r="B23" s="108" t="s">
        <v>120</v>
      </c>
      <c r="C23" s="109" t="s">
        <v>62</v>
      </c>
      <c r="D23" s="95"/>
      <c r="E23" s="95" t="s">
        <v>168</v>
      </c>
      <c r="F23" s="95" t="s">
        <v>169</v>
      </c>
      <c r="G23" s="110">
        <v>5</v>
      </c>
      <c r="H23" s="110">
        <v>1</v>
      </c>
      <c r="I23" s="95">
        <v>1.23E-2</v>
      </c>
      <c r="J23" s="95">
        <v>8.0000000000000002E-3</v>
      </c>
      <c r="K23" s="95">
        <f>I23-J23</f>
        <v>4.3E-3</v>
      </c>
      <c r="L23" s="96">
        <f>G23*H23*K23</f>
        <v>2.1499999999999998E-2</v>
      </c>
      <c r="M23" s="95" t="s">
        <v>162</v>
      </c>
      <c r="N23" s="96">
        <v>0.1</v>
      </c>
      <c r="O23" s="96">
        <v>0.1</v>
      </c>
      <c r="P23" s="96">
        <f>(L23+O23)*1.2</f>
        <v>0.14579999999999999</v>
      </c>
    </row>
    <row r="24" spans="1:16" x14ac:dyDescent="0.2">
      <c r="A24" s="91"/>
      <c r="B24" s="91" t="s">
        <v>74</v>
      </c>
      <c r="C24" s="91" t="s">
        <v>76</v>
      </c>
      <c r="D24" s="91"/>
      <c r="E24" s="91" t="s">
        <v>170</v>
      </c>
      <c r="F24" s="91" t="s">
        <v>171</v>
      </c>
      <c r="G24" s="93">
        <v>5.5</v>
      </c>
      <c r="H24" s="93">
        <v>1</v>
      </c>
      <c r="I24" s="91">
        <v>5.8999999999999997E-2</v>
      </c>
      <c r="J24" s="91">
        <v>2.1999999999999999E-2</v>
      </c>
      <c r="K24" s="91">
        <f>I24-J24</f>
        <v>3.6999999999999998E-2</v>
      </c>
      <c r="L24" s="93">
        <f>G24*H24*K24</f>
        <v>0.20349999999999999</v>
      </c>
      <c r="M24" s="95" t="s">
        <v>144</v>
      </c>
      <c r="N24" s="96">
        <v>0.06</v>
      </c>
      <c r="O24" s="106">
        <f>SUM(N24:N30)</f>
        <v>0.38</v>
      </c>
      <c r="P24" s="106">
        <f>(L24+O24)*1.2</f>
        <v>0.70020000000000004</v>
      </c>
    </row>
    <row r="25" spans="1:16" x14ac:dyDescent="0.2">
      <c r="A25" s="97"/>
      <c r="B25" s="97"/>
      <c r="C25" s="97"/>
      <c r="D25" s="97"/>
      <c r="E25" s="97"/>
      <c r="F25" s="97"/>
      <c r="G25" s="99"/>
      <c r="H25" s="99"/>
      <c r="I25" s="97"/>
      <c r="J25" s="97"/>
      <c r="K25" s="97"/>
      <c r="L25" s="99"/>
      <c r="M25" s="95" t="s">
        <v>172</v>
      </c>
      <c r="N25" s="96">
        <v>0.04</v>
      </c>
      <c r="O25" s="106"/>
      <c r="P25" s="106"/>
    </row>
    <row r="26" spans="1:16" x14ac:dyDescent="0.2">
      <c r="A26" s="97"/>
      <c r="B26" s="97"/>
      <c r="C26" s="97"/>
      <c r="D26" s="97"/>
      <c r="E26" s="97"/>
      <c r="F26" s="97"/>
      <c r="G26" s="99"/>
      <c r="H26" s="99"/>
      <c r="I26" s="97"/>
      <c r="J26" s="97"/>
      <c r="K26" s="97"/>
      <c r="L26" s="99"/>
      <c r="M26" s="95" t="s">
        <v>173</v>
      </c>
      <c r="N26" s="96">
        <v>0.12</v>
      </c>
      <c r="O26" s="106"/>
      <c r="P26" s="106"/>
    </row>
    <row r="27" spans="1:16" x14ac:dyDescent="0.2">
      <c r="A27" s="97"/>
      <c r="B27" s="97"/>
      <c r="C27" s="97"/>
      <c r="D27" s="97"/>
      <c r="E27" s="97"/>
      <c r="F27" s="97"/>
      <c r="G27" s="99"/>
      <c r="H27" s="99"/>
      <c r="I27" s="97"/>
      <c r="J27" s="97"/>
      <c r="K27" s="97"/>
      <c r="L27" s="99"/>
      <c r="M27" s="95" t="s">
        <v>174</v>
      </c>
      <c r="N27" s="96">
        <v>0.05</v>
      </c>
      <c r="O27" s="106"/>
      <c r="P27" s="106"/>
    </row>
    <row r="28" spans="1:16" x14ac:dyDescent="0.2">
      <c r="A28" s="97"/>
      <c r="B28" s="97"/>
      <c r="C28" s="97"/>
      <c r="D28" s="97"/>
      <c r="E28" s="97"/>
      <c r="F28" s="97"/>
      <c r="G28" s="99"/>
      <c r="H28" s="99"/>
      <c r="I28" s="97"/>
      <c r="J28" s="97"/>
      <c r="K28" s="97"/>
      <c r="L28" s="99"/>
      <c r="M28" s="95" t="s">
        <v>146</v>
      </c>
      <c r="N28" s="96">
        <v>0.05</v>
      </c>
      <c r="O28" s="106"/>
      <c r="P28" s="106"/>
    </row>
    <row r="29" spans="1:16" x14ac:dyDescent="0.2">
      <c r="A29" s="97"/>
      <c r="B29" s="97"/>
      <c r="C29" s="97"/>
      <c r="D29" s="97"/>
      <c r="E29" s="97"/>
      <c r="F29" s="97"/>
      <c r="G29" s="99"/>
      <c r="H29" s="99"/>
      <c r="I29" s="97"/>
      <c r="J29" s="97"/>
      <c r="K29" s="97"/>
      <c r="L29" s="99"/>
      <c r="M29" s="95" t="s">
        <v>175</v>
      </c>
      <c r="N29" s="96">
        <v>0.03</v>
      </c>
      <c r="O29" s="106"/>
      <c r="P29" s="106"/>
    </row>
    <row r="30" spans="1:16" x14ac:dyDescent="0.2">
      <c r="A30" s="101"/>
      <c r="B30" s="101"/>
      <c r="C30" s="101"/>
      <c r="D30" s="101"/>
      <c r="E30" s="101"/>
      <c r="F30" s="101"/>
      <c r="G30" s="103"/>
      <c r="H30" s="103"/>
      <c r="I30" s="101"/>
      <c r="J30" s="101"/>
      <c r="K30" s="101"/>
      <c r="L30" s="103"/>
      <c r="M30" s="95" t="s">
        <v>176</v>
      </c>
      <c r="N30" s="96">
        <v>0.03</v>
      </c>
      <c r="O30" s="106"/>
      <c r="P30" s="106"/>
    </row>
    <row r="31" spans="1:16" x14ac:dyDescent="0.2">
      <c r="A31" s="91"/>
      <c r="B31" s="91" t="s">
        <v>102</v>
      </c>
      <c r="C31" s="91" t="s">
        <v>104</v>
      </c>
      <c r="D31" s="91"/>
      <c r="E31" s="91" t="s">
        <v>170</v>
      </c>
      <c r="F31" s="91" t="s">
        <v>177</v>
      </c>
      <c r="G31" s="93">
        <v>5.5</v>
      </c>
      <c r="H31" s="93">
        <v>1</v>
      </c>
      <c r="I31" s="91">
        <v>7.6999999999999999E-2</v>
      </c>
      <c r="J31" s="91">
        <v>3.7999999999999999E-2</v>
      </c>
      <c r="K31" s="91">
        <f>I31-J31</f>
        <v>3.9E-2</v>
      </c>
      <c r="L31" s="93">
        <f>G31*H31*K31</f>
        <v>0.2145</v>
      </c>
      <c r="M31" s="95" t="s">
        <v>144</v>
      </c>
      <c r="N31" s="96">
        <v>0.06</v>
      </c>
      <c r="O31" s="106">
        <f>SUM(N31:N37)</f>
        <v>0.49999999999999994</v>
      </c>
      <c r="P31" s="106">
        <f>(L31+O31)*1.2</f>
        <v>0.85739999999999983</v>
      </c>
    </row>
    <row r="32" spans="1:16" x14ac:dyDescent="0.2">
      <c r="A32" s="97"/>
      <c r="B32" s="97"/>
      <c r="C32" s="97"/>
      <c r="D32" s="97"/>
      <c r="E32" s="97"/>
      <c r="F32" s="97"/>
      <c r="G32" s="99"/>
      <c r="H32" s="99"/>
      <c r="I32" s="97"/>
      <c r="J32" s="97"/>
      <c r="K32" s="97"/>
      <c r="L32" s="99"/>
      <c r="M32" s="95" t="s">
        <v>172</v>
      </c>
      <c r="N32" s="96">
        <v>0.06</v>
      </c>
      <c r="O32" s="106"/>
      <c r="P32" s="106"/>
    </row>
    <row r="33" spans="1:16" x14ac:dyDescent="0.2">
      <c r="A33" s="97"/>
      <c r="B33" s="97"/>
      <c r="C33" s="97"/>
      <c r="D33" s="97"/>
      <c r="E33" s="97"/>
      <c r="F33" s="97"/>
      <c r="G33" s="99"/>
      <c r="H33" s="99"/>
      <c r="I33" s="97"/>
      <c r="J33" s="97"/>
      <c r="K33" s="97"/>
      <c r="L33" s="99"/>
      <c r="M33" s="95" t="s">
        <v>173</v>
      </c>
      <c r="N33" s="96">
        <v>0.2</v>
      </c>
      <c r="O33" s="106"/>
      <c r="P33" s="106"/>
    </row>
    <row r="34" spans="1:16" x14ac:dyDescent="0.2">
      <c r="A34" s="97"/>
      <c r="B34" s="97"/>
      <c r="C34" s="97"/>
      <c r="D34" s="97"/>
      <c r="E34" s="97"/>
      <c r="F34" s="97"/>
      <c r="G34" s="99"/>
      <c r="H34" s="99"/>
      <c r="I34" s="97"/>
      <c r="J34" s="97"/>
      <c r="K34" s="97"/>
      <c r="L34" s="99"/>
      <c r="M34" s="95" t="s">
        <v>174</v>
      </c>
      <c r="N34" s="96">
        <v>0.05</v>
      </c>
      <c r="O34" s="106"/>
      <c r="P34" s="106"/>
    </row>
    <row r="35" spans="1:16" x14ac:dyDescent="0.2">
      <c r="A35" s="97"/>
      <c r="B35" s="97"/>
      <c r="C35" s="97"/>
      <c r="D35" s="97"/>
      <c r="E35" s="97"/>
      <c r="F35" s="97"/>
      <c r="G35" s="99"/>
      <c r="H35" s="99"/>
      <c r="I35" s="97"/>
      <c r="J35" s="97"/>
      <c r="K35" s="97"/>
      <c r="L35" s="99"/>
      <c r="M35" s="95" t="s">
        <v>146</v>
      </c>
      <c r="N35" s="96">
        <v>0.05</v>
      </c>
      <c r="O35" s="106"/>
      <c r="P35" s="106"/>
    </row>
    <row r="36" spans="1:16" x14ac:dyDescent="0.2">
      <c r="A36" s="97"/>
      <c r="B36" s="97"/>
      <c r="C36" s="97"/>
      <c r="D36" s="97"/>
      <c r="E36" s="97"/>
      <c r="F36" s="97"/>
      <c r="G36" s="99"/>
      <c r="H36" s="99"/>
      <c r="I36" s="97"/>
      <c r="J36" s="97"/>
      <c r="K36" s="97"/>
      <c r="L36" s="99"/>
      <c r="M36" s="95" t="s">
        <v>175</v>
      </c>
      <c r="N36" s="96">
        <v>0.03</v>
      </c>
      <c r="O36" s="106"/>
      <c r="P36" s="106"/>
    </row>
    <row r="37" spans="1:16" x14ac:dyDescent="0.2">
      <c r="A37" s="101"/>
      <c r="B37" s="101"/>
      <c r="C37" s="101"/>
      <c r="D37" s="101"/>
      <c r="E37" s="101"/>
      <c r="F37" s="101"/>
      <c r="G37" s="103"/>
      <c r="H37" s="103"/>
      <c r="I37" s="101"/>
      <c r="J37" s="101"/>
      <c r="K37" s="101"/>
      <c r="L37" s="103"/>
      <c r="M37" s="95" t="s">
        <v>176</v>
      </c>
      <c r="N37" s="96">
        <v>0.05</v>
      </c>
      <c r="O37" s="106"/>
      <c r="P37" s="106"/>
    </row>
    <row r="38" spans="1:16" ht="30" customHeight="1" x14ac:dyDescent="0.2">
      <c r="A38" s="95"/>
      <c r="B38" s="95" t="s">
        <v>121</v>
      </c>
      <c r="C38" s="111" t="s">
        <v>109</v>
      </c>
      <c r="D38" s="95"/>
      <c r="E38" s="3" t="s">
        <v>168</v>
      </c>
      <c r="F38" s="3" t="s">
        <v>178</v>
      </c>
      <c r="G38" s="112">
        <v>5</v>
      </c>
      <c r="H38" s="112">
        <v>1</v>
      </c>
      <c r="I38" s="95">
        <v>1.9E-2</v>
      </c>
      <c r="J38" s="95">
        <v>1.0999999999999999E-2</v>
      </c>
      <c r="K38" s="95">
        <f t="shared" ref="K38:K43" si="0">I38-J38</f>
        <v>8.0000000000000002E-3</v>
      </c>
      <c r="L38" s="96">
        <f t="shared" ref="L38:L39" si="1">G38*I38-H38*K38</f>
        <v>8.6999999999999994E-2</v>
      </c>
      <c r="M38" s="95" t="s">
        <v>162</v>
      </c>
      <c r="N38" s="96">
        <v>0.1</v>
      </c>
      <c r="O38" s="96">
        <v>0.1</v>
      </c>
      <c r="P38" s="96">
        <f t="shared" ref="P38:P39" si="2">(L38+O38)*1.2</f>
        <v>0.22439999999999999</v>
      </c>
    </row>
    <row r="39" spans="1:16" x14ac:dyDescent="0.2">
      <c r="A39" s="91"/>
      <c r="B39" s="91" t="s">
        <v>115</v>
      </c>
      <c r="C39" s="91" t="s">
        <v>117</v>
      </c>
      <c r="D39" s="91"/>
      <c r="E39" s="91" t="s">
        <v>168</v>
      </c>
      <c r="F39" s="91" t="s">
        <v>179</v>
      </c>
      <c r="G39" s="93">
        <v>5</v>
      </c>
      <c r="H39" s="93">
        <v>1</v>
      </c>
      <c r="I39" s="91">
        <v>1.4E-2</v>
      </c>
      <c r="J39" s="91">
        <v>7.0000000000000001E-3</v>
      </c>
      <c r="K39" s="91">
        <f t="shared" si="0"/>
        <v>7.0000000000000001E-3</v>
      </c>
      <c r="L39" s="91">
        <f t="shared" si="1"/>
        <v>6.3E-2</v>
      </c>
      <c r="M39" s="95" t="s">
        <v>162</v>
      </c>
      <c r="N39" s="96">
        <v>0.08</v>
      </c>
      <c r="O39" s="106">
        <f>SUM(N39:N41)</f>
        <v>0.14000000000000001</v>
      </c>
      <c r="P39" s="106">
        <f t="shared" si="2"/>
        <v>0.24360000000000001</v>
      </c>
    </row>
    <row r="40" spans="1:16" x14ac:dyDescent="0.2">
      <c r="A40" s="97"/>
      <c r="B40" s="97"/>
      <c r="C40" s="97"/>
      <c r="D40" s="97"/>
      <c r="E40" s="97"/>
      <c r="F40" s="97"/>
      <c r="G40" s="99"/>
      <c r="H40" s="99"/>
      <c r="I40" s="97"/>
      <c r="J40" s="97"/>
      <c r="K40" s="97"/>
      <c r="L40" s="97"/>
      <c r="M40" s="95" t="s">
        <v>180</v>
      </c>
      <c r="N40" s="96">
        <v>0.03</v>
      </c>
      <c r="O40" s="106"/>
      <c r="P40" s="106"/>
    </row>
    <row r="41" spans="1:16" x14ac:dyDescent="0.2">
      <c r="A41" s="101"/>
      <c r="B41" s="101"/>
      <c r="C41" s="101"/>
      <c r="D41" s="101"/>
      <c r="E41" s="101"/>
      <c r="F41" s="101"/>
      <c r="G41" s="103"/>
      <c r="H41" s="103"/>
      <c r="I41" s="101"/>
      <c r="J41" s="101"/>
      <c r="K41" s="101"/>
      <c r="L41" s="101"/>
      <c r="M41" s="95" t="s">
        <v>176</v>
      </c>
      <c r="N41" s="96">
        <v>0.03</v>
      </c>
      <c r="O41" s="106"/>
      <c r="P41" s="106"/>
    </row>
    <row r="42" spans="1:16" ht="30" customHeight="1" x14ac:dyDescent="0.2">
      <c r="A42" s="95"/>
      <c r="B42" s="95" t="s">
        <v>48</v>
      </c>
      <c r="C42" s="95" t="s">
        <v>49</v>
      </c>
      <c r="D42" s="95"/>
      <c r="E42" s="95" t="s">
        <v>168</v>
      </c>
      <c r="F42" s="95" t="s">
        <v>181</v>
      </c>
      <c r="G42" s="112">
        <v>5</v>
      </c>
      <c r="H42" s="112">
        <v>1</v>
      </c>
      <c r="I42" s="95">
        <v>1.4E-2</v>
      </c>
      <c r="J42" s="95">
        <v>5.0000000000000001E-3</v>
      </c>
      <c r="K42" s="95">
        <f t="shared" si="0"/>
        <v>9.0000000000000011E-3</v>
      </c>
      <c r="L42" s="96">
        <f>G42*I42-H42*K42</f>
        <v>6.1000000000000006E-2</v>
      </c>
      <c r="M42" s="95" t="s">
        <v>162</v>
      </c>
      <c r="N42" s="96">
        <v>0.05</v>
      </c>
      <c r="O42" s="96">
        <v>0.05</v>
      </c>
      <c r="P42" s="96">
        <f>(L42+O42)*1.12</f>
        <v>0.12432000000000003</v>
      </c>
    </row>
    <row r="43" spans="1:16" x14ac:dyDescent="0.2">
      <c r="A43" s="106"/>
      <c r="B43" s="106" t="s">
        <v>90</v>
      </c>
      <c r="C43" s="113" t="s">
        <v>91</v>
      </c>
      <c r="D43" s="106"/>
      <c r="E43" s="106" t="s">
        <v>182</v>
      </c>
      <c r="F43" s="106" t="s">
        <v>183</v>
      </c>
      <c r="G43" s="106">
        <v>5</v>
      </c>
      <c r="H43" s="106">
        <v>1</v>
      </c>
      <c r="I43" s="114">
        <v>8.6999999999999994E-2</v>
      </c>
      <c r="J43" s="114">
        <v>5.8999999999999997E-2</v>
      </c>
      <c r="K43" s="114">
        <f t="shared" si="0"/>
        <v>2.7999999999999997E-2</v>
      </c>
      <c r="L43" s="106">
        <f>G43*I43-H43*K43</f>
        <v>0.40699999999999992</v>
      </c>
      <c r="M43" s="95" t="s">
        <v>176</v>
      </c>
      <c r="N43" s="96">
        <f>0.003*7</f>
        <v>2.1000000000000001E-2</v>
      </c>
      <c r="O43" s="106">
        <f>SUM(N43:N48)</f>
        <v>0.34100000000000008</v>
      </c>
      <c r="P43" s="106">
        <f>(L43+O43)*1.2</f>
        <v>0.89759999999999995</v>
      </c>
    </row>
    <row r="44" spans="1:16" x14ac:dyDescent="0.2">
      <c r="A44" s="106"/>
      <c r="B44" s="106"/>
      <c r="C44" s="113"/>
      <c r="D44" s="106"/>
      <c r="E44" s="106"/>
      <c r="F44" s="106"/>
      <c r="G44" s="106"/>
      <c r="H44" s="106"/>
      <c r="I44" s="114"/>
      <c r="J44" s="114"/>
      <c r="K44" s="114"/>
      <c r="L44" s="106"/>
      <c r="M44" s="95" t="s">
        <v>144</v>
      </c>
      <c r="N44" s="96">
        <v>0.06</v>
      </c>
      <c r="O44" s="106"/>
      <c r="P44" s="106"/>
    </row>
    <row r="45" spans="1:16" x14ac:dyDescent="0.2">
      <c r="A45" s="106"/>
      <c r="B45" s="106"/>
      <c r="C45" s="113"/>
      <c r="D45" s="106"/>
      <c r="E45" s="106"/>
      <c r="F45" s="106"/>
      <c r="G45" s="106"/>
      <c r="H45" s="106"/>
      <c r="I45" s="114"/>
      <c r="J45" s="114"/>
      <c r="K45" s="114"/>
      <c r="L45" s="106"/>
      <c r="M45" s="95" t="s">
        <v>172</v>
      </c>
      <c r="N45" s="96">
        <v>0.06</v>
      </c>
      <c r="O45" s="106"/>
      <c r="P45" s="106"/>
    </row>
    <row r="46" spans="1:16" x14ac:dyDescent="0.2">
      <c r="A46" s="106"/>
      <c r="B46" s="106"/>
      <c r="C46" s="113"/>
      <c r="D46" s="106"/>
      <c r="E46" s="106"/>
      <c r="F46" s="106"/>
      <c r="G46" s="106"/>
      <c r="H46" s="106"/>
      <c r="I46" s="114"/>
      <c r="J46" s="114"/>
      <c r="K46" s="114"/>
      <c r="L46" s="106"/>
      <c r="M46" s="95" t="s">
        <v>184</v>
      </c>
      <c r="N46" s="96">
        <v>0.16</v>
      </c>
      <c r="O46" s="106"/>
      <c r="P46" s="106"/>
    </row>
    <row r="47" spans="1:16" x14ac:dyDescent="0.2">
      <c r="A47" s="106"/>
      <c r="B47" s="106"/>
      <c r="C47" s="113"/>
      <c r="D47" s="106"/>
      <c r="E47" s="106"/>
      <c r="F47" s="106"/>
      <c r="G47" s="106"/>
      <c r="H47" s="106"/>
      <c r="I47" s="114"/>
      <c r="J47" s="114"/>
      <c r="K47" s="114"/>
      <c r="L47" s="106"/>
      <c r="M47" s="95" t="s">
        <v>174</v>
      </c>
      <c r="N47" s="96">
        <v>0.02</v>
      </c>
      <c r="O47" s="106"/>
      <c r="P47" s="106"/>
    </row>
    <row r="48" spans="1:16" x14ac:dyDescent="0.2">
      <c r="A48" s="106"/>
      <c r="B48" s="106"/>
      <c r="C48" s="113"/>
      <c r="D48" s="106"/>
      <c r="E48" s="106"/>
      <c r="F48" s="106"/>
      <c r="G48" s="106"/>
      <c r="H48" s="106"/>
      <c r="I48" s="114"/>
      <c r="J48" s="114"/>
      <c r="K48" s="114"/>
      <c r="L48" s="106"/>
      <c r="M48" s="95" t="s">
        <v>167</v>
      </c>
      <c r="N48" s="96">
        <v>0.02</v>
      </c>
      <c r="O48" s="106"/>
      <c r="P48" s="106"/>
    </row>
    <row r="49" spans="1:16" x14ac:dyDescent="0.2">
      <c r="A49" s="106"/>
      <c r="B49" s="106" t="s">
        <v>83</v>
      </c>
      <c r="C49" s="113" t="s">
        <v>84</v>
      </c>
      <c r="D49" s="106"/>
      <c r="E49" s="106" t="s">
        <v>170</v>
      </c>
      <c r="F49" s="106" t="s">
        <v>185</v>
      </c>
      <c r="G49" s="106">
        <v>5.5</v>
      </c>
      <c r="H49" s="106">
        <v>1</v>
      </c>
      <c r="I49" s="114">
        <v>7.4999999999999997E-2</v>
      </c>
      <c r="J49" s="114">
        <v>3.1E-2</v>
      </c>
      <c r="K49" s="114">
        <f t="shared" ref="K49:K54" si="3">I49-J49</f>
        <v>4.3999999999999997E-2</v>
      </c>
      <c r="L49" s="106">
        <f t="shared" ref="L49:L54" si="4">G49*I49-H49*K49</f>
        <v>0.36849999999999999</v>
      </c>
      <c r="M49" s="95" t="s">
        <v>176</v>
      </c>
      <c r="N49" s="96">
        <f>0.003*7</f>
        <v>2.1000000000000001E-2</v>
      </c>
      <c r="O49" s="106">
        <f>SUM(N49:N51)</f>
        <v>0.17100000000000001</v>
      </c>
      <c r="P49" s="106">
        <f>(L49+O49)*1.2</f>
        <v>0.64739999999999998</v>
      </c>
    </row>
    <row r="50" spans="1:16" x14ac:dyDescent="0.2">
      <c r="A50" s="106"/>
      <c r="B50" s="106"/>
      <c r="C50" s="113"/>
      <c r="D50" s="106"/>
      <c r="E50" s="106"/>
      <c r="F50" s="106"/>
      <c r="G50" s="106"/>
      <c r="H50" s="106"/>
      <c r="I50" s="114"/>
      <c r="J50" s="114"/>
      <c r="K50" s="114"/>
      <c r="L50" s="106"/>
      <c r="M50" s="95" t="s">
        <v>162</v>
      </c>
      <c r="N50" s="96">
        <v>0.1</v>
      </c>
      <c r="O50" s="106"/>
      <c r="P50" s="106"/>
    </row>
    <row r="51" spans="1:16" x14ac:dyDescent="0.2">
      <c r="A51" s="106"/>
      <c r="B51" s="106"/>
      <c r="C51" s="113"/>
      <c r="D51" s="106"/>
      <c r="E51" s="106"/>
      <c r="F51" s="106"/>
      <c r="G51" s="106"/>
      <c r="H51" s="106"/>
      <c r="I51" s="114"/>
      <c r="J51" s="114"/>
      <c r="K51" s="114"/>
      <c r="L51" s="106"/>
      <c r="M51" s="95" t="s">
        <v>146</v>
      </c>
      <c r="N51" s="96">
        <v>0.05</v>
      </c>
      <c r="O51" s="106"/>
      <c r="P51" s="106"/>
    </row>
    <row r="52" spans="1:16" x14ac:dyDescent="0.2">
      <c r="A52" s="106"/>
      <c r="B52" s="106" t="s">
        <v>94</v>
      </c>
      <c r="C52" s="106" t="s">
        <v>96</v>
      </c>
      <c r="D52" s="106"/>
      <c r="E52" s="106" t="s">
        <v>168</v>
      </c>
      <c r="F52" s="106" t="s">
        <v>186</v>
      </c>
      <c r="G52" s="106">
        <v>5</v>
      </c>
      <c r="H52" s="106">
        <v>1</v>
      </c>
      <c r="I52" s="114">
        <v>5.1999999999999998E-2</v>
      </c>
      <c r="J52" s="114">
        <v>4.2000000000000003E-2</v>
      </c>
      <c r="K52" s="114">
        <f t="shared" si="3"/>
        <v>9.999999999999995E-3</v>
      </c>
      <c r="L52" s="106">
        <f t="shared" si="4"/>
        <v>0.25</v>
      </c>
      <c r="M52" s="95" t="s">
        <v>162</v>
      </c>
      <c r="N52" s="96">
        <v>0.1</v>
      </c>
      <c r="O52" s="106">
        <f>N52+N53</f>
        <v>0.12100000000000001</v>
      </c>
      <c r="P52" s="106">
        <f>(L52+O52)*1.2</f>
        <v>0.44519999999999998</v>
      </c>
    </row>
    <row r="53" spans="1:16" x14ac:dyDescent="0.2">
      <c r="A53" s="106"/>
      <c r="B53" s="106"/>
      <c r="C53" s="106"/>
      <c r="D53" s="106"/>
      <c r="E53" s="106"/>
      <c r="F53" s="106"/>
      <c r="G53" s="106"/>
      <c r="H53" s="106"/>
      <c r="I53" s="114"/>
      <c r="J53" s="114"/>
      <c r="K53" s="114"/>
      <c r="L53" s="106"/>
      <c r="M53" s="95" t="s">
        <v>176</v>
      </c>
      <c r="N53" s="96">
        <f>0.003*7</f>
        <v>2.1000000000000001E-2</v>
      </c>
      <c r="O53" s="106"/>
      <c r="P53" s="106"/>
    </row>
    <row r="54" spans="1:16" ht="27.95" customHeight="1" x14ac:dyDescent="0.2">
      <c r="A54" s="95"/>
      <c r="B54" s="95" t="s">
        <v>99</v>
      </c>
      <c r="C54" s="95" t="s">
        <v>101</v>
      </c>
      <c r="D54" s="95"/>
      <c r="E54" s="95" t="s">
        <v>168</v>
      </c>
      <c r="F54" s="95" t="s">
        <v>187</v>
      </c>
      <c r="G54" s="110">
        <v>5</v>
      </c>
      <c r="H54" s="110">
        <v>1</v>
      </c>
      <c r="I54" s="95">
        <v>7.2999999999999995E-2</v>
      </c>
      <c r="J54" s="95">
        <v>6.6000000000000003E-2</v>
      </c>
      <c r="K54" s="95">
        <f t="shared" si="3"/>
        <v>6.9999999999999923E-3</v>
      </c>
      <c r="L54" s="96">
        <f t="shared" si="4"/>
        <v>0.35799999999999998</v>
      </c>
      <c r="M54" s="95" t="s">
        <v>162</v>
      </c>
      <c r="N54" s="96">
        <v>0.1</v>
      </c>
      <c r="O54" s="96">
        <v>0.1</v>
      </c>
      <c r="P54" s="96">
        <f>(L54+O54)*1.12</f>
        <v>0.51295999999999997</v>
      </c>
    </row>
  </sheetData>
  <mergeCells count="159">
    <mergeCell ref="P52:P53"/>
    <mergeCell ref="H52:H53"/>
    <mergeCell ref="I52:I53"/>
    <mergeCell ref="J52:J53"/>
    <mergeCell ref="K52:K53"/>
    <mergeCell ref="L52:L53"/>
    <mergeCell ref="O52:O53"/>
    <mergeCell ref="L49:L51"/>
    <mergeCell ref="O49:O51"/>
    <mergeCell ref="P49:P51"/>
    <mergeCell ref="A52:A53"/>
    <mergeCell ref="B52:B53"/>
    <mergeCell ref="C52:C53"/>
    <mergeCell ref="D52:D53"/>
    <mergeCell ref="E52:E53"/>
    <mergeCell ref="F52:F53"/>
    <mergeCell ref="G52:G53"/>
    <mergeCell ref="F49:F51"/>
    <mergeCell ref="G49:G51"/>
    <mergeCell ref="H49:H51"/>
    <mergeCell ref="I49:I51"/>
    <mergeCell ref="J49:J51"/>
    <mergeCell ref="K49:K51"/>
    <mergeCell ref="J43:J48"/>
    <mergeCell ref="K43:K48"/>
    <mergeCell ref="L43:L48"/>
    <mergeCell ref="O43:O48"/>
    <mergeCell ref="P43:P48"/>
    <mergeCell ref="A49:A51"/>
    <mergeCell ref="B49:B51"/>
    <mergeCell ref="C49:C51"/>
    <mergeCell ref="D49:D51"/>
    <mergeCell ref="E49:E51"/>
    <mergeCell ref="P39:P41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H39:H41"/>
    <mergeCell ref="I39:I41"/>
    <mergeCell ref="J39:J41"/>
    <mergeCell ref="K39:K41"/>
    <mergeCell ref="L39:L41"/>
    <mergeCell ref="O39:O41"/>
    <mergeCell ref="L31:L37"/>
    <mergeCell ref="O31:O37"/>
    <mergeCell ref="P31:P37"/>
    <mergeCell ref="A39:A41"/>
    <mergeCell ref="B39:B41"/>
    <mergeCell ref="C39:C41"/>
    <mergeCell ref="D39:D41"/>
    <mergeCell ref="E39:E41"/>
    <mergeCell ref="F39:F41"/>
    <mergeCell ref="G39:G41"/>
    <mergeCell ref="F31:F37"/>
    <mergeCell ref="G31:G37"/>
    <mergeCell ref="H31:H37"/>
    <mergeCell ref="I31:I37"/>
    <mergeCell ref="J31:J37"/>
    <mergeCell ref="K31:K37"/>
    <mergeCell ref="J24:J30"/>
    <mergeCell ref="K24:K30"/>
    <mergeCell ref="L24:L30"/>
    <mergeCell ref="O24:O30"/>
    <mergeCell ref="P24:P30"/>
    <mergeCell ref="A31:A37"/>
    <mergeCell ref="B31:B37"/>
    <mergeCell ref="C31:C37"/>
    <mergeCell ref="D31:D37"/>
    <mergeCell ref="E31:E37"/>
    <mergeCell ref="P20:P22"/>
    <mergeCell ref="A24:A30"/>
    <mergeCell ref="B24:B30"/>
    <mergeCell ref="C24:C30"/>
    <mergeCell ref="D24:D30"/>
    <mergeCell ref="E24:E30"/>
    <mergeCell ref="F24:F30"/>
    <mergeCell ref="G24:G30"/>
    <mergeCell ref="H24:H30"/>
    <mergeCell ref="I24:I30"/>
    <mergeCell ref="H20:H22"/>
    <mergeCell ref="I20:I22"/>
    <mergeCell ref="J20:J22"/>
    <mergeCell ref="K20:K22"/>
    <mergeCell ref="L20:L22"/>
    <mergeCell ref="O20:O22"/>
    <mergeCell ref="K18:K19"/>
    <mergeCell ref="L18:L19"/>
    <mergeCell ref="O18:O19"/>
    <mergeCell ref="P18:P19"/>
    <mergeCell ref="A20:A22"/>
    <mergeCell ref="B20:B22"/>
    <mergeCell ref="C20:C22"/>
    <mergeCell ref="E20:E22"/>
    <mergeCell ref="F20:F22"/>
    <mergeCell ref="G20:G22"/>
    <mergeCell ref="P14:P17"/>
    <mergeCell ref="A18:A19"/>
    <mergeCell ref="B18:B19"/>
    <mergeCell ref="C18:C19"/>
    <mergeCell ref="E18:E19"/>
    <mergeCell ref="F18:F19"/>
    <mergeCell ref="G18:G19"/>
    <mergeCell ref="H18:H19"/>
    <mergeCell ref="I18:I19"/>
    <mergeCell ref="J18:J19"/>
    <mergeCell ref="H14:H17"/>
    <mergeCell ref="I14:I17"/>
    <mergeCell ref="J14:J17"/>
    <mergeCell ref="K14:K17"/>
    <mergeCell ref="L14:L17"/>
    <mergeCell ref="O14:O17"/>
    <mergeCell ref="K9:K13"/>
    <mergeCell ref="L9:L13"/>
    <mergeCell ref="O9:O13"/>
    <mergeCell ref="P9:P13"/>
    <mergeCell ref="A14:A17"/>
    <mergeCell ref="B14:B17"/>
    <mergeCell ref="C14:C17"/>
    <mergeCell ref="E14:E17"/>
    <mergeCell ref="F14:F17"/>
    <mergeCell ref="G14:G17"/>
    <mergeCell ref="P3:P8"/>
    <mergeCell ref="A9:A13"/>
    <mergeCell ref="B9:B13"/>
    <mergeCell ref="C9:C13"/>
    <mergeCell ref="E9:E13"/>
    <mergeCell ref="F9:F13"/>
    <mergeCell ref="G9:G13"/>
    <mergeCell ref="H9:H13"/>
    <mergeCell ref="I9:I13"/>
    <mergeCell ref="J9:J13"/>
    <mergeCell ref="H3:H8"/>
    <mergeCell ref="I3:I8"/>
    <mergeCell ref="J3:J8"/>
    <mergeCell ref="K3:K8"/>
    <mergeCell ref="L3:L8"/>
    <mergeCell ref="O3:O8"/>
    <mergeCell ref="G1:H1"/>
    <mergeCell ref="I1:K1"/>
    <mergeCell ref="L1:L2"/>
    <mergeCell ref="M1:O1"/>
    <mergeCell ref="A3:A8"/>
    <mergeCell ref="B3:B8"/>
    <mergeCell ref="C3:C8"/>
    <mergeCell ref="E3:E8"/>
    <mergeCell ref="F3:F8"/>
    <mergeCell ref="G3:G8"/>
    <mergeCell ref="A1:A2"/>
    <mergeCell ref="B1:B2"/>
    <mergeCell ref="C1:C2"/>
    <mergeCell ref="D1:D2"/>
    <mergeCell ref="E1:E2"/>
    <mergeCell ref="F1:F2"/>
  </mergeCells>
  <phoneticPr fontId="3" type="noConversion"/>
  <conditionalFormatting sqref="B2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外购件开发申请单-机加工件（最终报价）</vt:lpstr>
      <vt:lpstr>机加件测算 (欧马可)</vt:lpstr>
      <vt:lpstr>'外购件开发申请单-机加工件（最终报价）'!Print_Area</vt:lpstr>
      <vt:lpstr>'外购件开发申请单-机加工件（最终报价）'!Print_Titles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2022-06-22T08:59:18Z</dcterms:modified>
</cp:coreProperties>
</file>