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wmf" ContentType="image/x-wmf"/>
  <Default Extension="emf" ContentType="image/x-e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冲压件" sheetId="3" r:id="rId1"/>
    <sheet name="机加件 (欧马可)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  <author>吴英格</author>
  </authors>
  <commentList>
    <comment ref="D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模具为桥行制作，荣昌开发</t>
        </r>
      </text>
    </comment>
    <comment ref="Q32" authorId="1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人工两次取件
</t>
        </r>
      </text>
    </comment>
    <comment ref="Q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人工两次摆件取件</t>
        </r>
      </text>
    </comment>
    <comment ref="D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模具为桥行制作，荣昌开发</t>
        </r>
      </text>
    </comment>
    <comment ref="Q40" authorId="1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人工两次取件
</t>
        </r>
      </text>
    </comment>
    <comment ref="Q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人工两次摆件取件</t>
        </r>
      </text>
    </comment>
    <comment ref="X99" authorId="1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设变，冲孔</t>
        </r>
      </text>
    </comment>
    <comment ref="G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440*80*3.0</t>
        </r>
      </text>
    </comment>
    <comment ref="G1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440*70*3.0</t>
        </r>
      </text>
    </comment>
    <comment ref="Q1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12个焊点+8*3cm</t>
        </r>
      </text>
    </comment>
  </commentList>
</comments>
</file>

<file path=xl/sharedStrings.xml><?xml version="1.0" encoding="utf-8"?>
<sst xmlns="http://schemas.openxmlformats.org/spreadsheetml/2006/main" count="571" uniqueCount="239">
  <si>
    <t>厂家</t>
  </si>
  <si>
    <t>QAD号</t>
  </si>
  <si>
    <t>名称</t>
  </si>
  <si>
    <t>图片</t>
  </si>
  <si>
    <t>单件</t>
  </si>
  <si>
    <t>材质</t>
  </si>
  <si>
    <t>数量</t>
  </si>
  <si>
    <t>下料尺寸</t>
  </si>
  <si>
    <t>不含税单价</t>
  </si>
  <si>
    <t>重量</t>
  </si>
  <si>
    <t>材料费</t>
  </si>
  <si>
    <t>加工成本</t>
  </si>
  <si>
    <t>系数</t>
  </si>
  <si>
    <t>不含税价格</t>
  </si>
  <si>
    <t>未税模具费</t>
  </si>
  <si>
    <t>摊销件数</t>
  </si>
  <si>
    <t>含模摊未税单价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</si>
  <si>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</si>
  <si>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</si>
  <si>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</si>
  <si>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</si>
  <si>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</si>
  <si>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</si>
  <si>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</si>
  <si>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</si>
  <si>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</si>
  <si>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</si>
  <si>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</si>
  <si>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</si>
  <si>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恒德</t>
  </si>
  <si>
    <t>SLT0010222</t>
  </si>
  <si>
    <t>驾驶员左侧调角器下连接板焊接总成</t>
  </si>
  <si>
    <t>驾驶员左侧调角器下连接板</t>
  </si>
  <si>
    <t>QSTE500TM</t>
  </si>
  <si>
    <t>落料</t>
  </si>
  <si>
    <t>200T</t>
  </si>
  <si>
    <t>成型</t>
  </si>
  <si>
    <t>冲孔</t>
  </si>
  <si>
    <t>160T</t>
  </si>
  <si>
    <t>前排靠背复位卷簧安装支架</t>
  </si>
  <si>
    <t>SAPH440</t>
  </si>
  <si>
    <t>80T</t>
  </si>
  <si>
    <t>调角器下连接板上加强板</t>
  </si>
  <si>
    <t>100T</t>
  </si>
  <si>
    <t>焊接</t>
  </si>
  <si>
    <t>材料合计：</t>
  </si>
  <si>
    <t>加工费合计：</t>
  </si>
  <si>
    <t>SLT0010230</t>
  </si>
  <si>
    <t>驾驶员座垫右侧安装板总成</t>
  </si>
  <si>
    <t>驾驶员右侧安装版</t>
  </si>
  <si>
    <t>7/16焊接螺母</t>
  </si>
  <si>
    <t>压型</t>
  </si>
  <si>
    <t>中排独立软带轴承</t>
  </si>
  <si>
    <t>M8焊接方螺母</t>
  </si>
  <si>
    <t>铆接</t>
  </si>
  <si>
    <t>60T</t>
  </si>
  <si>
    <t>SHT0012150</t>
  </si>
  <si>
    <t>齿板锁舌</t>
  </si>
  <si>
    <t>SPFH590</t>
  </si>
  <si>
    <t xml:space="preserve">落料 </t>
  </si>
  <si>
    <t>125T</t>
  </si>
  <si>
    <t>倒角</t>
  </si>
  <si>
    <t>精冲</t>
  </si>
  <si>
    <t>去毛刺</t>
  </si>
  <si>
    <t>SHT0012153</t>
  </si>
  <si>
    <t>02.03.59.009</t>
  </si>
  <si>
    <t>左侧边框分总成</t>
  </si>
  <si>
    <t>左侧边框</t>
  </si>
  <si>
    <t>落料冲孔</t>
  </si>
  <si>
    <t>315T</t>
  </si>
  <si>
    <t>315油</t>
  </si>
  <si>
    <t>冲孔切断-人工两次取件</t>
  </si>
  <si>
    <t>冲孔切边-人工两次取件</t>
  </si>
  <si>
    <t>折弯*2</t>
  </si>
  <si>
    <t>冲小孔*2</t>
  </si>
  <si>
    <t>仰角旋转支撑轴套BAS0010023</t>
  </si>
  <si>
    <t>焊接轴套</t>
  </si>
  <si>
    <t>SHT0012154</t>
  </si>
  <si>
    <t>02.03.59.010</t>
  </si>
  <si>
    <t>右侧边框分总成</t>
  </si>
  <si>
    <t>右侧边框</t>
  </si>
  <si>
    <t>SHT0012142</t>
  </si>
  <si>
    <t>02.03.59.011</t>
  </si>
  <si>
    <t>座框右侧内边板</t>
  </si>
  <si>
    <t>落料冲孔连体</t>
  </si>
  <si>
    <t>切开-人工两次取件</t>
  </si>
  <si>
    <t>冲孔 左右同时-人工两次取件</t>
  </si>
  <si>
    <t>冲孔 *2</t>
  </si>
  <si>
    <t>折弯 *2</t>
  </si>
  <si>
    <t>SHT0012140</t>
  </si>
  <si>
    <t>02.03.59.012</t>
  </si>
  <si>
    <t>座框左侧内边板</t>
  </si>
  <si>
    <t>SHT0013131</t>
  </si>
  <si>
    <t>02.03.59.023</t>
  </si>
  <si>
    <t>座框前边板总成</t>
  </si>
  <si>
    <t>下料</t>
  </si>
  <si>
    <t xml:space="preserve">冲孔 </t>
  </si>
  <si>
    <t>切边</t>
  </si>
  <si>
    <t>焊接*2</t>
  </si>
  <si>
    <t>M6焊接螺母</t>
  </si>
  <si>
    <t>整形</t>
  </si>
  <si>
    <t>序</t>
  </si>
  <si>
    <t>K3码</t>
  </si>
  <si>
    <t>物料代码</t>
  </si>
  <si>
    <t>号</t>
  </si>
  <si>
    <t>SHT0012210</t>
  </si>
  <si>
    <t>02.03.60.009</t>
  </si>
  <si>
    <t>座框左侧外边板总成</t>
  </si>
  <si>
    <t>SHT0012001座框左侧外边板</t>
  </si>
  <si>
    <t>压弯</t>
  </si>
  <si>
    <t>冲孔切开</t>
  </si>
  <si>
    <t>冲侧孔+冲测口（本序未算）</t>
  </si>
  <si>
    <t>SHT0012187座框加强钣金</t>
  </si>
  <si>
    <t>63T</t>
  </si>
  <si>
    <t>焊接(氩弧焊)-委外</t>
  </si>
  <si>
    <t>6.5cm</t>
  </si>
  <si>
    <t>SHT0012211</t>
  </si>
  <si>
    <t>02.03.60.010</t>
  </si>
  <si>
    <t>座框右侧外边板总成</t>
  </si>
  <si>
    <t>SHT0012002座框右侧外边板</t>
  </si>
  <si>
    <t>SHT0012083（SHT0012542+焊轴+SHT0011993）</t>
  </si>
  <si>
    <t>02.03.60.056</t>
  </si>
  <si>
    <t>上框前横梁组件</t>
  </si>
  <si>
    <t>上框前横梁</t>
  </si>
  <si>
    <t>限位板</t>
  </si>
  <si>
    <t>固定销</t>
  </si>
  <si>
    <t>SLT0002537</t>
  </si>
  <si>
    <t>02.03.27.077</t>
  </si>
  <si>
    <t>J6F驾驶员调角器上连接板</t>
  </si>
  <si>
    <t>连接板</t>
  </si>
  <si>
    <t>冲口</t>
  </si>
  <si>
    <t>25T</t>
  </si>
  <si>
    <t>SLT0010190</t>
  </si>
  <si>
    <t>02.03.54.003</t>
  </si>
  <si>
    <t>J6F复位卷簧下限支架</t>
  </si>
  <si>
    <t>SLT0010412</t>
  </si>
  <si>
    <t>驾驶员扶手安装钣金焊接总成</t>
  </si>
  <si>
    <t>扶手安装钣金</t>
  </si>
  <si>
    <t>落冲</t>
  </si>
  <si>
    <t>焊母</t>
  </si>
  <si>
    <t>SHT0011778</t>
  </si>
  <si>
    <t>02.03.61.009</t>
  </si>
  <si>
    <t>T5座框前梁</t>
  </si>
  <si>
    <t>冲压件</t>
  </si>
  <si>
    <t>Q235</t>
  </si>
  <si>
    <t>40T</t>
  </si>
  <si>
    <t>SHT0011728</t>
  </si>
  <si>
    <t>02.01.61.005</t>
  </si>
  <si>
    <t>T5车身安装支架总成</t>
  </si>
  <si>
    <t>T5支架上钣金</t>
  </si>
  <si>
    <t>SAPH440 3.0</t>
  </si>
  <si>
    <t>1</t>
  </si>
  <si>
    <t>450</t>
  </si>
  <si>
    <t>90</t>
  </si>
  <si>
    <t>3</t>
  </si>
  <si>
    <t>250T</t>
  </si>
  <si>
    <t>T5支架下钣金</t>
  </si>
  <si>
    <t>80</t>
  </si>
  <si>
    <t>BAS0010008支架衬套*3</t>
  </si>
  <si>
    <t>36cm</t>
  </si>
  <si>
    <t>SHT0011806</t>
  </si>
  <si>
    <t>02.03.11.110</t>
  </si>
  <si>
    <t>仰角调节机构钣金件2</t>
  </si>
  <si>
    <t>SHT0001058</t>
  </si>
  <si>
    <t>02.03.26.022A</t>
  </si>
  <si>
    <t>仰角调节机构手柄钣金件</t>
  </si>
  <si>
    <t>BFA0010088</t>
  </si>
  <si>
    <t>平垫圈</t>
  </si>
  <si>
    <t>电泳</t>
  </si>
  <si>
    <t>序号</t>
  </si>
  <si>
    <t>产品名称</t>
  </si>
  <si>
    <t>不含税</t>
  </si>
  <si>
    <t>核算价</t>
  </si>
  <si>
    <t>02.03.51.010</t>
  </si>
  <si>
    <t>轴套螺母</t>
  </si>
  <si>
    <t>35#</t>
  </si>
  <si>
    <t>22*13</t>
  </si>
  <si>
    <t>切断</t>
  </si>
  <si>
    <t>平头*2</t>
  </si>
  <si>
    <t>钻孔</t>
  </si>
  <si>
    <t>车台</t>
  </si>
  <si>
    <t>掏眼</t>
  </si>
  <si>
    <t>攻丝</t>
  </si>
  <si>
    <t>02.03.03.013</t>
  </si>
  <si>
    <t>内绞架钢轴套</t>
  </si>
  <si>
    <t>20#</t>
  </si>
  <si>
    <t>34*23</t>
  </si>
  <si>
    <t>BAS0000049</t>
  </si>
  <si>
    <t>连杆板2铁套</t>
  </si>
  <si>
    <t>20*12</t>
  </si>
  <si>
    <t>车削*2</t>
  </si>
  <si>
    <t>倒角*2</t>
  </si>
  <si>
    <t>SHT0012030</t>
  </si>
  <si>
    <t>内绞架左侧轴套</t>
  </si>
  <si>
    <t>25*19</t>
  </si>
  <si>
    <t>冷墩</t>
  </si>
  <si>
    <t>车削*4</t>
  </si>
  <si>
    <t>SHT0012043</t>
  </si>
  <si>
    <t>升降连杆固定轴</t>
  </si>
  <si>
    <t>13*58</t>
  </si>
  <si>
    <t>倒角*3</t>
  </si>
  <si>
    <t>SLT0010907</t>
  </si>
  <si>
    <t>座椅靠背调节限位柱B</t>
  </si>
  <si>
    <t>10*20</t>
  </si>
  <si>
    <t>SLT0010889</t>
  </si>
  <si>
    <t>靠背锁付阶梯螺栓</t>
  </si>
  <si>
    <t>45#</t>
  </si>
  <si>
    <t>20*24</t>
  </si>
  <si>
    <t>粗车</t>
  </si>
  <si>
    <t>精车*3</t>
  </si>
  <si>
    <t>挑扣</t>
  </si>
  <si>
    <t>压方</t>
  </si>
  <si>
    <t>SLT0010910</t>
  </si>
  <si>
    <t>扶手旋转轴</t>
  </si>
  <si>
    <t>18*38.5</t>
  </si>
  <si>
    <t>SLT0010893</t>
  </si>
  <si>
    <t>座椅靠背调节限位柱A</t>
  </si>
  <si>
    <t>11*25</t>
  </si>
  <si>
    <t>SLT0011113</t>
  </si>
  <si>
    <t>解锁旋转轴</t>
  </si>
  <si>
    <t>6*65</t>
  </si>
  <si>
    <t>车槽</t>
  </si>
  <si>
    <t>BFA0010084</t>
  </si>
  <si>
    <t>十字槽沉头螺钉</t>
  </si>
  <si>
    <t>11*19</t>
  </si>
  <si>
    <t>SLT0011040</t>
  </si>
  <si>
    <t>副驾中间固定支架旋转轴</t>
  </si>
  <si>
    <t>Q195</t>
  </si>
  <si>
    <t>16*55</t>
  </si>
  <si>
    <t>精车*4</t>
  </si>
  <si>
    <t>SLT0011051</t>
  </si>
  <si>
    <t>固定板锁付螺纹套筒</t>
  </si>
  <si>
    <t>22*25</t>
  </si>
  <si>
    <t>SLT0011100</t>
  </si>
  <si>
    <t>限位轴</t>
  </si>
  <si>
    <t>10*85</t>
  </si>
  <si>
    <t>SLT0011101</t>
  </si>
  <si>
    <t>旋转轴</t>
  </si>
  <si>
    <t>14*60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</si>
</sst>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0.00_);[Red]\(0.00\)"/>
    <numFmt numFmtId="178" formatCode="0.0000_);[Red]\(0.0000\)"/>
    <numFmt numFmtId="179" formatCode="0.00_ "/>
    <numFmt numFmtId="180" formatCode="0.000_ "/>
    <numFmt numFmtId="181" formatCode="0_ "/>
    <numFmt numFmtId="182" formatCode="0.0_ "/>
    <numFmt numFmtId="183" formatCode="0_);[Red]\(0\)"/>
    <numFmt numFmtId="184" formatCode="0.0000_ "/>
    <numFmt numFmtId="185" formatCode="0.000_);[Red]\(0.000\)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等线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9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9" borderId="12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7" fillId="32" borderId="1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/>
    <xf numFmtId="0" fontId="9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/>
  </cellStyleXfs>
  <cellXfs count="387">
    <xf numFmtId="0" fontId="0" fillId="0" borderId="0" xfId="0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179" fontId="0" fillId="0" borderId="1" xfId="0" applyNumberFormat="1" applyFont="1" applyFill="1" applyBorder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vertical="center"/>
    </xf>
    <xf numFmtId="179" fontId="0" fillId="0" borderId="4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80" fontId="0" fillId="0" borderId="0" xfId="0" applyNumberFormat="1">
      <alignment vertical="center"/>
    </xf>
    <xf numFmtId="0" fontId="0" fillId="0" borderId="2" xfId="54" applyBorder="1" applyAlignment="1">
      <alignment horizontal="center" vertical="center"/>
    </xf>
    <xf numFmtId="0" fontId="0" fillId="0" borderId="2" xfId="54" applyBorder="1" applyAlignment="1">
      <alignment horizontal="center" vertical="center" wrapText="1"/>
    </xf>
    <xf numFmtId="0" fontId="0" fillId="0" borderId="2" xfId="54" applyBorder="1" applyAlignment="1">
      <alignment horizontal="center" vertical="center" shrinkToFit="1"/>
    </xf>
    <xf numFmtId="0" fontId="0" fillId="0" borderId="1" xfId="54" applyBorder="1" applyAlignment="1">
      <alignment horizontal="center" vertical="center" wrapText="1" shrinkToFit="1"/>
    </xf>
    <xf numFmtId="0" fontId="0" fillId="0" borderId="3" xfId="54" applyBorder="1" applyAlignment="1">
      <alignment horizontal="center" vertical="center"/>
    </xf>
    <xf numFmtId="0" fontId="0" fillId="0" borderId="4" xfId="54" applyBorder="1" applyAlignment="1">
      <alignment horizontal="center" vertical="center" wrapText="1"/>
    </xf>
    <xf numFmtId="0" fontId="0" fillId="0" borderId="3" xfId="54" applyBorder="1" applyAlignment="1">
      <alignment horizontal="center" vertical="center" shrinkToFit="1"/>
    </xf>
    <xf numFmtId="0" fontId="0" fillId="0" borderId="4" xfId="54" applyBorder="1" applyAlignment="1">
      <alignment horizontal="center" vertical="center" shrinkToFit="1"/>
    </xf>
    <xf numFmtId="0" fontId="2" fillId="0" borderId="2" xfId="54" applyFont="1" applyFill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 wrapText="1"/>
    </xf>
    <xf numFmtId="0" fontId="1" fillId="0" borderId="1" xfId="54" applyFont="1" applyBorder="1" applyAlignment="1">
      <alignment vertical="center" wrapText="1"/>
    </xf>
    <xf numFmtId="0" fontId="0" fillId="0" borderId="1" xfId="54" applyBorder="1" applyAlignment="1">
      <alignment horizontal="center" vertical="center"/>
    </xf>
    <xf numFmtId="176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54" applyBorder="1" applyAlignment="1">
      <alignment horizontal="center" vertical="center"/>
    </xf>
    <xf numFmtId="0" fontId="2" fillId="0" borderId="4" xfId="54" applyFont="1" applyFill="1" applyBorder="1" applyAlignment="1">
      <alignment horizontal="center" vertical="center" wrapText="1"/>
    </xf>
    <xf numFmtId="0" fontId="2" fillId="0" borderId="4" xfId="54" applyFont="1" applyBorder="1" applyAlignment="1">
      <alignment horizontal="center" vertical="center" wrapText="1"/>
    </xf>
    <xf numFmtId="0" fontId="0" fillId="0" borderId="1" xfId="54" applyBorder="1">
      <alignment vertical="center"/>
    </xf>
    <xf numFmtId="0" fontId="0" fillId="0" borderId="1" xfId="54" applyBorder="1" applyAlignment="1">
      <alignment vertical="center" wrapText="1"/>
    </xf>
    <xf numFmtId="0" fontId="0" fillId="0" borderId="1" xfId="54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0" fontId="2" fillId="0" borderId="3" xfId="54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1" fillId="0" borderId="2" xfId="54" applyFont="1" applyBorder="1" applyAlignment="1">
      <alignment vertical="center" wrapText="1"/>
    </xf>
    <xf numFmtId="0" fontId="0" fillId="0" borderId="2" xfId="54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79" fontId="0" fillId="0" borderId="5" xfId="54" applyNumberFormat="1" applyBorder="1" applyAlignment="1">
      <alignment horizontal="center" vertical="center"/>
    </xf>
    <xf numFmtId="177" fontId="0" fillId="0" borderId="7" xfId="54" applyNumberFormat="1" applyBorder="1" applyAlignment="1">
      <alignment horizontal="center" vertical="center"/>
    </xf>
    <xf numFmtId="180" fontId="0" fillId="0" borderId="5" xfId="54" applyNumberFormat="1" applyBorder="1" applyAlignment="1">
      <alignment horizontal="center" vertical="center" shrinkToFit="1"/>
    </xf>
    <xf numFmtId="180" fontId="0" fillId="0" borderId="6" xfId="54" applyNumberFormat="1" applyBorder="1" applyAlignment="1">
      <alignment horizontal="center" vertical="center" shrinkToFit="1"/>
    </xf>
    <xf numFmtId="179" fontId="0" fillId="0" borderId="7" xfId="54" applyNumberFormat="1" applyBorder="1" applyAlignment="1">
      <alignment horizontal="center" vertical="center" shrinkToFit="1"/>
    </xf>
    <xf numFmtId="177" fontId="0" fillId="0" borderId="2" xfId="54" applyNumberFormat="1" applyBorder="1" applyAlignment="1">
      <alignment horizontal="center" vertical="center"/>
    </xf>
    <xf numFmtId="179" fontId="0" fillId="0" borderId="2" xfId="54" applyNumberFormat="1" applyBorder="1" applyAlignment="1">
      <alignment horizontal="center" vertical="center"/>
    </xf>
    <xf numFmtId="180" fontId="0" fillId="0" borderId="2" xfId="54" applyNumberFormat="1" applyBorder="1" applyAlignment="1">
      <alignment horizontal="center" vertical="center" shrinkToFit="1"/>
    </xf>
    <xf numFmtId="179" fontId="0" fillId="0" borderId="2" xfId="54" applyNumberFormat="1" applyBorder="1" applyAlignment="1">
      <alignment horizontal="center" vertical="center" shrinkToFit="1"/>
    </xf>
    <xf numFmtId="177" fontId="0" fillId="0" borderId="4" xfId="54" applyNumberFormat="1" applyBorder="1" applyAlignment="1">
      <alignment horizontal="center" vertical="center"/>
    </xf>
    <xf numFmtId="179" fontId="1" fillId="0" borderId="1" xfId="55" applyNumberFormat="1" applyFont="1" applyBorder="1">
      <alignment vertical="center"/>
    </xf>
    <xf numFmtId="177" fontId="1" fillId="0" borderId="1" xfId="55" applyNumberFormat="1" applyFont="1" applyBorder="1">
      <alignment vertical="center"/>
    </xf>
    <xf numFmtId="180" fontId="1" fillId="0" borderId="1" xfId="55" applyNumberFormat="1" applyFont="1" applyBorder="1" applyAlignment="1">
      <alignment horizontal="center" vertical="center"/>
    </xf>
    <xf numFmtId="180" fontId="1" fillId="5" borderId="1" xfId="54" applyNumberFormat="1" applyFont="1" applyFill="1" applyBorder="1" applyAlignment="1">
      <alignment vertical="center" wrapText="1"/>
    </xf>
    <xf numFmtId="179" fontId="1" fillId="0" borderId="1" xfId="10" applyNumberFormat="1" applyFont="1" applyFill="1" applyBorder="1" applyAlignment="1" applyProtection="1">
      <alignment vertical="center" wrapText="1"/>
      <protection locked="0"/>
    </xf>
    <xf numFmtId="179" fontId="1" fillId="0" borderId="1" xfId="10" applyNumberFormat="1" applyFont="1" applyFill="1" applyBorder="1" applyAlignment="1" applyProtection="1">
      <alignment horizontal="center" vertical="center" wrapText="1"/>
      <protection locked="0"/>
    </xf>
    <xf numFmtId="179" fontId="0" fillId="0" borderId="1" xfId="54" applyNumberFormat="1" applyBorder="1">
      <alignment vertical="center"/>
    </xf>
    <xf numFmtId="177" fontId="0" fillId="0" borderId="1" xfId="54" applyNumberFormat="1" applyBorder="1">
      <alignment vertical="center"/>
    </xf>
    <xf numFmtId="180" fontId="0" fillId="0" borderId="1" xfId="54" applyNumberFormat="1" applyBorder="1">
      <alignment vertical="center"/>
    </xf>
    <xf numFmtId="180" fontId="1" fillId="0" borderId="1" xfId="55" applyNumberFormat="1" applyFont="1" applyBorder="1">
      <alignment vertical="center"/>
    </xf>
    <xf numFmtId="179" fontId="1" fillId="0" borderId="1" xfId="55" applyNumberFormat="1" applyFont="1" applyFill="1" applyBorder="1">
      <alignment vertical="center"/>
    </xf>
    <xf numFmtId="179" fontId="0" fillId="2" borderId="6" xfId="0" applyNumberFormat="1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179" fontId="0" fillId="2" borderId="1" xfId="54" applyNumberFormat="1" applyFill="1" applyBorder="1" applyAlignment="1">
      <alignment horizontal="center" vertical="center"/>
    </xf>
    <xf numFmtId="179" fontId="4" fillId="5" borderId="2" xfId="54" applyNumberFormat="1" applyFont="1" applyFill="1" applyBorder="1" applyAlignment="1">
      <alignment horizontal="center" vertical="center" wrapText="1"/>
    </xf>
    <xf numFmtId="177" fontId="1" fillId="0" borderId="2" xfId="55" applyNumberFormat="1" applyFont="1" applyBorder="1">
      <alignment vertical="center"/>
    </xf>
    <xf numFmtId="180" fontId="1" fillId="0" borderId="2" xfId="55" applyNumberFormat="1" applyFont="1" applyBorder="1">
      <alignment vertical="center"/>
    </xf>
    <xf numFmtId="180" fontId="1" fillId="5" borderId="2" xfId="54" applyNumberFormat="1" applyFont="1" applyFill="1" applyBorder="1" applyAlignment="1">
      <alignment vertical="center" wrapText="1"/>
    </xf>
    <xf numFmtId="179" fontId="1" fillId="0" borderId="2" xfId="10" applyNumberFormat="1" applyFont="1" applyFill="1" applyBorder="1" applyAlignment="1" applyProtection="1">
      <alignment vertical="center" wrapText="1"/>
      <protection locked="0"/>
    </xf>
    <xf numFmtId="178" fontId="4" fillId="5" borderId="2" xfId="54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/>
    </xf>
    <xf numFmtId="179" fontId="0" fillId="2" borderId="2" xfId="0" applyNumberFormat="1" applyFont="1" applyFill="1" applyBorder="1" applyAlignment="1">
      <alignment horizontal="center" vertical="center"/>
    </xf>
    <xf numFmtId="179" fontId="1" fillId="0" borderId="1" xfId="55" applyNumberFormat="1" applyFont="1" applyFill="1" applyBorder="1" applyAlignment="1">
      <alignment horizontal="center" vertical="center"/>
    </xf>
    <xf numFmtId="177" fontId="1" fillId="0" borderId="1" xfId="55" applyNumberFormat="1" applyFont="1" applyFill="1" applyBorder="1" applyAlignment="1">
      <alignment horizontal="center" vertical="center"/>
    </xf>
    <xf numFmtId="180" fontId="1" fillId="0" borderId="1" xfId="55" applyNumberFormat="1" applyFont="1" applyFill="1" applyBorder="1" applyAlignment="1">
      <alignment horizontal="center" vertical="center"/>
    </xf>
    <xf numFmtId="180" fontId="1" fillId="5" borderId="1" xfId="0" applyNumberFormat="1" applyFont="1" applyFill="1" applyBorder="1" applyAlignment="1">
      <alignment horizontal="center" vertical="center" wrapText="1"/>
    </xf>
    <xf numFmtId="179" fontId="1" fillId="0" borderId="1" xfId="55" applyNumberFormat="1" applyFont="1" applyFill="1" applyBorder="1" applyAlignment="1">
      <alignment vertical="center"/>
    </xf>
    <xf numFmtId="177" fontId="1" fillId="5" borderId="1" xfId="0" applyNumberFormat="1" applyFont="1" applyFill="1" applyBorder="1" applyAlignment="1">
      <alignment horizontal="center" vertical="center" wrapText="1"/>
    </xf>
    <xf numFmtId="180" fontId="1" fillId="0" borderId="1" xfId="55" applyNumberFormat="1" applyFont="1" applyFill="1" applyBorder="1" applyAlignment="1">
      <alignment vertical="center"/>
    </xf>
    <xf numFmtId="180" fontId="1" fillId="5" borderId="1" xfId="0" applyNumberFormat="1" applyFont="1" applyFill="1" applyBorder="1" applyAlignment="1">
      <alignment vertical="center" wrapText="1"/>
    </xf>
    <xf numFmtId="179" fontId="0" fillId="2" borderId="1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179" fontId="0" fillId="0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180" fontId="0" fillId="0" borderId="4" xfId="0" applyNumberFormat="1" applyFont="1" applyFill="1" applyBorder="1" applyAlignment="1">
      <alignment horizontal="center" vertical="center" wrapText="1"/>
    </xf>
    <xf numFmtId="177" fontId="0" fillId="0" borderId="5" xfId="54" applyNumberFormat="1" applyBorder="1" applyAlignment="1">
      <alignment horizontal="center" vertical="center"/>
    </xf>
    <xf numFmtId="177" fontId="0" fillId="0" borderId="6" xfId="54" applyNumberFormat="1" applyBorder="1" applyAlignment="1">
      <alignment horizontal="center" vertical="center"/>
    </xf>
    <xf numFmtId="177" fontId="0" fillId="0" borderId="2" xfId="54" applyNumberFormat="1" applyBorder="1" applyAlignment="1">
      <alignment horizontal="center" vertical="center" wrapText="1"/>
    </xf>
    <xf numFmtId="177" fontId="0" fillId="0" borderId="2" xfId="54" applyNumberFormat="1" applyBorder="1" applyAlignment="1">
      <alignment horizontal="center" vertical="center" shrinkToFit="1"/>
    </xf>
    <xf numFmtId="177" fontId="0" fillId="0" borderId="3" xfId="54" applyNumberFormat="1" applyBorder="1" applyAlignment="1">
      <alignment horizontal="center" vertical="center"/>
    </xf>
    <xf numFmtId="177" fontId="0" fillId="0" borderId="4" xfId="54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177" fontId="0" fillId="0" borderId="1" xfId="54" applyNumberFormat="1" applyFill="1" applyBorder="1" applyAlignment="1">
      <alignment horizontal="center" vertical="center"/>
    </xf>
    <xf numFmtId="0" fontId="0" fillId="0" borderId="1" xfId="54" applyFill="1" applyBorder="1" applyAlignment="1">
      <alignment horizontal="center" vertical="center"/>
    </xf>
    <xf numFmtId="9" fontId="0" fillId="0" borderId="1" xfId="16" applyNumberFormat="1" applyFont="1" applyBorder="1" applyAlignment="1">
      <alignment horizontal="center" vertical="center"/>
    </xf>
    <xf numFmtId="181" fontId="0" fillId="0" borderId="2" xfId="54" applyNumberFormat="1" applyBorder="1" applyAlignment="1">
      <alignment horizontal="center" vertical="center"/>
    </xf>
    <xf numFmtId="9" fontId="0" fillId="0" borderId="1" xfId="16" applyFont="1" applyBorder="1" applyAlignment="1">
      <alignment horizontal="center" vertical="center"/>
    </xf>
    <xf numFmtId="181" fontId="0" fillId="0" borderId="4" xfId="54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7" fontId="0" fillId="2" borderId="1" xfId="54" applyNumberFormat="1" applyFill="1" applyBorder="1" applyAlignment="1">
      <alignment horizontal="center" vertical="center"/>
    </xf>
    <xf numFmtId="181" fontId="0" fillId="0" borderId="1" xfId="54" applyNumberFormat="1" applyBorder="1" applyAlignment="1">
      <alignment horizontal="center" vertical="center"/>
    </xf>
    <xf numFmtId="179" fontId="1" fillId="0" borderId="1" xfId="54" applyNumberFormat="1" applyFont="1" applyFill="1" applyBorder="1" applyAlignment="1">
      <alignment horizontal="center" vertical="center" wrapText="1"/>
    </xf>
    <xf numFmtId="181" fontId="1" fillId="0" borderId="1" xfId="54" applyNumberFormat="1" applyFont="1" applyFill="1" applyBorder="1" applyAlignment="1">
      <alignment horizontal="center" vertical="center" wrapText="1"/>
    </xf>
    <xf numFmtId="179" fontId="2" fillId="0" borderId="1" xfId="5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vertical="center"/>
    </xf>
    <xf numFmtId="9" fontId="0" fillId="0" borderId="1" xfId="14" applyNumberFormat="1" applyFont="1" applyBorder="1" applyAlignment="1">
      <alignment horizontal="center" vertical="center"/>
    </xf>
    <xf numFmtId="177" fontId="0" fillId="0" borderId="1" xfId="14" applyNumberFormat="1" applyFont="1" applyBorder="1" applyAlignment="1">
      <alignment horizontal="center" vertical="center"/>
    </xf>
    <xf numFmtId="0" fontId="0" fillId="0" borderId="1" xfId="14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7" fontId="0" fillId="0" borderId="2" xfId="0" applyNumberFormat="1" applyFont="1" applyFill="1" applyBorder="1" applyAlignment="1">
      <alignment vertical="center"/>
    </xf>
    <xf numFmtId="177" fontId="0" fillId="2" borderId="2" xfId="0" applyNumberFormat="1" applyFont="1" applyFill="1" applyBorder="1" applyAlignment="1">
      <alignment horizontal="center" vertical="center"/>
    </xf>
    <xf numFmtId="9" fontId="0" fillId="0" borderId="2" xfId="14" applyNumberFormat="1" applyFont="1" applyBorder="1" applyAlignment="1">
      <alignment horizontal="center" vertical="center"/>
    </xf>
    <xf numFmtId="177" fontId="0" fillId="0" borderId="2" xfId="14" applyNumberFormat="1" applyFont="1" applyBorder="1" applyAlignment="1">
      <alignment horizontal="center" vertical="center"/>
    </xf>
    <xf numFmtId="0" fontId="0" fillId="0" borderId="2" xfId="14" applyNumberFormat="1" applyFont="1" applyBorder="1" applyAlignment="1">
      <alignment horizontal="center" vertical="center"/>
    </xf>
    <xf numFmtId="179" fontId="1" fillId="5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/>
    </xf>
    <xf numFmtId="9" fontId="0" fillId="0" borderId="1" xfId="14" applyFont="1" applyBorder="1" applyAlignment="1">
      <alignment horizontal="center" vertical="center"/>
    </xf>
    <xf numFmtId="181" fontId="0" fillId="0" borderId="4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vertical="center"/>
    </xf>
    <xf numFmtId="181" fontId="1" fillId="5" borderId="1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vertical="center"/>
    </xf>
    <xf numFmtId="0" fontId="1" fillId="5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/>
    </xf>
    <xf numFmtId="9" fontId="0" fillId="0" borderId="2" xfId="14" applyFont="1" applyBorder="1" applyAlignment="1">
      <alignment horizontal="center" vertical="center"/>
    </xf>
    <xf numFmtId="181" fontId="0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83" fontId="0" fillId="0" borderId="2" xfId="0" applyNumberFormat="1" applyFont="1" applyFill="1" applyBorder="1" applyAlignment="1">
      <alignment horizontal="center" vertical="center"/>
    </xf>
    <xf numFmtId="9" fontId="0" fillId="0" borderId="4" xfId="14" applyFont="1" applyBorder="1" applyAlignment="1">
      <alignment horizontal="center" vertical="center"/>
    </xf>
    <xf numFmtId="183" fontId="0" fillId="0" borderId="4" xfId="0" applyNumberFormat="1" applyFont="1" applyFill="1" applyBorder="1" applyAlignment="1">
      <alignment horizontal="center" vertical="center"/>
    </xf>
    <xf numFmtId="9" fontId="0" fillId="0" borderId="3" xfId="14" applyFont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184" fontId="0" fillId="4" borderId="2" xfId="54" applyNumberFormat="1" applyFill="1" applyBorder="1" applyAlignment="1">
      <alignment horizontal="center" vertical="center"/>
    </xf>
    <xf numFmtId="184" fontId="0" fillId="4" borderId="4" xfId="54" applyNumberFormat="1" applyFill="1" applyBorder="1" applyAlignment="1">
      <alignment horizontal="center" vertical="center"/>
    </xf>
    <xf numFmtId="181" fontId="0" fillId="0" borderId="3" xfId="54" applyNumberFormat="1" applyBorder="1" applyAlignment="1">
      <alignment horizontal="center" vertical="center"/>
    </xf>
    <xf numFmtId="184" fontId="0" fillId="4" borderId="3" xfId="54" applyNumberFormat="1" applyFill="1" applyBorder="1" applyAlignment="1">
      <alignment horizontal="center" vertical="center"/>
    </xf>
    <xf numFmtId="179" fontId="0" fillId="0" borderId="1" xfId="14" applyNumberFormat="1" applyFont="1" applyBorder="1" applyAlignment="1">
      <alignment horizontal="center" vertical="center"/>
    </xf>
    <xf numFmtId="179" fontId="0" fillId="0" borderId="2" xfId="14" applyNumberFormat="1" applyFont="1" applyBorder="1" applyAlignment="1">
      <alignment horizontal="center" vertical="center"/>
    </xf>
    <xf numFmtId="184" fontId="0" fillId="0" borderId="2" xfId="0" applyNumberFormat="1" applyFont="1" applyFill="1" applyBorder="1" applyAlignment="1">
      <alignment horizontal="center" vertical="center"/>
    </xf>
    <xf numFmtId="184" fontId="0" fillId="0" borderId="4" xfId="0" applyNumberFormat="1" applyFont="1" applyFill="1" applyBorder="1" applyAlignment="1">
      <alignment horizontal="center" vertical="center"/>
    </xf>
    <xf numFmtId="184" fontId="0" fillId="0" borderId="3" xfId="0" applyNumberFormat="1" applyFont="1" applyFill="1" applyBorder="1" applyAlignment="1">
      <alignment horizontal="center" vertical="center"/>
    </xf>
    <xf numFmtId="183" fontId="0" fillId="0" borderId="3" xfId="0" applyNumberFormat="1" applyFont="1" applyFill="1" applyBorder="1" applyAlignment="1">
      <alignment horizontal="center" vertical="center"/>
    </xf>
    <xf numFmtId="183" fontId="0" fillId="0" borderId="1" xfId="0" applyNumberFormat="1" applyFont="1" applyFill="1" applyBorder="1" applyAlignment="1">
      <alignment horizontal="center" vertical="center"/>
    </xf>
    <xf numFmtId="18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0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shrinkToFit="1"/>
    </xf>
    <xf numFmtId="0" fontId="7" fillId="6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shrinkToFit="1"/>
    </xf>
    <xf numFmtId="179" fontId="0" fillId="0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180" fontId="0" fillId="0" borderId="3" xfId="0" applyNumberFormat="1" applyFont="1" applyFill="1" applyBorder="1" applyAlignment="1">
      <alignment horizontal="center" vertical="center" wrapText="1"/>
    </xf>
    <xf numFmtId="179" fontId="1" fillId="3" borderId="1" xfId="55" applyNumberFormat="1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 shrinkToFit="1"/>
    </xf>
    <xf numFmtId="179" fontId="0" fillId="0" borderId="5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 shrinkToFit="1"/>
    </xf>
    <xf numFmtId="180" fontId="0" fillId="0" borderId="6" xfId="0" applyNumberFormat="1" applyBorder="1" applyAlignment="1">
      <alignment horizontal="center" vertical="center" shrinkToFit="1"/>
    </xf>
    <xf numFmtId="179" fontId="0" fillId="0" borderId="7" xfId="0" applyNumberFormat="1" applyBorder="1" applyAlignment="1">
      <alignment horizontal="center" vertical="center" shrinkToFit="1"/>
    </xf>
    <xf numFmtId="180" fontId="0" fillId="0" borderId="2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 shrinkToFit="1"/>
    </xf>
    <xf numFmtId="180" fontId="0" fillId="0" borderId="2" xfId="0" applyNumberFormat="1" applyFill="1" applyBorder="1" applyAlignment="1">
      <alignment horizontal="center" vertical="center" shrinkToFit="1"/>
    </xf>
    <xf numFmtId="179" fontId="0" fillId="0" borderId="2" xfId="0" applyNumberFormat="1" applyBorder="1" applyAlignment="1">
      <alignment horizontal="center" vertical="center" shrinkToFit="1"/>
    </xf>
    <xf numFmtId="179" fontId="0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179" fontId="0" fillId="0" borderId="4" xfId="0" applyNumberFormat="1" applyFont="1" applyBorder="1" applyAlignment="1">
      <alignment horizontal="center" vertical="center" wrapText="1"/>
    </xf>
    <xf numFmtId="177" fontId="0" fillId="0" borderId="4" xfId="0" applyNumberFormat="1" applyFont="1" applyBorder="1" applyAlignment="1">
      <alignment horizontal="center" vertical="center" wrapText="1"/>
    </xf>
    <xf numFmtId="180" fontId="0" fillId="0" borderId="4" xfId="0" applyNumberFormat="1" applyFont="1" applyBorder="1" applyAlignment="1">
      <alignment horizontal="center" vertical="center" wrapText="1"/>
    </xf>
    <xf numFmtId="179" fontId="0" fillId="0" borderId="3" xfId="0" applyNumberFormat="1" applyFont="1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center" vertical="center" wrapText="1"/>
    </xf>
    <xf numFmtId="180" fontId="0" fillId="0" borderId="3" xfId="0" applyNumberFormat="1" applyFont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80" fontId="0" fillId="2" borderId="1" xfId="0" applyNumberForma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/>
    </xf>
    <xf numFmtId="179" fontId="0" fillId="0" borderId="1" xfId="0" applyNumberFormat="1" applyFont="1" applyBorder="1" applyAlignment="1">
      <alignment vertical="center"/>
    </xf>
    <xf numFmtId="177" fontId="0" fillId="0" borderId="1" xfId="0" applyNumberFormat="1" applyFont="1" applyBorder="1" applyAlignment="1">
      <alignment vertical="center"/>
    </xf>
    <xf numFmtId="180" fontId="0" fillId="0" borderId="1" xfId="0" applyNumberFormat="1" applyBorder="1" applyAlignment="1">
      <alignment vertical="center"/>
    </xf>
    <xf numFmtId="180" fontId="0" fillId="0" borderId="1" xfId="0" applyNumberFormat="1" applyFill="1" applyBorder="1" applyAlignment="1">
      <alignment vertical="center"/>
    </xf>
    <xf numFmtId="179" fontId="0" fillId="0" borderId="1" xfId="0" applyNumberFormat="1" applyBorder="1" applyAlignment="1">
      <alignment vertical="center"/>
    </xf>
    <xf numFmtId="179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>
      <alignment vertical="center"/>
    </xf>
    <xf numFmtId="18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horizontal="center" vertical="center"/>
    </xf>
    <xf numFmtId="184" fontId="1" fillId="0" borderId="1" xfId="55" applyNumberFormat="1" applyFont="1" applyFill="1" applyBorder="1" applyAlignment="1">
      <alignment horizontal="center" vertical="center"/>
    </xf>
    <xf numFmtId="185" fontId="7" fillId="0" borderId="1" xfId="0" applyNumberFormat="1" applyFont="1" applyFill="1" applyBorder="1" applyAlignment="1">
      <alignment vertical="center" shrinkToFit="1"/>
    </xf>
    <xf numFmtId="179" fontId="7" fillId="0" borderId="6" xfId="0" applyNumberFormat="1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180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center" vertical="center" wrapText="1"/>
    </xf>
    <xf numFmtId="179" fontId="0" fillId="2" borderId="1" xfId="0" applyNumberFormat="1" applyFill="1" applyBorder="1">
      <alignment vertical="center"/>
    </xf>
    <xf numFmtId="0" fontId="1" fillId="3" borderId="1" xfId="10" applyNumberFormat="1" applyFont="1" applyFill="1" applyBorder="1" applyAlignment="1" applyProtection="1">
      <alignment horizontal="center" vertical="center" wrapText="1"/>
      <protection locked="0"/>
    </xf>
    <xf numFmtId="180" fontId="1" fillId="3" borderId="1" xfId="55" applyNumberFormat="1" applyFont="1" applyFill="1" applyBorder="1" applyAlignment="1">
      <alignment horizontal="center" vertical="center"/>
    </xf>
    <xf numFmtId="180" fontId="1" fillId="3" borderId="1" xfId="0" applyNumberFormat="1" applyFont="1" applyFill="1" applyBorder="1" applyAlignment="1">
      <alignment horizontal="center" vertical="center" wrapText="1"/>
    </xf>
    <xf numFmtId="180" fontId="1" fillId="3" borderId="1" xfId="10" applyNumberFormat="1" applyFont="1" applyFill="1" applyBorder="1" applyAlignment="1" applyProtection="1">
      <alignment horizontal="center" vertical="center" wrapText="1"/>
      <protection locked="0"/>
    </xf>
    <xf numFmtId="179" fontId="1" fillId="3" borderId="1" xfId="10" applyNumberFormat="1" applyFont="1" applyFill="1" applyBorder="1" applyAlignment="1" applyProtection="1">
      <alignment horizontal="center" vertical="center" wrapText="1"/>
      <protection locked="0"/>
    </xf>
    <xf numFmtId="184" fontId="1" fillId="3" borderId="1" xfId="55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vertical="center" wrapText="1"/>
    </xf>
    <xf numFmtId="184" fontId="1" fillId="3" borderId="1" xfId="10" applyNumberFormat="1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79" fontId="1" fillId="2" borderId="1" xfId="10" applyNumberFormat="1" applyFont="1" applyFill="1" applyBorder="1" applyAlignment="1" applyProtection="1">
      <alignment horizontal="center" vertical="center" wrapText="1"/>
      <protection locked="0"/>
    </xf>
    <xf numFmtId="177" fontId="7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>
      <alignment vertical="center"/>
    </xf>
    <xf numFmtId="185" fontId="7" fillId="3" borderId="1" xfId="0" applyNumberFormat="1" applyFont="1" applyFill="1" applyBorder="1" applyAlignment="1">
      <alignment vertical="center" shrinkToFit="1"/>
    </xf>
    <xf numFmtId="177" fontId="6" fillId="0" borderId="1" xfId="0" applyNumberFormat="1" applyFont="1" applyFill="1" applyBorder="1" applyAlignment="1">
      <alignment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shrinkToFit="1"/>
    </xf>
    <xf numFmtId="177" fontId="0" fillId="0" borderId="4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vertical="center"/>
    </xf>
    <xf numFmtId="177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9" fontId="7" fillId="0" borderId="4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9" fontId="7" fillId="0" borderId="3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179" fontId="0" fillId="3" borderId="1" xfId="0" applyNumberFormat="1" applyFont="1" applyFill="1" applyBorder="1" applyAlignment="1">
      <alignment vertical="center"/>
    </xf>
    <xf numFmtId="9" fontId="2" fillId="3" borderId="2" xfId="0" applyNumberFormat="1" applyFont="1" applyFill="1" applyBorder="1" applyAlignment="1">
      <alignment horizontal="center" vertical="center"/>
    </xf>
    <xf numFmtId="180" fontId="2" fillId="3" borderId="2" xfId="0" applyNumberFormat="1" applyFont="1" applyFill="1" applyBorder="1" applyAlignment="1">
      <alignment horizontal="center" vertical="center"/>
    </xf>
    <xf numFmtId="181" fontId="2" fillId="3" borderId="2" xfId="0" applyNumberFormat="1" applyFont="1" applyFill="1" applyBorder="1" applyAlignment="1">
      <alignment horizontal="center" vertical="center"/>
    </xf>
    <xf numFmtId="9" fontId="2" fillId="3" borderId="4" xfId="0" applyNumberFormat="1" applyFont="1" applyFill="1" applyBorder="1" applyAlignment="1">
      <alignment horizontal="center" vertical="center"/>
    </xf>
    <xf numFmtId="180" fontId="2" fillId="3" borderId="4" xfId="0" applyNumberFormat="1" applyFont="1" applyFill="1" applyBorder="1" applyAlignment="1">
      <alignment horizontal="center" vertical="center"/>
    </xf>
    <xf numFmtId="181" fontId="2" fillId="3" borderId="4" xfId="0" applyNumberFormat="1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vertical="center"/>
    </xf>
    <xf numFmtId="181" fontId="1" fillId="3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vertical="center"/>
    </xf>
    <xf numFmtId="9" fontId="2" fillId="3" borderId="3" xfId="0" applyNumberFormat="1" applyFont="1" applyFill="1" applyBorder="1" applyAlignment="1">
      <alignment horizontal="center" vertical="center"/>
    </xf>
    <xf numFmtId="180" fontId="2" fillId="3" borderId="3" xfId="0" applyNumberFormat="1" applyFont="1" applyFill="1" applyBorder="1" applyAlignment="1">
      <alignment horizontal="center" vertical="center"/>
    </xf>
    <xf numFmtId="181" fontId="2" fillId="3" borderId="3" xfId="0" applyNumberFormat="1" applyFont="1" applyFill="1" applyBorder="1" applyAlignment="1">
      <alignment horizontal="center" vertical="center"/>
    </xf>
    <xf numFmtId="179" fontId="7" fillId="3" borderId="1" xfId="0" applyNumberFormat="1" applyFont="1" applyFill="1" applyBorder="1" applyAlignment="1">
      <alignment horizontal="center" vertical="center"/>
    </xf>
    <xf numFmtId="181" fontId="7" fillId="3" borderId="1" xfId="0" applyNumberFormat="1" applyFont="1" applyFill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3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/>
    </xf>
    <xf numFmtId="185" fontId="8" fillId="3" borderId="1" xfId="0" applyNumberFormat="1" applyFont="1" applyFill="1" applyBorder="1" applyAlignment="1">
      <alignment vertical="center" shrinkToFit="1"/>
    </xf>
    <xf numFmtId="183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185" fontId="0" fillId="0" borderId="1" xfId="0" applyNumberFormat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2" fillId="3" borderId="2" xfId="0" applyFont="1" applyFill="1" applyBorder="1" applyAlignment="1" quotePrefix="1">
      <alignment horizontal="center" vertical="center" wrapText="1"/>
    </xf>
    <xf numFmtId="0" fontId="7" fillId="6" borderId="2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正司机座椅 _21 2" xfId="9"/>
    <cellStyle name="BOM_Level_Below3" xfId="10"/>
    <cellStyle name="60% - 强调文字颜色 3" xfId="11" builtinId="40"/>
    <cellStyle name="超链接" xfId="12" builtinId="8"/>
    <cellStyle name="常规_正司机座椅 _41" xfId="13"/>
    <cellStyle name="百分比" xfId="14" builtinId="5"/>
    <cellStyle name="已访问的超链接" xfId="15" builtinId="9"/>
    <cellStyle name="百分比 2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样式 1 10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BOM_Level_Below3 2" xfId="56"/>
    <cellStyle name="常规_正司机座椅 _34 2" xfId="57"/>
    <cellStyle name="样式 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emf"/><Relationship Id="rId8" Type="http://schemas.openxmlformats.org/officeDocument/2006/relationships/image" Target="../media/image10.emf"/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0" Type="http://schemas.openxmlformats.org/officeDocument/2006/relationships/image" Target="../media/image1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194734</xdr:colOff>
      <xdr:row>8</xdr:row>
      <xdr:rowOff>16934</xdr:rowOff>
    </xdr:from>
    <xdr:to>
      <xdr:col>3</xdr:col>
      <xdr:colOff>695040</xdr:colOff>
      <xdr:row>11</xdr:row>
      <xdr:rowOff>18627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2735" y="1959610"/>
          <a:ext cx="196215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118533</xdr:colOff>
      <xdr:row>16</xdr:row>
      <xdr:rowOff>4657</xdr:rowOff>
    </xdr:from>
    <xdr:to>
      <xdr:col>3</xdr:col>
      <xdr:colOff>547038</xdr:colOff>
      <xdr:row>18</xdr:row>
      <xdr:rowOff>8467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6535" y="3871595"/>
          <a:ext cx="272415" cy="613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85725</xdr:colOff>
      <xdr:row>22</xdr:row>
      <xdr:rowOff>66675</xdr:rowOff>
    </xdr:from>
    <xdr:to>
      <xdr:col>3</xdr:col>
      <xdr:colOff>942340</xdr:colOff>
      <xdr:row>22</xdr:row>
      <xdr:rowOff>422910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81275" y="409575"/>
          <a:ext cx="85661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30</xdr:row>
      <xdr:rowOff>76200</xdr:rowOff>
    </xdr:from>
    <xdr:to>
      <xdr:col>3</xdr:col>
      <xdr:colOff>1043305</xdr:colOff>
      <xdr:row>36</xdr:row>
      <xdr:rowOff>75565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71750" y="2101850"/>
          <a:ext cx="967105" cy="1028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24</xdr:row>
      <xdr:rowOff>38100</xdr:rowOff>
    </xdr:from>
    <xdr:to>
      <xdr:col>3</xdr:col>
      <xdr:colOff>1120775</xdr:colOff>
      <xdr:row>28</xdr:row>
      <xdr:rowOff>99060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33650" y="1035050"/>
          <a:ext cx="108267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333375</xdr:colOff>
      <xdr:row>36</xdr:row>
      <xdr:rowOff>142875</xdr:rowOff>
    </xdr:from>
    <xdr:to>
      <xdr:col>3</xdr:col>
      <xdr:colOff>856615</xdr:colOff>
      <xdr:row>38</xdr:row>
      <xdr:rowOff>53975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8925" y="3197225"/>
          <a:ext cx="523240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257175</xdr:colOff>
      <xdr:row>38</xdr:row>
      <xdr:rowOff>142875</xdr:rowOff>
    </xdr:from>
    <xdr:to>
      <xdr:col>3</xdr:col>
      <xdr:colOff>660400</xdr:colOff>
      <xdr:row>40</xdr:row>
      <xdr:rowOff>115570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52725" y="3749675"/>
          <a:ext cx="40322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41</xdr:row>
      <xdr:rowOff>28575</xdr:rowOff>
    </xdr:from>
    <xdr:to>
      <xdr:col>3</xdr:col>
      <xdr:colOff>964565</xdr:colOff>
      <xdr:row>41</xdr:row>
      <xdr:rowOff>325755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3175" y="4149725"/>
          <a:ext cx="91694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66040</xdr:colOff>
      <xdr:row>43</xdr:row>
      <xdr:rowOff>9525</xdr:rowOff>
    </xdr:from>
    <xdr:to>
      <xdr:col>3</xdr:col>
      <xdr:colOff>1099185</xdr:colOff>
      <xdr:row>47</xdr:row>
      <xdr:rowOff>27940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61590" y="4683125"/>
          <a:ext cx="1033145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123825</xdr:colOff>
      <xdr:row>48</xdr:row>
      <xdr:rowOff>37465</xdr:rowOff>
    </xdr:from>
    <xdr:to>
      <xdr:col>3</xdr:col>
      <xdr:colOff>795020</xdr:colOff>
      <xdr:row>50</xdr:row>
      <xdr:rowOff>140970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19375" y="5568315"/>
          <a:ext cx="671195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51</xdr:row>
      <xdr:rowOff>38100</xdr:rowOff>
    </xdr:from>
    <xdr:to>
      <xdr:col>3</xdr:col>
      <xdr:colOff>894080</xdr:colOff>
      <xdr:row>52</xdr:row>
      <xdr:rowOff>123190</xdr:rowOff>
    </xdr:to>
    <xdr:pic>
      <xdr:nvPicPr>
        <xdr:cNvPr id="10" name="Picture 74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2552700" y="6083300"/>
          <a:ext cx="836930" cy="25654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142875</xdr:colOff>
      <xdr:row>53</xdr:row>
      <xdr:rowOff>47625</xdr:rowOff>
    </xdr:from>
    <xdr:to>
      <xdr:col>3</xdr:col>
      <xdr:colOff>626745</xdr:colOff>
      <xdr:row>53</xdr:row>
      <xdr:rowOff>330200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8425" y="6435725"/>
          <a:ext cx="48387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138"/>
  <sheetViews>
    <sheetView topLeftCell="A109" workbookViewId="0">
      <selection activeCell="N132" sqref="N132"/>
    </sheetView>
  </sheetViews>
  <sheetFormatPr defaultColWidth="9" defaultRowHeight="13.5"/>
  <cols>
    <col min="1" max="1" width="3.375" customWidth="1"/>
    <col min="2" max="2" width="13.75" customWidth="1"/>
    <col min="3" max="3" width="17.5" style="45" customWidth="1"/>
    <col min="4" max="4" width="5.125" customWidth="1"/>
    <col min="5" max="5" width="7.375" customWidth="1"/>
    <col min="6" max="6" width="11.625" customWidth="1"/>
    <col min="7" max="8" width="7.375" customWidth="1"/>
    <col min="9" max="10" width="6.375" customWidth="1"/>
    <col min="11" max="11" width="6.375" style="2" customWidth="1"/>
    <col min="12" max="12" width="6.375" style="1" customWidth="1"/>
    <col min="13" max="13" width="7.5" style="46" customWidth="1"/>
    <col min="14" max="15" width="7.375" style="46" customWidth="1"/>
    <col min="16" max="16" width="7.5" style="2" customWidth="1"/>
    <col min="18" max="18" width="7.375" customWidth="1"/>
    <col min="19" max="19" width="7" customWidth="1"/>
    <col min="20" max="20" width="6.375" customWidth="1"/>
    <col min="23" max="23" width="10" customWidth="1"/>
    <col min="24" max="26" width="12.625"/>
  </cols>
  <sheetData>
    <row r="2" spans="1:26">
      <c r="A2" s="47" t="s">
        <v>0</v>
      </c>
      <c r="B2" s="47" t="s">
        <v>1</v>
      </c>
      <c r="C2" s="48" t="s">
        <v>2</v>
      </c>
      <c r="D2" s="49" t="s">
        <v>3</v>
      </c>
      <c r="E2" s="49" t="s">
        <v>4</v>
      </c>
      <c r="F2" s="49" t="s">
        <v>5</v>
      </c>
      <c r="G2" s="49" t="s">
        <v>6</v>
      </c>
      <c r="H2" s="50" t="s">
        <v>7</v>
      </c>
      <c r="I2" s="50"/>
      <c r="J2" s="50"/>
      <c r="K2" s="85" t="s">
        <v>8</v>
      </c>
      <c r="L2" s="86"/>
      <c r="M2" s="87" t="s">
        <v>9</v>
      </c>
      <c r="N2" s="88"/>
      <c r="O2" s="89"/>
      <c r="P2" s="90" t="s">
        <v>10</v>
      </c>
      <c r="Q2" s="133" t="s">
        <v>11</v>
      </c>
      <c r="R2" s="134"/>
      <c r="S2" s="134"/>
      <c r="T2" s="134"/>
      <c r="U2" s="86"/>
      <c r="V2" s="90" t="s">
        <v>12</v>
      </c>
      <c r="W2" s="135" t="s">
        <v>13</v>
      </c>
      <c r="X2" s="48" t="s">
        <v>14</v>
      </c>
      <c r="Y2" s="65" t="s">
        <v>15</v>
      </c>
      <c r="Z2" s="48" t="s">
        <v>16</v>
      </c>
    </row>
    <row r="3" spans="1:26">
      <c r="A3" s="51"/>
      <c r="B3" s="51"/>
      <c r="C3" s="52"/>
      <c r="D3" s="53"/>
      <c r="E3" s="54"/>
      <c r="F3" s="54"/>
      <c r="G3" s="53"/>
      <c r="H3" s="50" t="s">
        <v>17</v>
      </c>
      <c r="I3" s="50" t="s">
        <v>18</v>
      </c>
      <c r="J3" s="50" t="s">
        <v>19</v>
      </c>
      <c r="K3" s="91" t="s">
        <v>20</v>
      </c>
      <c r="L3" s="90" t="s">
        <v>21</v>
      </c>
      <c r="M3" s="92" t="s">
        <v>22</v>
      </c>
      <c r="N3" s="92" t="s">
        <v>23</v>
      </c>
      <c r="O3" s="93" t="s">
        <v>21</v>
      </c>
      <c r="P3" s="94"/>
      <c r="Q3" s="90" t="s">
        <v>24</v>
      </c>
      <c r="R3" s="90" t="s">
        <v>25</v>
      </c>
      <c r="S3" s="90" t="s">
        <v>26</v>
      </c>
      <c r="T3" s="135" t="s">
        <v>27</v>
      </c>
      <c r="U3" s="136" t="s">
        <v>28</v>
      </c>
      <c r="V3" s="137"/>
      <c r="W3" s="138"/>
      <c r="X3" s="52"/>
      <c r="Y3" s="48"/>
      <c r="Z3" s="52"/>
    </row>
    <row r="4" ht="36" spans="1:26">
      <c r="A4" s="47" t="s">
        <v>29</v>
      </c>
      <c r="B4" s="55" t="s">
        <v>30</v>
      </c>
      <c r="C4" s="56" t="s">
        <v>31</v>
      </c>
      <c r="D4" s="56"/>
      <c r="E4" s="57" t="s">
        <v>32</v>
      </c>
      <c r="F4" s="57" t="s">
        <v>33</v>
      </c>
      <c r="G4" s="58">
        <v>1</v>
      </c>
      <c r="H4" s="59">
        <v>270</v>
      </c>
      <c r="I4" s="59">
        <v>190</v>
      </c>
      <c r="J4" s="59">
        <v>3.5</v>
      </c>
      <c r="K4" s="95">
        <v>5.59</v>
      </c>
      <c r="L4" s="96">
        <v>3.4</v>
      </c>
      <c r="M4" s="97">
        <f>H4*I4*J4*7.85/1000000</f>
        <v>1.4094675</v>
      </c>
      <c r="N4" s="98">
        <v>0.763</v>
      </c>
      <c r="O4" s="99">
        <f>M4-N4</f>
        <v>0.6464675</v>
      </c>
      <c r="P4" s="100">
        <f>G4*(M4*K4-L4*O4)</f>
        <v>5.680933825</v>
      </c>
      <c r="Q4" s="139" t="s">
        <v>34</v>
      </c>
      <c r="R4" s="140" t="s">
        <v>35</v>
      </c>
      <c r="S4" s="141">
        <v>0.15</v>
      </c>
      <c r="T4" s="142">
        <v>1</v>
      </c>
      <c r="U4" s="102">
        <f t="shared" ref="U4:U12" si="0">S4/T4</f>
        <v>0.15</v>
      </c>
      <c r="V4" s="143">
        <v>1.12</v>
      </c>
      <c r="W4" s="90">
        <f>(P14+U14)*V4</f>
        <v>8.14092014288</v>
      </c>
      <c r="X4" s="144">
        <v>41100</v>
      </c>
      <c r="Y4" s="144">
        <v>100000</v>
      </c>
      <c r="Z4" s="186">
        <f>W4+X4/Y4</f>
        <v>8.55192014288</v>
      </c>
    </row>
    <row r="5" spans="1:26">
      <c r="A5" s="60"/>
      <c r="B5" s="61"/>
      <c r="C5" s="62"/>
      <c r="D5" s="62"/>
      <c r="E5" s="63"/>
      <c r="F5" s="63"/>
      <c r="G5" s="63"/>
      <c r="H5" s="63"/>
      <c r="I5" s="63"/>
      <c r="J5" s="63"/>
      <c r="K5" s="101"/>
      <c r="L5" s="102"/>
      <c r="M5" s="103"/>
      <c r="N5" s="103"/>
      <c r="O5" s="101"/>
      <c r="P5" s="63"/>
      <c r="Q5" s="139" t="s">
        <v>36</v>
      </c>
      <c r="R5" s="140" t="s">
        <v>35</v>
      </c>
      <c r="S5" s="141">
        <v>0.15</v>
      </c>
      <c r="T5" s="142">
        <v>1</v>
      </c>
      <c r="U5" s="102">
        <f t="shared" si="0"/>
        <v>0.15</v>
      </c>
      <c r="V5" s="145"/>
      <c r="W5" s="94"/>
      <c r="X5" s="146"/>
      <c r="Y5" s="146"/>
      <c r="Z5" s="187"/>
    </row>
    <row r="6" spans="1:26">
      <c r="A6" s="60"/>
      <c r="B6" s="61"/>
      <c r="C6" s="62"/>
      <c r="D6" s="62"/>
      <c r="E6" s="57"/>
      <c r="F6" s="57"/>
      <c r="G6" s="58"/>
      <c r="H6" s="64"/>
      <c r="I6" s="64"/>
      <c r="J6" s="65"/>
      <c r="K6" s="95"/>
      <c r="L6" s="96"/>
      <c r="M6" s="104"/>
      <c r="N6" s="98"/>
      <c r="O6" s="99"/>
      <c r="P6" s="100"/>
      <c r="Q6" s="139" t="s">
        <v>37</v>
      </c>
      <c r="R6" s="140" t="s">
        <v>38</v>
      </c>
      <c r="S6" s="141">
        <v>0.1</v>
      </c>
      <c r="T6" s="142">
        <v>1</v>
      </c>
      <c r="U6" s="102">
        <f t="shared" si="0"/>
        <v>0.1</v>
      </c>
      <c r="V6" s="145"/>
      <c r="W6" s="94"/>
      <c r="X6" s="146"/>
      <c r="Y6" s="146"/>
      <c r="Z6" s="187"/>
    </row>
    <row r="7" spans="1:26">
      <c r="A7" s="60"/>
      <c r="B7" s="61"/>
      <c r="C7" s="62"/>
      <c r="D7" s="62"/>
      <c r="E7" s="57"/>
      <c r="F7" s="57"/>
      <c r="G7" s="58"/>
      <c r="H7" s="64"/>
      <c r="I7" s="64"/>
      <c r="J7" s="65"/>
      <c r="K7" s="95"/>
      <c r="L7" s="96"/>
      <c r="M7" s="104"/>
      <c r="N7" s="98"/>
      <c r="O7" s="99"/>
      <c r="P7" s="100"/>
      <c r="Q7" s="139" t="s">
        <v>37</v>
      </c>
      <c r="R7" s="140" t="s">
        <v>38</v>
      </c>
      <c r="S7" s="141">
        <v>0.1</v>
      </c>
      <c r="T7" s="142">
        <v>1</v>
      </c>
      <c r="U7" s="102">
        <f t="shared" si="0"/>
        <v>0.1</v>
      </c>
      <c r="V7" s="145"/>
      <c r="W7" s="94"/>
      <c r="X7" s="146"/>
      <c r="Y7" s="146"/>
      <c r="Z7" s="187"/>
    </row>
    <row r="8" ht="36" spans="1:26">
      <c r="A8" s="60"/>
      <c r="B8" s="61"/>
      <c r="C8" s="62"/>
      <c r="D8" s="62"/>
      <c r="E8" s="57" t="s">
        <v>39</v>
      </c>
      <c r="F8" s="57" t="s">
        <v>40</v>
      </c>
      <c r="G8" s="58">
        <v>1</v>
      </c>
      <c r="H8" s="65">
        <v>62</v>
      </c>
      <c r="I8" s="65">
        <v>28.5</v>
      </c>
      <c r="J8" s="65">
        <v>4</v>
      </c>
      <c r="K8" s="105">
        <v>5.18</v>
      </c>
      <c r="L8" s="96">
        <v>3.4</v>
      </c>
      <c r="M8" s="97">
        <f>H8*I8*J8*7.85/1000000</f>
        <v>0.0554838</v>
      </c>
      <c r="N8" s="98">
        <v>0.0359</v>
      </c>
      <c r="O8" s="99">
        <f>M8-N8</f>
        <v>0.0195838</v>
      </c>
      <c r="P8" s="100">
        <f>G8*(M8*K8-L8*O8)</f>
        <v>0.220821164</v>
      </c>
      <c r="Q8" s="139" t="s">
        <v>34</v>
      </c>
      <c r="R8" s="139" t="s">
        <v>41</v>
      </c>
      <c r="S8" s="141">
        <v>0.05</v>
      </c>
      <c r="T8" s="142">
        <v>1</v>
      </c>
      <c r="U8" s="102">
        <f t="shared" si="0"/>
        <v>0.05</v>
      </c>
      <c r="V8" s="145"/>
      <c r="W8" s="94"/>
      <c r="X8" s="146"/>
      <c r="Y8" s="146"/>
      <c r="Z8" s="187"/>
    </row>
    <row r="9" spans="1:26">
      <c r="A9" s="60"/>
      <c r="B9" s="61"/>
      <c r="C9" s="62"/>
      <c r="D9" s="62"/>
      <c r="E9" s="63"/>
      <c r="F9" s="63"/>
      <c r="G9" s="63"/>
      <c r="H9" s="63"/>
      <c r="I9" s="63"/>
      <c r="J9" s="63"/>
      <c r="K9" s="101"/>
      <c r="L9" s="102"/>
      <c r="M9" s="103"/>
      <c r="N9" s="103"/>
      <c r="O9" s="101"/>
      <c r="P9" s="63"/>
      <c r="Q9" s="139" t="s">
        <v>36</v>
      </c>
      <c r="R9" s="139" t="s">
        <v>41</v>
      </c>
      <c r="S9" s="141">
        <v>0.05</v>
      </c>
      <c r="T9" s="142">
        <v>1</v>
      </c>
      <c r="U9" s="102">
        <f t="shared" si="0"/>
        <v>0.05</v>
      </c>
      <c r="V9" s="145"/>
      <c r="W9" s="94"/>
      <c r="X9" s="146"/>
      <c r="Y9" s="146"/>
      <c r="Z9" s="187"/>
    </row>
    <row r="10" ht="36" spans="1:26">
      <c r="A10" s="60"/>
      <c r="B10" s="61"/>
      <c r="C10" s="62"/>
      <c r="D10" s="62"/>
      <c r="E10" s="57" t="s">
        <v>42</v>
      </c>
      <c r="F10" s="57" t="s">
        <v>33</v>
      </c>
      <c r="G10" s="58">
        <v>1</v>
      </c>
      <c r="H10" s="65">
        <v>86</v>
      </c>
      <c r="I10" s="65">
        <v>76</v>
      </c>
      <c r="J10" s="65">
        <v>2.5</v>
      </c>
      <c r="K10" s="95">
        <v>5.59</v>
      </c>
      <c r="L10" s="96">
        <v>3.4</v>
      </c>
      <c r="M10" s="97">
        <f>H10*I10*J10*7.85/1000000</f>
        <v>0.128269</v>
      </c>
      <c r="N10" s="98">
        <v>0.0765</v>
      </c>
      <c r="O10" s="99">
        <v>0.0765</v>
      </c>
      <c r="P10" s="100">
        <f>G10*(M10*K10-L10*O10)</f>
        <v>0.45692371</v>
      </c>
      <c r="Q10" s="139" t="s">
        <v>34</v>
      </c>
      <c r="R10" s="139" t="s">
        <v>43</v>
      </c>
      <c r="S10" s="141">
        <v>0.07</v>
      </c>
      <c r="T10" s="142">
        <v>1</v>
      </c>
      <c r="U10" s="102">
        <f t="shared" si="0"/>
        <v>0.07</v>
      </c>
      <c r="V10" s="145"/>
      <c r="W10" s="94"/>
      <c r="X10" s="146"/>
      <c r="Y10" s="146"/>
      <c r="Z10" s="187"/>
    </row>
    <row r="11" spans="1:26">
      <c r="A11" s="60"/>
      <c r="B11" s="61"/>
      <c r="C11" s="62"/>
      <c r="D11" s="62"/>
      <c r="E11" s="57"/>
      <c r="F11" s="57"/>
      <c r="G11" s="58"/>
      <c r="H11" s="64"/>
      <c r="I11" s="64"/>
      <c r="J11" s="65"/>
      <c r="K11" s="95"/>
      <c r="L11" s="96"/>
      <c r="M11" s="104"/>
      <c r="N11" s="98"/>
      <c r="O11" s="99"/>
      <c r="P11" s="100"/>
      <c r="Q11" s="139" t="s">
        <v>36</v>
      </c>
      <c r="R11" s="139" t="s">
        <v>43</v>
      </c>
      <c r="S11" s="141">
        <v>0.07</v>
      </c>
      <c r="T11" s="142">
        <v>1</v>
      </c>
      <c r="U11" s="102">
        <f t="shared" si="0"/>
        <v>0.07</v>
      </c>
      <c r="V11" s="145"/>
      <c r="W11" s="94"/>
      <c r="X11" s="146"/>
      <c r="Y11" s="146"/>
      <c r="Z11" s="187"/>
    </row>
    <row r="12" spans="1:26">
      <c r="A12" s="60"/>
      <c r="B12" s="61"/>
      <c r="C12" s="62"/>
      <c r="D12" s="62"/>
      <c r="E12" s="57"/>
      <c r="F12" s="57"/>
      <c r="G12" s="58"/>
      <c r="H12" s="64"/>
      <c r="I12" s="64"/>
      <c r="J12" s="65"/>
      <c r="K12" s="95"/>
      <c r="L12" s="96"/>
      <c r="M12" s="104"/>
      <c r="N12" s="98"/>
      <c r="O12" s="99"/>
      <c r="P12" s="100"/>
      <c r="Q12" s="147" t="s">
        <v>37</v>
      </c>
      <c r="R12" s="139" t="s">
        <v>43</v>
      </c>
      <c r="S12" s="141">
        <v>0.07</v>
      </c>
      <c r="T12" s="142">
        <v>1</v>
      </c>
      <c r="U12" s="102">
        <f t="shared" si="0"/>
        <v>0.07</v>
      </c>
      <c r="V12" s="145"/>
      <c r="W12" s="94"/>
      <c r="X12" s="146"/>
      <c r="Y12" s="146"/>
      <c r="Z12" s="187"/>
    </row>
    <row r="13" spans="1:26">
      <c r="A13" s="60"/>
      <c r="B13" s="61"/>
      <c r="C13" s="62"/>
      <c r="D13" s="62"/>
      <c r="E13" s="57"/>
      <c r="F13" s="57"/>
      <c r="G13" s="58"/>
      <c r="H13" s="64"/>
      <c r="I13" s="64"/>
      <c r="J13" s="65"/>
      <c r="K13" s="95"/>
      <c r="L13" s="96"/>
      <c r="M13" s="104"/>
      <c r="N13" s="98"/>
      <c r="O13" s="99"/>
      <c r="P13" s="100"/>
      <c r="Q13" s="147" t="s">
        <v>44</v>
      </c>
      <c r="R13" s="139">
        <v>2</v>
      </c>
      <c r="S13" s="141">
        <v>0.05</v>
      </c>
      <c r="T13" s="142">
        <v>1</v>
      </c>
      <c r="U13" s="102">
        <f>R13*S13/T13</f>
        <v>0.1</v>
      </c>
      <c r="V13" s="145"/>
      <c r="W13" s="94"/>
      <c r="X13" s="146"/>
      <c r="Y13" s="146"/>
      <c r="Z13" s="187"/>
    </row>
    <row r="14" spans="1:26">
      <c r="A14" s="51"/>
      <c r="B14" s="66"/>
      <c r="C14" s="67"/>
      <c r="D14" s="67"/>
      <c r="E14" s="68" t="s">
        <v>45</v>
      </c>
      <c r="F14" s="69"/>
      <c r="G14" s="69"/>
      <c r="H14" s="69"/>
      <c r="I14" s="69"/>
      <c r="J14" s="69"/>
      <c r="K14" s="106"/>
      <c r="L14" s="107"/>
      <c r="M14" s="69"/>
      <c r="N14" s="69"/>
      <c r="O14" s="108"/>
      <c r="P14" s="109">
        <f>SUM(P4:P13)</f>
        <v>6.358678699</v>
      </c>
      <c r="Q14" s="109" t="s">
        <v>46</v>
      </c>
      <c r="R14" s="109"/>
      <c r="S14" s="109"/>
      <c r="T14" s="109"/>
      <c r="U14" s="148">
        <f>SUM(U4:U13)</f>
        <v>0.91</v>
      </c>
      <c r="V14" s="145"/>
      <c r="W14" s="137"/>
      <c r="X14" s="146"/>
      <c r="Y14" s="188"/>
      <c r="Z14" s="189"/>
    </row>
    <row r="15" ht="24" spans="1:26">
      <c r="A15" s="47" t="s">
        <v>29</v>
      </c>
      <c r="B15" s="55" t="s">
        <v>47</v>
      </c>
      <c r="C15" s="56" t="s">
        <v>48</v>
      </c>
      <c r="D15" s="56"/>
      <c r="E15" s="57" t="s">
        <v>49</v>
      </c>
      <c r="F15" s="57" t="s">
        <v>33</v>
      </c>
      <c r="G15" s="58">
        <v>1</v>
      </c>
      <c r="H15" s="65">
        <v>267</v>
      </c>
      <c r="I15" s="65">
        <v>148</v>
      </c>
      <c r="J15" s="65">
        <v>2.5</v>
      </c>
      <c r="K15" s="95">
        <v>5.59</v>
      </c>
      <c r="L15" s="96">
        <v>3.4</v>
      </c>
      <c r="M15" s="97">
        <f>H15*I15*J15*7.85/1000000</f>
        <v>0.7755015</v>
      </c>
      <c r="N15" s="98">
        <v>0.487</v>
      </c>
      <c r="O15" s="99">
        <f>M15-N15</f>
        <v>0.2885015</v>
      </c>
      <c r="P15" s="100">
        <f>G15*(M15*K15-L15*O15)</f>
        <v>3.354148285</v>
      </c>
      <c r="Q15" s="139" t="s">
        <v>34</v>
      </c>
      <c r="R15" s="140" t="s">
        <v>35</v>
      </c>
      <c r="S15" s="141">
        <v>0.15</v>
      </c>
      <c r="T15" s="142">
        <v>1</v>
      </c>
      <c r="U15" s="102">
        <f t="shared" ref="U15:U21" si="1">S15/T15</f>
        <v>0.15</v>
      </c>
      <c r="V15" s="143">
        <v>1.12</v>
      </c>
      <c r="W15" s="90">
        <f>(P23+U23)*V15</f>
        <v>5.66104253937699</v>
      </c>
      <c r="X15" s="149">
        <v>36300</v>
      </c>
      <c r="Y15" s="144">
        <v>100000</v>
      </c>
      <c r="Z15" s="186">
        <f>W15+X15/Y15</f>
        <v>6.02404253937699</v>
      </c>
    </row>
    <row r="16" ht="24" spans="1:26">
      <c r="A16" s="60"/>
      <c r="B16" s="61"/>
      <c r="C16" s="62"/>
      <c r="D16" s="62"/>
      <c r="E16" s="57" t="s">
        <v>50</v>
      </c>
      <c r="F16" s="57"/>
      <c r="G16" s="58">
        <v>1</v>
      </c>
      <c r="H16" s="64"/>
      <c r="I16" s="64"/>
      <c r="J16" s="65"/>
      <c r="K16" s="100">
        <f>0.32/1.13</f>
        <v>0.283185840707965</v>
      </c>
      <c r="L16" s="96"/>
      <c r="M16" s="104"/>
      <c r="N16" s="98"/>
      <c r="O16" s="99"/>
      <c r="P16" s="100">
        <f t="shared" ref="P16:P18" si="2">G16*K16</f>
        <v>0.283185840707965</v>
      </c>
      <c r="Q16" s="139" t="s">
        <v>51</v>
      </c>
      <c r="R16" s="140" t="s">
        <v>35</v>
      </c>
      <c r="S16" s="141">
        <v>0.15</v>
      </c>
      <c r="T16" s="142">
        <v>1</v>
      </c>
      <c r="U16" s="102">
        <f t="shared" si="1"/>
        <v>0.15</v>
      </c>
      <c r="V16" s="145"/>
      <c r="W16" s="94"/>
      <c r="X16" s="149"/>
      <c r="Y16" s="146"/>
      <c r="Z16" s="187"/>
    </row>
    <row r="17" ht="24" spans="1:26">
      <c r="A17" s="60"/>
      <c r="B17" s="61"/>
      <c r="C17" s="62"/>
      <c r="D17" s="62"/>
      <c r="E17" s="57" t="s">
        <v>52</v>
      </c>
      <c r="F17" s="57"/>
      <c r="G17" s="58">
        <v>1</v>
      </c>
      <c r="H17" s="64"/>
      <c r="I17" s="64"/>
      <c r="J17" s="65"/>
      <c r="K17" s="100">
        <f>0.45</f>
        <v>0.45</v>
      </c>
      <c r="L17" s="96"/>
      <c r="M17" s="104"/>
      <c r="N17" s="98"/>
      <c r="O17" s="99"/>
      <c r="P17" s="100">
        <f t="shared" si="2"/>
        <v>0.45</v>
      </c>
      <c r="Q17" s="139" t="s">
        <v>36</v>
      </c>
      <c r="R17" s="140" t="s">
        <v>35</v>
      </c>
      <c r="S17" s="141">
        <v>0.15</v>
      </c>
      <c r="T17" s="142">
        <v>1</v>
      </c>
      <c r="U17" s="102">
        <f t="shared" si="1"/>
        <v>0.15</v>
      </c>
      <c r="V17" s="145"/>
      <c r="W17" s="94"/>
      <c r="X17" s="149"/>
      <c r="Y17" s="146"/>
      <c r="Z17" s="187"/>
    </row>
    <row r="18" ht="24" spans="1:26">
      <c r="A18" s="60"/>
      <c r="B18" s="61"/>
      <c r="C18" s="62"/>
      <c r="D18" s="62"/>
      <c r="E18" s="70" t="s">
        <v>53</v>
      </c>
      <c r="F18" s="70"/>
      <c r="G18" s="47">
        <v>1</v>
      </c>
      <c r="H18" s="71"/>
      <c r="I18" s="71"/>
      <c r="J18" s="48"/>
      <c r="K18" s="110">
        <f>0.042/1.13</f>
        <v>0.0371681415929204</v>
      </c>
      <c r="L18" s="111"/>
      <c r="M18" s="112"/>
      <c r="N18" s="113"/>
      <c r="O18" s="114"/>
      <c r="P18" s="115">
        <f t="shared" si="2"/>
        <v>0.0371681415929204</v>
      </c>
      <c r="Q18" s="139" t="s">
        <v>37</v>
      </c>
      <c r="R18" s="140" t="s">
        <v>38</v>
      </c>
      <c r="S18" s="141">
        <v>0.1</v>
      </c>
      <c r="T18" s="142">
        <v>1</v>
      </c>
      <c r="U18" s="102">
        <f t="shared" si="1"/>
        <v>0.1</v>
      </c>
      <c r="V18" s="145"/>
      <c r="W18" s="94"/>
      <c r="X18" s="149"/>
      <c r="Y18" s="146"/>
      <c r="Z18" s="187"/>
    </row>
    <row r="19" spans="1:26">
      <c r="A19" s="60"/>
      <c r="B19" s="61"/>
      <c r="C19" s="62"/>
      <c r="D19" s="62"/>
      <c r="E19" s="63"/>
      <c r="F19" s="63"/>
      <c r="G19" s="63"/>
      <c r="H19" s="63"/>
      <c r="I19" s="63"/>
      <c r="J19" s="63"/>
      <c r="K19" s="101"/>
      <c r="L19" s="102"/>
      <c r="M19" s="103"/>
      <c r="N19" s="103"/>
      <c r="O19" s="101"/>
      <c r="P19" s="63"/>
      <c r="Q19" s="139" t="s">
        <v>37</v>
      </c>
      <c r="R19" s="140" t="s">
        <v>38</v>
      </c>
      <c r="S19" s="141">
        <v>0.1</v>
      </c>
      <c r="T19" s="142">
        <v>1</v>
      </c>
      <c r="U19" s="102">
        <f t="shared" si="1"/>
        <v>0.1</v>
      </c>
      <c r="V19" s="145"/>
      <c r="W19" s="94"/>
      <c r="X19" s="149"/>
      <c r="Y19" s="146"/>
      <c r="Z19" s="187"/>
    </row>
    <row r="20" spans="1:26">
      <c r="A20" s="60"/>
      <c r="B20" s="61"/>
      <c r="C20" s="62"/>
      <c r="D20" s="62"/>
      <c r="E20" s="57"/>
      <c r="F20" s="57"/>
      <c r="G20" s="58"/>
      <c r="H20" s="64"/>
      <c r="I20" s="64"/>
      <c r="J20" s="65"/>
      <c r="K20" s="95"/>
      <c r="L20" s="96"/>
      <c r="M20" s="104"/>
      <c r="N20" s="98"/>
      <c r="O20" s="99"/>
      <c r="P20" s="100"/>
      <c r="Q20" s="139" t="s">
        <v>54</v>
      </c>
      <c r="R20" s="140" t="s">
        <v>55</v>
      </c>
      <c r="S20" s="141">
        <v>0.04</v>
      </c>
      <c r="T20" s="142">
        <v>1</v>
      </c>
      <c r="U20" s="102">
        <f t="shared" si="1"/>
        <v>0.04</v>
      </c>
      <c r="V20" s="145"/>
      <c r="W20" s="94"/>
      <c r="X20" s="149"/>
      <c r="Y20" s="146"/>
      <c r="Z20" s="187"/>
    </row>
    <row r="21" spans="1:26">
      <c r="A21" s="60"/>
      <c r="B21" s="61"/>
      <c r="C21" s="62"/>
      <c r="D21" s="62"/>
      <c r="E21" s="57"/>
      <c r="F21" s="57"/>
      <c r="G21" s="58"/>
      <c r="H21" s="64"/>
      <c r="I21" s="64"/>
      <c r="J21" s="65"/>
      <c r="K21" s="95"/>
      <c r="L21" s="96"/>
      <c r="M21" s="104"/>
      <c r="N21" s="98"/>
      <c r="O21" s="99"/>
      <c r="P21" s="100"/>
      <c r="Q21" s="139" t="s">
        <v>54</v>
      </c>
      <c r="R21" s="140" t="s">
        <v>55</v>
      </c>
      <c r="S21" s="141">
        <v>0.04</v>
      </c>
      <c r="T21" s="142">
        <v>1</v>
      </c>
      <c r="U21" s="102">
        <f t="shared" si="1"/>
        <v>0.04</v>
      </c>
      <c r="V21" s="145"/>
      <c r="W21" s="94"/>
      <c r="X21" s="149"/>
      <c r="Y21" s="146"/>
      <c r="Z21" s="187"/>
    </row>
    <row r="22" spans="1:26">
      <c r="A22" s="60"/>
      <c r="B22" s="61"/>
      <c r="C22" s="62"/>
      <c r="D22" s="62"/>
      <c r="E22" s="57"/>
      <c r="F22" s="57"/>
      <c r="G22" s="58"/>
      <c r="H22" s="64"/>
      <c r="I22" s="64"/>
      <c r="J22" s="65"/>
      <c r="K22" s="95"/>
      <c r="L22" s="96"/>
      <c r="M22" s="104"/>
      <c r="N22" s="98"/>
      <c r="O22" s="99"/>
      <c r="P22" s="100"/>
      <c r="Q22" s="150" t="s">
        <v>44</v>
      </c>
      <c r="R22" s="151">
        <v>4</v>
      </c>
      <c r="S22" s="152">
        <v>0.05</v>
      </c>
      <c r="T22" s="142">
        <v>1</v>
      </c>
      <c r="U22" s="102">
        <f>R22*S22/T22</f>
        <v>0.2</v>
      </c>
      <c r="V22" s="145"/>
      <c r="W22" s="94"/>
      <c r="X22" s="149"/>
      <c r="Y22" s="146"/>
      <c r="Z22" s="187"/>
    </row>
    <row r="23" spans="1:26">
      <c r="A23" s="51"/>
      <c r="B23" s="66"/>
      <c r="C23" s="67"/>
      <c r="D23" s="67"/>
      <c r="E23" s="68" t="s">
        <v>45</v>
      </c>
      <c r="F23" s="69"/>
      <c r="G23" s="69"/>
      <c r="H23" s="69"/>
      <c r="I23" s="69"/>
      <c r="J23" s="69"/>
      <c r="K23" s="106"/>
      <c r="L23" s="107"/>
      <c r="M23" s="69"/>
      <c r="N23" s="69"/>
      <c r="O23" s="108"/>
      <c r="P23" s="109">
        <f>SUM(P15:P22)</f>
        <v>4.12450226730088</v>
      </c>
      <c r="Q23" s="109" t="s">
        <v>46</v>
      </c>
      <c r="R23" s="109"/>
      <c r="S23" s="109"/>
      <c r="T23" s="109"/>
      <c r="U23" s="148">
        <f>SUM(U15:U22)</f>
        <v>0.93</v>
      </c>
      <c r="V23" s="145"/>
      <c r="W23" s="137"/>
      <c r="X23" s="149"/>
      <c r="Y23" s="188"/>
      <c r="Z23" s="189"/>
    </row>
    <row r="25" spans="1:26">
      <c r="A25" s="21"/>
      <c r="B25" s="21" t="s">
        <v>56</v>
      </c>
      <c r="C25" s="21" t="s">
        <v>57</v>
      </c>
      <c r="D25" s="21"/>
      <c r="E25" s="4" t="s">
        <v>57</v>
      </c>
      <c r="F25" s="4" t="s">
        <v>58</v>
      </c>
      <c r="G25" s="3">
        <v>1</v>
      </c>
      <c r="H25" s="72">
        <v>147</v>
      </c>
      <c r="I25" s="3">
        <v>30</v>
      </c>
      <c r="J25" s="3">
        <v>4</v>
      </c>
      <c r="K25" s="32">
        <v>5.18</v>
      </c>
      <c r="L25" s="7">
        <v>3.4</v>
      </c>
      <c r="M25" s="116">
        <f>H25*I25*J25*7.85/1000000</f>
        <v>0.138474</v>
      </c>
      <c r="N25" s="116">
        <v>0.041</v>
      </c>
      <c r="O25" s="32">
        <f>M25-N25</f>
        <v>0.097474</v>
      </c>
      <c r="P25" s="32">
        <f>(K25*M25-L25*O25)*G25</f>
        <v>0.38588372</v>
      </c>
      <c r="Q25" s="153" t="s">
        <v>59</v>
      </c>
      <c r="R25" s="3" t="s">
        <v>60</v>
      </c>
      <c r="S25" s="154">
        <v>0.08</v>
      </c>
      <c r="T25" s="3">
        <v>1</v>
      </c>
      <c r="U25" s="154">
        <f t="shared" ref="U25:U28" si="3">S25/T25</f>
        <v>0.08</v>
      </c>
      <c r="V25" s="155">
        <v>1.12</v>
      </c>
      <c r="W25" s="156">
        <f>(P29+U29)*V25</f>
        <v>0.7569897664</v>
      </c>
      <c r="X25" s="157">
        <v>29000</v>
      </c>
      <c r="Y25" s="157">
        <v>100000</v>
      </c>
      <c r="Z25" s="190">
        <f>W25+X25/Y25</f>
        <v>1.0469897664</v>
      </c>
    </row>
    <row r="26" spans="1:26">
      <c r="A26" s="21"/>
      <c r="B26" s="21"/>
      <c r="C26" s="21"/>
      <c r="D26" s="21"/>
      <c r="E26" s="4"/>
      <c r="F26" s="4"/>
      <c r="G26" s="3"/>
      <c r="H26" s="72"/>
      <c r="I26" s="3"/>
      <c r="J26" s="3"/>
      <c r="K26" s="32"/>
      <c r="L26" s="7"/>
      <c r="M26" s="116"/>
      <c r="N26" s="116"/>
      <c r="O26" s="32"/>
      <c r="P26" s="32"/>
      <c r="Q26" s="153" t="s">
        <v>61</v>
      </c>
      <c r="R26" s="9" t="s">
        <v>60</v>
      </c>
      <c r="S26" s="154">
        <v>0.08</v>
      </c>
      <c r="T26" s="3">
        <v>1</v>
      </c>
      <c r="U26" s="154">
        <f t="shared" si="3"/>
        <v>0.08</v>
      </c>
      <c r="V26" s="155"/>
      <c r="W26" s="156"/>
      <c r="X26" s="157"/>
      <c r="Y26" s="157"/>
      <c r="Z26" s="190"/>
    </row>
    <row r="27" spans="1:26">
      <c r="A27" s="21"/>
      <c r="B27" s="21"/>
      <c r="C27" s="21"/>
      <c r="D27" s="21"/>
      <c r="E27" s="4"/>
      <c r="F27" s="4"/>
      <c r="G27" s="3"/>
      <c r="H27" s="72"/>
      <c r="I27" s="3"/>
      <c r="J27" s="3"/>
      <c r="K27" s="32"/>
      <c r="L27" s="7"/>
      <c r="M27" s="116"/>
      <c r="N27" s="116"/>
      <c r="O27" s="32"/>
      <c r="P27" s="32"/>
      <c r="Q27" s="158" t="s">
        <v>62</v>
      </c>
      <c r="R27" s="3" t="s">
        <v>60</v>
      </c>
      <c r="S27" s="159">
        <v>0.08</v>
      </c>
      <c r="T27" s="3">
        <v>1</v>
      </c>
      <c r="U27" s="154">
        <f t="shared" si="3"/>
        <v>0.08</v>
      </c>
      <c r="V27" s="155"/>
      <c r="W27" s="156"/>
      <c r="X27" s="157"/>
      <c r="Y27" s="157"/>
      <c r="Z27" s="190"/>
    </row>
    <row r="28" spans="1:26">
      <c r="A28" s="21"/>
      <c r="B28" s="21"/>
      <c r="C28" s="21"/>
      <c r="D28" s="21"/>
      <c r="E28" s="4"/>
      <c r="F28" s="4"/>
      <c r="G28" s="3"/>
      <c r="H28" s="72"/>
      <c r="I28" s="3"/>
      <c r="J28" s="3"/>
      <c r="K28" s="32"/>
      <c r="L28" s="7"/>
      <c r="M28" s="116"/>
      <c r="N28" s="116"/>
      <c r="O28" s="32"/>
      <c r="P28" s="32"/>
      <c r="Q28" s="158" t="s">
        <v>63</v>
      </c>
      <c r="R28" s="6"/>
      <c r="S28" s="159">
        <v>0.05</v>
      </c>
      <c r="T28" s="3">
        <v>1</v>
      </c>
      <c r="U28" s="154">
        <f t="shared" si="3"/>
        <v>0.05</v>
      </c>
      <c r="V28" s="155"/>
      <c r="W28" s="156"/>
      <c r="X28" s="157"/>
      <c r="Y28" s="157"/>
      <c r="Z28" s="190"/>
    </row>
    <row r="29" spans="1:26">
      <c r="A29" s="21"/>
      <c r="B29" s="21"/>
      <c r="C29" s="21"/>
      <c r="D29" s="21"/>
      <c r="E29" s="68" t="s">
        <v>45</v>
      </c>
      <c r="F29" s="69"/>
      <c r="G29" s="69"/>
      <c r="H29" s="69"/>
      <c r="I29" s="69"/>
      <c r="J29" s="69"/>
      <c r="K29" s="106"/>
      <c r="L29" s="107"/>
      <c r="M29" s="69"/>
      <c r="N29" s="69"/>
      <c r="O29" s="108"/>
      <c r="P29" s="117">
        <f>SUM(P25:P28)</f>
        <v>0.38588372</v>
      </c>
      <c r="Q29" s="117" t="s">
        <v>46</v>
      </c>
      <c r="R29" s="117"/>
      <c r="S29" s="117"/>
      <c r="T29" s="117"/>
      <c r="U29" s="160">
        <f>SUM(U25:U28)</f>
        <v>0.29</v>
      </c>
      <c r="V29" s="161"/>
      <c r="W29" s="162"/>
      <c r="X29" s="163"/>
      <c r="Y29" s="163"/>
      <c r="Z29" s="191"/>
    </row>
    <row r="30" spans="2:26">
      <c r="B30" s="73" t="s">
        <v>64</v>
      </c>
      <c r="C30" s="74" t="s">
        <v>65</v>
      </c>
      <c r="D30" s="74" t="s">
        <v>66</v>
      </c>
      <c r="E30" s="75" t="s">
        <v>67</v>
      </c>
      <c r="F30" s="75" t="s">
        <v>58</v>
      </c>
      <c r="G30" s="3">
        <v>1</v>
      </c>
      <c r="H30" s="4">
        <v>530</v>
      </c>
      <c r="I30" s="4">
        <v>112.5</v>
      </c>
      <c r="J30" s="4">
        <v>2</v>
      </c>
      <c r="K30" s="118">
        <v>5.18</v>
      </c>
      <c r="L30" s="119">
        <v>3.4</v>
      </c>
      <c r="M30" s="120">
        <f>H30*I30*J30*7.85/1000000</f>
        <v>0.9361125</v>
      </c>
      <c r="N30" s="121">
        <f>0.532</f>
        <v>0.532</v>
      </c>
      <c r="O30" s="100">
        <f>M30-N30</f>
        <v>0.4041125</v>
      </c>
      <c r="P30" s="100">
        <f>(K30*M30-L30*O30)*G30</f>
        <v>3.47508025</v>
      </c>
      <c r="Q30" s="164" t="s">
        <v>68</v>
      </c>
      <c r="R30" s="165" t="s">
        <v>69</v>
      </c>
      <c r="S30" s="154">
        <v>0.35</v>
      </c>
      <c r="T30" s="3">
        <v>2</v>
      </c>
      <c r="U30" s="154">
        <f t="shared" ref="U30:U35" si="4">S30/T30</f>
        <v>0.175</v>
      </c>
      <c r="V30" s="155">
        <v>1.12</v>
      </c>
      <c r="W30" s="10">
        <f>(P37+U37)*V30</f>
        <v>8.22088988</v>
      </c>
      <c r="X30" s="166">
        <v>20000</v>
      </c>
      <c r="Y30" s="166">
        <v>100000</v>
      </c>
      <c r="Z30" s="192">
        <f>W30+X30/Y30/2</f>
        <v>8.32088988</v>
      </c>
    </row>
    <row r="31" spans="2:26">
      <c r="B31" s="73"/>
      <c r="C31" s="74"/>
      <c r="D31" s="74"/>
      <c r="E31" s="75"/>
      <c r="F31" s="75"/>
      <c r="G31" s="3"/>
      <c r="H31" s="4"/>
      <c r="I31" s="4"/>
      <c r="J31" s="4"/>
      <c r="K31" s="118"/>
      <c r="L31" s="119"/>
      <c r="M31" s="120"/>
      <c r="N31" s="121"/>
      <c r="O31" s="100"/>
      <c r="P31" s="100"/>
      <c r="Q31" s="164" t="s">
        <v>36</v>
      </c>
      <c r="R31" s="165" t="s">
        <v>70</v>
      </c>
      <c r="S31" s="154">
        <v>0.4</v>
      </c>
      <c r="T31" s="3">
        <v>2</v>
      </c>
      <c r="U31" s="154">
        <f t="shared" si="4"/>
        <v>0.2</v>
      </c>
      <c r="V31" s="167"/>
      <c r="W31" s="13"/>
      <c r="X31" s="168"/>
      <c r="Y31" s="168"/>
      <c r="Z31" s="193"/>
    </row>
    <row r="32" ht="36" spans="2:26">
      <c r="B32" s="73"/>
      <c r="C32" s="74"/>
      <c r="D32" s="74"/>
      <c r="E32" s="75"/>
      <c r="F32" s="75"/>
      <c r="G32" s="3"/>
      <c r="H32" s="4"/>
      <c r="I32" s="4"/>
      <c r="J32" s="4"/>
      <c r="K32" s="118"/>
      <c r="L32" s="119"/>
      <c r="M32" s="120"/>
      <c r="N32" s="121"/>
      <c r="O32" s="100"/>
      <c r="P32" s="100"/>
      <c r="Q32" s="164" t="s">
        <v>71</v>
      </c>
      <c r="R32" s="165" t="s">
        <v>35</v>
      </c>
      <c r="S32" s="169">
        <v>0.15</v>
      </c>
      <c r="T32" s="3">
        <v>2</v>
      </c>
      <c r="U32" s="154">
        <f>S32/T32+0.02</f>
        <v>0.095</v>
      </c>
      <c r="V32" s="167"/>
      <c r="W32" s="13"/>
      <c r="X32" s="168"/>
      <c r="Y32" s="168"/>
      <c r="Z32" s="193"/>
    </row>
    <row r="33" ht="36" spans="2:26">
      <c r="B33" s="73"/>
      <c r="C33" s="74"/>
      <c r="D33" s="74"/>
      <c r="E33" s="75"/>
      <c r="F33" s="75"/>
      <c r="G33" s="3"/>
      <c r="H33" s="4"/>
      <c r="I33" s="4"/>
      <c r="J33" s="4"/>
      <c r="K33" s="118"/>
      <c r="L33" s="119"/>
      <c r="M33" s="120"/>
      <c r="N33" s="121"/>
      <c r="O33" s="100"/>
      <c r="P33" s="100"/>
      <c r="Q33" s="164" t="s">
        <v>72</v>
      </c>
      <c r="R33" s="165" t="s">
        <v>35</v>
      </c>
      <c r="S33" s="169">
        <v>0.15</v>
      </c>
      <c r="T33" s="3">
        <v>2</v>
      </c>
      <c r="U33" s="154">
        <f>S33/T33+0.02</f>
        <v>0.095</v>
      </c>
      <c r="V33" s="167"/>
      <c r="W33" s="13"/>
      <c r="X33" s="168"/>
      <c r="Y33" s="168"/>
      <c r="Z33" s="193"/>
    </row>
    <row r="34" spans="2:26">
      <c r="B34" s="73"/>
      <c r="C34" s="74"/>
      <c r="D34" s="74"/>
      <c r="E34" s="75"/>
      <c r="F34" s="75"/>
      <c r="G34" s="3"/>
      <c r="H34" s="4"/>
      <c r="I34" s="4"/>
      <c r="J34" s="4"/>
      <c r="K34" s="118"/>
      <c r="L34" s="119"/>
      <c r="M34" s="120"/>
      <c r="N34" s="121"/>
      <c r="O34" s="100"/>
      <c r="P34" s="100"/>
      <c r="Q34" s="164" t="s">
        <v>73</v>
      </c>
      <c r="R34" s="170" t="s">
        <v>38</v>
      </c>
      <c r="S34" s="171">
        <v>0.1</v>
      </c>
      <c r="T34" s="3">
        <v>1</v>
      </c>
      <c r="U34" s="154">
        <f t="shared" si="4"/>
        <v>0.1</v>
      </c>
      <c r="V34" s="167"/>
      <c r="W34" s="13"/>
      <c r="X34" s="168"/>
      <c r="Y34" s="168"/>
      <c r="Z34" s="193"/>
    </row>
    <row r="35" spans="2:26">
      <c r="B35" s="73"/>
      <c r="C35" s="74"/>
      <c r="D35" s="74"/>
      <c r="E35" s="75"/>
      <c r="F35" s="75"/>
      <c r="G35" s="3"/>
      <c r="H35" s="4"/>
      <c r="I35" s="4"/>
      <c r="J35" s="4"/>
      <c r="K35" s="118"/>
      <c r="L35" s="119"/>
      <c r="M35" s="120"/>
      <c r="N35" s="121"/>
      <c r="O35" s="100"/>
      <c r="P35" s="100"/>
      <c r="Q35" s="164" t="s">
        <v>74</v>
      </c>
      <c r="R35" s="170" t="s">
        <v>38</v>
      </c>
      <c r="S35" s="171">
        <v>0.1</v>
      </c>
      <c r="T35" s="3">
        <v>1</v>
      </c>
      <c r="U35" s="154">
        <f t="shared" si="4"/>
        <v>0.1</v>
      </c>
      <c r="V35" s="167"/>
      <c r="W35" s="13"/>
      <c r="X35" s="168"/>
      <c r="Y35" s="168"/>
      <c r="Z35" s="193"/>
    </row>
    <row r="36" ht="48" spans="2:26">
      <c r="B36" s="73"/>
      <c r="C36" s="74"/>
      <c r="D36" s="74"/>
      <c r="E36" s="75" t="s">
        <v>75</v>
      </c>
      <c r="F36" s="76"/>
      <c r="G36" s="3">
        <v>1</v>
      </c>
      <c r="H36" s="4"/>
      <c r="I36" s="4"/>
      <c r="J36" s="4"/>
      <c r="K36" s="122"/>
      <c r="L36" s="123"/>
      <c r="M36" s="124"/>
      <c r="N36" s="125"/>
      <c r="O36" s="99"/>
      <c r="P36" s="100">
        <f>2.938/1.13</f>
        <v>2.6</v>
      </c>
      <c r="Q36" s="164" t="s">
        <v>76</v>
      </c>
      <c r="R36" s="172">
        <v>10</v>
      </c>
      <c r="S36" s="169">
        <v>0.05</v>
      </c>
      <c r="T36" s="3">
        <v>1</v>
      </c>
      <c r="U36" s="154">
        <f>S36*R36*T36</f>
        <v>0.5</v>
      </c>
      <c r="V36" s="167"/>
      <c r="W36" s="13"/>
      <c r="X36" s="168"/>
      <c r="Y36" s="168"/>
      <c r="Z36" s="193"/>
    </row>
    <row r="37" spans="2:26">
      <c r="B37" s="77"/>
      <c r="C37" s="78"/>
      <c r="D37" s="78"/>
      <c r="E37" s="68" t="s">
        <v>45</v>
      </c>
      <c r="F37" s="69"/>
      <c r="G37" s="69"/>
      <c r="H37" s="69"/>
      <c r="I37" s="69"/>
      <c r="J37" s="69"/>
      <c r="K37" s="106"/>
      <c r="L37" s="107"/>
      <c r="M37" s="69"/>
      <c r="N37" s="69"/>
      <c r="O37" s="108"/>
      <c r="P37" s="126">
        <f>SUM(P30:P36)</f>
        <v>6.07508025</v>
      </c>
      <c r="Q37" s="126" t="s">
        <v>46</v>
      </c>
      <c r="R37" s="126"/>
      <c r="S37" s="126"/>
      <c r="T37" s="126"/>
      <c r="U37" s="173">
        <f>SUM(U30:U36)</f>
        <v>1.265</v>
      </c>
      <c r="V37" s="167"/>
      <c r="W37" s="14"/>
      <c r="X37" s="168"/>
      <c r="Y37" s="175"/>
      <c r="Z37" s="194"/>
    </row>
    <row r="38" spans="2:26">
      <c r="B38" s="79" t="s">
        <v>77</v>
      </c>
      <c r="C38" s="79" t="s">
        <v>78</v>
      </c>
      <c r="D38" s="80" t="s">
        <v>79</v>
      </c>
      <c r="E38" s="75" t="s">
        <v>80</v>
      </c>
      <c r="F38" s="75" t="s">
        <v>58</v>
      </c>
      <c r="G38" s="3">
        <v>1</v>
      </c>
      <c r="H38" s="4">
        <v>530</v>
      </c>
      <c r="I38" s="4">
        <v>112.5</v>
      </c>
      <c r="J38" s="4">
        <v>2</v>
      </c>
      <c r="K38" s="118">
        <v>5.59</v>
      </c>
      <c r="L38" s="119">
        <v>3.4</v>
      </c>
      <c r="M38" s="120">
        <f>H38*I38*J38*7.85/1000000</f>
        <v>0.9361125</v>
      </c>
      <c r="N38" s="121">
        <f>0.532</f>
        <v>0.532</v>
      </c>
      <c r="O38" s="100">
        <f>M38-N38</f>
        <v>0.4041125</v>
      </c>
      <c r="P38" s="100">
        <f>(K38*M38-L38*O38)*G38</f>
        <v>3.858886375</v>
      </c>
      <c r="Q38" s="164" t="s">
        <v>68</v>
      </c>
      <c r="R38" s="165" t="s">
        <v>69</v>
      </c>
      <c r="S38" s="154">
        <v>0.35</v>
      </c>
      <c r="T38" s="3">
        <v>2</v>
      </c>
      <c r="U38" s="154">
        <f t="shared" ref="U38:U43" si="5">S38/T38</f>
        <v>0.175</v>
      </c>
      <c r="V38" s="155">
        <v>1.12</v>
      </c>
      <c r="W38" s="10">
        <f>(P45+U45)*V38</f>
        <v>8.65075274</v>
      </c>
      <c r="X38" s="168"/>
      <c r="Y38" s="166">
        <v>100000</v>
      </c>
      <c r="Z38" s="192">
        <f>W38+X30/Y38/2</f>
        <v>8.75075274</v>
      </c>
    </row>
    <row r="39" spans="2:26">
      <c r="B39" s="73"/>
      <c r="C39" s="73"/>
      <c r="D39" s="74"/>
      <c r="E39" s="75"/>
      <c r="F39" s="75"/>
      <c r="G39" s="3"/>
      <c r="H39" s="4"/>
      <c r="I39" s="4"/>
      <c r="J39" s="4"/>
      <c r="K39" s="118"/>
      <c r="L39" s="119"/>
      <c r="M39" s="120"/>
      <c r="N39" s="121"/>
      <c r="O39" s="100"/>
      <c r="P39" s="100"/>
      <c r="Q39" s="164" t="s">
        <v>36</v>
      </c>
      <c r="R39" s="165" t="s">
        <v>70</v>
      </c>
      <c r="S39" s="154">
        <v>0.4</v>
      </c>
      <c r="T39" s="3">
        <v>2</v>
      </c>
      <c r="U39" s="154">
        <f t="shared" si="5"/>
        <v>0.2</v>
      </c>
      <c r="V39" s="167"/>
      <c r="W39" s="13"/>
      <c r="X39" s="168"/>
      <c r="Y39" s="168"/>
      <c r="Z39" s="193"/>
    </row>
    <row r="40" ht="36" spans="2:26">
      <c r="B40" s="73"/>
      <c r="C40" s="73"/>
      <c r="D40" s="74"/>
      <c r="E40" s="75"/>
      <c r="F40" s="75"/>
      <c r="G40" s="3"/>
      <c r="H40" s="4"/>
      <c r="I40" s="4"/>
      <c r="J40" s="4"/>
      <c r="K40" s="118"/>
      <c r="L40" s="119"/>
      <c r="M40" s="120"/>
      <c r="N40" s="121"/>
      <c r="O40" s="100"/>
      <c r="P40" s="100"/>
      <c r="Q40" s="164" t="s">
        <v>71</v>
      </c>
      <c r="R40" s="165" t="s">
        <v>35</v>
      </c>
      <c r="S40" s="169">
        <v>0.15</v>
      </c>
      <c r="T40" s="3">
        <v>2</v>
      </c>
      <c r="U40" s="154">
        <f>S40/T40+0.02</f>
        <v>0.095</v>
      </c>
      <c r="V40" s="167"/>
      <c r="W40" s="13"/>
      <c r="X40" s="168"/>
      <c r="Y40" s="168"/>
      <c r="Z40" s="193"/>
    </row>
    <row r="41" ht="36" spans="2:26">
      <c r="B41" s="73"/>
      <c r="C41" s="73"/>
      <c r="D41" s="74"/>
      <c r="E41" s="75"/>
      <c r="F41" s="75"/>
      <c r="G41" s="3"/>
      <c r="H41" s="4"/>
      <c r="I41" s="4"/>
      <c r="J41" s="4"/>
      <c r="K41" s="118"/>
      <c r="L41" s="119"/>
      <c r="M41" s="120"/>
      <c r="N41" s="121"/>
      <c r="O41" s="100"/>
      <c r="P41" s="100"/>
      <c r="Q41" s="164" t="s">
        <v>72</v>
      </c>
      <c r="R41" s="165" t="s">
        <v>35</v>
      </c>
      <c r="S41" s="169">
        <v>0.15</v>
      </c>
      <c r="T41" s="3">
        <v>2</v>
      </c>
      <c r="U41" s="154">
        <f>S41/T41+0.02</f>
        <v>0.095</v>
      </c>
      <c r="V41" s="167"/>
      <c r="W41" s="13"/>
      <c r="X41" s="168"/>
      <c r="Y41" s="168"/>
      <c r="Z41" s="193"/>
    </row>
    <row r="42" spans="2:26">
      <c r="B42" s="73"/>
      <c r="C42" s="73"/>
      <c r="D42" s="74"/>
      <c r="E42" s="75"/>
      <c r="F42" s="75"/>
      <c r="G42" s="3"/>
      <c r="H42" s="4"/>
      <c r="I42" s="4"/>
      <c r="J42" s="4"/>
      <c r="K42" s="118"/>
      <c r="L42" s="119"/>
      <c r="M42" s="120"/>
      <c r="N42" s="121"/>
      <c r="O42" s="100"/>
      <c r="P42" s="100"/>
      <c r="Q42" s="164" t="s">
        <v>73</v>
      </c>
      <c r="R42" s="170" t="s">
        <v>38</v>
      </c>
      <c r="S42" s="171">
        <v>0.1</v>
      </c>
      <c r="T42" s="3">
        <v>1</v>
      </c>
      <c r="U42" s="154">
        <f t="shared" si="5"/>
        <v>0.1</v>
      </c>
      <c r="V42" s="167"/>
      <c r="W42" s="13"/>
      <c r="X42" s="168"/>
      <c r="Y42" s="168"/>
      <c r="Z42" s="193"/>
    </row>
    <row r="43" spans="2:26">
      <c r="B43" s="73"/>
      <c r="C43" s="73"/>
      <c r="D43" s="74"/>
      <c r="E43" s="75"/>
      <c r="F43" s="75"/>
      <c r="G43" s="3"/>
      <c r="H43" s="4"/>
      <c r="I43" s="4"/>
      <c r="J43" s="4"/>
      <c r="K43" s="118"/>
      <c r="L43" s="119"/>
      <c r="M43" s="120"/>
      <c r="N43" s="121"/>
      <c r="O43" s="100"/>
      <c r="P43" s="100"/>
      <c r="Q43" s="164" t="s">
        <v>74</v>
      </c>
      <c r="R43" s="170" t="s">
        <v>38</v>
      </c>
      <c r="S43" s="171">
        <v>0.1</v>
      </c>
      <c r="T43" s="3">
        <v>1</v>
      </c>
      <c r="U43" s="154">
        <f t="shared" si="5"/>
        <v>0.1</v>
      </c>
      <c r="V43" s="167"/>
      <c r="W43" s="13"/>
      <c r="X43" s="168"/>
      <c r="Y43" s="168"/>
      <c r="Z43" s="193"/>
    </row>
    <row r="44" ht="48" spans="2:26">
      <c r="B44" s="73"/>
      <c r="C44" s="73"/>
      <c r="D44" s="74"/>
      <c r="E44" s="75" t="s">
        <v>75</v>
      </c>
      <c r="F44" s="76"/>
      <c r="G44" s="3">
        <v>1</v>
      </c>
      <c r="H44" s="4"/>
      <c r="I44" s="4"/>
      <c r="J44" s="4"/>
      <c r="K44" s="122"/>
      <c r="L44" s="123"/>
      <c r="M44" s="124"/>
      <c r="N44" s="125"/>
      <c r="O44" s="99"/>
      <c r="P44" s="100">
        <f>2.938/1.13</f>
        <v>2.6</v>
      </c>
      <c r="Q44" s="164" t="s">
        <v>76</v>
      </c>
      <c r="R44" s="172">
        <v>10</v>
      </c>
      <c r="S44" s="169">
        <v>0.05</v>
      </c>
      <c r="T44" s="3">
        <v>1</v>
      </c>
      <c r="U44" s="154">
        <f>S44*R44*T44</f>
        <v>0.5</v>
      </c>
      <c r="V44" s="167"/>
      <c r="W44" s="13"/>
      <c r="X44" s="168"/>
      <c r="Y44" s="168"/>
      <c r="Z44" s="193"/>
    </row>
    <row r="45" spans="2:26">
      <c r="B45" s="73"/>
      <c r="C45" s="73"/>
      <c r="D45" s="74"/>
      <c r="E45" s="68" t="s">
        <v>45</v>
      </c>
      <c r="F45" s="69"/>
      <c r="G45" s="69"/>
      <c r="H45" s="69"/>
      <c r="I45" s="69"/>
      <c r="J45" s="69"/>
      <c r="K45" s="106"/>
      <c r="L45" s="107"/>
      <c r="M45" s="69"/>
      <c r="N45" s="69"/>
      <c r="O45" s="108"/>
      <c r="P45" s="117">
        <f>SUM(P38:P44)</f>
        <v>6.458886375</v>
      </c>
      <c r="Q45" s="117" t="s">
        <v>46</v>
      </c>
      <c r="R45" s="117"/>
      <c r="S45" s="117"/>
      <c r="T45" s="117"/>
      <c r="U45" s="160">
        <f>SUM(U38:U44)</f>
        <v>1.265</v>
      </c>
      <c r="V45" s="174"/>
      <c r="W45" s="13"/>
      <c r="X45" s="175"/>
      <c r="Y45" s="168"/>
      <c r="Z45" s="193"/>
    </row>
    <row r="46" spans="2:26">
      <c r="B46" s="81" t="s">
        <v>81</v>
      </c>
      <c r="C46" s="81" t="s">
        <v>82</v>
      </c>
      <c r="D46" s="5" t="s">
        <v>83</v>
      </c>
      <c r="E46" s="5" t="s">
        <v>83</v>
      </c>
      <c r="F46" s="4" t="s">
        <v>58</v>
      </c>
      <c r="G46" s="4">
        <v>1</v>
      </c>
      <c r="H46" s="4">
        <v>530</v>
      </c>
      <c r="I46" s="4">
        <v>130</v>
      </c>
      <c r="J46" s="4">
        <v>2</v>
      </c>
      <c r="K46" s="118">
        <v>5.59</v>
      </c>
      <c r="L46" s="7">
        <v>3.4</v>
      </c>
      <c r="M46" s="116">
        <f>H46*I46*J46*7.85/1000000</f>
        <v>1.08173</v>
      </c>
      <c r="N46" s="116">
        <f>0.689</f>
        <v>0.689</v>
      </c>
      <c r="O46" s="32">
        <f>M46-N46</f>
        <v>0.39273</v>
      </c>
      <c r="P46" s="32">
        <f>(K46*M46-L46*O46)*G46</f>
        <v>4.7115887</v>
      </c>
      <c r="Q46" s="176" t="s">
        <v>84</v>
      </c>
      <c r="R46" s="165" t="s">
        <v>69</v>
      </c>
      <c r="S46" s="154">
        <v>0.35</v>
      </c>
      <c r="T46" s="3">
        <v>2</v>
      </c>
      <c r="U46" s="154">
        <f t="shared" ref="U46:U51" si="6">S46/T46</f>
        <v>0.175</v>
      </c>
      <c r="V46" s="161">
        <v>1.12</v>
      </c>
      <c r="W46" s="10">
        <f>(P52+U52)*V46</f>
        <v>6.245779344</v>
      </c>
      <c r="X46" s="177">
        <v>100000</v>
      </c>
      <c r="Y46" s="177">
        <v>100000</v>
      </c>
      <c r="Z46" s="192">
        <f>W46+X46/2/Y46</f>
        <v>6.745779344</v>
      </c>
    </row>
    <row r="47" spans="2:26">
      <c r="B47" s="82"/>
      <c r="C47" s="82"/>
      <c r="D47" s="12"/>
      <c r="E47" s="12"/>
      <c r="F47" s="4"/>
      <c r="G47" s="4"/>
      <c r="H47" s="4"/>
      <c r="I47" s="4"/>
      <c r="J47" s="4"/>
      <c r="K47" s="118"/>
      <c r="L47" s="7"/>
      <c r="M47" s="116"/>
      <c r="N47" s="116"/>
      <c r="O47" s="32"/>
      <c r="P47" s="32"/>
      <c r="Q47" s="176" t="s">
        <v>36</v>
      </c>
      <c r="R47" s="165" t="s">
        <v>70</v>
      </c>
      <c r="S47" s="154">
        <v>0.4</v>
      </c>
      <c r="T47" s="3">
        <v>2</v>
      </c>
      <c r="U47" s="154">
        <f t="shared" si="6"/>
        <v>0.2</v>
      </c>
      <c r="V47" s="178"/>
      <c r="W47" s="13"/>
      <c r="X47" s="179"/>
      <c r="Y47" s="179"/>
      <c r="Z47" s="193"/>
    </row>
    <row r="48" spans="2:26">
      <c r="B48" s="82"/>
      <c r="C48" s="82"/>
      <c r="D48" s="12"/>
      <c r="E48" s="12"/>
      <c r="F48" s="4"/>
      <c r="G48" s="4"/>
      <c r="H48" s="4"/>
      <c r="I48" s="4"/>
      <c r="J48" s="4"/>
      <c r="K48" s="118"/>
      <c r="L48" s="7"/>
      <c r="M48" s="116"/>
      <c r="N48" s="116"/>
      <c r="O48" s="32"/>
      <c r="P48" s="32"/>
      <c r="Q48" s="176" t="s">
        <v>85</v>
      </c>
      <c r="R48" s="165" t="s">
        <v>35</v>
      </c>
      <c r="S48" s="154">
        <v>0.15</v>
      </c>
      <c r="T48" s="3">
        <v>2</v>
      </c>
      <c r="U48" s="154">
        <f>S48/T48+0.02</f>
        <v>0.095</v>
      </c>
      <c r="V48" s="178"/>
      <c r="W48" s="13"/>
      <c r="X48" s="179"/>
      <c r="Y48" s="179"/>
      <c r="Z48" s="193"/>
    </row>
    <row r="49" spans="2:26">
      <c r="B49" s="82"/>
      <c r="C49" s="82"/>
      <c r="D49" s="12"/>
      <c r="E49" s="12"/>
      <c r="F49" s="4"/>
      <c r="G49" s="4"/>
      <c r="H49" s="4"/>
      <c r="I49" s="4"/>
      <c r="J49" s="4"/>
      <c r="K49" s="118"/>
      <c r="L49" s="7"/>
      <c r="M49" s="116"/>
      <c r="N49" s="116"/>
      <c r="O49" s="32"/>
      <c r="P49" s="32"/>
      <c r="Q49" s="176" t="s">
        <v>86</v>
      </c>
      <c r="R49" s="165" t="s">
        <v>35</v>
      </c>
      <c r="S49" s="154">
        <v>0.15</v>
      </c>
      <c r="T49" s="3">
        <v>2</v>
      </c>
      <c r="U49" s="154">
        <f>S49/T49+0.02</f>
        <v>0.095</v>
      </c>
      <c r="V49" s="178"/>
      <c r="W49" s="13"/>
      <c r="X49" s="179"/>
      <c r="Y49" s="179"/>
      <c r="Z49" s="193"/>
    </row>
    <row r="50" spans="2:26">
      <c r="B50" s="82"/>
      <c r="C50" s="82"/>
      <c r="D50" s="12"/>
      <c r="E50" s="12"/>
      <c r="F50" s="4"/>
      <c r="G50" s="4"/>
      <c r="H50" s="4"/>
      <c r="I50" s="4"/>
      <c r="J50" s="4"/>
      <c r="K50" s="118"/>
      <c r="L50" s="7"/>
      <c r="M50" s="116"/>
      <c r="N50" s="116"/>
      <c r="O50" s="32"/>
      <c r="P50" s="32"/>
      <c r="Q50" s="176" t="s">
        <v>87</v>
      </c>
      <c r="R50" s="165" t="s">
        <v>35</v>
      </c>
      <c r="S50" s="154">
        <v>0.2</v>
      </c>
      <c r="T50" s="3">
        <v>1</v>
      </c>
      <c r="U50" s="154">
        <f t="shared" si="6"/>
        <v>0.2</v>
      </c>
      <c r="V50" s="178"/>
      <c r="W50" s="13"/>
      <c r="X50" s="179"/>
      <c r="Y50" s="179"/>
      <c r="Z50" s="193"/>
    </row>
    <row r="51" spans="2:26">
      <c r="B51" s="82"/>
      <c r="C51" s="82"/>
      <c r="D51" s="12"/>
      <c r="E51" s="8"/>
      <c r="F51" s="4"/>
      <c r="G51" s="4"/>
      <c r="H51" s="4"/>
      <c r="I51" s="4"/>
      <c r="J51" s="4"/>
      <c r="K51" s="118"/>
      <c r="L51" s="7"/>
      <c r="M51" s="116"/>
      <c r="N51" s="116"/>
      <c r="O51" s="32"/>
      <c r="P51" s="32"/>
      <c r="Q51" s="176" t="s">
        <v>88</v>
      </c>
      <c r="R51" s="165" t="s">
        <v>38</v>
      </c>
      <c r="S51" s="154">
        <v>0.1</v>
      </c>
      <c r="T51" s="3">
        <v>1</v>
      </c>
      <c r="U51" s="154">
        <f t="shared" si="6"/>
        <v>0.1</v>
      </c>
      <c r="V51" s="178"/>
      <c r="W51" s="13"/>
      <c r="X51" s="179"/>
      <c r="Y51" s="179"/>
      <c r="Z51" s="193"/>
    </row>
    <row r="52" spans="2:26">
      <c r="B52" s="83"/>
      <c r="C52" s="83"/>
      <c r="D52" s="8"/>
      <c r="E52" s="68" t="s">
        <v>45</v>
      </c>
      <c r="F52" s="69"/>
      <c r="G52" s="69"/>
      <c r="H52" s="69"/>
      <c r="I52" s="69"/>
      <c r="J52" s="69"/>
      <c r="K52" s="106"/>
      <c r="L52" s="107"/>
      <c r="M52" s="69"/>
      <c r="N52" s="69"/>
      <c r="O52" s="108"/>
      <c r="P52" s="126">
        <f>SUM(P46)</f>
        <v>4.7115887</v>
      </c>
      <c r="Q52" s="126" t="s">
        <v>46</v>
      </c>
      <c r="R52" s="126"/>
      <c r="S52" s="126"/>
      <c r="T52" s="126"/>
      <c r="U52" s="173">
        <f>SUM(U46:U51)</f>
        <v>0.865</v>
      </c>
      <c r="V52" s="180"/>
      <c r="W52" s="14"/>
      <c r="X52" s="179"/>
      <c r="Y52" s="195"/>
      <c r="Z52" s="194"/>
    </row>
    <row r="53" spans="2:26">
      <c r="B53" s="81" t="s">
        <v>89</v>
      </c>
      <c r="C53" s="81" t="s">
        <v>90</v>
      </c>
      <c r="D53" s="5" t="s">
        <v>91</v>
      </c>
      <c r="E53" s="5" t="s">
        <v>91</v>
      </c>
      <c r="F53" s="4" t="s">
        <v>58</v>
      </c>
      <c r="G53" s="4">
        <v>1</v>
      </c>
      <c r="H53" s="4">
        <v>530</v>
      </c>
      <c r="I53" s="4">
        <v>130</v>
      </c>
      <c r="J53" s="4">
        <v>2</v>
      </c>
      <c r="K53" s="118">
        <v>5.59</v>
      </c>
      <c r="L53" s="7">
        <v>3.4</v>
      </c>
      <c r="M53" s="116">
        <f>H53*I53*J53*7.85/1000000</f>
        <v>1.08173</v>
      </c>
      <c r="N53" s="116">
        <f>0.689</f>
        <v>0.689</v>
      </c>
      <c r="O53" s="32">
        <f>M53-N53</f>
        <v>0.39273</v>
      </c>
      <c r="P53" s="32">
        <f>(K53*M53-L53*O53)/G53</f>
        <v>4.7115887</v>
      </c>
      <c r="Q53" s="176" t="s">
        <v>84</v>
      </c>
      <c r="R53" s="165" t="s">
        <v>69</v>
      </c>
      <c r="S53" s="154">
        <v>0.35</v>
      </c>
      <c r="T53" s="3">
        <v>2</v>
      </c>
      <c r="U53" s="154">
        <f t="shared" ref="U53:U58" si="7">S53/T53</f>
        <v>0.175</v>
      </c>
      <c r="V53" s="161">
        <v>1.12</v>
      </c>
      <c r="W53" s="10">
        <f>(P59+U59)*V53</f>
        <v>6.245779344</v>
      </c>
      <c r="X53" s="179"/>
      <c r="Y53" s="177">
        <v>100000</v>
      </c>
      <c r="Z53" s="192">
        <f>W53+X46/2/Y53</f>
        <v>6.745779344</v>
      </c>
    </row>
    <row r="54" spans="2:26">
      <c r="B54" s="82"/>
      <c r="C54" s="82"/>
      <c r="D54" s="12"/>
      <c r="E54" s="12"/>
      <c r="F54" s="4"/>
      <c r="G54" s="4"/>
      <c r="H54" s="4"/>
      <c r="I54" s="4"/>
      <c r="J54" s="4"/>
      <c r="K54" s="118"/>
      <c r="L54" s="7"/>
      <c r="M54" s="116"/>
      <c r="N54" s="116"/>
      <c r="O54" s="32"/>
      <c r="P54" s="32"/>
      <c r="Q54" s="176" t="s">
        <v>36</v>
      </c>
      <c r="R54" s="165" t="s">
        <v>70</v>
      </c>
      <c r="S54" s="154">
        <v>0.4</v>
      </c>
      <c r="T54" s="3">
        <v>2</v>
      </c>
      <c r="U54" s="154">
        <f t="shared" si="7"/>
        <v>0.2</v>
      </c>
      <c r="V54" s="178"/>
      <c r="W54" s="13"/>
      <c r="X54" s="179"/>
      <c r="Y54" s="179"/>
      <c r="Z54" s="193"/>
    </row>
    <row r="55" spans="2:26">
      <c r="B55" s="82"/>
      <c r="C55" s="82"/>
      <c r="D55" s="12"/>
      <c r="E55" s="12"/>
      <c r="F55" s="4"/>
      <c r="G55" s="4"/>
      <c r="H55" s="4"/>
      <c r="I55" s="4"/>
      <c r="J55" s="4"/>
      <c r="K55" s="118"/>
      <c r="L55" s="7"/>
      <c r="M55" s="116"/>
      <c r="N55" s="116"/>
      <c r="O55" s="32"/>
      <c r="P55" s="32"/>
      <c r="Q55" s="176" t="s">
        <v>85</v>
      </c>
      <c r="R55" s="165" t="s">
        <v>35</v>
      </c>
      <c r="S55" s="154">
        <v>0.15</v>
      </c>
      <c r="T55" s="3">
        <v>2</v>
      </c>
      <c r="U55" s="154">
        <f>S55/T55+0.02</f>
        <v>0.095</v>
      </c>
      <c r="V55" s="178"/>
      <c r="W55" s="13"/>
      <c r="X55" s="179"/>
      <c r="Y55" s="179"/>
      <c r="Z55" s="193"/>
    </row>
    <row r="56" spans="2:26">
      <c r="B56" s="82"/>
      <c r="C56" s="82"/>
      <c r="D56" s="12"/>
      <c r="E56" s="12"/>
      <c r="F56" s="4"/>
      <c r="G56" s="4"/>
      <c r="H56" s="4"/>
      <c r="I56" s="4"/>
      <c r="J56" s="4"/>
      <c r="K56" s="118"/>
      <c r="L56" s="7"/>
      <c r="M56" s="116"/>
      <c r="N56" s="116"/>
      <c r="O56" s="32"/>
      <c r="P56" s="32"/>
      <c r="Q56" s="176" t="s">
        <v>86</v>
      </c>
      <c r="R56" s="165" t="s">
        <v>35</v>
      </c>
      <c r="S56" s="154">
        <v>0.15</v>
      </c>
      <c r="T56" s="3">
        <v>2</v>
      </c>
      <c r="U56" s="154">
        <f>S56/T56+0.02</f>
        <v>0.095</v>
      </c>
      <c r="V56" s="178"/>
      <c r="W56" s="13"/>
      <c r="X56" s="179"/>
      <c r="Y56" s="179"/>
      <c r="Z56" s="193"/>
    </row>
    <row r="57" spans="2:26">
      <c r="B57" s="82"/>
      <c r="C57" s="82"/>
      <c r="D57" s="12"/>
      <c r="E57" s="12"/>
      <c r="F57" s="4"/>
      <c r="G57" s="4"/>
      <c r="H57" s="4"/>
      <c r="I57" s="4"/>
      <c r="J57" s="4"/>
      <c r="K57" s="118"/>
      <c r="L57" s="7"/>
      <c r="M57" s="116"/>
      <c r="N57" s="116"/>
      <c r="O57" s="32"/>
      <c r="P57" s="32"/>
      <c r="Q57" s="176" t="s">
        <v>87</v>
      </c>
      <c r="R57" s="165" t="s">
        <v>35</v>
      </c>
      <c r="S57" s="154">
        <v>0.2</v>
      </c>
      <c r="T57" s="3">
        <v>1</v>
      </c>
      <c r="U57" s="154">
        <f t="shared" si="7"/>
        <v>0.2</v>
      </c>
      <c r="V57" s="178"/>
      <c r="W57" s="13"/>
      <c r="X57" s="179"/>
      <c r="Y57" s="179"/>
      <c r="Z57" s="193"/>
    </row>
    <row r="58" spans="2:26">
      <c r="B58" s="82"/>
      <c r="C58" s="82"/>
      <c r="D58" s="12"/>
      <c r="E58" s="8"/>
      <c r="F58" s="4"/>
      <c r="G58" s="4"/>
      <c r="H58" s="4"/>
      <c r="I58" s="4"/>
      <c r="J58" s="4"/>
      <c r="K58" s="118"/>
      <c r="L58" s="7"/>
      <c r="M58" s="116"/>
      <c r="N58" s="116"/>
      <c r="O58" s="32"/>
      <c r="P58" s="32"/>
      <c r="Q58" s="176" t="s">
        <v>88</v>
      </c>
      <c r="R58" s="165" t="s">
        <v>38</v>
      </c>
      <c r="S58" s="154">
        <v>0.1</v>
      </c>
      <c r="T58" s="3">
        <v>1</v>
      </c>
      <c r="U58" s="154">
        <f t="shared" si="7"/>
        <v>0.1</v>
      </c>
      <c r="V58" s="178"/>
      <c r="W58" s="13"/>
      <c r="X58" s="179"/>
      <c r="Y58" s="179"/>
      <c r="Z58" s="193"/>
    </row>
    <row r="59" ht="14.25" spans="2:26">
      <c r="B59" s="82"/>
      <c r="C59" s="82"/>
      <c r="D59" s="12"/>
      <c r="E59" s="68" t="s">
        <v>45</v>
      </c>
      <c r="F59" s="69"/>
      <c r="G59" s="69"/>
      <c r="H59" s="69"/>
      <c r="I59" s="69"/>
      <c r="J59" s="69"/>
      <c r="K59" s="106"/>
      <c r="L59" s="107"/>
      <c r="M59" s="69"/>
      <c r="N59" s="69"/>
      <c r="O59" s="108"/>
      <c r="P59" s="117">
        <f>SUM(P53)</f>
        <v>4.7115887</v>
      </c>
      <c r="Q59" s="126" t="s">
        <v>46</v>
      </c>
      <c r="R59" s="126"/>
      <c r="S59" s="126"/>
      <c r="T59" s="126"/>
      <c r="U59" s="160">
        <f>SUM(U53:U58)</f>
        <v>0.865</v>
      </c>
      <c r="V59" s="178"/>
      <c r="W59" s="13"/>
      <c r="X59" s="179"/>
      <c r="Y59" s="179"/>
      <c r="Z59" s="193"/>
    </row>
    <row r="60" spans="2:26">
      <c r="B60" s="84" t="s">
        <v>92</v>
      </c>
      <c r="C60" s="84" t="s">
        <v>93</v>
      </c>
      <c r="D60" s="4" t="s">
        <v>94</v>
      </c>
      <c r="E60" s="5" t="s">
        <v>94</v>
      </c>
      <c r="F60" s="5" t="s">
        <v>58</v>
      </c>
      <c r="G60" s="5">
        <v>1</v>
      </c>
      <c r="H60" s="5">
        <v>358</v>
      </c>
      <c r="I60" s="5">
        <v>70</v>
      </c>
      <c r="J60" s="5">
        <v>2</v>
      </c>
      <c r="K60" s="127">
        <v>5.59</v>
      </c>
      <c r="L60" s="128">
        <v>3.4</v>
      </c>
      <c r="M60" s="129">
        <f>H60*I60*J60*7.85/1000000</f>
        <v>0.393442</v>
      </c>
      <c r="N60" s="129">
        <v>0.211</v>
      </c>
      <c r="O60" s="127">
        <f>M60-N60</f>
        <v>0.182442</v>
      </c>
      <c r="P60" s="127">
        <f>(K60*M60-L60*O60)*G60</f>
        <v>1.57903798</v>
      </c>
      <c r="Q60" s="181" t="s">
        <v>95</v>
      </c>
      <c r="R60" s="182" t="s">
        <v>38</v>
      </c>
      <c r="S60" s="183">
        <v>0.1</v>
      </c>
      <c r="T60" s="3">
        <v>1</v>
      </c>
      <c r="U60" s="154">
        <f t="shared" ref="U60:U66" si="8">S60/T60</f>
        <v>0.1</v>
      </c>
      <c r="V60" s="161">
        <v>1.12</v>
      </c>
      <c r="W60" s="7">
        <f>(P67+U67)*V60</f>
        <v>2.5704425376</v>
      </c>
      <c r="X60" s="3">
        <v>60000</v>
      </c>
      <c r="Y60" s="196">
        <v>100000</v>
      </c>
      <c r="Z60" s="197">
        <f>W60+X60/Y60</f>
        <v>3.1704425376</v>
      </c>
    </row>
    <row r="61" spans="2:26">
      <c r="B61" s="84"/>
      <c r="C61" s="84"/>
      <c r="D61" s="4"/>
      <c r="E61" s="12"/>
      <c r="F61" s="12"/>
      <c r="G61" s="12"/>
      <c r="H61" s="12"/>
      <c r="I61" s="12"/>
      <c r="J61" s="12"/>
      <c r="K61" s="130"/>
      <c r="L61" s="131"/>
      <c r="M61" s="132"/>
      <c r="N61" s="132"/>
      <c r="O61" s="130"/>
      <c r="P61" s="130"/>
      <c r="Q61" s="184" t="s">
        <v>36</v>
      </c>
      <c r="R61" s="185" t="s">
        <v>38</v>
      </c>
      <c r="S61" s="154">
        <v>0.1</v>
      </c>
      <c r="T61" s="3">
        <v>1</v>
      </c>
      <c r="U61" s="154">
        <f t="shared" si="8"/>
        <v>0.1</v>
      </c>
      <c r="V61" s="178"/>
      <c r="W61" s="7"/>
      <c r="X61" s="3"/>
      <c r="Y61" s="196"/>
      <c r="Z61" s="197"/>
    </row>
    <row r="62" spans="2:26">
      <c r="B62" s="84"/>
      <c r="C62" s="84"/>
      <c r="D62" s="4"/>
      <c r="E62" s="12"/>
      <c r="F62" s="12"/>
      <c r="G62" s="12"/>
      <c r="H62" s="12"/>
      <c r="I62" s="12"/>
      <c r="J62" s="12"/>
      <c r="K62" s="130"/>
      <c r="L62" s="131"/>
      <c r="M62" s="132"/>
      <c r="N62" s="132"/>
      <c r="O62" s="130"/>
      <c r="P62" s="130"/>
      <c r="Q62" s="184" t="s">
        <v>96</v>
      </c>
      <c r="R62" s="9" t="s">
        <v>43</v>
      </c>
      <c r="S62" s="154">
        <v>0.07</v>
      </c>
      <c r="T62" s="3">
        <v>1</v>
      </c>
      <c r="U62" s="154">
        <f t="shared" si="8"/>
        <v>0.07</v>
      </c>
      <c r="V62" s="178"/>
      <c r="W62" s="7"/>
      <c r="X62" s="3"/>
      <c r="Y62" s="196"/>
      <c r="Z62" s="197"/>
    </row>
    <row r="63" spans="2:26">
      <c r="B63" s="84"/>
      <c r="C63" s="84"/>
      <c r="D63" s="4"/>
      <c r="E63" s="12"/>
      <c r="F63" s="12"/>
      <c r="G63" s="12"/>
      <c r="H63" s="12"/>
      <c r="I63" s="12"/>
      <c r="J63" s="12"/>
      <c r="K63" s="130"/>
      <c r="L63" s="131"/>
      <c r="M63" s="132"/>
      <c r="N63" s="132"/>
      <c r="O63" s="130"/>
      <c r="P63" s="130"/>
      <c r="Q63" s="184" t="s">
        <v>97</v>
      </c>
      <c r="R63" s="185" t="s">
        <v>38</v>
      </c>
      <c r="S63" s="154">
        <v>0.1</v>
      </c>
      <c r="T63" s="3">
        <v>1</v>
      </c>
      <c r="U63" s="154">
        <f t="shared" si="8"/>
        <v>0.1</v>
      </c>
      <c r="V63" s="178"/>
      <c r="W63" s="7"/>
      <c r="X63" s="3"/>
      <c r="Y63" s="196"/>
      <c r="Z63" s="197"/>
    </row>
    <row r="64" spans="2:26">
      <c r="B64" s="84"/>
      <c r="C64" s="84"/>
      <c r="D64" s="4"/>
      <c r="E64" s="12"/>
      <c r="F64" s="12"/>
      <c r="G64" s="12"/>
      <c r="H64" s="12"/>
      <c r="I64" s="12"/>
      <c r="J64" s="12"/>
      <c r="K64" s="130"/>
      <c r="L64" s="131"/>
      <c r="M64" s="132"/>
      <c r="N64" s="132"/>
      <c r="O64" s="130"/>
      <c r="P64" s="130"/>
      <c r="Q64" s="184" t="s">
        <v>37</v>
      </c>
      <c r="R64" s="9" t="s">
        <v>43</v>
      </c>
      <c r="S64" s="154">
        <v>0.07</v>
      </c>
      <c r="T64" s="3">
        <v>1</v>
      </c>
      <c r="U64" s="154">
        <f t="shared" si="8"/>
        <v>0.07</v>
      </c>
      <c r="V64" s="178"/>
      <c r="W64" s="7"/>
      <c r="X64" s="3"/>
      <c r="Y64" s="196"/>
      <c r="Z64" s="197"/>
    </row>
    <row r="65" spans="2:26">
      <c r="B65" s="84"/>
      <c r="C65" s="84"/>
      <c r="D65" s="4"/>
      <c r="E65" s="8"/>
      <c r="F65" s="8"/>
      <c r="G65" s="8"/>
      <c r="H65" s="8"/>
      <c r="I65" s="8"/>
      <c r="J65" s="8"/>
      <c r="K65" s="271"/>
      <c r="L65" s="272"/>
      <c r="M65" s="273"/>
      <c r="N65" s="273"/>
      <c r="O65" s="271"/>
      <c r="P65" s="271"/>
      <c r="Q65" s="184" t="s">
        <v>98</v>
      </c>
      <c r="R65" s="3"/>
      <c r="S65" s="328">
        <v>0.16</v>
      </c>
      <c r="T65" s="3">
        <v>1</v>
      </c>
      <c r="U65" s="154">
        <f t="shared" si="8"/>
        <v>0.16</v>
      </c>
      <c r="V65" s="178"/>
      <c r="W65" s="7"/>
      <c r="X65" s="3"/>
      <c r="Y65" s="196"/>
      <c r="Z65" s="197"/>
    </row>
    <row r="66" ht="27" spans="2:26">
      <c r="B66" s="84"/>
      <c r="C66" s="84"/>
      <c r="D66" s="4"/>
      <c r="E66" s="198" t="s">
        <v>99</v>
      </c>
      <c r="F66" s="198"/>
      <c r="G66" s="36">
        <v>2</v>
      </c>
      <c r="H66" s="36"/>
      <c r="I66" s="36"/>
      <c r="J66" s="36"/>
      <c r="K66" s="274">
        <v>0.033</v>
      </c>
      <c r="L66" s="154"/>
      <c r="M66" s="275"/>
      <c r="N66" s="275"/>
      <c r="O66" s="37"/>
      <c r="P66" s="32">
        <f>G66*K66</f>
        <v>0.066</v>
      </c>
      <c r="Q66" s="184" t="s">
        <v>100</v>
      </c>
      <c r="R66" s="3" t="s">
        <v>41</v>
      </c>
      <c r="S66" s="154">
        <v>0.05</v>
      </c>
      <c r="T66" s="3">
        <v>1</v>
      </c>
      <c r="U66" s="154">
        <f t="shared" si="8"/>
        <v>0.05</v>
      </c>
      <c r="V66" s="178"/>
      <c r="W66" s="7"/>
      <c r="X66" s="3"/>
      <c r="Y66" s="196"/>
      <c r="Z66" s="197"/>
    </row>
    <row r="67" spans="2:26">
      <c r="B67" s="81"/>
      <c r="C67" s="81"/>
      <c r="D67" s="5"/>
      <c r="E67" s="68" t="s">
        <v>45</v>
      </c>
      <c r="F67" s="69"/>
      <c r="G67" s="69"/>
      <c r="H67" s="69"/>
      <c r="I67" s="69"/>
      <c r="J67" s="69"/>
      <c r="K67" s="106"/>
      <c r="L67" s="107"/>
      <c r="M67" s="69"/>
      <c r="N67" s="69"/>
      <c r="O67" s="108"/>
      <c r="P67" s="126">
        <f>SUM(P60:P66)</f>
        <v>1.64503798</v>
      </c>
      <c r="Q67" s="117" t="s">
        <v>46</v>
      </c>
      <c r="R67" s="117"/>
      <c r="S67" s="117"/>
      <c r="T67" s="117"/>
      <c r="U67" s="173">
        <f>SUM(U60:U66)</f>
        <v>0.65</v>
      </c>
      <c r="V67" s="180"/>
      <c r="W67" s="7"/>
      <c r="X67" s="3"/>
      <c r="Y67" s="196"/>
      <c r="Z67" s="197"/>
    </row>
    <row r="69" spans="1:26">
      <c r="A69" s="15" t="s">
        <v>101</v>
      </c>
      <c r="B69" s="199" t="s">
        <v>1</v>
      </c>
      <c r="C69" s="199" t="s">
        <v>102</v>
      </c>
      <c r="D69" s="200" t="s">
        <v>103</v>
      </c>
      <c r="E69" s="201" t="s">
        <v>2</v>
      </c>
      <c r="F69" s="202" t="s">
        <v>5</v>
      </c>
      <c r="G69" s="203" t="s">
        <v>6</v>
      </c>
      <c r="H69" s="204" t="s">
        <v>7</v>
      </c>
      <c r="I69" s="276"/>
      <c r="J69" s="276"/>
      <c r="K69" s="277" t="s">
        <v>8</v>
      </c>
      <c r="L69" s="278"/>
      <c r="M69" s="279" t="s">
        <v>9</v>
      </c>
      <c r="N69" s="280"/>
      <c r="O69" s="281"/>
      <c r="P69" s="16" t="s">
        <v>10</v>
      </c>
      <c r="Q69" s="329" t="s">
        <v>11</v>
      </c>
      <c r="R69" s="330"/>
      <c r="S69" s="330"/>
      <c r="T69" s="330"/>
      <c r="U69" s="331"/>
      <c r="V69" s="332" t="s">
        <v>12</v>
      </c>
      <c r="W69" s="287" t="s">
        <v>13</v>
      </c>
      <c r="X69" s="214" t="s">
        <v>14</v>
      </c>
      <c r="Y69" s="225" t="s">
        <v>15</v>
      </c>
      <c r="Z69" s="214" t="s">
        <v>16</v>
      </c>
    </row>
    <row r="70" spans="1:26">
      <c r="A70" s="19" t="s">
        <v>104</v>
      </c>
      <c r="B70" s="19"/>
      <c r="C70" s="205"/>
      <c r="D70" s="206"/>
      <c r="E70" s="207"/>
      <c r="F70" s="208"/>
      <c r="G70" s="209"/>
      <c r="H70" s="210" t="s">
        <v>17</v>
      </c>
      <c r="I70" s="210" t="s">
        <v>18</v>
      </c>
      <c r="J70" s="210" t="s">
        <v>19</v>
      </c>
      <c r="K70" s="39" t="s">
        <v>20</v>
      </c>
      <c r="L70" s="282" t="s">
        <v>21</v>
      </c>
      <c r="M70" s="283" t="s">
        <v>22</v>
      </c>
      <c r="N70" s="284" t="s">
        <v>23</v>
      </c>
      <c r="O70" s="285" t="s">
        <v>21</v>
      </c>
      <c r="P70" s="18"/>
      <c r="Q70" s="16" t="s">
        <v>24</v>
      </c>
      <c r="R70" s="16" t="s">
        <v>25</v>
      </c>
      <c r="S70" s="16" t="s">
        <v>26</v>
      </c>
      <c r="T70" s="287" t="s">
        <v>27</v>
      </c>
      <c r="U70" s="333" t="s">
        <v>28</v>
      </c>
      <c r="V70" s="20"/>
      <c r="W70" s="334"/>
      <c r="X70" s="207"/>
      <c r="Y70" s="201"/>
      <c r="Z70" s="207"/>
    </row>
    <row r="71" spans="1:26">
      <c r="A71" s="211"/>
      <c r="B71" s="212" t="s">
        <v>105</v>
      </c>
      <c r="C71" s="213" t="s">
        <v>106</v>
      </c>
      <c r="D71" s="213" t="s">
        <v>107</v>
      </c>
      <c r="E71" s="214" t="s">
        <v>108</v>
      </c>
      <c r="F71" s="214" t="s">
        <v>58</v>
      </c>
      <c r="G71" s="214">
        <v>1</v>
      </c>
      <c r="H71" s="214">
        <f>484+15+6</f>
        <v>505</v>
      </c>
      <c r="I71" s="214">
        <f>90+6</f>
        <v>96</v>
      </c>
      <c r="J71" s="214">
        <v>2</v>
      </c>
      <c r="K71" s="286">
        <v>5.59</v>
      </c>
      <c r="L71" s="287">
        <v>3.4</v>
      </c>
      <c r="M71" s="288">
        <f>H71*I71*J71*7.85/1000000</f>
        <v>0.761136</v>
      </c>
      <c r="N71" s="288">
        <v>0.437</v>
      </c>
      <c r="O71" s="288">
        <f>M71-N71</f>
        <v>0.324136</v>
      </c>
      <c r="P71" s="286">
        <f>(K71*M71-L71*O71)*G71</f>
        <v>3.15268784</v>
      </c>
      <c r="Q71" s="335" t="s">
        <v>34</v>
      </c>
      <c r="R71" s="336" t="s">
        <v>69</v>
      </c>
      <c r="S71" s="27">
        <v>0.35</v>
      </c>
      <c r="T71" s="21">
        <v>2</v>
      </c>
      <c r="U71" s="337">
        <f t="shared" ref="U71:U79" si="9">S71/T71</f>
        <v>0.175</v>
      </c>
      <c r="V71" s="155">
        <v>1.12</v>
      </c>
      <c r="W71" s="22">
        <f>(P80+U80)*V71</f>
        <v>5.50132868208</v>
      </c>
      <c r="X71" s="15">
        <f>120000+9000</f>
        <v>129000</v>
      </c>
      <c r="Y71" s="372">
        <v>100000</v>
      </c>
      <c r="Z71" s="373">
        <f>W71+X71/Y71/2</f>
        <v>6.14632868208</v>
      </c>
    </row>
    <row r="72" spans="1:26">
      <c r="A72" s="211"/>
      <c r="B72" s="215"/>
      <c r="C72" s="216"/>
      <c r="D72" s="216"/>
      <c r="E72" s="217"/>
      <c r="F72" s="217"/>
      <c r="G72" s="217"/>
      <c r="H72" s="217"/>
      <c r="I72" s="217"/>
      <c r="J72" s="217"/>
      <c r="K72" s="289"/>
      <c r="L72" s="290"/>
      <c r="M72" s="291"/>
      <c r="N72" s="291"/>
      <c r="O72" s="291"/>
      <c r="P72" s="289"/>
      <c r="Q72" s="335" t="s">
        <v>36</v>
      </c>
      <c r="R72" s="336" t="s">
        <v>70</v>
      </c>
      <c r="S72" s="27">
        <v>0.4</v>
      </c>
      <c r="T72" s="21">
        <v>2</v>
      </c>
      <c r="U72" s="337">
        <f t="shared" si="9"/>
        <v>0.2</v>
      </c>
      <c r="V72" s="167"/>
      <c r="W72" s="22"/>
      <c r="X72" s="17"/>
      <c r="Y72" s="372"/>
      <c r="Z72" s="373"/>
    </row>
    <row r="73" spans="1:26">
      <c r="A73" s="211"/>
      <c r="B73" s="215"/>
      <c r="C73" s="216"/>
      <c r="D73" s="216"/>
      <c r="E73" s="217"/>
      <c r="F73" s="217"/>
      <c r="G73" s="217"/>
      <c r="H73" s="217"/>
      <c r="I73" s="217"/>
      <c r="J73" s="217"/>
      <c r="K73" s="289"/>
      <c r="L73" s="290"/>
      <c r="M73" s="291"/>
      <c r="N73" s="291"/>
      <c r="O73" s="291"/>
      <c r="P73" s="289"/>
      <c r="Q73" s="335" t="s">
        <v>109</v>
      </c>
      <c r="R73" s="336" t="s">
        <v>70</v>
      </c>
      <c r="S73" s="27">
        <v>0.4</v>
      </c>
      <c r="T73" s="21">
        <v>2</v>
      </c>
      <c r="U73" s="337">
        <f t="shared" si="9"/>
        <v>0.2</v>
      </c>
      <c r="V73" s="167"/>
      <c r="W73" s="22"/>
      <c r="X73" s="17"/>
      <c r="Y73" s="372"/>
      <c r="Z73" s="373"/>
    </row>
    <row r="74" spans="1:26">
      <c r="A74" s="211"/>
      <c r="B74" s="215"/>
      <c r="C74" s="216"/>
      <c r="D74" s="216"/>
      <c r="E74" s="217"/>
      <c r="F74" s="217"/>
      <c r="G74" s="217"/>
      <c r="H74" s="217"/>
      <c r="I74" s="217"/>
      <c r="J74" s="217"/>
      <c r="K74" s="289"/>
      <c r="L74" s="290"/>
      <c r="M74" s="291"/>
      <c r="N74" s="291"/>
      <c r="O74" s="291"/>
      <c r="P74" s="289"/>
      <c r="Q74" s="335" t="s">
        <v>110</v>
      </c>
      <c r="R74" s="336" t="s">
        <v>35</v>
      </c>
      <c r="S74" s="27">
        <v>0.15</v>
      </c>
      <c r="T74" s="21">
        <v>2</v>
      </c>
      <c r="U74" s="337">
        <f t="shared" si="9"/>
        <v>0.075</v>
      </c>
      <c r="V74" s="167"/>
      <c r="W74" s="22"/>
      <c r="X74" s="17"/>
      <c r="Y74" s="372"/>
      <c r="Z74" s="373"/>
    </row>
    <row r="75" spans="1:26">
      <c r="A75" s="211"/>
      <c r="B75" s="215"/>
      <c r="C75" s="216"/>
      <c r="D75" s="216"/>
      <c r="E75" s="217"/>
      <c r="F75" s="217"/>
      <c r="G75" s="217"/>
      <c r="H75" s="217"/>
      <c r="I75" s="217"/>
      <c r="J75" s="217"/>
      <c r="K75" s="289"/>
      <c r="L75" s="290"/>
      <c r="M75" s="291"/>
      <c r="N75" s="291"/>
      <c r="O75" s="291"/>
      <c r="P75" s="289"/>
      <c r="Q75" s="335" t="s">
        <v>111</v>
      </c>
      <c r="R75" s="336" t="s">
        <v>35</v>
      </c>
      <c r="S75" s="27">
        <v>0.15</v>
      </c>
      <c r="T75" s="21">
        <v>1</v>
      </c>
      <c r="U75" s="337">
        <f t="shared" si="9"/>
        <v>0.15</v>
      </c>
      <c r="V75" s="167"/>
      <c r="W75" s="22"/>
      <c r="X75" s="17"/>
      <c r="Y75" s="372"/>
      <c r="Z75" s="373"/>
    </row>
    <row r="76" spans="1:26">
      <c r="A76" s="211"/>
      <c r="B76" s="215"/>
      <c r="C76" s="216"/>
      <c r="D76" s="216"/>
      <c r="E76" s="218"/>
      <c r="F76" s="218"/>
      <c r="G76" s="218"/>
      <c r="H76" s="218"/>
      <c r="I76" s="218"/>
      <c r="J76" s="218"/>
      <c r="K76" s="292"/>
      <c r="L76" s="293"/>
      <c r="M76" s="294"/>
      <c r="N76" s="294"/>
      <c r="O76" s="294"/>
      <c r="P76" s="292"/>
      <c r="Q76" s="335" t="s">
        <v>100</v>
      </c>
      <c r="R76" s="336" t="s">
        <v>35</v>
      </c>
      <c r="S76" s="27">
        <v>0.15</v>
      </c>
      <c r="T76" s="21">
        <v>1</v>
      </c>
      <c r="U76" s="337">
        <f t="shared" si="9"/>
        <v>0.15</v>
      </c>
      <c r="V76" s="167"/>
      <c r="W76" s="22"/>
      <c r="X76" s="17"/>
      <c r="Y76" s="372"/>
      <c r="Z76" s="373"/>
    </row>
    <row r="77" spans="1:26">
      <c r="A77" s="211"/>
      <c r="B77" s="215"/>
      <c r="C77" s="216"/>
      <c r="D77" s="216"/>
      <c r="E77" s="214" t="s">
        <v>112</v>
      </c>
      <c r="F77" s="214" t="s">
        <v>58</v>
      </c>
      <c r="G77" s="214">
        <v>1</v>
      </c>
      <c r="H77" s="214">
        <f>47+6</f>
        <v>53</v>
      </c>
      <c r="I77" s="214">
        <f>25+6</f>
        <v>31</v>
      </c>
      <c r="J77" s="214">
        <v>2</v>
      </c>
      <c r="K77" s="286">
        <v>5.59</v>
      </c>
      <c r="L77" s="287">
        <v>3.4</v>
      </c>
      <c r="M77" s="288">
        <f>H77*I77*J77*7.85/1000000</f>
        <v>0.0257951</v>
      </c>
      <c r="N77" s="288">
        <f>47*25*2*7.85/1000000</f>
        <v>0.0184475</v>
      </c>
      <c r="O77" s="288">
        <f>M77-N77</f>
        <v>0.0073476</v>
      </c>
      <c r="P77" s="286">
        <f>(K77*M77-L77*O77)*G77</f>
        <v>0.119212769</v>
      </c>
      <c r="Q77" s="335" t="s">
        <v>34</v>
      </c>
      <c r="R77" s="3" t="s">
        <v>41</v>
      </c>
      <c r="S77" s="27">
        <v>0.05</v>
      </c>
      <c r="T77" s="21">
        <v>1</v>
      </c>
      <c r="U77" s="337">
        <f t="shared" si="9"/>
        <v>0.05</v>
      </c>
      <c r="V77" s="167"/>
      <c r="W77" s="22"/>
      <c r="X77" s="17"/>
      <c r="Y77" s="372"/>
      <c r="Z77" s="373"/>
    </row>
    <row r="78" spans="1:26">
      <c r="A78" s="211"/>
      <c r="B78" s="215"/>
      <c r="C78" s="216"/>
      <c r="D78" s="216"/>
      <c r="E78" s="217"/>
      <c r="F78" s="217"/>
      <c r="G78" s="217"/>
      <c r="H78" s="217"/>
      <c r="I78" s="217"/>
      <c r="J78" s="217"/>
      <c r="K78" s="289"/>
      <c r="L78" s="290"/>
      <c r="M78" s="291"/>
      <c r="N78" s="291"/>
      <c r="O78" s="291"/>
      <c r="P78" s="289"/>
      <c r="Q78" s="335" t="s">
        <v>36</v>
      </c>
      <c r="R78" s="336" t="s">
        <v>113</v>
      </c>
      <c r="S78" s="27">
        <v>0.04</v>
      </c>
      <c r="T78" s="21">
        <v>1</v>
      </c>
      <c r="U78" s="337">
        <f t="shared" si="9"/>
        <v>0.04</v>
      </c>
      <c r="V78" s="167"/>
      <c r="W78" s="22"/>
      <c r="X78" s="17"/>
      <c r="Y78" s="372"/>
      <c r="Z78" s="373"/>
    </row>
    <row r="79" spans="1:26">
      <c r="A79" s="211"/>
      <c r="B79" s="215"/>
      <c r="C79" s="216"/>
      <c r="D79" s="216"/>
      <c r="E79" s="218"/>
      <c r="F79" s="218"/>
      <c r="G79" s="218"/>
      <c r="H79" s="218"/>
      <c r="I79" s="218"/>
      <c r="J79" s="218"/>
      <c r="K79" s="292"/>
      <c r="L79" s="293"/>
      <c r="M79" s="294"/>
      <c r="N79" s="294"/>
      <c r="O79" s="294"/>
      <c r="P79" s="292"/>
      <c r="Q79" s="335" t="s">
        <v>114</v>
      </c>
      <c r="R79" s="336" t="s">
        <v>115</v>
      </c>
      <c r="S79" s="27">
        <v>0.6</v>
      </c>
      <c r="T79" s="21">
        <v>1</v>
      </c>
      <c r="U79" s="337">
        <f t="shared" si="9"/>
        <v>0.6</v>
      </c>
      <c r="V79" s="167"/>
      <c r="W79" s="22"/>
      <c r="X79" s="17"/>
      <c r="Y79" s="372"/>
      <c r="Z79" s="373"/>
    </row>
    <row r="80" spans="1:26">
      <c r="A80" s="211"/>
      <c r="B80" s="215"/>
      <c r="C80" s="216"/>
      <c r="D80" s="216"/>
      <c r="E80" s="219" t="s">
        <v>45</v>
      </c>
      <c r="F80" s="220"/>
      <c r="G80" s="220"/>
      <c r="H80" s="220"/>
      <c r="I80" s="220"/>
      <c r="J80" s="220"/>
      <c r="K80" s="295"/>
      <c r="L80" s="296"/>
      <c r="M80" s="297"/>
      <c r="N80" s="297"/>
      <c r="O80" s="297"/>
      <c r="P80" s="298">
        <f>SUM(P71:P79)</f>
        <v>3.271900609</v>
      </c>
      <c r="Q80" s="126" t="s">
        <v>46</v>
      </c>
      <c r="R80" s="126"/>
      <c r="S80" s="126"/>
      <c r="T80" s="126"/>
      <c r="U80" s="338">
        <f>SUM(U71:U79)</f>
        <v>1.64</v>
      </c>
      <c r="V80" s="167"/>
      <c r="W80" s="22"/>
      <c r="X80" s="17"/>
      <c r="Y80" s="372"/>
      <c r="Z80" s="373"/>
    </row>
    <row r="81" spans="1:26">
      <c r="A81" s="211"/>
      <c r="B81" s="212" t="s">
        <v>116</v>
      </c>
      <c r="C81" s="213" t="s">
        <v>117</v>
      </c>
      <c r="D81" s="213" t="s">
        <v>118</v>
      </c>
      <c r="E81" s="214" t="s">
        <v>119</v>
      </c>
      <c r="F81" s="214" t="s">
        <v>58</v>
      </c>
      <c r="G81" s="214">
        <v>1</v>
      </c>
      <c r="H81" s="214">
        <f>484+15+6</f>
        <v>505</v>
      </c>
      <c r="I81" s="214">
        <f>90+6</f>
        <v>96</v>
      </c>
      <c r="J81" s="214">
        <v>2</v>
      </c>
      <c r="K81" s="286">
        <v>5.59</v>
      </c>
      <c r="L81" s="214">
        <v>3.4</v>
      </c>
      <c r="M81" s="288">
        <f>H81*I81*J81*7.85/1000000</f>
        <v>0.761136</v>
      </c>
      <c r="N81" s="288">
        <v>0.437</v>
      </c>
      <c r="O81" s="288">
        <f>M81-N81</f>
        <v>0.324136</v>
      </c>
      <c r="P81" s="286">
        <f>(K81*M81-L81*O81)*G81</f>
        <v>3.15268784</v>
      </c>
      <c r="Q81" s="335" t="s">
        <v>34</v>
      </c>
      <c r="R81" s="336" t="s">
        <v>69</v>
      </c>
      <c r="S81" s="27">
        <v>0.35</v>
      </c>
      <c r="T81" s="21">
        <v>2</v>
      </c>
      <c r="U81" s="337">
        <f t="shared" ref="U81:U89" si="10">S81/T81</f>
        <v>0.175</v>
      </c>
      <c r="V81" s="155">
        <v>1.12</v>
      </c>
      <c r="W81" s="22">
        <f>(P90+U90)*V81</f>
        <v>5.50132868208</v>
      </c>
      <c r="X81" s="17"/>
      <c r="Y81" s="372">
        <v>100000</v>
      </c>
      <c r="Z81" s="373">
        <f>W81+X71/Y81/2</f>
        <v>6.14632868208</v>
      </c>
    </row>
    <row r="82" spans="1:26">
      <c r="A82" s="211"/>
      <c r="B82" s="215"/>
      <c r="C82" s="216"/>
      <c r="D82" s="216"/>
      <c r="E82" s="217"/>
      <c r="F82" s="217"/>
      <c r="G82" s="217"/>
      <c r="H82" s="217"/>
      <c r="I82" s="217"/>
      <c r="J82" s="217"/>
      <c r="K82" s="289"/>
      <c r="L82" s="217"/>
      <c r="M82" s="291"/>
      <c r="N82" s="291"/>
      <c r="O82" s="291"/>
      <c r="P82" s="289"/>
      <c r="Q82" s="335" t="s">
        <v>36</v>
      </c>
      <c r="R82" s="336" t="s">
        <v>70</v>
      </c>
      <c r="S82" s="27">
        <v>0.4</v>
      </c>
      <c r="T82" s="21">
        <v>2</v>
      </c>
      <c r="U82" s="337">
        <f t="shared" si="10"/>
        <v>0.2</v>
      </c>
      <c r="V82" s="167"/>
      <c r="W82" s="22"/>
      <c r="X82" s="17"/>
      <c r="Y82" s="372"/>
      <c r="Z82" s="373"/>
    </row>
    <row r="83" spans="1:26">
      <c r="A83" s="211"/>
      <c r="B83" s="215"/>
      <c r="C83" s="216"/>
      <c r="D83" s="216"/>
      <c r="E83" s="217"/>
      <c r="F83" s="217"/>
      <c r="G83" s="217"/>
      <c r="H83" s="217"/>
      <c r="I83" s="217"/>
      <c r="J83" s="217"/>
      <c r="K83" s="289"/>
      <c r="L83" s="217"/>
      <c r="M83" s="291"/>
      <c r="N83" s="291"/>
      <c r="O83" s="291"/>
      <c r="P83" s="289"/>
      <c r="Q83" s="335" t="s">
        <v>109</v>
      </c>
      <c r="R83" s="336" t="s">
        <v>70</v>
      </c>
      <c r="S83" s="27">
        <v>0.4</v>
      </c>
      <c r="T83" s="21">
        <v>2</v>
      </c>
      <c r="U83" s="337">
        <f t="shared" si="10"/>
        <v>0.2</v>
      </c>
      <c r="V83" s="167"/>
      <c r="W83" s="22"/>
      <c r="X83" s="17"/>
      <c r="Y83" s="372"/>
      <c r="Z83" s="373"/>
    </row>
    <row r="84" spans="1:26">
      <c r="A84" s="211"/>
      <c r="B84" s="215"/>
      <c r="C84" s="216"/>
      <c r="D84" s="216"/>
      <c r="E84" s="217"/>
      <c r="F84" s="217"/>
      <c r="G84" s="217"/>
      <c r="H84" s="217"/>
      <c r="I84" s="217"/>
      <c r="J84" s="217"/>
      <c r="K84" s="289"/>
      <c r="L84" s="217"/>
      <c r="M84" s="291"/>
      <c r="N84" s="291"/>
      <c r="O84" s="291"/>
      <c r="P84" s="289"/>
      <c r="Q84" s="335" t="s">
        <v>110</v>
      </c>
      <c r="R84" s="336" t="s">
        <v>35</v>
      </c>
      <c r="S84" s="27">
        <v>0.15</v>
      </c>
      <c r="T84" s="21">
        <v>2</v>
      </c>
      <c r="U84" s="337">
        <f t="shared" si="10"/>
        <v>0.075</v>
      </c>
      <c r="V84" s="167"/>
      <c r="W84" s="22"/>
      <c r="X84" s="17"/>
      <c r="Y84" s="372"/>
      <c r="Z84" s="373"/>
    </row>
    <row r="85" spans="1:26">
      <c r="A85" s="211"/>
      <c r="B85" s="215"/>
      <c r="C85" s="216"/>
      <c r="D85" s="216"/>
      <c r="E85" s="217"/>
      <c r="F85" s="217"/>
      <c r="G85" s="217"/>
      <c r="H85" s="217"/>
      <c r="I85" s="217"/>
      <c r="J85" s="217"/>
      <c r="K85" s="289"/>
      <c r="L85" s="217"/>
      <c r="M85" s="291"/>
      <c r="N85" s="291"/>
      <c r="O85" s="291"/>
      <c r="P85" s="289"/>
      <c r="Q85" s="335" t="s">
        <v>111</v>
      </c>
      <c r="R85" s="336" t="s">
        <v>35</v>
      </c>
      <c r="S85" s="27">
        <v>0.15</v>
      </c>
      <c r="T85" s="21">
        <v>1</v>
      </c>
      <c r="U85" s="337">
        <f t="shared" si="10"/>
        <v>0.15</v>
      </c>
      <c r="V85" s="167"/>
      <c r="W85" s="22"/>
      <c r="X85" s="17"/>
      <c r="Y85" s="372"/>
      <c r="Z85" s="373"/>
    </row>
    <row r="86" spans="1:26">
      <c r="A86" s="211"/>
      <c r="B86" s="215"/>
      <c r="C86" s="216"/>
      <c r="D86" s="216"/>
      <c r="E86" s="218"/>
      <c r="F86" s="218"/>
      <c r="G86" s="218"/>
      <c r="H86" s="218"/>
      <c r="I86" s="218"/>
      <c r="J86" s="218"/>
      <c r="K86" s="292"/>
      <c r="L86" s="218"/>
      <c r="M86" s="294"/>
      <c r="N86" s="294"/>
      <c r="O86" s="294"/>
      <c r="P86" s="292"/>
      <c r="Q86" s="335" t="s">
        <v>100</v>
      </c>
      <c r="R86" s="336" t="s">
        <v>35</v>
      </c>
      <c r="S86" s="27">
        <v>0.15</v>
      </c>
      <c r="T86" s="21">
        <v>1</v>
      </c>
      <c r="U86" s="337">
        <f t="shared" si="10"/>
        <v>0.15</v>
      </c>
      <c r="V86" s="167"/>
      <c r="W86" s="22"/>
      <c r="X86" s="17"/>
      <c r="Y86" s="372"/>
      <c r="Z86" s="373"/>
    </row>
    <row r="87" spans="1:26">
      <c r="A87" s="211"/>
      <c r="B87" s="215"/>
      <c r="C87" s="216"/>
      <c r="D87" s="216"/>
      <c r="E87" s="214" t="s">
        <v>112</v>
      </c>
      <c r="F87" s="214" t="s">
        <v>58</v>
      </c>
      <c r="G87" s="214">
        <v>1</v>
      </c>
      <c r="H87" s="214">
        <f>47+6</f>
        <v>53</v>
      </c>
      <c r="I87" s="214">
        <f>25+6</f>
        <v>31</v>
      </c>
      <c r="J87" s="214">
        <v>2</v>
      </c>
      <c r="K87" s="286">
        <v>5.59</v>
      </c>
      <c r="L87" s="214">
        <v>3.4</v>
      </c>
      <c r="M87" s="288">
        <f>H87*I87*J87*7.85/1000000</f>
        <v>0.0257951</v>
      </c>
      <c r="N87" s="288">
        <f>47*25*2*7.85/1000000</f>
        <v>0.0184475</v>
      </c>
      <c r="O87" s="288">
        <f>M87-N87</f>
        <v>0.0073476</v>
      </c>
      <c r="P87" s="286">
        <f>(K87*M87-L87*O87)*G87</f>
        <v>0.119212769</v>
      </c>
      <c r="Q87" s="335" t="s">
        <v>34</v>
      </c>
      <c r="R87" s="3" t="s">
        <v>41</v>
      </c>
      <c r="S87" s="27">
        <v>0.05</v>
      </c>
      <c r="T87" s="21">
        <v>1</v>
      </c>
      <c r="U87" s="337">
        <f t="shared" si="10"/>
        <v>0.05</v>
      </c>
      <c r="V87" s="167"/>
      <c r="W87" s="22"/>
      <c r="X87" s="17"/>
      <c r="Y87" s="372"/>
      <c r="Z87" s="373"/>
    </row>
    <row r="88" spans="1:26">
      <c r="A88" s="211"/>
      <c r="B88" s="215"/>
      <c r="C88" s="216"/>
      <c r="D88" s="216"/>
      <c r="E88" s="217"/>
      <c r="F88" s="217"/>
      <c r="G88" s="217"/>
      <c r="H88" s="217"/>
      <c r="I88" s="217"/>
      <c r="J88" s="217"/>
      <c r="K88" s="289"/>
      <c r="L88" s="217"/>
      <c r="M88" s="291"/>
      <c r="N88" s="291"/>
      <c r="O88" s="291"/>
      <c r="P88" s="289"/>
      <c r="Q88" s="335" t="s">
        <v>36</v>
      </c>
      <c r="R88" s="336" t="s">
        <v>113</v>
      </c>
      <c r="S88" s="27">
        <v>0.04</v>
      </c>
      <c r="T88" s="21">
        <v>1</v>
      </c>
      <c r="U88" s="337">
        <f t="shared" si="10"/>
        <v>0.04</v>
      </c>
      <c r="V88" s="167"/>
      <c r="W88" s="22"/>
      <c r="X88" s="17"/>
      <c r="Y88" s="372"/>
      <c r="Z88" s="373"/>
    </row>
    <row r="89" spans="1:26">
      <c r="A89" s="211"/>
      <c r="B89" s="215"/>
      <c r="C89" s="216"/>
      <c r="D89" s="216"/>
      <c r="E89" s="218"/>
      <c r="F89" s="218"/>
      <c r="G89" s="218"/>
      <c r="H89" s="218"/>
      <c r="I89" s="218"/>
      <c r="J89" s="218"/>
      <c r="K89" s="292"/>
      <c r="L89" s="218"/>
      <c r="M89" s="294"/>
      <c r="N89" s="294"/>
      <c r="O89" s="294"/>
      <c r="P89" s="292"/>
      <c r="Q89" s="335" t="s">
        <v>114</v>
      </c>
      <c r="R89" s="336" t="s">
        <v>115</v>
      </c>
      <c r="S89" s="27">
        <v>0.6</v>
      </c>
      <c r="T89" s="21">
        <v>1</v>
      </c>
      <c r="U89" s="337">
        <f t="shared" si="10"/>
        <v>0.6</v>
      </c>
      <c r="V89" s="167"/>
      <c r="W89" s="22"/>
      <c r="X89" s="17"/>
      <c r="Y89" s="372"/>
      <c r="Z89" s="373"/>
    </row>
    <row r="90" spans="1:26">
      <c r="A90" s="211"/>
      <c r="B90" s="215"/>
      <c r="C90" s="216"/>
      <c r="D90" s="216"/>
      <c r="E90" s="219" t="s">
        <v>45</v>
      </c>
      <c r="F90" s="220"/>
      <c r="G90" s="220"/>
      <c r="H90" s="220"/>
      <c r="I90" s="220"/>
      <c r="J90" s="220"/>
      <c r="K90" s="295"/>
      <c r="L90" s="296"/>
      <c r="M90" s="297"/>
      <c r="N90" s="297"/>
      <c r="O90" s="297"/>
      <c r="P90" s="298">
        <f>SUM(P81:P89)</f>
        <v>3.271900609</v>
      </c>
      <c r="Q90" s="126" t="s">
        <v>46</v>
      </c>
      <c r="R90" s="126"/>
      <c r="S90" s="126"/>
      <c r="T90" s="126"/>
      <c r="U90" s="338">
        <f>SUM(U81:U89)</f>
        <v>1.64</v>
      </c>
      <c r="V90" s="167"/>
      <c r="W90" s="22"/>
      <c r="X90" s="19"/>
      <c r="Y90" s="372"/>
      <c r="Z90" s="373"/>
    </row>
    <row r="91" ht="27" spans="1:26">
      <c r="A91" s="211"/>
      <c r="B91" s="212" t="s">
        <v>120</v>
      </c>
      <c r="C91" s="213" t="s">
        <v>121</v>
      </c>
      <c r="D91" s="213" t="s">
        <v>122</v>
      </c>
      <c r="E91" s="221" t="s">
        <v>123</v>
      </c>
      <c r="F91" s="221" t="s">
        <v>58</v>
      </c>
      <c r="G91" s="222">
        <v>1</v>
      </c>
      <c r="H91" s="223">
        <f>248+10</f>
        <v>258</v>
      </c>
      <c r="I91" s="223">
        <f>85+10</f>
        <v>95</v>
      </c>
      <c r="J91" s="223">
        <v>3</v>
      </c>
      <c r="K91" s="299">
        <v>5.59</v>
      </c>
      <c r="L91" s="300">
        <v>3.4</v>
      </c>
      <c r="M91" s="301">
        <f>H91*I91*J91*7.85/1000000</f>
        <v>0.5772105</v>
      </c>
      <c r="N91" s="302">
        <f>0.47-N94-N95</f>
        <v>0.40230167</v>
      </c>
      <c r="O91" s="301">
        <f>M91-N91</f>
        <v>0.17490883</v>
      </c>
      <c r="P91" s="303">
        <f>(K91*M91-L91*O91)*G91</f>
        <v>2.631916673</v>
      </c>
      <c r="Q91" s="335" t="s">
        <v>34</v>
      </c>
      <c r="R91" s="336" t="s">
        <v>35</v>
      </c>
      <c r="S91" s="27">
        <v>0.15</v>
      </c>
      <c r="T91" s="21">
        <v>1</v>
      </c>
      <c r="U91" s="337">
        <f t="shared" ref="U91:U96" si="11">S91/T91</f>
        <v>0.15</v>
      </c>
      <c r="V91" s="155">
        <v>1.12</v>
      </c>
      <c r="W91" s="22">
        <f>(P97+U97)*V91</f>
        <v>5.06102990349451</v>
      </c>
      <c r="X91" s="225">
        <f>18000+3100</f>
        <v>21100</v>
      </c>
      <c r="Y91" s="372">
        <v>100000</v>
      </c>
      <c r="Z91" s="373">
        <f>W91+X91/Y91</f>
        <v>5.27202990349451</v>
      </c>
    </row>
    <row r="92" spans="1:26">
      <c r="A92" s="211"/>
      <c r="B92" s="212"/>
      <c r="C92" s="213"/>
      <c r="D92" s="213"/>
      <c r="F92" s="221"/>
      <c r="G92" s="222"/>
      <c r="H92" s="223"/>
      <c r="I92" s="223"/>
      <c r="J92" s="223"/>
      <c r="K92" s="299"/>
      <c r="L92" s="300"/>
      <c r="M92" s="301"/>
      <c r="N92" s="302"/>
      <c r="O92" s="301"/>
      <c r="P92" s="303"/>
      <c r="Q92" s="335" t="s">
        <v>36</v>
      </c>
      <c r="R92" s="336" t="s">
        <v>38</v>
      </c>
      <c r="S92" s="27">
        <v>0.1</v>
      </c>
      <c r="T92" s="21">
        <v>1</v>
      </c>
      <c r="U92" s="337">
        <f t="shared" si="11"/>
        <v>0.1</v>
      </c>
      <c r="V92" s="167"/>
      <c r="W92" s="22"/>
      <c r="X92" s="225"/>
      <c r="Y92" s="372"/>
      <c r="Z92" s="373"/>
    </row>
    <row r="93" spans="1:26">
      <c r="A93" s="211"/>
      <c r="B93" s="212"/>
      <c r="C93" s="213"/>
      <c r="D93" s="213"/>
      <c r="E93" s="221"/>
      <c r="F93" s="221"/>
      <c r="G93" s="222"/>
      <c r="H93" s="223"/>
      <c r="I93" s="223"/>
      <c r="J93" s="223"/>
      <c r="K93" s="299"/>
      <c r="L93" s="300"/>
      <c r="M93" s="301"/>
      <c r="N93" s="302"/>
      <c r="O93" s="301"/>
      <c r="P93" s="303"/>
      <c r="Q93" s="335" t="s">
        <v>37</v>
      </c>
      <c r="R93" s="336" t="s">
        <v>43</v>
      </c>
      <c r="S93" s="27">
        <v>0.07</v>
      </c>
      <c r="T93" s="21">
        <v>1</v>
      </c>
      <c r="U93" s="337">
        <f t="shared" si="11"/>
        <v>0.07</v>
      </c>
      <c r="V93" s="167"/>
      <c r="W93" s="22"/>
      <c r="X93" s="225"/>
      <c r="Y93" s="372"/>
      <c r="Z93" s="373"/>
    </row>
    <row r="94" spans="1:26">
      <c r="A94" s="211"/>
      <c r="B94" s="212"/>
      <c r="C94" s="213"/>
      <c r="D94" s="213"/>
      <c r="E94" s="221" t="s">
        <v>124</v>
      </c>
      <c r="F94" s="221" t="s">
        <v>58</v>
      </c>
      <c r="G94" s="222">
        <v>1</v>
      </c>
      <c r="H94" s="223">
        <v>65</v>
      </c>
      <c r="I94" s="223">
        <v>40</v>
      </c>
      <c r="J94" s="223">
        <v>2.5</v>
      </c>
      <c r="K94" s="299">
        <v>5.59</v>
      </c>
      <c r="L94" s="300">
        <v>3.4</v>
      </c>
      <c r="M94" s="301">
        <f>H94*I94*J94*7.85/1000000</f>
        <v>0.051025</v>
      </c>
      <c r="N94" s="302">
        <f>(H94-10)*(I94-10)*2.5*7.85/1000000</f>
        <v>0.03238125</v>
      </c>
      <c r="O94" s="301">
        <f>M94-N94</f>
        <v>0.01864375</v>
      </c>
      <c r="P94" s="303">
        <f>(K94*M94-L94*O94)*G94</f>
        <v>0.221841</v>
      </c>
      <c r="Q94" s="335" t="s">
        <v>34</v>
      </c>
      <c r="R94" s="336" t="s">
        <v>43</v>
      </c>
      <c r="S94" s="27">
        <v>0.07</v>
      </c>
      <c r="T94" s="21">
        <v>1</v>
      </c>
      <c r="U94" s="337">
        <f t="shared" si="11"/>
        <v>0.07</v>
      </c>
      <c r="V94" s="167"/>
      <c r="W94" s="22"/>
      <c r="X94" s="225"/>
      <c r="Y94" s="372"/>
      <c r="Z94" s="373"/>
    </row>
    <row r="95" spans="1:26">
      <c r="A95" s="211"/>
      <c r="B95" s="215"/>
      <c r="C95" s="216"/>
      <c r="D95" s="216"/>
      <c r="E95" s="224" t="s">
        <v>125</v>
      </c>
      <c r="F95" s="221"/>
      <c r="G95" s="222">
        <v>1</v>
      </c>
      <c r="H95" s="223"/>
      <c r="I95" s="223"/>
      <c r="J95" s="223"/>
      <c r="K95" s="299">
        <f>0.7/1.13</f>
        <v>0.619469026548673</v>
      </c>
      <c r="L95" s="300"/>
      <c r="M95" s="301"/>
      <c r="N95" s="302">
        <f>12*12*0.00617*0.033+18*18*0.00617*0.003</f>
        <v>0.03531708</v>
      </c>
      <c r="O95" s="301"/>
      <c r="P95" s="303">
        <f>G95*K95</f>
        <v>0.619469026548673</v>
      </c>
      <c r="Q95" s="335" t="s">
        <v>36</v>
      </c>
      <c r="R95" s="336" t="s">
        <v>41</v>
      </c>
      <c r="S95" s="27">
        <v>0.05</v>
      </c>
      <c r="T95" s="21">
        <v>1</v>
      </c>
      <c r="U95" s="337">
        <f t="shared" si="11"/>
        <v>0.05</v>
      </c>
      <c r="V95" s="167"/>
      <c r="W95" s="22"/>
      <c r="X95" s="28"/>
      <c r="Y95" s="372"/>
      <c r="Z95" s="373"/>
    </row>
    <row r="96" spans="1:26">
      <c r="A96" s="211"/>
      <c r="B96" s="215"/>
      <c r="C96" s="216"/>
      <c r="D96" s="216"/>
      <c r="E96" s="225"/>
      <c r="F96" s="221"/>
      <c r="G96" s="222"/>
      <c r="H96" s="223"/>
      <c r="I96" s="223"/>
      <c r="J96" s="223"/>
      <c r="K96" s="299"/>
      <c r="L96" s="300"/>
      <c r="M96" s="301"/>
      <c r="N96" s="302"/>
      <c r="O96" s="301"/>
      <c r="P96" s="303"/>
      <c r="Q96" s="335" t="s">
        <v>44</v>
      </c>
      <c r="R96" s="339">
        <f>3+3.5+2+1.15*3.14</f>
        <v>12.111</v>
      </c>
      <c r="S96" s="27">
        <f>0.05*R96</f>
        <v>0.60555</v>
      </c>
      <c r="T96" s="21">
        <v>1</v>
      </c>
      <c r="U96" s="337">
        <f t="shared" si="11"/>
        <v>0.60555</v>
      </c>
      <c r="V96" s="167"/>
      <c r="W96" s="22"/>
      <c r="X96" s="28"/>
      <c r="Y96" s="372"/>
      <c r="Z96" s="373"/>
    </row>
    <row r="97" spans="1:26">
      <c r="A97" s="211"/>
      <c r="B97" s="215"/>
      <c r="C97" s="216"/>
      <c r="D97" s="216"/>
      <c r="E97" s="219" t="s">
        <v>45</v>
      </c>
      <c r="F97" s="220"/>
      <c r="G97" s="220"/>
      <c r="H97" s="220"/>
      <c r="I97" s="220"/>
      <c r="J97" s="220"/>
      <c r="K97" s="295"/>
      <c r="L97" s="296"/>
      <c r="M97" s="297"/>
      <c r="N97" s="297"/>
      <c r="O97" s="297"/>
      <c r="P97" s="298">
        <f>SUM(P91:P96)</f>
        <v>3.47322669954867</v>
      </c>
      <c r="Q97" s="126" t="s">
        <v>46</v>
      </c>
      <c r="R97" s="126"/>
      <c r="S97" s="126"/>
      <c r="T97" s="126"/>
      <c r="U97" s="338">
        <f>SUM(U91:U96)</f>
        <v>1.04555</v>
      </c>
      <c r="V97" s="167"/>
      <c r="W97" s="22"/>
      <c r="X97" s="28"/>
      <c r="Y97" s="372"/>
      <c r="Z97" s="373"/>
    </row>
    <row r="99" s="44" customFormat="1" spans="1:26">
      <c r="A99" s="226">
        <v>1</v>
      </c>
      <c r="B99" s="227" t="s">
        <v>126</v>
      </c>
      <c r="C99" s="228" t="s">
        <v>127</v>
      </c>
      <c r="D99" s="228" t="s">
        <v>128</v>
      </c>
      <c r="E99" s="229" t="s">
        <v>129</v>
      </c>
      <c r="F99" s="230" t="s">
        <v>58</v>
      </c>
      <c r="G99" s="231">
        <v>1</v>
      </c>
      <c r="H99" s="232">
        <v>295</v>
      </c>
      <c r="I99" s="232">
        <v>95</v>
      </c>
      <c r="J99" s="229">
        <v>2.5</v>
      </c>
      <c r="K99" s="304">
        <v>5.59</v>
      </c>
      <c r="L99" s="305">
        <v>3.4</v>
      </c>
      <c r="M99" s="120">
        <f>H99*I99*J99*7.85/1000000</f>
        <v>0.549990625</v>
      </c>
      <c r="N99" s="306">
        <v>0.283</v>
      </c>
      <c r="O99" s="306">
        <f>M99-N99</f>
        <v>0.266990625</v>
      </c>
      <c r="P99" s="307">
        <f>(K99*M99-L99*O99)*G99</f>
        <v>2.16667946875</v>
      </c>
      <c r="Q99" s="304" t="s">
        <v>34</v>
      </c>
      <c r="R99" s="304" t="s">
        <v>38</v>
      </c>
      <c r="S99" s="304">
        <v>0.1</v>
      </c>
      <c r="T99" s="304">
        <v>1</v>
      </c>
      <c r="U99" s="304">
        <v>0.1</v>
      </c>
      <c r="V99" s="340">
        <v>1.12</v>
      </c>
      <c r="W99" s="341">
        <f>(P103+U103)*V99</f>
        <v>2.740281005</v>
      </c>
      <c r="X99" s="342">
        <v>6000</v>
      </c>
      <c r="Y99" s="342">
        <v>50000</v>
      </c>
      <c r="Z99" s="341">
        <f>W99+X99/Y99</f>
        <v>2.860281005</v>
      </c>
    </row>
    <row r="100" s="44" customFormat="1" spans="1:26">
      <c r="A100" s="233"/>
      <c r="B100" s="234"/>
      <c r="C100" s="235"/>
      <c r="D100" s="235"/>
      <c r="E100" s="229"/>
      <c r="F100" s="229"/>
      <c r="G100" s="231"/>
      <c r="H100" s="232"/>
      <c r="I100" s="232"/>
      <c r="J100" s="229"/>
      <c r="K100" s="304"/>
      <c r="L100" s="305"/>
      <c r="M100" s="308"/>
      <c r="N100" s="309"/>
      <c r="O100" s="309"/>
      <c r="P100" s="307"/>
      <c r="Q100" s="304" t="s">
        <v>36</v>
      </c>
      <c r="R100" s="304" t="s">
        <v>38</v>
      </c>
      <c r="S100" s="304">
        <v>0.1</v>
      </c>
      <c r="T100" s="304">
        <v>1</v>
      </c>
      <c r="U100" s="304">
        <v>0.1</v>
      </c>
      <c r="V100" s="343"/>
      <c r="W100" s="344"/>
      <c r="X100" s="345"/>
      <c r="Y100" s="345"/>
      <c r="Z100" s="344"/>
    </row>
    <row r="101" s="44" customFormat="1" spans="1:26">
      <c r="A101" s="233"/>
      <c r="B101" s="234"/>
      <c r="C101" s="235"/>
      <c r="D101" s="235"/>
      <c r="E101" s="229"/>
      <c r="F101" s="229"/>
      <c r="G101" s="231"/>
      <c r="H101" s="229"/>
      <c r="I101" s="229"/>
      <c r="J101" s="229"/>
      <c r="K101" s="304"/>
      <c r="L101" s="305"/>
      <c r="M101" s="309"/>
      <c r="N101" s="309"/>
      <c r="O101" s="309"/>
      <c r="P101" s="307"/>
      <c r="Q101" s="304" t="s">
        <v>37</v>
      </c>
      <c r="R101" s="304" t="s">
        <v>41</v>
      </c>
      <c r="S101" s="304">
        <v>0.05</v>
      </c>
      <c r="T101" s="304">
        <v>1</v>
      </c>
      <c r="U101" s="304">
        <v>0.05</v>
      </c>
      <c r="V101" s="343"/>
      <c r="W101" s="344"/>
      <c r="X101" s="345"/>
      <c r="Y101" s="345"/>
      <c r="Z101" s="344"/>
    </row>
    <row r="102" s="44" customFormat="1" spans="1:26">
      <c r="A102" s="233"/>
      <c r="B102" s="234"/>
      <c r="C102" s="235"/>
      <c r="D102" s="235"/>
      <c r="E102" s="229"/>
      <c r="F102" s="229"/>
      <c r="G102" s="231"/>
      <c r="H102" s="229"/>
      <c r="I102" s="229"/>
      <c r="J102" s="229"/>
      <c r="K102" s="304"/>
      <c r="L102" s="305"/>
      <c r="M102" s="309"/>
      <c r="N102" s="309"/>
      <c r="O102" s="309"/>
      <c r="P102" s="307"/>
      <c r="Q102" s="304" t="s">
        <v>130</v>
      </c>
      <c r="R102" s="304" t="s">
        <v>131</v>
      </c>
      <c r="S102" s="304">
        <v>0.03</v>
      </c>
      <c r="T102" s="304">
        <v>1</v>
      </c>
      <c r="U102" s="304">
        <v>0.03</v>
      </c>
      <c r="V102" s="343"/>
      <c r="W102" s="344"/>
      <c r="X102" s="345"/>
      <c r="Y102" s="345"/>
      <c r="Z102" s="344"/>
    </row>
    <row r="103" s="44" customFormat="1" spans="1:26">
      <c r="A103" s="236"/>
      <c r="B103" s="237"/>
      <c r="C103" s="238"/>
      <c r="D103" s="238"/>
      <c r="E103" s="239" t="s">
        <v>28</v>
      </c>
      <c r="F103" s="240"/>
      <c r="G103" s="240"/>
      <c r="H103" s="240"/>
      <c r="I103" s="240"/>
      <c r="J103" s="240"/>
      <c r="K103" s="310"/>
      <c r="L103" s="240"/>
      <c r="M103" s="240"/>
      <c r="N103" s="240"/>
      <c r="O103" s="311"/>
      <c r="P103" s="307">
        <f>SUM(P99:P102)</f>
        <v>2.16667946875</v>
      </c>
      <c r="Q103" s="304"/>
      <c r="R103" s="304"/>
      <c r="S103" s="304"/>
      <c r="T103" s="304"/>
      <c r="U103" s="304">
        <f>SUM(U99:U102)</f>
        <v>0.28</v>
      </c>
      <c r="V103" s="346"/>
      <c r="W103" s="347"/>
      <c r="X103" s="348"/>
      <c r="Y103" s="348"/>
      <c r="Z103" s="347"/>
    </row>
    <row r="104" spans="1:26">
      <c r="A104" s="28">
        <v>2</v>
      </c>
      <c r="B104" s="28" t="s">
        <v>132</v>
      </c>
      <c r="C104" s="28" t="s">
        <v>133</v>
      </c>
      <c r="D104" s="28" t="s">
        <v>134</v>
      </c>
      <c r="E104" s="28"/>
      <c r="F104" s="24" t="s">
        <v>58</v>
      </c>
      <c r="G104" s="24">
        <v>1</v>
      </c>
      <c r="H104" s="24">
        <v>45</v>
      </c>
      <c r="I104" s="24">
        <v>35</v>
      </c>
      <c r="J104" s="24">
        <v>3</v>
      </c>
      <c r="K104" s="40">
        <v>5.59</v>
      </c>
      <c r="L104" s="27">
        <v>3.4</v>
      </c>
      <c r="M104" s="312">
        <v>0.037</v>
      </c>
      <c r="N104" s="312">
        <v>0.013</v>
      </c>
      <c r="O104" s="309">
        <f>M104-N104</f>
        <v>0.024</v>
      </c>
      <c r="P104" s="307">
        <f>(K104*M104-L104*O104)*G104</f>
        <v>0.12523</v>
      </c>
      <c r="Q104" s="24" t="s">
        <v>34</v>
      </c>
      <c r="R104" s="24" t="s">
        <v>113</v>
      </c>
      <c r="S104" s="24">
        <v>0.03</v>
      </c>
      <c r="T104" s="24">
        <v>1</v>
      </c>
      <c r="U104" s="24">
        <f>S104*T104</f>
        <v>0.03</v>
      </c>
      <c r="V104" s="349">
        <v>1.12</v>
      </c>
      <c r="W104" s="22">
        <f>(P105+U105)*V104</f>
        <v>0.1738576</v>
      </c>
      <c r="X104" s="350">
        <v>3200</v>
      </c>
      <c r="Y104" s="350">
        <v>20000</v>
      </c>
      <c r="Z104" s="22">
        <f>W104+X104/Y104</f>
        <v>0.3338576</v>
      </c>
    </row>
    <row r="105" spans="1:26">
      <c r="A105" s="28"/>
      <c r="B105" s="28"/>
      <c r="C105" s="28"/>
      <c r="D105" s="28"/>
      <c r="E105" s="28"/>
      <c r="F105" s="21" t="s">
        <v>45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40">
        <f>P104</f>
        <v>0.12523</v>
      </c>
      <c r="Q105" s="126" t="s">
        <v>46</v>
      </c>
      <c r="R105" s="126"/>
      <c r="S105" s="126"/>
      <c r="T105" s="126"/>
      <c r="U105" s="24">
        <f>U104</f>
        <v>0.03</v>
      </c>
      <c r="V105" s="349"/>
      <c r="W105" s="22"/>
      <c r="X105" s="350"/>
      <c r="Y105" s="350"/>
      <c r="Z105" s="22"/>
    </row>
    <row r="107" spans="1:26">
      <c r="A107" s="15" t="s">
        <v>101</v>
      </c>
      <c r="B107" s="199" t="s">
        <v>1</v>
      </c>
      <c r="C107" s="199" t="s">
        <v>102</v>
      </c>
      <c r="D107" s="200" t="s">
        <v>103</v>
      </c>
      <c r="E107" s="201" t="s">
        <v>2</v>
      </c>
      <c r="F107" s="202" t="s">
        <v>5</v>
      </c>
      <c r="G107" s="203" t="s">
        <v>6</v>
      </c>
      <c r="H107" s="204" t="s">
        <v>7</v>
      </c>
      <c r="I107" s="276"/>
      <c r="J107" s="276"/>
      <c r="K107" s="277" t="s">
        <v>8</v>
      </c>
      <c r="L107" s="278"/>
      <c r="M107" s="279" t="s">
        <v>9</v>
      </c>
      <c r="N107" s="280"/>
      <c r="O107" s="281"/>
      <c r="P107" s="16" t="s">
        <v>10</v>
      </c>
      <c r="Q107" s="329" t="s">
        <v>11</v>
      </c>
      <c r="R107" s="330"/>
      <c r="S107" s="330"/>
      <c r="T107" s="330"/>
      <c r="U107" s="331"/>
      <c r="V107" s="332" t="s">
        <v>12</v>
      </c>
      <c r="W107" s="287" t="s">
        <v>13</v>
      </c>
      <c r="X107" s="214" t="s">
        <v>14</v>
      </c>
      <c r="Y107" s="225" t="s">
        <v>15</v>
      </c>
      <c r="Z107" s="214" t="s">
        <v>16</v>
      </c>
    </row>
    <row r="108" spans="1:26">
      <c r="A108" s="17" t="s">
        <v>104</v>
      </c>
      <c r="B108" s="17"/>
      <c r="C108" s="241"/>
      <c r="D108" s="206"/>
      <c r="E108" s="207"/>
      <c r="F108" s="208"/>
      <c r="G108" s="208"/>
      <c r="H108" s="210" t="s">
        <v>17</v>
      </c>
      <c r="I108" s="210" t="s">
        <v>18</v>
      </c>
      <c r="J108" s="210" t="s">
        <v>19</v>
      </c>
      <c r="K108" s="39" t="s">
        <v>20</v>
      </c>
      <c r="L108" s="282" t="s">
        <v>21</v>
      </c>
      <c r="M108" s="283" t="s">
        <v>22</v>
      </c>
      <c r="N108" s="284" t="s">
        <v>23</v>
      </c>
      <c r="O108" s="285" t="s">
        <v>21</v>
      </c>
      <c r="P108" s="18"/>
      <c r="Q108" s="16" t="s">
        <v>24</v>
      </c>
      <c r="R108" s="16" t="s">
        <v>25</v>
      </c>
      <c r="S108" s="16" t="s">
        <v>26</v>
      </c>
      <c r="T108" s="287" t="s">
        <v>27</v>
      </c>
      <c r="U108" s="333" t="s">
        <v>28</v>
      </c>
      <c r="V108" s="18"/>
      <c r="W108" s="334"/>
      <c r="X108" s="207"/>
      <c r="Y108" s="201"/>
      <c r="Z108" s="207"/>
    </row>
    <row r="109" spans="1:26">
      <c r="A109" s="15"/>
      <c r="B109" s="15" t="s">
        <v>135</v>
      </c>
      <c r="C109" s="15"/>
      <c r="D109" s="28" t="s">
        <v>136</v>
      </c>
      <c r="E109" s="28" t="s">
        <v>137</v>
      </c>
      <c r="F109" s="28" t="s">
        <v>58</v>
      </c>
      <c r="G109" s="28">
        <v>1</v>
      </c>
      <c r="H109" s="28">
        <v>93</v>
      </c>
      <c r="I109" s="28">
        <v>88</v>
      </c>
      <c r="J109" s="28">
        <v>3</v>
      </c>
      <c r="K109" s="28">
        <v>5.59</v>
      </c>
      <c r="L109" s="28">
        <v>3.4</v>
      </c>
      <c r="M109" s="28">
        <v>0.193</v>
      </c>
      <c r="N109" s="28">
        <v>0.156</v>
      </c>
      <c r="O109" s="28">
        <f>M109-N109</f>
        <v>0.037</v>
      </c>
      <c r="P109" s="313">
        <f>K109*M109-L109*O109</f>
        <v>0.95307</v>
      </c>
      <c r="Q109" s="24" t="s">
        <v>138</v>
      </c>
      <c r="R109" s="24" t="s">
        <v>43</v>
      </c>
      <c r="S109" s="24">
        <v>0.07</v>
      </c>
      <c r="T109" s="24">
        <v>1</v>
      </c>
      <c r="U109" s="24">
        <v>0.07</v>
      </c>
      <c r="V109" s="351">
        <v>1.12</v>
      </c>
      <c r="W109" s="16">
        <f>(P112+U112)*V109</f>
        <v>1.7029264</v>
      </c>
      <c r="X109" s="15">
        <v>2920</v>
      </c>
      <c r="Y109" s="15">
        <v>100000</v>
      </c>
      <c r="Z109" s="16">
        <f>W109+X109/Y109</f>
        <v>1.7321264</v>
      </c>
    </row>
    <row r="110" spans="1:26">
      <c r="A110" s="17"/>
      <c r="B110" s="17"/>
      <c r="C110" s="1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313"/>
      <c r="Q110" s="24" t="s">
        <v>36</v>
      </c>
      <c r="R110" s="24" t="s">
        <v>43</v>
      </c>
      <c r="S110" s="24">
        <v>0.07</v>
      </c>
      <c r="T110" s="24">
        <v>1</v>
      </c>
      <c r="U110" s="24">
        <v>0.07</v>
      </c>
      <c r="V110" s="17"/>
      <c r="W110" s="18"/>
      <c r="X110" s="17"/>
      <c r="Y110" s="17"/>
      <c r="Z110" s="18"/>
    </row>
    <row r="111" spans="1:26">
      <c r="A111" s="17"/>
      <c r="B111" s="17"/>
      <c r="C111" s="17"/>
      <c r="D111" s="28"/>
      <c r="E111" s="24" t="s">
        <v>139</v>
      </c>
      <c r="F111" s="24"/>
      <c r="G111" s="21">
        <v>2</v>
      </c>
      <c r="H111" s="24"/>
      <c r="I111" s="24"/>
      <c r="J111" s="24"/>
      <c r="K111" s="40">
        <v>0.1137</v>
      </c>
      <c r="L111" s="27"/>
      <c r="M111" s="312"/>
      <c r="N111" s="312"/>
      <c r="O111" s="312"/>
      <c r="P111" s="40">
        <f>G111*K111</f>
        <v>0.2274</v>
      </c>
      <c r="Q111" s="24" t="s">
        <v>44</v>
      </c>
      <c r="R111" s="24"/>
      <c r="S111" s="24">
        <v>4</v>
      </c>
      <c r="T111" s="24"/>
      <c r="U111" s="24">
        <v>0.2</v>
      </c>
      <c r="V111" s="17"/>
      <c r="W111" s="18"/>
      <c r="X111" s="17"/>
      <c r="Y111" s="17"/>
      <c r="Z111" s="18"/>
    </row>
    <row r="112" spans="1:26">
      <c r="A112" s="19"/>
      <c r="B112" s="19"/>
      <c r="C112" s="19"/>
      <c r="D112" s="28"/>
      <c r="E112" s="219" t="s">
        <v>45</v>
      </c>
      <c r="F112" s="220"/>
      <c r="G112" s="220"/>
      <c r="H112" s="220"/>
      <c r="I112" s="220"/>
      <c r="J112" s="220"/>
      <c r="K112" s="295"/>
      <c r="L112" s="296"/>
      <c r="M112" s="297"/>
      <c r="N112" s="297"/>
      <c r="O112" s="297"/>
      <c r="P112" s="314">
        <f>SUM(P109:P111)</f>
        <v>1.18047</v>
      </c>
      <c r="Q112" s="126" t="s">
        <v>46</v>
      </c>
      <c r="R112" s="126"/>
      <c r="S112" s="126"/>
      <c r="T112" s="126"/>
      <c r="U112" s="314">
        <f>SUM(U109:U111)</f>
        <v>0.34</v>
      </c>
      <c r="V112" s="19"/>
      <c r="W112" s="20"/>
      <c r="X112" s="19"/>
      <c r="Y112" s="19"/>
      <c r="Z112" s="20"/>
    </row>
    <row r="113" s="44" customFormat="1" spans="1:26">
      <c r="A113" s="211"/>
      <c r="B113" s="242" t="s">
        <v>140</v>
      </c>
      <c r="C113" s="387" t="s">
        <v>141</v>
      </c>
      <c r="D113" s="242" t="s">
        <v>142</v>
      </c>
      <c r="E113" s="229" t="s">
        <v>143</v>
      </c>
      <c r="F113" s="243" t="s">
        <v>144</v>
      </c>
      <c r="G113" s="231">
        <v>1</v>
      </c>
      <c r="H113" s="232">
        <f>324+4</f>
        <v>328</v>
      </c>
      <c r="I113" s="232">
        <v>47</v>
      </c>
      <c r="J113" s="229">
        <v>2</v>
      </c>
      <c r="K113" s="307">
        <v>5.18</v>
      </c>
      <c r="L113" s="305">
        <v>3.4</v>
      </c>
      <c r="M113" s="309">
        <f>H113*I113*J113*0.00000785</f>
        <v>0.2420312</v>
      </c>
      <c r="N113" s="309">
        <v>0.174</v>
      </c>
      <c r="O113" s="309">
        <f>M113-N113</f>
        <v>0.0680312</v>
      </c>
      <c r="P113" s="307">
        <f>(K113*M113-L113*O113)*G113</f>
        <v>1.022415536</v>
      </c>
      <c r="Q113" s="304" t="s">
        <v>34</v>
      </c>
      <c r="R113" s="352" t="s">
        <v>43</v>
      </c>
      <c r="S113" s="304">
        <v>0.07</v>
      </c>
      <c r="T113" s="352">
        <v>1</v>
      </c>
      <c r="U113" s="304">
        <v>0.07</v>
      </c>
      <c r="V113" s="353">
        <v>1.12</v>
      </c>
      <c r="W113" s="354">
        <f>(P116+U116)*V113</f>
        <v>1.31310540032</v>
      </c>
      <c r="X113" s="352">
        <v>26000</v>
      </c>
      <c r="Y113" s="352">
        <v>50000</v>
      </c>
      <c r="Z113" s="304">
        <f>W113+X113/Y113</f>
        <v>1.83310540032</v>
      </c>
    </row>
    <row r="114" s="44" customFormat="1" spans="1:26">
      <c r="A114" s="211"/>
      <c r="B114" s="242"/>
      <c r="C114" s="242"/>
      <c r="D114" s="242"/>
      <c r="E114" s="229"/>
      <c r="F114" s="244"/>
      <c r="G114" s="231"/>
      <c r="H114" s="245"/>
      <c r="I114" s="245"/>
      <c r="J114" s="245"/>
      <c r="K114" s="307"/>
      <c r="L114" s="305"/>
      <c r="M114" s="309"/>
      <c r="N114" s="309"/>
      <c r="O114" s="309"/>
      <c r="P114" s="307"/>
      <c r="Q114" s="304" t="s">
        <v>36</v>
      </c>
      <c r="R114" s="352" t="s">
        <v>41</v>
      </c>
      <c r="S114" s="304">
        <v>0.05</v>
      </c>
      <c r="T114" s="352">
        <v>1</v>
      </c>
      <c r="U114" s="304">
        <v>0.05</v>
      </c>
      <c r="V114" s="211"/>
      <c r="W114" s="354"/>
      <c r="X114" s="352"/>
      <c r="Y114" s="352"/>
      <c r="Z114" s="304"/>
    </row>
    <row r="115" s="44" customFormat="1" spans="1:26">
      <c r="A115" s="211"/>
      <c r="B115" s="242"/>
      <c r="C115" s="242"/>
      <c r="D115" s="242"/>
      <c r="E115" s="229"/>
      <c r="F115" s="244"/>
      <c r="G115" s="231"/>
      <c r="H115" s="245"/>
      <c r="I115" s="245"/>
      <c r="J115" s="245"/>
      <c r="K115" s="307"/>
      <c r="L115" s="305"/>
      <c r="M115" s="309"/>
      <c r="N115" s="309"/>
      <c r="O115" s="309"/>
      <c r="P115" s="307"/>
      <c r="Q115" s="304" t="s">
        <v>37</v>
      </c>
      <c r="R115" s="352" t="s">
        <v>145</v>
      </c>
      <c r="S115" s="304">
        <v>0.03</v>
      </c>
      <c r="T115" s="352">
        <v>1</v>
      </c>
      <c r="U115" s="304">
        <v>0.03</v>
      </c>
      <c r="V115" s="211"/>
      <c r="W115" s="354"/>
      <c r="X115" s="352"/>
      <c r="Y115" s="352"/>
      <c r="Z115" s="304"/>
    </row>
    <row r="116" s="44" customFormat="1" spans="1:26">
      <c r="A116" s="211"/>
      <c r="B116" s="242"/>
      <c r="C116" s="242"/>
      <c r="D116" s="242"/>
      <c r="E116" s="229" t="s">
        <v>28</v>
      </c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307">
        <f>SUM(P113:P115)</f>
        <v>1.022415536</v>
      </c>
      <c r="Q116" s="32" t="s">
        <v>46</v>
      </c>
      <c r="R116" s="32"/>
      <c r="S116" s="32"/>
      <c r="T116" s="32"/>
      <c r="U116" s="304">
        <f>SUM(U113:U115)</f>
        <v>0.15</v>
      </c>
      <c r="V116" s="211"/>
      <c r="W116" s="354"/>
      <c r="X116" s="352"/>
      <c r="Y116" s="352"/>
      <c r="Z116" s="304"/>
    </row>
    <row r="118" spans="1:26">
      <c r="A118" s="246">
        <v>1</v>
      </c>
      <c r="B118" s="247" t="s">
        <v>146</v>
      </c>
      <c r="C118" s="388" t="s">
        <v>147</v>
      </c>
      <c r="D118" s="247" t="s">
        <v>148</v>
      </c>
      <c r="E118" s="248" t="s">
        <v>149</v>
      </c>
      <c r="F118" s="249" t="s">
        <v>150</v>
      </c>
      <c r="G118" s="250" t="s">
        <v>151</v>
      </c>
      <c r="H118" s="251" t="s">
        <v>152</v>
      </c>
      <c r="I118" s="251" t="s">
        <v>153</v>
      </c>
      <c r="J118" s="251" t="s">
        <v>154</v>
      </c>
      <c r="K118" s="315">
        <v>5.18</v>
      </c>
      <c r="L118" s="315">
        <v>3.4</v>
      </c>
      <c r="M118" s="316">
        <f>H118*I118*J118*7.85/1000000</f>
        <v>0.953775</v>
      </c>
      <c r="N118" s="317">
        <v>0.732</v>
      </c>
      <c r="O118" s="318">
        <f>M118-N118</f>
        <v>0.221775</v>
      </c>
      <c r="P118" s="319">
        <f>M118*K118-O118*L118</f>
        <v>4.1865195</v>
      </c>
      <c r="Q118" s="355" t="s">
        <v>34</v>
      </c>
      <c r="R118" s="356" t="s">
        <v>155</v>
      </c>
      <c r="S118" s="356">
        <v>1</v>
      </c>
      <c r="T118" s="357">
        <v>0.18</v>
      </c>
      <c r="U118" s="357">
        <f t="shared" ref="U118:U123" si="12">S118*T118</f>
        <v>0.18</v>
      </c>
      <c r="V118" s="358">
        <v>1.12</v>
      </c>
      <c r="W118" s="359">
        <f>(P125+U125)*V118</f>
        <v>16.93865992</v>
      </c>
      <c r="X118" s="360">
        <v>45500</v>
      </c>
      <c r="Y118" s="360">
        <v>50000</v>
      </c>
      <c r="Z118" s="359">
        <f>W118+X118/Y118</f>
        <v>17.84865992</v>
      </c>
    </row>
    <row r="119" spans="1:26">
      <c r="A119" s="252"/>
      <c r="B119" s="253"/>
      <c r="C119" s="253"/>
      <c r="D119" s="253"/>
      <c r="E119" s="248"/>
      <c r="F119" s="249"/>
      <c r="G119" s="250"/>
      <c r="H119" s="254"/>
      <c r="I119" s="254"/>
      <c r="J119" s="254"/>
      <c r="K119" s="315"/>
      <c r="L119" s="315"/>
      <c r="M119" s="316"/>
      <c r="N119" s="317"/>
      <c r="O119" s="318"/>
      <c r="P119" s="319"/>
      <c r="Q119" s="355" t="s">
        <v>36</v>
      </c>
      <c r="R119" s="356" t="s">
        <v>35</v>
      </c>
      <c r="S119" s="356">
        <v>1</v>
      </c>
      <c r="T119" s="357">
        <v>0.15</v>
      </c>
      <c r="U119" s="357">
        <f t="shared" si="12"/>
        <v>0.15</v>
      </c>
      <c r="V119" s="361"/>
      <c r="W119" s="362"/>
      <c r="X119" s="363"/>
      <c r="Y119" s="363"/>
      <c r="Z119" s="362"/>
    </row>
    <row r="120" spans="1:26">
      <c r="A120" s="252"/>
      <c r="B120" s="253"/>
      <c r="C120" s="253"/>
      <c r="D120" s="253"/>
      <c r="E120" s="248"/>
      <c r="F120" s="249"/>
      <c r="G120" s="250"/>
      <c r="H120" s="255"/>
      <c r="I120" s="255"/>
      <c r="J120" s="255"/>
      <c r="K120" s="315"/>
      <c r="L120" s="315"/>
      <c r="M120" s="316"/>
      <c r="N120" s="317"/>
      <c r="O120" s="318"/>
      <c r="P120" s="319"/>
      <c r="Q120" s="355" t="s">
        <v>37</v>
      </c>
      <c r="R120" s="356" t="s">
        <v>60</v>
      </c>
      <c r="S120" s="356">
        <v>1</v>
      </c>
      <c r="T120" s="364">
        <v>0.08</v>
      </c>
      <c r="U120" s="357">
        <f t="shared" si="12"/>
        <v>0.08</v>
      </c>
      <c r="V120" s="361"/>
      <c r="W120" s="362"/>
      <c r="X120" s="363"/>
      <c r="Y120" s="363"/>
      <c r="Z120" s="362"/>
    </row>
    <row r="121" spans="1:26">
      <c r="A121" s="252"/>
      <c r="B121" s="253"/>
      <c r="C121" s="253"/>
      <c r="D121" s="253"/>
      <c r="E121" s="248" t="s">
        <v>156</v>
      </c>
      <c r="F121" s="249"/>
      <c r="G121" s="250" t="s">
        <v>151</v>
      </c>
      <c r="H121" s="251" t="s">
        <v>152</v>
      </c>
      <c r="I121" s="251" t="s">
        <v>157</v>
      </c>
      <c r="J121" s="251" t="s">
        <v>154</v>
      </c>
      <c r="K121" s="315">
        <v>5.18</v>
      </c>
      <c r="L121" s="315">
        <v>3.4</v>
      </c>
      <c r="M121" s="316">
        <f>H121*I121*J121*7.85/1000000</f>
        <v>0.8478</v>
      </c>
      <c r="N121" s="317">
        <v>0.623</v>
      </c>
      <c r="O121" s="318">
        <f>M121-N121</f>
        <v>0.2248</v>
      </c>
      <c r="P121" s="319">
        <f>M121*K121-O121*L121</f>
        <v>3.627284</v>
      </c>
      <c r="Q121" s="355" t="s">
        <v>34</v>
      </c>
      <c r="R121" s="356" t="s">
        <v>155</v>
      </c>
      <c r="S121" s="356">
        <v>1</v>
      </c>
      <c r="T121" s="357">
        <v>0.18</v>
      </c>
      <c r="U121" s="357">
        <f t="shared" si="12"/>
        <v>0.18</v>
      </c>
      <c r="V121" s="361"/>
      <c r="W121" s="362"/>
      <c r="X121" s="363"/>
      <c r="Y121" s="363"/>
      <c r="Z121" s="362"/>
    </row>
    <row r="122" spans="1:26">
      <c r="A122" s="252"/>
      <c r="B122" s="253"/>
      <c r="C122" s="253"/>
      <c r="D122" s="253"/>
      <c r="E122" s="248"/>
      <c r="F122" s="249"/>
      <c r="G122" s="250"/>
      <c r="H122" s="254"/>
      <c r="I122" s="254"/>
      <c r="J122" s="254"/>
      <c r="K122" s="315"/>
      <c r="L122" s="315"/>
      <c r="M122" s="316"/>
      <c r="N122" s="317"/>
      <c r="O122" s="318"/>
      <c r="P122" s="319"/>
      <c r="Q122" s="355" t="s">
        <v>36</v>
      </c>
      <c r="R122" s="356" t="s">
        <v>35</v>
      </c>
      <c r="S122" s="356">
        <v>1</v>
      </c>
      <c r="T122" s="357">
        <v>0.15</v>
      </c>
      <c r="U122" s="357">
        <f t="shared" si="12"/>
        <v>0.15</v>
      </c>
      <c r="V122" s="361"/>
      <c r="W122" s="362"/>
      <c r="X122" s="363"/>
      <c r="Y122" s="363"/>
      <c r="Z122" s="362"/>
    </row>
    <row r="123" spans="1:26">
      <c r="A123" s="252"/>
      <c r="B123" s="253"/>
      <c r="C123" s="253"/>
      <c r="D123" s="253"/>
      <c r="E123" s="248"/>
      <c r="F123" s="249"/>
      <c r="G123" s="250"/>
      <c r="H123" s="255"/>
      <c r="I123" s="255"/>
      <c r="J123" s="255"/>
      <c r="K123" s="315"/>
      <c r="L123" s="315"/>
      <c r="M123" s="316"/>
      <c r="N123" s="317"/>
      <c r="O123" s="318"/>
      <c r="P123" s="319"/>
      <c r="Q123" s="355" t="s">
        <v>37</v>
      </c>
      <c r="R123" s="356" t="s">
        <v>60</v>
      </c>
      <c r="S123" s="356">
        <v>1</v>
      </c>
      <c r="T123" s="364">
        <v>0.08</v>
      </c>
      <c r="U123" s="357">
        <f t="shared" si="12"/>
        <v>0.08</v>
      </c>
      <c r="V123" s="361"/>
      <c r="W123" s="362"/>
      <c r="X123" s="363"/>
      <c r="Y123" s="363"/>
      <c r="Z123" s="362"/>
    </row>
    <row r="124" ht="36" spans="1:26">
      <c r="A124" s="252"/>
      <c r="B124" s="253"/>
      <c r="C124" s="253"/>
      <c r="D124" s="253"/>
      <c r="E124" s="249" t="s">
        <v>158</v>
      </c>
      <c r="F124" s="256"/>
      <c r="G124" s="250" t="s">
        <v>154</v>
      </c>
      <c r="H124" s="257"/>
      <c r="I124" s="257"/>
      <c r="J124" s="257"/>
      <c r="K124" s="320"/>
      <c r="L124" s="321"/>
      <c r="M124" s="322"/>
      <c r="N124" s="319">
        <f>1.33</f>
        <v>1.33</v>
      </c>
      <c r="O124" s="315"/>
      <c r="P124" s="319">
        <f>N124*3</f>
        <v>3.99</v>
      </c>
      <c r="Q124" s="355" t="s">
        <v>44</v>
      </c>
      <c r="R124" s="365"/>
      <c r="S124" s="365" t="s">
        <v>159</v>
      </c>
      <c r="T124" s="364"/>
      <c r="U124" s="357">
        <v>2.5</v>
      </c>
      <c r="V124" s="361"/>
      <c r="W124" s="362"/>
      <c r="X124" s="363"/>
      <c r="Y124" s="363"/>
      <c r="Z124" s="362"/>
    </row>
    <row r="125" spans="1:26">
      <c r="A125" s="258"/>
      <c r="B125" s="259"/>
      <c r="C125" s="259"/>
      <c r="D125" s="259"/>
      <c r="E125" s="260" t="s">
        <v>28</v>
      </c>
      <c r="F125" s="261"/>
      <c r="G125" s="261"/>
      <c r="H125" s="261"/>
      <c r="I125" s="261"/>
      <c r="J125" s="261"/>
      <c r="K125" s="261"/>
      <c r="L125" s="261"/>
      <c r="M125" s="261"/>
      <c r="N125" s="261"/>
      <c r="O125" s="323"/>
      <c r="P125" s="324">
        <f>SUM(P118:P124)</f>
        <v>11.8038035</v>
      </c>
      <c r="Q125" s="32" t="s">
        <v>46</v>
      </c>
      <c r="R125" s="32"/>
      <c r="S125" s="32"/>
      <c r="T125" s="32"/>
      <c r="U125" s="366">
        <f>SUM(U118:U124)</f>
        <v>3.32</v>
      </c>
      <c r="V125" s="367"/>
      <c r="W125" s="368"/>
      <c r="X125" s="369"/>
      <c r="Y125" s="369"/>
      <c r="Z125" s="368"/>
    </row>
    <row r="126" spans="1:26">
      <c r="A126" s="228"/>
      <c r="B126" s="228" t="s">
        <v>160</v>
      </c>
      <c r="C126" s="389" t="s">
        <v>161</v>
      </c>
      <c r="D126" s="263" t="s">
        <v>162</v>
      </c>
      <c r="E126" s="264" t="s">
        <v>143</v>
      </c>
      <c r="F126" s="265" t="s">
        <v>40</v>
      </c>
      <c r="G126" s="266">
        <v>1</v>
      </c>
      <c r="H126" s="267">
        <v>105</v>
      </c>
      <c r="I126" s="267">
        <v>20</v>
      </c>
      <c r="J126" s="264">
        <v>3</v>
      </c>
      <c r="K126" s="325">
        <v>5.18</v>
      </c>
      <c r="L126" s="326">
        <v>3.4</v>
      </c>
      <c r="M126" s="327">
        <f>H126*I126*J126*0.00000785</f>
        <v>0.049455</v>
      </c>
      <c r="N126" s="309">
        <v>0.015</v>
      </c>
      <c r="O126" s="327">
        <f>M126-N126</f>
        <v>0.034455</v>
      </c>
      <c r="P126" s="325">
        <f>(K126*M126-L126*O126)*G126</f>
        <v>0.1390299</v>
      </c>
      <c r="Q126" s="370" t="s">
        <v>138</v>
      </c>
      <c r="R126" s="371" t="s">
        <v>113</v>
      </c>
      <c r="S126" s="371">
        <v>1</v>
      </c>
      <c r="T126" s="304">
        <v>0.04</v>
      </c>
      <c r="U126" s="370">
        <f t="shared" ref="U126:U130" si="13">S126*T126</f>
        <v>0.04</v>
      </c>
      <c r="V126" s="340">
        <v>1.12</v>
      </c>
      <c r="W126" s="341">
        <f>(P129+U129)*V126</f>
        <v>0.200513488</v>
      </c>
      <c r="X126" s="341">
        <v>6300</v>
      </c>
      <c r="Y126" s="341">
        <v>100000</v>
      </c>
      <c r="Z126" s="341">
        <f>W126+X126/Y126</f>
        <v>0.263513488</v>
      </c>
    </row>
    <row r="127" spans="1:26">
      <c r="A127" s="235"/>
      <c r="B127" s="235"/>
      <c r="C127" s="268"/>
      <c r="D127" s="269"/>
      <c r="E127" s="264"/>
      <c r="F127" s="265"/>
      <c r="G127" s="266"/>
      <c r="H127" s="270"/>
      <c r="I127" s="270"/>
      <c r="J127" s="270"/>
      <c r="K127" s="325"/>
      <c r="L127" s="326"/>
      <c r="M127" s="327"/>
      <c r="N127" s="309"/>
      <c r="O127" s="327"/>
      <c r="P127" s="325"/>
      <c r="Q127" s="370"/>
      <c r="R127" s="371"/>
      <c r="S127" s="371"/>
      <c r="T127" s="304"/>
      <c r="U127" s="370">
        <f t="shared" si="13"/>
        <v>0</v>
      </c>
      <c r="V127" s="343"/>
      <c r="W127" s="344"/>
      <c r="X127" s="344"/>
      <c r="Y127" s="344"/>
      <c r="Z127" s="344"/>
    </row>
    <row r="128" spans="1:26">
      <c r="A128" s="235"/>
      <c r="B128" s="235"/>
      <c r="C128" s="268"/>
      <c r="D128" s="269"/>
      <c r="E128" s="264"/>
      <c r="F128" s="265"/>
      <c r="G128" s="266"/>
      <c r="H128" s="270"/>
      <c r="I128" s="270"/>
      <c r="J128" s="270"/>
      <c r="K128" s="325"/>
      <c r="L128" s="326"/>
      <c r="M128" s="327"/>
      <c r="N128" s="309"/>
      <c r="O128" s="327"/>
      <c r="P128" s="325"/>
      <c r="Q128" s="370"/>
      <c r="R128" s="371"/>
      <c r="S128" s="371"/>
      <c r="T128" s="304"/>
      <c r="U128" s="370">
        <f t="shared" si="13"/>
        <v>0</v>
      </c>
      <c r="V128" s="343"/>
      <c r="W128" s="344"/>
      <c r="X128" s="344"/>
      <c r="Y128" s="344"/>
      <c r="Z128" s="344"/>
    </row>
    <row r="129" spans="1:26">
      <c r="A129" s="238"/>
      <c r="B129" s="238"/>
      <c r="C129" s="374"/>
      <c r="D129" s="375"/>
      <c r="E129" s="376" t="s">
        <v>28</v>
      </c>
      <c r="F129" s="377"/>
      <c r="G129" s="377"/>
      <c r="H129" s="377"/>
      <c r="I129" s="377"/>
      <c r="J129" s="377"/>
      <c r="K129" s="377"/>
      <c r="L129" s="377"/>
      <c r="M129" s="377"/>
      <c r="N129" s="377"/>
      <c r="O129" s="380"/>
      <c r="P129" s="381">
        <f>SUM(P126:P128)</f>
        <v>0.1390299</v>
      </c>
      <c r="Q129" s="32" t="s">
        <v>46</v>
      </c>
      <c r="R129" s="32"/>
      <c r="S129" s="32"/>
      <c r="T129" s="32"/>
      <c r="U129" s="386">
        <f>SUM(U126:U128)</f>
        <v>0.04</v>
      </c>
      <c r="V129" s="346"/>
      <c r="W129" s="347"/>
      <c r="X129" s="347"/>
      <c r="Y129" s="347"/>
      <c r="Z129" s="347"/>
    </row>
    <row r="130" spans="1:26">
      <c r="A130" s="228"/>
      <c r="B130" s="228" t="s">
        <v>163</v>
      </c>
      <c r="C130" s="389" t="s">
        <v>164</v>
      </c>
      <c r="D130" s="263" t="s">
        <v>165</v>
      </c>
      <c r="E130" s="264" t="s">
        <v>143</v>
      </c>
      <c r="F130" s="265" t="s">
        <v>40</v>
      </c>
      <c r="G130" s="266">
        <v>1</v>
      </c>
      <c r="H130" s="267">
        <v>57</v>
      </c>
      <c r="I130" s="267">
        <v>30</v>
      </c>
      <c r="J130" s="264">
        <v>2.5</v>
      </c>
      <c r="K130" s="325">
        <v>5.18</v>
      </c>
      <c r="L130" s="326">
        <v>3.4</v>
      </c>
      <c r="M130" s="382">
        <v>0.028</v>
      </c>
      <c r="N130" s="309">
        <v>0.016</v>
      </c>
      <c r="O130" s="327">
        <f>M130-N130</f>
        <v>0.012</v>
      </c>
      <c r="P130" s="325">
        <f>(K130*M130-L130*O130)*G130</f>
        <v>0.10424</v>
      </c>
      <c r="Q130" s="370" t="s">
        <v>34</v>
      </c>
      <c r="R130" s="371" t="s">
        <v>145</v>
      </c>
      <c r="S130" s="371">
        <v>1</v>
      </c>
      <c r="T130" s="304">
        <v>0.03</v>
      </c>
      <c r="U130" s="370">
        <f t="shared" si="13"/>
        <v>0.03</v>
      </c>
      <c r="V130" s="340">
        <v>1.12</v>
      </c>
      <c r="W130" s="341">
        <f>(P135+U135)*V130</f>
        <v>0.1503488</v>
      </c>
      <c r="X130" s="341">
        <v>4400</v>
      </c>
      <c r="Y130" s="341">
        <v>100000</v>
      </c>
      <c r="Z130" s="341">
        <f>W130+X130/Y130</f>
        <v>0.1943488</v>
      </c>
    </row>
    <row r="131" spans="1:26">
      <c r="A131" s="235"/>
      <c r="B131" s="235"/>
      <c r="C131" s="268"/>
      <c r="D131" s="269"/>
      <c r="E131" s="264"/>
      <c r="F131" s="264"/>
      <c r="G131" s="266"/>
      <c r="H131" s="270"/>
      <c r="I131" s="270"/>
      <c r="J131" s="270"/>
      <c r="K131" s="325"/>
      <c r="L131" s="326"/>
      <c r="M131" s="327"/>
      <c r="N131" s="309"/>
      <c r="O131" s="327"/>
      <c r="P131" s="325"/>
      <c r="Q131" s="370"/>
      <c r="R131" s="371"/>
      <c r="S131" s="371"/>
      <c r="T131" s="304"/>
      <c r="U131" s="370"/>
      <c r="V131" s="343"/>
      <c r="W131" s="344"/>
      <c r="X131" s="344"/>
      <c r="Y131" s="344"/>
      <c r="Z131" s="344"/>
    </row>
    <row r="132" spans="1:26">
      <c r="A132" s="235"/>
      <c r="B132" s="235"/>
      <c r="C132" s="268"/>
      <c r="D132" s="269"/>
      <c r="E132" s="264"/>
      <c r="F132" s="264"/>
      <c r="G132" s="266"/>
      <c r="H132" s="270"/>
      <c r="I132" s="270"/>
      <c r="J132" s="270"/>
      <c r="K132" s="325"/>
      <c r="L132" s="326"/>
      <c r="M132" s="327"/>
      <c r="N132" s="309"/>
      <c r="O132" s="327"/>
      <c r="P132" s="325"/>
      <c r="Q132" s="370"/>
      <c r="R132" s="371"/>
      <c r="S132" s="371"/>
      <c r="T132" s="304"/>
      <c r="U132" s="370"/>
      <c r="V132" s="343"/>
      <c r="W132" s="344"/>
      <c r="X132" s="344"/>
      <c r="Y132" s="344"/>
      <c r="Z132" s="344"/>
    </row>
    <row r="133" spans="1:26">
      <c r="A133" s="235"/>
      <c r="B133" s="235"/>
      <c r="C133" s="268"/>
      <c r="D133" s="269"/>
      <c r="E133" s="264"/>
      <c r="F133" s="264"/>
      <c r="G133" s="266"/>
      <c r="H133" s="264"/>
      <c r="I133" s="264"/>
      <c r="J133" s="264"/>
      <c r="K133" s="383"/>
      <c r="L133" s="326"/>
      <c r="M133" s="327"/>
      <c r="N133" s="309"/>
      <c r="O133" s="327"/>
      <c r="P133" s="325"/>
      <c r="Q133" s="370"/>
      <c r="R133" s="371"/>
      <c r="S133" s="371"/>
      <c r="T133" s="304"/>
      <c r="U133" s="370"/>
      <c r="V133" s="343"/>
      <c r="W133" s="344"/>
      <c r="X133" s="344"/>
      <c r="Y133" s="344"/>
      <c r="Z133" s="344"/>
    </row>
    <row r="134" spans="1:26">
      <c r="A134" s="235"/>
      <c r="B134" s="235"/>
      <c r="C134" s="268"/>
      <c r="D134" s="269"/>
      <c r="E134" s="266"/>
      <c r="F134" s="266"/>
      <c r="G134" s="266"/>
      <c r="H134" s="378"/>
      <c r="I134" s="378"/>
      <c r="J134" s="378"/>
      <c r="K134" s="378"/>
      <c r="L134" s="378"/>
      <c r="M134" s="378"/>
      <c r="N134" s="384"/>
      <c r="O134" s="378"/>
      <c r="P134" s="266"/>
      <c r="Q134" s="370"/>
      <c r="R134" s="371"/>
      <c r="S134" s="371"/>
      <c r="T134" s="304"/>
      <c r="U134" s="370"/>
      <c r="V134" s="343"/>
      <c r="W134" s="344"/>
      <c r="X134" s="344"/>
      <c r="Y134" s="344"/>
      <c r="Z134" s="344"/>
    </row>
    <row r="135" spans="1:26">
      <c r="A135" s="238"/>
      <c r="B135" s="238"/>
      <c r="C135" s="374"/>
      <c r="D135" s="375"/>
      <c r="E135" s="376" t="s">
        <v>28</v>
      </c>
      <c r="F135" s="377"/>
      <c r="G135" s="377"/>
      <c r="H135" s="377"/>
      <c r="I135" s="377"/>
      <c r="J135" s="377"/>
      <c r="K135" s="377"/>
      <c r="L135" s="377"/>
      <c r="M135" s="377"/>
      <c r="N135" s="377"/>
      <c r="O135" s="380"/>
      <c r="P135" s="381">
        <f>SUM(P130:P134)</f>
        <v>0.10424</v>
      </c>
      <c r="Q135" s="32" t="s">
        <v>46</v>
      </c>
      <c r="R135" s="32"/>
      <c r="S135" s="32"/>
      <c r="T135" s="32"/>
      <c r="U135" s="386">
        <f>SUM(U130:U134)</f>
        <v>0.03</v>
      </c>
      <c r="V135" s="346"/>
      <c r="W135" s="347"/>
      <c r="X135" s="347"/>
      <c r="Y135" s="347"/>
      <c r="Z135" s="347"/>
    </row>
    <row r="136" spans="1:26">
      <c r="A136" s="21"/>
      <c r="B136" s="21" t="s">
        <v>166</v>
      </c>
      <c r="C136" s="21"/>
      <c r="D136" s="28" t="s">
        <v>167</v>
      </c>
      <c r="E136" s="21" t="s">
        <v>143</v>
      </c>
      <c r="F136" s="21" t="s">
        <v>144</v>
      </c>
      <c r="G136" s="21">
        <v>1</v>
      </c>
      <c r="H136" s="21">
        <v>29</v>
      </c>
      <c r="I136" s="21">
        <v>29</v>
      </c>
      <c r="J136" s="21">
        <v>2.5</v>
      </c>
      <c r="K136" s="22">
        <v>5.18</v>
      </c>
      <c r="L136" s="22">
        <v>3.4</v>
      </c>
      <c r="M136" s="385">
        <f>H136*I136*J136*0.00000785</f>
        <v>0.016504625</v>
      </c>
      <c r="N136" s="385">
        <v>0.006</v>
      </c>
      <c r="O136" s="385">
        <f>M136-N136</f>
        <v>0.010504625</v>
      </c>
      <c r="P136" s="22">
        <f>(K136*M136-L136*O136)*G136</f>
        <v>0.0497782325</v>
      </c>
      <c r="Q136" s="24" t="s">
        <v>138</v>
      </c>
      <c r="R136" s="24" t="s">
        <v>145</v>
      </c>
      <c r="S136" s="24">
        <v>1</v>
      </c>
      <c r="T136" s="24">
        <v>0.03</v>
      </c>
      <c r="U136" s="24">
        <f>T136/S136</f>
        <v>0.03</v>
      </c>
      <c r="V136" s="349">
        <v>1.12</v>
      </c>
      <c r="W136" s="22">
        <f>(P138+U138)*V136</f>
        <v>0.0995436204</v>
      </c>
      <c r="X136" s="21"/>
      <c r="Y136" s="21"/>
      <c r="Z136" s="21"/>
    </row>
    <row r="137" spans="1:26">
      <c r="A137" s="21"/>
      <c r="B137" s="21"/>
      <c r="C137" s="21"/>
      <c r="D137" s="28"/>
      <c r="E137" s="21"/>
      <c r="F137" s="21"/>
      <c r="G137" s="21"/>
      <c r="H137" s="21"/>
      <c r="I137" s="21"/>
      <c r="J137" s="21"/>
      <c r="K137" s="22"/>
      <c r="L137" s="22"/>
      <c r="M137" s="385"/>
      <c r="N137" s="385"/>
      <c r="O137" s="385"/>
      <c r="P137" s="22"/>
      <c r="Q137" s="24" t="s">
        <v>168</v>
      </c>
      <c r="R137" s="24">
        <v>0.0013</v>
      </c>
      <c r="S137" s="24">
        <v>1</v>
      </c>
      <c r="T137" s="24">
        <f>R137*7</f>
        <v>0.0091</v>
      </c>
      <c r="U137" s="24">
        <f>T137/S137</f>
        <v>0.0091</v>
      </c>
      <c r="V137" s="21"/>
      <c r="W137" s="22"/>
      <c r="X137" s="21"/>
      <c r="Y137" s="21"/>
      <c r="Z137" s="21"/>
    </row>
    <row r="138" spans="1:26">
      <c r="A138" s="21"/>
      <c r="B138" s="21"/>
      <c r="C138" s="21"/>
      <c r="D138" s="28"/>
      <c r="E138" s="379" t="s">
        <v>28</v>
      </c>
      <c r="F138" s="379"/>
      <c r="G138" s="379"/>
      <c r="H138" s="379"/>
      <c r="I138" s="379"/>
      <c r="J138" s="379"/>
      <c r="K138" s="379"/>
      <c r="L138" s="379"/>
      <c r="M138" s="379"/>
      <c r="N138" s="379"/>
      <c r="O138" s="379"/>
      <c r="P138" s="381">
        <f>SUM(P136)</f>
        <v>0.0497782325</v>
      </c>
      <c r="Q138" s="32" t="s">
        <v>46</v>
      </c>
      <c r="R138" s="32"/>
      <c r="S138" s="32"/>
      <c r="T138" s="32"/>
      <c r="U138" s="24">
        <f>U136+U137</f>
        <v>0.0391</v>
      </c>
      <c r="V138" s="21"/>
      <c r="W138" s="22"/>
      <c r="X138" s="21"/>
      <c r="Y138" s="21"/>
      <c r="Z138" s="21"/>
    </row>
  </sheetData>
  <mergeCells count="415">
    <mergeCell ref="H2:J2"/>
    <mergeCell ref="K2:L2"/>
    <mergeCell ref="M2:O2"/>
    <mergeCell ref="Q2:U2"/>
    <mergeCell ref="E14:O14"/>
    <mergeCell ref="Q14:T14"/>
    <mergeCell ref="E23:O23"/>
    <mergeCell ref="Q23:T23"/>
    <mergeCell ref="E29:O29"/>
    <mergeCell ref="Q29:T29"/>
    <mergeCell ref="E37:O37"/>
    <mergeCell ref="Q37:T37"/>
    <mergeCell ref="E45:O45"/>
    <mergeCell ref="Q45:T45"/>
    <mergeCell ref="E52:O52"/>
    <mergeCell ref="Q52:T52"/>
    <mergeCell ref="E59:O59"/>
    <mergeCell ref="Q59:T59"/>
    <mergeCell ref="E67:O67"/>
    <mergeCell ref="Q67:T67"/>
    <mergeCell ref="H69:J69"/>
    <mergeCell ref="K69:L69"/>
    <mergeCell ref="M69:O69"/>
    <mergeCell ref="Q69:U69"/>
    <mergeCell ref="E80:O80"/>
    <mergeCell ref="Q80:T80"/>
    <mergeCell ref="E90:O90"/>
    <mergeCell ref="Q90:T90"/>
    <mergeCell ref="E97:O97"/>
    <mergeCell ref="Q97:T97"/>
    <mergeCell ref="F105:O105"/>
    <mergeCell ref="Q105:T105"/>
    <mergeCell ref="H107:J107"/>
    <mergeCell ref="K107:L107"/>
    <mergeCell ref="M107:O107"/>
    <mergeCell ref="Q107:U107"/>
    <mergeCell ref="E112:O112"/>
    <mergeCell ref="Q112:T112"/>
    <mergeCell ref="E116:O116"/>
    <mergeCell ref="Q116:T116"/>
    <mergeCell ref="E125:O125"/>
    <mergeCell ref="Q125:T125"/>
    <mergeCell ref="E129:O129"/>
    <mergeCell ref="Q129:T129"/>
    <mergeCell ref="E135:O135"/>
    <mergeCell ref="Q135:T135"/>
    <mergeCell ref="E138:O138"/>
    <mergeCell ref="Q138:T138"/>
    <mergeCell ref="A2:A3"/>
    <mergeCell ref="A4:A14"/>
    <mergeCell ref="A15:A23"/>
    <mergeCell ref="A25:A29"/>
    <mergeCell ref="A71:A80"/>
    <mergeCell ref="A81:A90"/>
    <mergeCell ref="A91:A97"/>
    <mergeCell ref="A99:A103"/>
    <mergeCell ref="A104:A105"/>
    <mergeCell ref="A109:A112"/>
    <mergeCell ref="A113:A116"/>
    <mergeCell ref="A118:A125"/>
    <mergeCell ref="A126:A129"/>
    <mergeCell ref="A130:A135"/>
    <mergeCell ref="A136:A138"/>
    <mergeCell ref="B2:B3"/>
    <mergeCell ref="B4:B14"/>
    <mergeCell ref="B15:B23"/>
    <mergeCell ref="B25:B29"/>
    <mergeCell ref="B30:B37"/>
    <mergeCell ref="B38:B45"/>
    <mergeCell ref="B46:B52"/>
    <mergeCell ref="B53:B59"/>
    <mergeCell ref="B60:B67"/>
    <mergeCell ref="B69:B70"/>
    <mergeCell ref="B71:B80"/>
    <mergeCell ref="B81:B90"/>
    <mergeCell ref="B91:B97"/>
    <mergeCell ref="B99:B103"/>
    <mergeCell ref="B104:B105"/>
    <mergeCell ref="B107:B108"/>
    <mergeCell ref="B109:B112"/>
    <mergeCell ref="B113:B116"/>
    <mergeCell ref="B118:B125"/>
    <mergeCell ref="B126:B129"/>
    <mergeCell ref="B130:B135"/>
    <mergeCell ref="B136:B138"/>
    <mergeCell ref="C2:C3"/>
    <mergeCell ref="C4:C14"/>
    <mergeCell ref="C15:C23"/>
    <mergeCell ref="C25:C29"/>
    <mergeCell ref="C30:C37"/>
    <mergeCell ref="C38:C45"/>
    <mergeCell ref="C46:C52"/>
    <mergeCell ref="C53:C59"/>
    <mergeCell ref="C60:C67"/>
    <mergeCell ref="C69:C70"/>
    <mergeCell ref="C71:C80"/>
    <mergeCell ref="C81:C90"/>
    <mergeCell ref="C91:C97"/>
    <mergeCell ref="C99:C103"/>
    <mergeCell ref="C104:C105"/>
    <mergeCell ref="C107:C108"/>
    <mergeCell ref="C109:C112"/>
    <mergeCell ref="C113:C116"/>
    <mergeCell ref="C118:C125"/>
    <mergeCell ref="C126:C129"/>
    <mergeCell ref="C130:C135"/>
    <mergeCell ref="C136:C138"/>
    <mergeCell ref="D2:D3"/>
    <mergeCell ref="D4:D14"/>
    <mergeCell ref="D15:D23"/>
    <mergeCell ref="D25:D29"/>
    <mergeCell ref="D30:D37"/>
    <mergeCell ref="D38:D45"/>
    <mergeCell ref="D46:D52"/>
    <mergeCell ref="D53:D59"/>
    <mergeCell ref="D60:D67"/>
    <mergeCell ref="D69:D70"/>
    <mergeCell ref="D71:D80"/>
    <mergeCell ref="D81:D90"/>
    <mergeCell ref="D91:D97"/>
    <mergeCell ref="D99:D103"/>
    <mergeCell ref="D107:D108"/>
    <mergeCell ref="D109:D112"/>
    <mergeCell ref="D113:D116"/>
    <mergeCell ref="D118:D125"/>
    <mergeCell ref="D126:D129"/>
    <mergeCell ref="D130:D135"/>
    <mergeCell ref="D136:D138"/>
    <mergeCell ref="E2:E3"/>
    <mergeCell ref="E25:E28"/>
    <mergeCell ref="E30:E35"/>
    <mergeCell ref="E38:E43"/>
    <mergeCell ref="E46:E51"/>
    <mergeCell ref="E53:E58"/>
    <mergeCell ref="E60:E65"/>
    <mergeCell ref="E69:E70"/>
    <mergeCell ref="E71:E76"/>
    <mergeCell ref="E77:E79"/>
    <mergeCell ref="E81:E86"/>
    <mergeCell ref="E87:E89"/>
    <mergeCell ref="E107:E108"/>
    <mergeCell ref="E109:E110"/>
    <mergeCell ref="E118:E120"/>
    <mergeCell ref="E121:E123"/>
    <mergeCell ref="E136:E137"/>
    <mergeCell ref="F2:F3"/>
    <mergeCell ref="F25:F28"/>
    <mergeCell ref="F30:F35"/>
    <mergeCell ref="F38:F43"/>
    <mergeCell ref="F46:F51"/>
    <mergeCell ref="F53:F58"/>
    <mergeCell ref="F60:F65"/>
    <mergeCell ref="F69:F70"/>
    <mergeCell ref="F71:F76"/>
    <mergeCell ref="F77:F79"/>
    <mergeCell ref="F81:F86"/>
    <mergeCell ref="F87:F89"/>
    <mergeCell ref="F107:F108"/>
    <mergeCell ref="F109:F110"/>
    <mergeCell ref="F118:F123"/>
    <mergeCell ref="F136:F137"/>
    <mergeCell ref="G2:G3"/>
    <mergeCell ref="G25:G28"/>
    <mergeCell ref="G30:G35"/>
    <mergeCell ref="G38:G43"/>
    <mergeCell ref="G46:G51"/>
    <mergeCell ref="G53:G58"/>
    <mergeCell ref="G60:G65"/>
    <mergeCell ref="G69:G70"/>
    <mergeCell ref="G71:G76"/>
    <mergeCell ref="G77:G79"/>
    <mergeCell ref="G81:G86"/>
    <mergeCell ref="G87:G89"/>
    <mergeCell ref="G107:G108"/>
    <mergeCell ref="G109:G110"/>
    <mergeCell ref="G118:G120"/>
    <mergeCell ref="G121:G123"/>
    <mergeCell ref="G136:G137"/>
    <mergeCell ref="H25:H28"/>
    <mergeCell ref="H30:H35"/>
    <mergeCell ref="H38:H43"/>
    <mergeCell ref="H46:H51"/>
    <mergeCell ref="H53:H58"/>
    <mergeCell ref="H60:H65"/>
    <mergeCell ref="H71:H76"/>
    <mergeCell ref="H77:H79"/>
    <mergeCell ref="H81:H86"/>
    <mergeCell ref="H87:H89"/>
    <mergeCell ref="H109:H110"/>
    <mergeCell ref="H118:H120"/>
    <mergeCell ref="H121:H123"/>
    <mergeCell ref="H136:H137"/>
    <mergeCell ref="I25:I28"/>
    <mergeCell ref="I30:I35"/>
    <mergeCell ref="I38:I43"/>
    <mergeCell ref="I46:I51"/>
    <mergeCell ref="I53:I58"/>
    <mergeCell ref="I60:I65"/>
    <mergeCell ref="I71:I76"/>
    <mergeCell ref="I77:I79"/>
    <mergeCell ref="I81:I86"/>
    <mergeCell ref="I87:I89"/>
    <mergeCell ref="I109:I110"/>
    <mergeCell ref="I118:I120"/>
    <mergeCell ref="I121:I123"/>
    <mergeCell ref="I136:I137"/>
    <mergeCell ref="J25:J28"/>
    <mergeCell ref="J30:J35"/>
    <mergeCell ref="J38:J43"/>
    <mergeCell ref="J46:J51"/>
    <mergeCell ref="J53:J58"/>
    <mergeCell ref="J60:J65"/>
    <mergeCell ref="J71:J76"/>
    <mergeCell ref="J77:J79"/>
    <mergeCell ref="J81:J86"/>
    <mergeCell ref="J87:J89"/>
    <mergeCell ref="J109:J110"/>
    <mergeCell ref="J118:J120"/>
    <mergeCell ref="J121:J123"/>
    <mergeCell ref="J136:J137"/>
    <mergeCell ref="K25:K28"/>
    <mergeCell ref="K30:K35"/>
    <mergeCell ref="K38:K43"/>
    <mergeCell ref="K46:K51"/>
    <mergeCell ref="K53:K58"/>
    <mergeCell ref="K60:K65"/>
    <mergeCell ref="K71:K76"/>
    <mergeCell ref="K77:K79"/>
    <mergeCell ref="K81:K86"/>
    <mergeCell ref="K87:K89"/>
    <mergeCell ref="K109:K110"/>
    <mergeCell ref="K118:K120"/>
    <mergeCell ref="K121:K123"/>
    <mergeCell ref="K136:K137"/>
    <mergeCell ref="L25:L28"/>
    <mergeCell ref="L30:L35"/>
    <mergeCell ref="L38:L43"/>
    <mergeCell ref="L46:L51"/>
    <mergeCell ref="L53:L58"/>
    <mergeCell ref="L60:L65"/>
    <mergeCell ref="L71:L76"/>
    <mergeCell ref="L77:L79"/>
    <mergeCell ref="L81:L86"/>
    <mergeCell ref="L87:L89"/>
    <mergeCell ref="L109:L110"/>
    <mergeCell ref="L118:L120"/>
    <mergeCell ref="L121:L123"/>
    <mergeCell ref="L136:L137"/>
    <mergeCell ref="M25:M28"/>
    <mergeCell ref="M30:M35"/>
    <mergeCell ref="M38:M43"/>
    <mergeCell ref="M46:M51"/>
    <mergeCell ref="M53:M58"/>
    <mergeCell ref="M60:M65"/>
    <mergeCell ref="M71:M76"/>
    <mergeCell ref="M77:M79"/>
    <mergeCell ref="M81:M86"/>
    <mergeCell ref="M87:M89"/>
    <mergeCell ref="M109:M110"/>
    <mergeCell ref="M118:M120"/>
    <mergeCell ref="M121:M123"/>
    <mergeCell ref="M136:M137"/>
    <mergeCell ref="N25:N28"/>
    <mergeCell ref="N30:N35"/>
    <mergeCell ref="N38:N43"/>
    <mergeCell ref="N46:N51"/>
    <mergeCell ref="N53:N58"/>
    <mergeCell ref="N60:N65"/>
    <mergeCell ref="N71:N76"/>
    <mergeCell ref="N77:N79"/>
    <mergeCell ref="N81:N86"/>
    <mergeCell ref="N87:N89"/>
    <mergeCell ref="N109:N110"/>
    <mergeCell ref="N118:N120"/>
    <mergeCell ref="N121:N123"/>
    <mergeCell ref="N136:N137"/>
    <mergeCell ref="O25:O28"/>
    <mergeCell ref="O30:O35"/>
    <mergeCell ref="O38:O43"/>
    <mergeCell ref="O46:O51"/>
    <mergeCell ref="O53:O58"/>
    <mergeCell ref="O60:O65"/>
    <mergeCell ref="O71:O76"/>
    <mergeCell ref="O77:O79"/>
    <mergeCell ref="O81:O86"/>
    <mergeCell ref="O87:O89"/>
    <mergeCell ref="O109:O110"/>
    <mergeCell ref="O118:O120"/>
    <mergeCell ref="O121:O123"/>
    <mergeCell ref="O136:O137"/>
    <mergeCell ref="P2:P3"/>
    <mergeCell ref="P25:P28"/>
    <mergeCell ref="P30:P35"/>
    <mergeCell ref="P38:P43"/>
    <mergeCell ref="P46:P51"/>
    <mergeCell ref="P53:P58"/>
    <mergeCell ref="P60:P65"/>
    <mergeCell ref="P69:P70"/>
    <mergeCell ref="P71:P76"/>
    <mergeCell ref="P77:P79"/>
    <mergeCell ref="P81:P86"/>
    <mergeCell ref="P87:P89"/>
    <mergeCell ref="P107:P108"/>
    <mergeCell ref="P109:P110"/>
    <mergeCell ref="P118:P120"/>
    <mergeCell ref="P121:P123"/>
    <mergeCell ref="P136:P137"/>
    <mergeCell ref="V2:V3"/>
    <mergeCell ref="V4:V14"/>
    <mergeCell ref="V15:V23"/>
    <mergeCell ref="V25:V29"/>
    <mergeCell ref="V30:V37"/>
    <mergeCell ref="V38:V45"/>
    <mergeCell ref="V46:V52"/>
    <mergeCell ref="V53:V59"/>
    <mergeCell ref="V60:V67"/>
    <mergeCell ref="V69:V70"/>
    <mergeCell ref="V71:V80"/>
    <mergeCell ref="V81:V90"/>
    <mergeCell ref="V91:V97"/>
    <mergeCell ref="V99:V103"/>
    <mergeCell ref="V104:V105"/>
    <mergeCell ref="V107:V108"/>
    <mergeCell ref="V109:V112"/>
    <mergeCell ref="V113:V116"/>
    <mergeCell ref="V118:V125"/>
    <mergeCell ref="V126:V129"/>
    <mergeCell ref="V130:V135"/>
    <mergeCell ref="V136:V138"/>
    <mergeCell ref="W2:W3"/>
    <mergeCell ref="W4:W14"/>
    <mergeCell ref="W15:W23"/>
    <mergeCell ref="W25:W29"/>
    <mergeCell ref="W30:W37"/>
    <mergeCell ref="W38:W45"/>
    <mergeCell ref="W46:W52"/>
    <mergeCell ref="W53:W59"/>
    <mergeCell ref="W60:W67"/>
    <mergeCell ref="W69:W70"/>
    <mergeCell ref="W71:W80"/>
    <mergeCell ref="W81:W90"/>
    <mergeCell ref="W91:W97"/>
    <mergeCell ref="W99:W103"/>
    <mergeCell ref="W104:W105"/>
    <mergeCell ref="W107:W108"/>
    <mergeCell ref="W109:W112"/>
    <mergeCell ref="W113:W116"/>
    <mergeCell ref="W118:W125"/>
    <mergeCell ref="W126:W129"/>
    <mergeCell ref="W130:W135"/>
    <mergeCell ref="W136:W138"/>
    <mergeCell ref="X2:X3"/>
    <mergeCell ref="X4:X14"/>
    <mergeCell ref="X15:X23"/>
    <mergeCell ref="X25:X29"/>
    <mergeCell ref="X30:X45"/>
    <mergeCell ref="X46:X59"/>
    <mergeCell ref="X60:X67"/>
    <mergeCell ref="X69:X70"/>
    <mergeCell ref="X71:X90"/>
    <mergeCell ref="X91:X97"/>
    <mergeCell ref="X99:X103"/>
    <mergeCell ref="X104:X105"/>
    <mergeCell ref="X107:X108"/>
    <mergeCell ref="X109:X112"/>
    <mergeCell ref="X113:X116"/>
    <mergeCell ref="X118:X125"/>
    <mergeCell ref="X126:X129"/>
    <mergeCell ref="X130:X135"/>
    <mergeCell ref="X136:X138"/>
    <mergeCell ref="Y2:Y3"/>
    <mergeCell ref="Y4:Y14"/>
    <mergeCell ref="Y15:Y23"/>
    <mergeCell ref="Y25:Y29"/>
    <mergeCell ref="Y30:Y37"/>
    <mergeCell ref="Y38:Y45"/>
    <mergeCell ref="Y46:Y52"/>
    <mergeCell ref="Y53:Y59"/>
    <mergeCell ref="Y60:Y67"/>
    <mergeCell ref="Y69:Y70"/>
    <mergeCell ref="Y71:Y80"/>
    <mergeCell ref="Y81:Y90"/>
    <mergeCell ref="Y91:Y97"/>
    <mergeCell ref="Y99:Y103"/>
    <mergeCell ref="Y104:Y105"/>
    <mergeCell ref="Y107:Y108"/>
    <mergeCell ref="Y109:Y112"/>
    <mergeCell ref="Y113:Y116"/>
    <mergeCell ref="Y118:Y125"/>
    <mergeCell ref="Y126:Y129"/>
    <mergeCell ref="Y130:Y135"/>
    <mergeCell ref="Y136:Y138"/>
    <mergeCell ref="Z2:Z3"/>
    <mergeCell ref="Z4:Z14"/>
    <mergeCell ref="Z15:Z23"/>
    <mergeCell ref="Z25:Z29"/>
    <mergeCell ref="Z30:Z37"/>
    <mergeCell ref="Z38:Z45"/>
    <mergeCell ref="Z46:Z52"/>
    <mergeCell ref="Z53:Z59"/>
    <mergeCell ref="Z60:Z67"/>
    <mergeCell ref="Z69:Z70"/>
    <mergeCell ref="Z71:Z80"/>
    <mergeCell ref="Z81:Z90"/>
    <mergeCell ref="Z91:Z97"/>
    <mergeCell ref="Z99:Z103"/>
    <mergeCell ref="Z104:Z105"/>
    <mergeCell ref="Z107:Z108"/>
    <mergeCell ref="Z109:Z112"/>
    <mergeCell ref="Z113:Z116"/>
    <mergeCell ref="Z118:Z125"/>
    <mergeCell ref="Z126:Z129"/>
    <mergeCell ref="Z130:Z135"/>
    <mergeCell ref="Z136:Z138"/>
    <mergeCell ref="D104:E105"/>
  </mergeCells>
  <conditionalFormatting sqref="B113">
    <cfRule type="duplicateValues" dxfId="0" priority="9"/>
  </conditionalFormatting>
  <conditionalFormatting sqref="C113">
    <cfRule type="duplicateValues" dxfId="0" priority="8"/>
  </conditionalFormatting>
  <conditionalFormatting sqref="G118:J118">
    <cfRule type="duplicateValues" dxfId="0" priority="7"/>
  </conditionalFormatting>
  <conditionalFormatting sqref="A126">
    <cfRule type="duplicateValues" dxfId="0" priority="1"/>
  </conditionalFormatting>
  <conditionalFormatting sqref="B126">
    <cfRule type="duplicateValues" dxfId="0" priority="4"/>
  </conditionalFormatting>
  <conditionalFormatting sqref="C126">
    <cfRule type="duplicateValues" dxfId="0" priority="3"/>
  </conditionalFormatting>
  <conditionalFormatting sqref="A130">
    <cfRule type="duplicateValues" dxfId="0" priority="2"/>
  </conditionalFormatting>
  <conditionalFormatting sqref="B130">
    <cfRule type="duplicateValues" dxfId="0" priority="6"/>
  </conditionalFormatting>
  <conditionalFormatting sqref="C130">
    <cfRule type="duplicateValues" dxfId="0" priority="5"/>
  </conditionalFormatting>
  <conditionalFormatting sqref="B99:B100">
    <cfRule type="duplicateValues" dxfId="0" priority="12"/>
  </conditionalFormatting>
  <conditionalFormatting sqref="C30:C45">
    <cfRule type="duplicateValues" dxfId="0" priority="16"/>
  </conditionalFormatting>
  <conditionalFormatting sqref="C46:C59">
    <cfRule type="duplicateValues" dxfId="0" priority="15"/>
  </conditionalFormatting>
  <conditionalFormatting sqref="C60:C67">
    <cfRule type="duplicateValues" dxfId="0" priority="14"/>
  </conditionalFormatting>
  <conditionalFormatting sqref="C99:C100">
    <cfRule type="duplicateValues" dxfId="0" priority="11"/>
  </conditionalFormatting>
  <conditionalFormatting sqref="D107:D108">
    <cfRule type="duplicateValues" dxfId="0" priority="10"/>
  </conditionalFormatting>
  <conditionalFormatting sqref="D69:D70 C71:C97">
    <cfRule type="duplicateValues" dxfId="0" priority="13"/>
  </conditionalFormatting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tabSelected="1" workbookViewId="0">
      <selection activeCell="G57" sqref="G57"/>
    </sheetView>
  </sheetViews>
  <sheetFormatPr defaultColWidth="9" defaultRowHeight="13.5"/>
  <cols>
    <col min="1" max="1" width="5.125" customWidth="1"/>
    <col min="2" max="2" width="12.625" customWidth="1"/>
    <col min="3" max="4" width="15" customWidth="1"/>
    <col min="5" max="5" width="5.125" customWidth="1"/>
    <col min="7" max="8" width="6.375" style="1" customWidth="1"/>
    <col min="9" max="11" width="6.375" customWidth="1"/>
    <col min="12" max="12" width="7" style="2" customWidth="1"/>
    <col min="13" max="13" width="9" customWidth="1"/>
    <col min="14" max="14" width="7" style="2" customWidth="1"/>
    <col min="15" max="15" width="6.375" style="2" customWidth="1"/>
    <col min="16" max="16" width="7" style="2" customWidth="1"/>
  </cols>
  <sheetData>
    <row r="1" spans="1:16">
      <c r="A1" s="3" t="s">
        <v>169</v>
      </c>
      <c r="B1" s="4" t="s">
        <v>103</v>
      </c>
      <c r="C1" s="4" t="s">
        <v>170</v>
      </c>
      <c r="D1" s="5" t="s">
        <v>3</v>
      </c>
      <c r="E1" s="6" t="s">
        <v>5</v>
      </c>
      <c r="F1" s="3" t="s">
        <v>7</v>
      </c>
      <c r="G1" s="7" t="s">
        <v>8</v>
      </c>
      <c r="H1" s="7"/>
      <c r="I1" s="32" t="s">
        <v>9</v>
      </c>
      <c r="J1" s="32"/>
      <c r="K1" s="32"/>
      <c r="L1" s="32" t="s">
        <v>10</v>
      </c>
      <c r="M1" s="3" t="s">
        <v>11</v>
      </c>
      <c r="N1" s="32"/>
      <c r="O1" s="33"/>
      <c r="P1" s="34" t="s">
        <v>171</v>
      </c>
    </row>
    <row r="2" spans="1:16">
      <c r="A2" s="3"/>
      <c r="B2" s="4"/>
      <c r="C2" s="4"/>
      <c r="D2" s="8"/>
      <c r="E2" s="9"/>
      <c r="F2" s="3"/>
      <c r="G2" s="7" t="s">
        <v>20</v>
      </c>
      <c r="H2" s="7" t="s">
        <v>21</v>
      </c>
      <c r="I2" s="32" t="s">
        <v>22</v>
      </c>
      <c r="J2" s="32" t="s">
        <v>23</v>
      </c>
      <c r="K2" s="32" t="s">
        <v>21</v>
      </c>
      <c r="L2" s="32"/>
      <c r="M2" s="3" t="s">
        <v>24</v>
      </c>
      <c r="N2" s="32" t="s">
        <v>26</v>
      </c>
      <c r="O2" s="33" t="s">
        <v>28</v>
      </c>
      <c r="P2" s="35" t="s">
        <v>172</v>
      </c>
    </row>
    <row r="3" hidden="1" spans="1:16">
      <c r="A3" s="6">
        <v>2</v>
      </c>
      <c r="B3" s="5" t="s">
        <v>173</v>
      </c>
      <c r="C3" s="5" t="s">
        <v>174</v>
      </c>
      <c r="D3" s="5"/>
      <c r="E3" s="6" t="s">
        <v>175</v>
      </c>
      <c r="F3" s="6" t="s">
        <v>176</v>
      </c>
      <c r="G3" s="10">
        <v>5.2</v>
      </c>
      <c r="H3" s="10">
        <v>1</v>
      </c>
      <c r="I3" s="34">
        <v>0.04</v>
      </c>
      <c r="J3" s="34">
        <v>0.02</v>
      </c>
      <c r="K3" s="34">
        <f>I3-J3</f>
        <v>0.02</v>
      </c>
      <c r="L3" s="34">
        <f>G3*I3-H3*K3</f>
        <v>0.188</v>
      </c>
      <c r="M3" s="36" t="s">
        <v>177</v>
      </c>
      <c r="N3" s="37">
        <v>0.15</v>
      </c>
      <c r="O3" s="32">
        <f>SUM(N3:N8)</f>
        <v>0.59</v>
      </c>
      <c r="P3" s="35">
        <f>(L3+O3)*1.2</f>
        <v>0.9336</v>
      </c>
    </row>
    <row r="4" hidden="1" spans="1:16">
      <c r="A4" s="11"/>
      <c r="B4" s="12"/>
      <c r="C4" s="12"/>
      <c r="D4" s="12"/>
      <c r="E4" s="11"/>
      <c r="F4" s="11"/>
      <c r="G4" s="13"/>
      <c r="H4" s="13"/>
      <c r="I4" s="38"/>
      <c r="J4" s="38"/>
      <c r="K4" s="38"/>
      <c r="L4" s="38"/>
      <c r="M4" s="36" t="s">
        <v>178</v>
      </c>
      <c r="N4" s="37">
        <v>0.1</v>
      </c>
      <c r="O4" s="32"/>
      <c r="P4" s="32"/>
    </row>
    <row r="5" hidden="1" spans="1:16">
      <c r="A5" s="11"/>
      <c r="B5" s="12"/>
      <c r="C5" s="12"/>
      <c r="D5" s="12"/>
      <c r="E5" s="11"/>
      <c r="F5" s="11"/>
      <c r="G5" s="13"/>
      <c r="H5" s="13"/>
      <c r="I5" s="38"/>
      <c r="J5" s="38"/>
      <c r="K5" s="38"/>
      <c r="L5" s="38"/>
      <c r="M5" s="36" t="s">
        <v>179</v>
      </c>
      <c r="N5" s="37">
        <v>0.1</v>
      </c>
      <c r="O5" s="32"/>
      <c r="P5" s="32"/>
    </row>
    <row r="6" hidden="1" spans="1:16">
      <c r="A6" s="11"/>
      <c r="B6" s="12"/>
      <c r="C6" s="12"/>
      <c r="D6" s="12"/>
      <c r="E6" s="11"/>
      <c r="F6" s="11"/>
      <c r="G6" s="13"/>
      <c r="H6" s="13"/>
      <c r="I6" s="38"/>
      <c r="J6" s="38"/>
      <c r="K6" s="38"/>
      <c r="L6" s="38"/>
      <c r="M6" s="36" t="s">
        <v>180</v>
      </c>
      <c r="N6" s="37">
        <v>0.08</v>
      </c>
      <c r="O6" s="32"/>
      <c r="P6" s="32"/>
    </row>
    <row r="7" hidden="1" spans="1:16">
      <c r="A7" s="11"/>
      <c r="B7" s="12"/>
      <c r="C7" s="12"/>
      <c r="D7" s="12"/>
      <c r="E7" s="11"/>
      <c r="F7" s="11"/>
      <c r="G7" s="13"/>
      <c r="H7" s="13"/>
      <c r="I7" s="38"/>
      <c r="J7" s="38"/>
      <c r="K7" s="38"/>
      <c r="L7" s="38"/>
      <c r="M7" s="36" t="s">
        <v>181</v>
      </c>
      <c r="N7" s="37">
        <v>0.08</v>
      </c>
      <c r="O7" s="32"/>
      <c r="P7" s="32"/>
    </row>
    <row r="8" hidden="1" spans="1:16">
      <c r="A8" s="9"/>
      <c r="B8" s="8"/>
      <c r="C8" s="8"/>
      <c r="D8" s="8"/>
      <c r="E8" s="9"/>
      <c r="F8" s="9"/>
      <c r="G8" s="14"/>
      <c r="H8" s="14"/>
      <c r="I8" s="35"/>
      <c r="J8" s="35"/>
      <c r="K8" s="35"/>
      <c r="L8" s="35"/>
      <c r="M8" s="36" t="s">
        <v>182</v>
      </c>
      <c r="N8" s="37">
        <v>0.08</v>
      </c>
      <c r="O8" s="32"/>
      <c r="P8" s="32"/>
    </row>
    <row r="9" hidden="1" spans="1:16">
      <c r="A9" s="3">
        <v>13</v>
      </c>
      <c r="B9" s="4" t="s">
        <v>183</v>
      </c>
      <c r="C9" s="4" t="s">
        <v>184</v>
      </c>
      <c r="D9" s="4"/>
      <c r="E9" s="3" t="s">
        <v>185</v>
      </c>
      <c r="F9" s="3" t="s">
        <v>186</v>
      </c>
      <c r="G9" s="7">
        <v>5</v>
      </c>
      <c r="H9" s="7">
        <v>1</v>
      </c>
      <c r="I9" s="32">
        <v>0.165</v>
      </c>
      <c r="J9" s="32">
        <v>0.055</v>
      </c>
      <c r="K9" s="32">
        <f>I9-J9</f>
        <v>0.11</v>
      </c>
      <c r="L9" s="32">
        <f>G9*I9-H9*K9</f>
        <v>0.715</v>
      </c>
      <c r="M9" s="36" t="s">
        <v>177</v>
      </c>
      <c r="N9" s="37">
        <v>0.15</v>
      </c>
      <c r="O9" s="32">
        <f>SUM(N9:N13)</f>
        <v>0.65</v>
      </c>
      <c r="P9" s="32">
        <f>(L9+O9)*1.2</f>
        <v>1.638</v>
      </c>
    </row>
    <row r="10" hidden="1" spans="1:16">
      <c r="A10" s="3"/>
      <c r="B10" s="4"/>
      <c r="C10" s="4"/>
      <c r="D10" s="4"/>
      <c r="E10" s="3"/>
      <c r="F10" s="3"/>
      <c r="G10" s="7"/>
      <c r="H10" s="7"/>
      <c r="I10" s="32"/>
      <c r="J10" s="32"/>
      <c r="K10" s="32"/>
      <c r="L10" s="32"/>
      <c r="M10" s="36" t="s">
        <v>178</v>
      </c>
      <c r="N10" s="37">
        <v>0.15</v>
      </c>
      <c r="O10" s="32"/>
      <c r="P10" s="32"/>
    </row>
    <row r="11" hidden="1" spans="1:16">
      <c r="A11" s="3"/>
      <c r="B11" s="4"/>
      <c r="C11" s="4"/>
      <c r="D11" s="4"/>
      <c r="E11" s="3"/>
      <c r="F11" s="3"/>
      <c r="G11" s="7"/>
      <c r="H11" s="7"/>
      <c r="I11" s="32"/>
      <c r="J11" s="32"/>
      <c r="K11" s="32"/>
      <c r="L11" s="32"/>
      <c r="M11" s="36" t="s">
        <v>179</v>
      </c>
      <c r="N11" s="37">
        <v>0.1</v>
      </c>
      <c r="O11" s="32"/>
      <c r="P11" s="32"/>
    </row>
    <row r="12" hidden="1" spans="1:16">
      <c r="A12" s="3"/>
      <c r="B12" s="4"/>
      <c r="C12" s="4"/>
      <c r="D12" s="4"/>
      <c r="E12" s="3"/>
      <c r="F12" s="3"/>
      <c r="G12" s="7"/>
      <c r="H12" s="7"/>
      <c r="I12" s="32"/>
      <c r="J12" s="32"/>
      <c r="K12" s="32"/>
      <c r="L12" s="32"/>
      <c r="M12" s="36" t="s">
        <v>180</v>
      </c>
      <c r="N12" s="37">
        <v>0.1</v>
      </c>
      <c r="O12" s="32"/>
      <c r="P12" s="32"/>
    </row>
    <row r="13" hidden="1" spans="1:16">
      <c r="A13" s="3"/>
      <c r="B13" s="4"/>
      <c r="C13" s="4"/>
      <c r="D13" s="4"/>
      <c r="E13" s="3"/>
      <c r="F13" s="3"/>
      <c r="G13" s="7"/>
      <c r="H13" s="7"/>
      <c r="I13" s="32"/>
      <c r="J13" s="32"/>
      <c r="K13" s="32"/>
      <c r="L13" s="32"/>
      <c r="M13" s="36" t="s">
        <v>181</v>
      </c>
      <c r="N13" s="37">
        <v>0.15</v>
      </c>
      <c r="O13" s="32"/>
      <c r="P13" s="32"/>
    </row>
    <row r="14" hidden="1" spans="1:16">
      <c r="A14" s="15"/>
      <c r="B14" s="15" t="s">
        <v>187</v>
      </c>
      <c r="C14" s="15" t="s">
        <v>188</v>
      </c>
      <c r="D14" s="15"/>
      <c r="E14" s="15"/>
      <c r="F14" s="15" t="s">
        <v>189</v>
      </c>
      <c r="G14" s="16">
        <v>5</v>
      </c>
      <c r="H14" s="16">
        <v>1</v>
      </c>
      <c r="I14" s="15">
        <v>0.03</v>
      </c>
      <c r="J14" s="15">
        <v>0.006</v>
      </c>
      <c r="K14" s="15">
        <f>I14-J14</f>
        <v>0.024</v>
      </c>
      <c r="L14" s="39">
        <f>G14*I14-H14*K14</f>
        <v>0.126</v>
      </c>
      <c r="M14" s="24" t="s">
        <v>177</v>
      </c>
      <c r="N14" s="40">
        <v>0.1</v>
      </c>
      <c r="O14" s="39">
        <f>SUM(N14:N17)</f>
        <v>0.33</v>
      </c>
      <c r="P14" s="39">
        <f>(L14+O14)*1.12</f>
        <v>0.51072</v>
      </c>
    </row>
    <row r="15" hidden="1" spans="1:16">
      <c r="A15" s="17"/>
      <c r="B15" s="17"/>
      <c r="C15" s="17"/>
      <c r="D15" s="17"/>
      <c r="E15" s="17"/>
      <c r="F15" s="17"/>
      <c r="G15" s="18"/>
      <c r="H15" s="18"/>
      <c r="I15" s="17"/>
      <c r="J15" s="17"/>
      <c r="K15" s="17"/>
      <c r="L15" s="41"/>
      <c r="M15" s="24" t="s">
        <v>190</v>
      </c>
      <c r="N15" s="40">
        <v>0.12</v>
      </c>
      <c r="O15" s="41"/>
      <c r="P15" s="41"/>
    </row>
    <row r="16" hidden="1" spans="1:16">
      <c r="A16" s="17"/>
      <c r="B16" s="17"/>
      <c r="C16" s="17"/>
      <c r="D16" s="17"/>
      <c r="E16" s="17"/>
      <c r="F16" s="17"/>
      <c r="G16" s="18"/>
      <c r="H16" s="18"/>
      <c r="I16" s="17"/>
      <c r="J16" s="17"/>
      <c r="K16" s="17"/>
      <c r="L16" s="41"/>
      <c r="M16" s="24" t="s">
        <v>191</v>
      </c>
      <c r="N16" s="40">
        <v>0.04</v>
      </c>
      <c r="O16" s="41"/>
      <c r="P16" s="41"/>
    </row>
    <row r="17" hidden="1" spans="1:16">
      <c r="A17" s="19"/>
      <c r="B17" s="19"/>
      <c r="C17" s="19"/>
      <c r="D17" s="19"/>
      <c r="E17" s="19"/>
      <c r="F17" s="19"/>
      <c r="G17" s="20"/>
      <c r="H17" s="20"/>
      <c r="I17" s="19"/>
      <c r="J17" s="19"/>
      <c r="K17" s="19"/>
      <c r="L17" s="42"/>
      <c r="M17" s="24" t="s">
        <v>179</v>
      </c>
      <c r="N17" s="40">
        <v>0.07</v>
      </c>
      <c r="O17" s="42"/>
      <c r="P17" s="42"/>
    </row>
    <row r="18" hidden="1" spans="1:16">
      <c r="A18" s="21"/>
      <c r="B18" s="21" t="s">
        <v>192</v>
      </c>
      <c r="C18" s="21" t="s">
        <v>193</v>
      </c>
      <c r="D18" s="21"/>
      <c r="E18" s="21"/>
      <c r="F18" s="21" t="s">
        <v>194</v>
      </c>
      <c r="G18" s="22">
        <v>5</v>
      </c>
      <c r="H18" s="22">
        <v>1</v>
      </c>
      <c r="I18" s="21">
        <v>0.073</v>
      </c>
      <c r="J18" s="21">
        <v>0.031</v>
      </c>
      <c r="K18" s="21">
        <f>I18-J18</f>
        <v>0.042</v>
      </c>
      <c r="L18" s="23">
        <f>G18*I18-H18*K18</f>
        <v>0.323</v>
      </c>
      <c r="M18" s="24" t="s">
        <v>195</v>
      </c>
      <c r="N18" s="40">
        <v>0.1</v>
      </c>
      <c r="O18" s="23">
        <f>N18+N19</f>
        <v>0.3</v>
      </c>
      <c r="P18" s="23">
        <f>(L18+O18)*1.12</f>
        <v>0.69776</v>
      </c>
    </row>
    <row r="19" hidden="1" spans="1:16">
      <c r="A19" s="21"/>
      <c r="B19" s="21"/>
      <c r="C19" s="21"/>
      <c r="D19" s="21"/>
      <c r="E19" s="21"/>
      <c r="F19" s="21"/>
      <c r="G19" s="22"/>
      <c r="H19" s="22"/>
      <c r="I19" s="21"/>
      <c r="J19" s="21"/>
      <c r="K19" s="21"/>
      <c r="L19" s="23"/>
      <c r="M19" s="24" t="s">
        <v>196</v>
      </c>
      <c r="N19" s="40">
        <v>0.2</v>
      </c>
      <c r="O19" s="23"/>
      <c r="P19" s="23"/>
    </row>
    <row r="20" hidden="1" spans="1:16">
      <c r="A20" s="23"/>
      <c r="B20" s="23" t="s">
        <v>197</v>
      </c>
      <c r="C20" s="23" t="s">
        <v>198</v>
      </c>
      <c r="D20" s="23"/>
      <c r="E20" s="23"/>
      <c r="F20" s="23" t="s">
        <v>199</v>
      </c>
      <c r="G20" s="22">
        <v>5</v>
      </c>
      <c r="H20" s="22">
        <v>1</v>
      </c>
      <c r="I20" s="23">
        <v>0.063</v>
      </c>
      <c r="J20" s="23">
        <v>0.053</v>
      </c>
      <c r="K20" s="23">
        <f>I20-J20</f>
        <v>0.01</v>
      </c>
      <c r="L20" s="23">
        <f>G20*I20-H20*K20</f>
        <v>0.305</v>
      </c>
      <c r="M20" s="24" t="s">
        <v>177</v>
      </c>
      <c r="N20" s="40">
        <v>0.1</v>
      </c>
      <c r="O20" s="23">
        <f>N20+N21+N22</f>
        <v>0.34</v>
      </c>
      <c r="P20" s="23">
        <f>(L20+O20)*1.12</f>
        <v>0.7224</v>
      </c>
    </row>
    <row r="21" hidden="1" spans="1:16">
      <c r="A21" s="23"/>
      <c r="B21" s="23"/>
      <c r="C21" s="23"/>
      <c r="D21" s="23"/>
      <c r="E21" s="23"/>
      <c r="F21" s="23"/>
      <c r="G21" s="22"/>
      <c r="H21" s="22"/>
      <c r="I21" s="23"/>
      <c r="J21" s="23"/>
      <c r="K21" s="23"/>
      <c r="L21" s="23"/>
      <c r="M21" s="24" t="s">
        <v>190</v>
      </c>
      <c r="N21" s="40">
        <v>0.16</v>
      </c>
      <c r="O21" s="23"/>
      <c r="P21" s="23"/>
    </row>
    <row r="22" hidden="1" spans="1:16">
      <c r="A22" s="23"/>
      <c r="B22" s="23"/>
      <c r="C22" s="23"/>
      <c r="D22" s="23"/>
      <c r="E22" s="23"/>
      <c r="F22" s="23"/>
      <c r="G22" s="22"/>
      <c r="H22" s="22"/>
      <c r="I22" s="23"/>
      <c r="J22" s="23"/>
      <c r="K22" s="23"/>
      <c r="L22" s="23"/>
      <c r="M22" s="24" t="s">
        <v>200</v>
      </c>
      <c r="N22" s="40">
        <v>0.08</v>
      </c>
      <c r="O22" s="23"/>
      <c r="P22" s="23"/>
    </row>
    <row r="23" ht="38" customHeight="1" spans="1:16">
      <c r="A23" s="24"/>
      <c r="B23" s="25" t="s">
        <v>201</v>
      </c>
      <c r="C23" s="26" t="s">
        <v>202</v>
      </c>
      <c r="D23" s="24"/>
      <c r="E23" s="24" t="s">
        <v>144</v>
      </c>
      <c r="F23" s="24" t="s">
        <v>203</v>
      </c>
      <c r="G23" s="27">
        <v>5</v>
      </c>
      <c r="H23" s="27">
        <v>1</v>
      </c>
      <c r="I23" s="24">
        <v>0.0123</v>
      </c>
      <c r="J23" s="24">
        <v>0.008</v>
      </c>
      <c r="K23" s="24">
        <f>I23-J23</f>
        <v>0.0043</v>
      </c>
      <c r="L23" s="40">
        <f>G23*H23*K23</f>
        <v>0.0215</v>
      </c>
      <c r="M23" s="24" t="s">
        <v>195</v>
      </c>
      <c r="N23" s="40">
        <v>0.1</v>
      </c>
      <c r="O23" s="40">
        <v>0.1</v>
      </c>
      <c r="P23" s="40">
        <f>(L23+O23)*1.2</f>
        <v>0.1458</v>
      </c>
    </row>
    <row r="24" spans="1:16">
      <c r="A24" s="15"/>
      <c r="B24" s="15" t="s">
        <v>204</v>
      </c>
      <c r="C24" s="15" t="s">
        <v>205</v>
      </c>
      <c r="D24" s="15"/>
      <c r="E24" s="15" t="s">
        <v>206</v>
      </c>
      <c r="F24" s="15" t="s">
        <v>207</v>
      </c>
      <c r="G24" s="16">
        <v>5.5</v>
      </c>
      <c r="H24" s="16">
        <v>1</v>
      </c>
      <c r="I24" s="15">
        <v>0.059</v>
      </c>
      <c r="J24" s="15">
        <v>0.022</v>
      </c>
      <c r="K24" s="15">
        <f>I24-J24</f>
        <v>0.037</v>
      </c>
      <c r="L24" s="16">
        <f>G24*H24*K24</f>
        <v>0.2035</v>
      </c>
      <c r="M24" s="24" t="s">
        <v>177</v>
      </c>
      <c r="N24" s="40">
        <v>0.06</v>
      </c>
      <c r="O24" s="23">
        <f>SUM(N24:N30)</f>
        <v>0.38</v>
      </c>
      <c r="P24" s="23">
        <f>(L24+O24)*1.2</f>
        <v>0.7002</v>
      </c>
    </row>
    <row r="25" spans="1:16">
      <c r="A25" s="17"/>
      <c r="B25" s="17"/>
      <c r="C25" s="17"/>
      <c r="D25" s="17"/>
      <c r="E25" s="17"/>
      <c r="F25" s="17"/>
      <c r="G25" s="18"/>
      <c r="H25" s="18"/>
      <c r="I25" s="17"/>
      <c r="J25" s="17"/>
      <c r="K25" s="17"/>
      <c r="L25" s="18"/>
      <c r="M25" s="24" t="s">
        <v>208</v>
      </c>
      <c r="N25" s="40">
        <v>0.04</v>
      </c>
      <c r="O25" s="23"/>
      <c r="P25" s="23"/>
    </row>
    <row r="26" spans="1:16">
      <c r="A26" s="17"/>
      <c r="B26" s="17"/>
      <c r="C26" s="17"/>
      <c r="D26" s="17"/>
      <c r="E26" s="17"/>
      <c r="F26" s="17"/>
      <c r="G26" s="18"/>
      <c r="H26" s="18"/>
      <c r="I26" s="17"/>
      <c r="J26" s="17"/>
      <c r="K26" s="17"/>
      <c r="L26" s="18"/>
      <c r="M26" s="24" t="s">
        <v>209</v>
      </c>
      <c r="N26" s="40">
        <v>0.12</v>
      </c>
      <c r="O26" s="23"/>
      <c r="P26" s="23"/>
    </row>
    <row r="27" spans="1:16">
      <c r="A27" s="17"/>
      <c r="B27" s="17"/>
      <c r="C27" s="17"/>
      <c r="D27" s="17"/>
      <c r="E27" s="17"/>
      <c r="F27" s="17"/>
      <c r="G27" s="18"/>
      <c r="H27" s="18"/>
      <c r="I27" s="17"/>
      <c r="J27" s="17"/>
      <c r="K27" s="17"/>
      <c r="L27" s="18"/>
      <c r="M27" s="24" t="s">
        <v>210</v>
      </c>
      <c r="N27" s="40">
        <v>0.05</v>
      </c>
      <c r="O27" s="23"/>
      <c r="P27" s="23"/>
    </row>
    <row r="28" spans="1:16">
      <c r="A28" s="17"/>
      <c r="B28" s="17"/>
      <c r="C28" s="17"/>
      <c r="D28" s="17"/>
      <c r="E28" s="17"/>
      <c r="F28" s="17"/>
      <c r="G28" s="18"/>
      <c r="H28" s="18"/>
      <c r="I28" s="17"/>
      <c r="J28" s="17"/>
      <c r="K28" s="17"/>
      <c r="L28" s="18"/>
      <c r="M28" s="24" t="s">
        <v>179</v>
      </c>
      <c r="N28" s="40">
        <v>0.05</v>
      </c>
      <c r="O28" s="23"/>
      <c r="P28" s="23"/>
    </row>
    <row r="29" spans="1:16">
      <c r="A29" s="17"/>
      <c r="B29" s="17"/>
      <c r="C29" s="17"/>
      <c r="D29" s="17"/>
      <c r="E29" s="17"/>
      <c r="F29" s="17"/>
      <c r="G29" s="18"/>
      <c r="H29" s="18"/>
      <c r="I29" s="17"/>
      <c r="J29" s="17"/>
      <c r="K29" s="17"/>
      <c r="L29" s="18"/>
      <c r="M29" s="24" t="s">
        <v>211</v>
      </c>
      <c r="N29" s="40">
        <v>0.03</v>
      </c>
      <c r="O29" s="23"/>
      <c r="P29" s="23"/>
    </row>
    <row r="30" spans="1:16">
      <c r="A30" s="19"/>
      <c r="B30" s="19"/>
      <c r="C30" s="19"/>
      <c r="D30" s="19"/>
      <c r="E30" s="19"/>
      <c r="F30" s="19"/>
      <c r="G30" s="20"/>
      <c r="H30" s="20"/>
      <c r="I30" s="19"/>
      <c r="J30" s="19"/>
      <c r="K30" s="19"/>
      <c r="L30" s="20"/>
      <c r="M30" s="24" t="s">
        <v>168</v>
      </c>
      <c r="N30" s="40">
        <v>0.03</v>
      </c>
      <c r="O30" s="23"/>
      <c r="P30" s="23"/>
    </row>
    <row r="31" spans="1:16">
      <c r="A31" s="15"/>
      <c r="B31" s="15" t="s">
        <v>212</v>
      </c>
      <c r="C31" s="15" t="s">
        <v>213</v>
      </c>
      <c r="D31" s="15"/>
      <c r="E31" s="15" t="s">
        <v>206</v>
      </c>
      <c r="F31" s="15" t="s">
        <v>214</v>
      </c>
      <c r="G31" s="16">
        <v>5.5</v>
      </c>
      <c r="H31" s="16">
        <v>1</v>
      </c>
      <c r="I31" s="15">
        <v>0.077</v>
      </c>
      <c r="J31" s="15">
        <v>0.038</v>
      </c>
      <c r="K31" s="15">
        <f>I31-J31</f>
        <v>0.039</v>
      </c>
      <c r="L31" s="16">
        <f>G31*H31*K31</f>
        <v>0.2145</v>
      </c>
      <c r="M31" s="24" t="s">
        <v>177</v>
      </c>
      <c r="N31" s="40">
        <v>0.06</v>
      </c>
      <c r="O31" s="23">
        <f>SUM(N31:N37)</f>
        <v>0.5</v>
      </c>
      <c r="P31" s="23">
        <f>(L31+O31)*1.2</f>
        <v>0.8574</v>
      </c>
    </row>
    <row r="32" spans="1:16">
      <c r="A32" s="17"/>
      <c r="B32" s="17"/>
      <c r="C32" s="17"/>
      <c r="D32" s="17"/>
      <c r="E32" s="17"/>
      <c r="F32" s="17"/>
      <c r="G32" s="18"/>
      <c r="H32" s="18"/>
      <c r="I32" s="17"/>
      <c r="J32" s="17"/>
      <c r="K32" s="17"/>
      <c r="L32" s="18"/>
      <c r="M32" s="24" t="s">
        <v>208</v>
      </c>
      <c r="N32" s="40">
        <v>0.06</v>
      </c>
      <c r="O32" s="23"/>
      <c r="P32" s="23"/>
    </row>
    <row r="33" spans="1:16">
      <c r="A33" s="17"/>
      <c r="B33" s="17"/>
      <c r="C33" s="17"/>
      <c r="D33" s="17"/>
      <c r="E33" s="17"/>
      <c r="F33" s="17"/>
      <c r="G33" s="18"/>
      <c r="H33" s="18"/>
      <c r="I33" s="17"/>
      <c r="J33" s="17"/>
      <c r="K33" s="17"/>
      <c r="L33" s="18"/>
      <c r="M33" s="24" t="s">
        <v>209</v>
      </c>
      <c r="N33" s="40">
        <v>0.2</v>
      </c>
      <c r="O33" s="23"/>
      <c r="P33" s="23"/>
    </row>
    <row r="34" spans="1:16">
      <c r="A34" s="17"/>
      <c r="B34" s="17"/>
      <c r="C34" s="17"/>
      <c r="D34" s="17"/>
      <c r="E34" s="17"/>
      <c r="F34" s="17"/>
      <c r="G34" s="18"/>
      <c r="H34" s="18"/>
      <c r="I34" s="17"/>
      <c r="J34" s="17"/>
      <c r="K34" s="17"/>
      <c r="L34" s="18"/>
      <c r="M34" s="24" t="s">
        <v>210</v>
      </c>
      <c r="N34" s="40">
        <v>0.05</v>
      </c>
      <c r="O34" s="23"/>
      <c r="P34" s="23"/>
    </row>
    <row r="35" spans="1:16">
      <c r="A35" s="17"/>
      <c r="B35" s="17"/>
      <c r="C35" s="17"/>
      <c r="D35" s="17"/>
      <c r="E35" s="17"/>
      <c r="F35" s="17"/>
      <c r="G35" s="18"/>
      <c r="H35" s="18"/>
      <c r="I35" s="17"/>
      <c r="J35" s="17"/>
      <c r="K35" s="17"/>
      <c r="L35" s="18"/>
      <c r="M35" s="24" t="s">
        <v>179</v>
      </c>
      <c r="N35" s="40">
        <v>0.05</v>
      </c>
      <c r="O35" s="23"/>
      <c r="P35" s="23"/>
    </row>
    <row r="36" spans="1:16">
      <c r="A36" s="17"/>
      <c r="B36" s="17"/>
      <c r="C36" s="17"/>
      <c r="D36" s="17"/>
      <c r="E36" s="17"/>
      <c r="F36" s="17"/>
      <c r="G36" s="18"/>
      <c r="H36" s="18"/>
      <c r="I36" s="17"/>
      <c r="J36" s="17"/>
      <c r="K36" s="17"/>
      <c r="L36" s="18"/>
      <c r="M36" s="24" t="s">
        <v>211</v>
      </c>
      <c r="N36" s="40">
        <v>0.03</v>
      </c>
      <c r="O36" s="23"/>
      <c r="P36" s="23"/>
    </row>
    <row r="37" spans="1:16">
      <c r="A37" s="19"/>
      <c r="B37" s="19"/>
      <c r="C37" s="19"/>
      <c r="D37" s="19"/>
      <c r="E37" s="19"/>
      <c r="F37" s="19"/>
      <c r="G37" s="20"/>
      <c r="H37" s="20"/>
      <c r="I37" s="19"/>
      <c r="J37" s="19"/>
      <c r="K37" s="19"/>
      <c r="L37" s="20"/>
      <c r="M37" s="24" t="s">
        <v>168</v>
      </c>
      <c r="N37" s="40">
        <v>0.05</v>
      </c>
      <c r="O37" s="23"/>
      <c r="P37" s="23"/>
    </row>
    <row r="38" ht="30" customHeight="1" spans="1:16">
      <c r="A38" s="24"/>
      <c r="B38" s="24" t="s">
        <v>215</v>
      </c>
      <c r="C38" s="28" t="s">
        <v>216</v>
      </c>
      <c r="D38" s="24"/>
      <c r="E38" s="21" t="s">
        <v>144</v>
      </c>
      <c r="F38" s="21" t="s">
        <v>217</v>
      </c>
      <c r="G38" s="22">
        <v>5</v>
      </c>
      <c r="H38" s="22">
        <v>1</v>
      </c>
      <c r="I38" s="24">
        <v>0.019</v>
      </c>
      <c r="J38" s="24">
        <v>0.011</v>
      </c>
      <c r="K38" s="24">
        <f t="shared" ref="K38:K43" si="0">I38-J38</f>
        <v>0.008</v>
      </c>
      <c r="L38" s="40">
        <f t="shared" ref="L38:L42" si="1">G38*I38-H38*K38</f>
        <v>0.087</v>
      </c>
      <c r="M38" s="24" t="s">
        <v>195</v>
      </c>
      <c r="N38" s="40">
        <v>0.1</v>
      </c>
      <c r="O38" s="40">
        <v>0.1</v>
      </c>
      <c r="P38" s="40">
        <f t="shared" ref="P38:P42" si="2">(L38+O38)*1.2</f>
        <v>0.2244</v>
      </c>
    </row>
    <row r="39" spans="1:16">
      <c r="A39" s="15"/>
      <c r="B39" s="15" t="s">
        <v>218</v>
      </c>
      <c r="C39" s="15" t="s">
        <v>219</v>
      </c>
      <c r="D39" s="15"/>
      <c r="E39" s="15" t="s">
        <v>144</v>
      </c>
      <c r="F39" s="15" t="s">
        <v>220</v>
      </c>
      <c r="G39" s="16">
        <v>5</v>
      </c>
      <c r="H39" s="16">
        <v>1</v>
      </c>
      <c r="I39" s="15">
        <v>0.014</v>
      </c>
      <c r="J39" s="15">
        <v>0.007</v>
      </c>
      <c r="K39" s="15">
        <f t="shared" si="0"/>
        <v>0.007</v>
      </c>
      <c r="L39" s="15">
        <f t="shared" si="1"/>
        <v>0.063</v>
      </c>
      <c r="M39" s="24" t="s">
        <v>195</v>
      </c>
      <c r="N39" s="40">
        <v>0.08</v>
      </c>
      <c r="O39" s="23">
        <f>SUM(N39:N41)</f>
        <v>0.14</v>
      </c>
      <c r="P39" s="23">
        <f t="shared" si="2"/>
        <v>0.2436</v>
      </c>
    </row>
    <row r="40" spans="1:16">
      <c r="A40" s="17"/>
      <c r="B40" s="17"/>
      <c r="C40" s="17"/>
      <c r="D40" s="17"/>
      <c r="E40" s="17"/>
      <c r="F40" s="17"/>
      <c r="G40" s="18"/>
      <c r="H40" s="18"/>
      <c r="I40" s="17"/>
      <c r="J40" s="17"/>
      <c r="K40" s="17"/>
      <c r="L40" s="17"/>
      <c r="M40" s="24" t="s">
        <v>221</v>
      </c>
      <c r="N40" s="40">
        <v>0.03</v>
      </c>
      <c r="O40" s="23"/>
      <c r="P40" s="23"/>
    </row>
    <row r="41" spans="1:16">
      <c r="A41" s="19"/>
      <c r="B41" s="19"/>
      <c r="C41" s="19"/>
      <c r="D41" s="19"/>
      <c r="E41" s="19"/>
      <c r="F41" s="19"/>
      <c r="G41" s="20"/>
      <c r="H41" s="20"/>
      <c r="I41" s="19"/>
      <c r="J41" s="19"/>
      <c r="K41" s="19"/>
      <c r="L41" s="19"/>
      <c r="M41" s="24" t="s">
        <v>168</v>
      </c>
      <c r="N41" s="40">
        <v>0.03</v>
      </c>
      <c r="O41" s="23"/>
      <c r="P41" s="23"/>
    </row>
    <row r="42" ht="30" customHeight="1" spans="1:16">
      <c r="A42" s="24"/>
      <c r="B42" s="24" t="s">
        <v>222</v>
      </c>
      <c r="C42" s="24" t="s">
        <v>223</v>
      </c>
      <c r="D42" s="24"/>
      <c r="E42" s="24" t="s">
        <v>144</v>
      </c>
      <c r="F42" s="24" t="s">
        <v>224</v>
      </c>
      <c r="G42" s="22">
        <v>5</v>
      </c>
      <c r="H42" s="22">
        <v>1</v>
      </c>
      <c r="I42" s="24">
        <v>0.014</v>
      </c>
      <c r="J42" s="24">
        <v>0.005</v>
      </c>
      <c r="K42" s="24">
        <f t="shared" si="0"/>
        <v>0.009</v>
      </c>
      <c r="L42" s="40">
        <f>G42*I42-H42*K42</f>
        <v>0.061</v>
      </c>
      <c r="M42" s="24" t="s">
        <v>195</v>
      </c>
      <c r="N42" s="40">
        <v>0.05</v>
      </c>
      <c r="O42" s="40">
        <v>0.05</v>
      </c>
      <c r="P42" s="40">
        <f>(L42+O42)*1.12</f>
        <v>0.12432</v>
      </c>
    </row>
    <row r="43" spans="1:16">
      <c r="A43" s="23"/>
      <c r="B43" s="23" t="s">
        <v>225</v>
      </c>
      <c r="C43" s="29" t="s">
        <v>226</v>
      </c>
      <c r="D43" s="23"/>
      <c r="E43" s="23" t="s">
        <v>227</v>
      </c>
      <c r="F43" s="23" t="s">
        <v>228</v>
      </c>
      <c r="G43" s="23">
        <v>5</v>
      </c>
      <c r="H43" s="23">
        <v>1</v>
      </c>
      <c r="I43" s="43">
        <v>0.087</v>
      </c>
      <c r="J43" s="43">
        <v>0.059</v>
      </c>
      <c r="K43" s="43">
        <f t="shared" si="0"/>
        <v>0.028</v>
      </c>
      <c r="L43" s="23">
        <f>G43*I43-H43*K43</f>
        <v>0.407</v>
      </c>
      <c r="M43" s="24" t="s">
        <v>168</v>
      </c>
      <c r="N43" s="40">
        <f>0.003*7</f>
        <v>0.021</v>
      </c>
      <c r="O43" s="23">
        <f>SUM(N43:N48)</f>
        <v>0.341</v>
      </c>
      <c r="P43" s="23">
        <f>(L43+O43)*1.2</f>
        <v>0.8976</v>
      </c>
    </row>
    <row r="44" spans="1:16">
      <c r="A44" s="23"/>
      <c r="B44" s="23"/>
      <c r="C44" s="29"/>
      <c r="D44" s="23"/>
      <c r="E44" s="23"/>
      <c r="F44" s="23"/>
      <c r="G44" s="23"/>
      <c r="H44" s="23"/>
      <c r="I44" s="43"/>
      <c r="J44" s="43"/>
      <c r="K44" s="43"/>
      <c r="L44" s="23"/>
      <c r="M44" s="24" t="s">
        <v>177</v>
      </c>
      <c r="N44" s="40">
        <v>0.06</v>
      </c>
      <c r="O44" s="23"/>
      <c r="P44" s="23"/>
    </row>
    <row r="45" spans="1:16">
      <c r="A45" s="23"/>
      <c r="B45" s="23"/>
      <c r="C45" s="29"/>
      <c r="D45" s="23"/>
      <c r="E45" s="23"/>
      <c r="F45" s="23"/>
      <c r="G45" s="23"/>
      <c r="H45" s="23"/>
      <c r="I45" s="43"/>
      <c r="J45" s="43"/>
      <c r="K45" s="43"/>
      <c r="L45" s="23"/>
      <c r="M45" s="24" t="s">
        <v>208</v>
      </c>
      <c r="N45" s="40">
        <v>0.06</v>
      </c>
      <c r="O45" s="23"/>
      <c r="P45" s="23"/>
    </row>
    <row r="46" spans="1:16">
      <c r="A46" s="23"/>
      <c r="B46" s="23"/>
      <c r="C46" s="29"/>
      <c r="D46" s="23"/>
      <c r="E46" s="23"/>
      <c r="F46" s="23"/>
      <c r="G46" s="23"/>
      <c r="H46" s="23"/>
      <c r="I46" s="43"/>
      <c r="J46" s="43"/>
      <c r="K46" s="43"/>
      <c r="L46" s="23"/>
      <c r="M46" s="24" t="s">
        <v>229</v>
      </c>
      <c r="N46" s="40">
        <v>0.16</v>
      </c>
      <c r="O46" s="23"/>
      <c r="P46" s="23"/>
    </row>
    <row r="47" spans="1:16">
      <c r="A47" s="23"/>
      <c r="B47" s="23"/>
      <c r="C47" s="29"/>
      <c r="D47" s="23"/>
      <c r="E47" s="23"/>
      <c r="F47" s="23"/>
      <c r="G47" s="23"/>
      <c r="H47" s="23"/>
      <c r="I47" s="43"/>
      <c r="J47" s="43"/>
      <c r="K47" s="43"/>
      <c r="L47" s="23"/>
      <c r="M47" s="24" t="s">
        <v>210</v>
      </c>
      <c r="N47" s="40">
        <v>0.02</v>
      </c>
      <c r="O47" s="23"/>
      <c r="P47" s="23"/>
    </row>
    <row r="48" spans="1:16">
      <c r="A48" s="23"/>
      <c r="B48" s="23"/>
      <c r="C48" s="29"/>
      <c r="D48" s="23"/>
      <c r="E48" s="23"/>
      <c r="F48" s="23"/>
      <c r="G48" s="23"/>
      <c r="H48" s="23"/>
      <c r="I48" s="43"/>
      <c r="J48" s="43"/>
      <c r="K48" s="43"/>
      <c r="L48" s="23"/>
      <c r="M48" s="24" t="s">
        <v>200</v>
      </c>
      <c r="N48" s="40">
        <v>0.02</v>
      </c>
      <c r="O48" s="23"/>
      <c r="P48" s="23"/>
    </row>
    <row r="49" spans="1:16">
      <c r="A49" s="23"/>
      <c r="B49" s="23" t="s">
        <v>230</v>
      </c>
      <c r="C49" s="29" t="s">
        <v>231</v>
      </c>
      <c r="D49" s="23"/>
      <c r="E49" s="23" t="s">
        <v>206</v>
      </c>
      <c r="F49" s="23" t="s">
        <v>232</v>
      </c>
      <c r="G49" s="23">
        <v>5.5</v>
      </c>
      <c r="H49" s="23">
        <v>1</v>
      </c>
      <c r="I49" s="43">
        <v>0.075</v>
      </c>
      <c r="J49" s="43">
        <v>0.031</v>
      </c>
      <c r="K49" s="43">
        <f t="shared" ref="K49:K54" si="3">I49-J49</f>
        <v>0.044</v>
      </c>
      <c r="L49" s="23">
        <f t="shared" ref="L49:L54" si="4">G49*I49-H49*K49</f>
        <v>0.3685</v>
      </c>
      <c r="M49" s="24" t="s">
        <v>168</v>
      </c>
      <c r="N49" s="40">
        <f>0.003*7</f>
        <v>0.021</v>
      </c>
      <c r="O49" s="23">
        <f>SUM(N49:N51)</f>
        <v>0.171</v>
      </c>
      <c r="P49" s="23">
        <f>(L49+O49)*1.2</f>
        <v>0.6474</v>
      </c>
    </row>
    <row r="50" spans="1:16">
      <c r="A50" s="23"/>
      <c r="B50" s="23"/>
      <c r="C50" s="29"/>
      <c r="D50" s="23"/>
      <c r="E50" s="23"/>
      <c r="F50" s="23"/>
      <c r="G50" s="23"/>
      <c r="H50" s="23"/>
      <c r="I50" s="43"/>
      <c r="J50" s="43"/>
      <c r="K50" s="43"/>
      <c r="L50" s="23"/>
      <c r="M50" s="24" t="s">
        <v>195</v>
      </c>
      <c r="N50" s="40">
        <v>0.1</v>
      </c>
      <c r="O50" s="23"/>
      <c r="P50" s="23"/>
    </row>
    <row r="51" spans="1:16">
      <c r="A51" s="23"/>
      <c r="B51" s="23"/>
      <c r="C51" s="29"/>
      <c r="D51" s="23"/>
      <c r="E51" s="23"/>
      <c r="F51" s="23"/>
      <c r="G51" s="23"/>
      <c r="H51" s="23"/>
      <c r="I51" s="43"/>
      <c r="J51" s="43"/>
      <c r="K51" s="43"/>
      <c r="L51" s="23"/>
      <c r="M51" s="24" t="s">
        <v>179</v>
      </c>
      <c r="N51" s="40">
        <v>0.05</v>
      </c>
      <c r="O51" s="23"/>
      <c r="P51" s="23"/>
    </row>
    <row r="52" spans="1:16">
      <c r="A52" s="23"/>
      <c r="B52" s="23" t="s">
        <v>233</v>
      </c>
      <c r="C52" s="23" t="s">
        <v>234</v>
      </c>
      <c r="D52" s="23"/>
      <c r="E52" s="23" t="s">
        <v>144</v>
      </c>
      <c r="F52" s="23" t="s">
        <v>235</v>
      </c>
      <c r="G52" s="23">
        <v>5</v>
      </c>
      <c r="H52" s="23">
        <v>1</v>
      </c>
      <c r="I52" s="43">
        <v>0.052</v>
      </c>
      <c r="J52" s="43">
        <v>0.042</v>
      </c>
      <c r="K52" s="43">
        <f t="shared" si="3"/>
        <v>0.00999999999999999</v>
      </c>
      <c r="L52" s="23">
        <f t="shared" si="4"/>
        <v>0.25</v>
      </c>
      <c r="M52" s="24" t="s">
        <v>195</v>
      </c>
      <c r="N52" s="40">
        <v>0.1</v>
      </c>
      <c r="O52" s="23">
        <f>N52+N53</f>
        <v>0.121</v>
      </c>
      <c r="P52" s="23">
        <f>(L52+O52)*1.2</f>
        <v>0.4452</v>
      </c>
    </row>
    <row r="53" spans="1:16">
      <c r="A53" s="23"/>
      <c r="B53" s="23"/>
      <c r="C53" s="23"/>
      <c r="D53" s="23"/>
      <c r="E53" s="23"/>
      <c r="F53" s="23"/>
      <c r="G53" s="23"/>
      <c r="H53" s="23"/>
      <c r="I53" s="43"/>
      <c r="J53" s="43"/>
      <c r="K53" s="43"/>
      <c r="L53" s="23"/>
      <c r="M53" s="24" t="s">
        <v>168</v>
      </c>
      <c r="N53" s="40">
        <f>0.003*7</f>
        <v>0.021</v>
      </c>
      <c r="O53" s="23"/>
      <c r="P53" s="23"/>
    </row>
    <row r="54" ht="28" customHeight="1" spans="1:16">
      <c r="A54" s="30"/>
      <c r="B54" s="30" t="s">
        <v>236</v>
      </c>
      <c r="C54" s="30" t="s">
        <v>237</v>
      </c>
      <c r="D54" s="30"/>
      <c r="E54" s="24" t="s">
        <v>144</v>
      </c>
      <c r="F54" s="30" t="s">
        <v>238</v>
      </c>
      <c r="G54" s="31">
        <v>5</v>
      </c>
      <c r="H54" s="31">
        <v>1</v>
      </c>
      <c r="I54" s="30">
        <v>0.073</v>
      </c>
      <c r="J54" s="30">
        <v>0.066</v>
      </c>
      <c r="K54" s="24">
        <f t="shared" si="3"/>
        <v>0.00699999999999999</v>
      </c>
      <c r="L54" s="40">
        <f t="shared" si="4"/>
        <v>0.358</v>
      </c>
      <c r="M54" s="24" t="s">
        <v>195</v>
      </c>
      <c r="N54" s="40">
        <v>0.1</v>
      </c>
      <c r="O54" s="40">
        <v>0.1</v>
      </c>
      <c r="P54" s="40">
        <f>(L54+O54)*1.12</f>
        <v>0.51296</v>
      </c>
    </row>
  </sheetData>
  <mergeCells count="159">
    <mergeCell ref="G1:H1"/>
    <mergeCell ref="I1:K1"/>
    <mergeCell ref="M1:O1"/>
    <mergeCell ref="A1:A2"/>
    <mergeCell ref="A3:A8"/>
    <mergeCell ref="A9:A13"/>
    <mergeCell ref="A14:A17"/>
    <mergeCell ref="A18:A19"/>
    <mergeCell ref="A20:A22"/>
    <mergeCell ref="A24:A30"/>
    <mergeCell ref="A31:A37"/>
    <mergeCell ref="A39:A41"/>
    <mergeCell ref="A43:A48"/>
    <mergeCell ref="A49:A51"/>
    <mergeCell ref="A52:A53"/>
    <mergeCell ref="B1:B2"/>
    <mergeCell ref="B3:B8"/>
    <mergeCell ref="B9:B13"/>
    <mergeCell ref="B14:B17"/>
    <mergeCell ref="B18:B19"/>
    <mergeCell ref="B20:B22"/>
    <mergeCell ref="B24:B30"/>
    <mergeCell ref="B31:B37"/>
    <mergeCell ref="B39:B41"/>
    <mergeCell ref="B43:B48"/>
    <mergeCell ref="B49:B51"/>
    <mergeCell ref="B52:B53"/>
    <mergeCell ref="C1:C2"/>
    <mergeCell ref="C3:C8"/>
    <mergeCell ref="C9:C13"/>
    <mergeCell ref="C14:C17"/>
    <mergeCell ref="C18:C19"/>
    <mergeCell ref="C20:C22"/>
    <mergeCell ref="C24:C30"/>
    <mergeCell ref="C31:C37"/>
    <mergeCell ref="C39:C41"/>
    <mergeCell ref="C43:C48"/>
    <mergeCell ref="C49:C51"/>
    <mergeCell ref="C52:C53"/>
    <mergeCell ref="D1:D2"/>
    <mergeCell ref="D24:D30"/>
    <mergeCell ref="D31:D37"/>
    <mergeCell ref="D39:D41"/>
    <mergeCell ref="D43:D48"/>
    <mergeCell ref="D49:D51"/>
    <mergeCell ref="D52:D53"/>
    <mergeCell ref="E1:E2"/>
    <mergeCell ref="E3:E8"/>
    <mergeCell ref="E9:E13"/>
    <mergeCell ref="E14:E17"/>
    <mergeCell ref="E18:E19"/>
    <mergeCell ref="E20:E22"/>
    <mergeCell ref="E24:E30"/>
    <mergeCell ref="E31:E37"/>
    <mergeCell ref="E39:E41"/>
    <mergeCell ref="E43:E48"/>
    <mergeCell ref="E49:E51"/>
    <mergeCell ref="E52:E53"/>
    <mergeCell ref="F1:F2"/>
    <mergeCell ref="F3:F8"/>
    <mergeCell ref="F9:F13"/>
    <mergeCell ref="F14:F17"/>
    <mergeCell ref="F18:F19"/>
    <mergeCell ref="F20:F22"/>
    <mergeCell ref="F24:F30"/>
    <mergeCell ref="F31:F37"/>
    <mergeCell ref="F39:F41"/>
    <mergeCell ref="F43:F48"/>
    <mergeCell ref="F49:F51"/>
    <mergeCell ref="F52:F53"/>
    <mergeCell ref="G3:G8"/>
    <mergeCell ref="G9:G13"/>
    <mergeCell ref="G14:G17"/>
    <mergeCell ref="G18:G19"/>
    <mergeCell ref="G20:G22"/>
    <mergeCell ref="G24:G30"/>
    <mergeCell ref="G31:G37"/>
    <mergeCell ref="G39:G41"/>
    <mergeCell ref="G43:G48"/>
    <mergeCell ref="G49:G51"/>
    <mergeCell ref="G52:G53"/>
    <mergeCell ref="H3:H8"/>
    <mergeCell ref="H9:H13"/>
    <mergeCell ref="H14:H17"/>
    <mergeCell ref="H18:H19"/>
    <mergeCell ref="H20:H22"/>
    <mergeCell ref="H24:H30"/>
    <mergeCell ref="H31:H37"/>
    <mergeCell ref="H39:H41"/>
    <mergeCell ref="H43:H48"/>
    <mergeCell ref="H49:H51"/>
    <mergeCell ref="H52:H53"/>
    <mergeCell ref="I3:I8"/>
    <mergeCell ref="I9:I13"/>
    <mergeCell ref="I14:I17"/>
    <mergeCell ref="I18:I19"/>
    <mergeCell ref="I20:I22"/>
    <mergeCell ref="I24:I30"/>
    <mergeCell ref="I31:I37"/>
    <mergeCell ref="I39:I41"/>
    <mergeCell ref="I43:I48"/>
    <mergeCell ref="I49:I51"/>
    <mergeCell ref="I52:I53"/>
    <mergeCell ref="J3:J8"/>
    <mergeCell ref="J9:J13"/>
    <mergeCell ref="J14:J17"/>
    <mergeCell ref="J18:J19"/>
    <mergeCell ref="J20:J22"/>
    <mergeCell ref="J24:J30"/>
    <mergeCell ref="J31:J37"/>
    <mergeCell ref="J39:J41"/>
    <mergeCell ref="J43:J48"/>
    <mergeCell ref="J49:J51"/>
    <mergeCell ref="J52:J53"/>
    <mergeCell ref="K3:K8"/>
    <mergeCell ref="K9:K13"/>
    <mergeCell ref="K14:K17"/>
    <mergeCell ref="K18:K19"/>
    <mergeCell ref="K20:K22"/>
    <mergeCell ref="K24:K30"/>
    <mergeCell ref="K31:K37"/>
    <mergeCell ref="K39:K41"/>
    <mergeCell ref="K43:K48"/>
    <mergeCell ref="K49:K51"/>
    <mergeCell ref="K52:K53"/>
    <mergeCell ref="L1:L2"/>
    <mergeCell ref="L3:L8"/>
    <mergeCell ref="L9:L13"/>
    <mergeCell ref="L14:L17"/>
    <mergeCell ref="L18:L19"/>
    <mergeCell ref="L20:L22"/>
    <mergeCell ref="L24:L30"/>
    <mergeCell ref="L31:L37"/>
    <mergeCell ref="L39:L41"/>
    <mergeCell ref="L43:L48"/>
    <mergeCell ref="L49:L51"/>
    <mergeCell ref="L52:L53"/>
    <mergeCell ref="O3:O8"/>
    <mergeCell ref="O9:O13"/>
    <mergeCell ref="O14:O17"/>
    <mergeCell ref="O18:O19"/>
    <mergeCell ref="O20:O22"/>
    <mergeCell ref="O24:O30"/>
    <mergeCell ref="O31:O37"/>
    <mergeCell ref="O39:O41"/>
    <mergeCell ref="O43:O48"/>
    <mergeCell ref="O49:O51"/>
    <mergeCell ref="O52:O53"/>
    <mergeCell ref="P3:P8"/>
    <mergeCell ref="P9:P13"/>
    <mergeCell ref="P14:P17"/>
    <mergeCell ref="P18:P19"/>
    <mergeCell ref="P20:P22"/>
    <mergeCell ref="P24:P30"/>
    <mergeCell ref="P31:P37"/>
    <mergeCell ref="P39:P41"/>
    <mergeCell ref="P43:P48"/>
    <mergeCell ref="P49:P51"/>
    <mergeCell ref="P52:P53"/>
  </mergeCells>
  <conditionalFormatting sqref="B23">
    <cfRule type="duplicateValues" dxfId="0" priority="1"/>
  </conditionalFormatting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D30" rgbClr="1EC584"/>
    <comment s:ref="Q32" rgbClr="1EC584"/>
    <comment s:ref="Q33" rgbClr="1EC584"/>
    <comment s:ref="D38" rgbClr="1EC584"/>
    <comment s:ref="Q40" rgbClr="1EC584"/>
    <comment s:ref="Q41" rgbClr="1EC584"/>
    <comment s:ref="X99" rgbClr="28C470"/>
    <comment s:ref="G118" rgbClr="28C470"/>
    <comment s:ref="G121" rgbClr="28C470"/>
    <comment s:ref="Q124" rgbClr="28C47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冲压件</vt:lpstr>
      <vt:lpstr>机加件 (欧马可)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追夢人</cp:lastModifiedBy>
  <dcterms:created xsi:type="dcterms:W3CDTF">2022-05-24T07:20:00Z</dcterms:created>
  <dcterms:modified xsi:type="dcterms:W3CDTF">2022-06-22T00:43:27Z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CA63D3F23A7D4551964ABC0AF3AAC505</vt:lpwstr>
  </property>
  <property fmtid="{D5CDD505-2E9C-101B-9397-08002B2CF9AE}" pid="3" name="KSOProductBuildVer">
    <vt:lpwstr>2052-11.1.0.11744</vt:lpwstr>
  </property>
</Properties>
</file>