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吉利G3座椅\"/>
    </mc:Choice>
  </mc:AlternateContent>
  <bookViews>
    <workbookView xWindow="0" yWindow="540" windowWidth="18525" windowHeight="6150" tabRatio="866" activeTab="1"/>
  </bookViews>
  <sheets>
    <sheet name="假设条件" sheetId="34" r:id="rId1"/>
    <sheet name="损益表" sheetId="2" r:id="rId2"/>
    <sheet name="现金" sheetId="36" state="hidden" r:id="rId3"/>
    <sheet name="2024年" sheetId="43" r:id="rId4"/>
    <sheet name="2025年" sheetId="56" r:id="rId5"/>
    <sheet name="2026年" sheetId="57" r:id="rId6"/>
    <sheet name="2027年" sheetId="63" r:id="rId7"/>
    <sheet name="2028年" sheetId="62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  <sheet name="成本（增减件）" sheetId="64" r:id="rId15"/>
  </sheets>
  <externalReferences>
    <externalReference r:id="rId16"/>
  </externalReferences>
  <definedNames>
    <definedName name="_xlnm.Print_Area" localSheetId="3">'2024年'!$A$1:$G$48</definedName>
    <definedName name="_xlnm.Print_Area" localSheetId="4">'2025年'!$A$1:$G$48</definedName>
    <definedName name="_xlnm.Print_Area" localSheetId="5">'2026年'!$A$1:$G$48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E77" i="50" l="1"/>
  <c r="E64" i="50"/>
  <c r="E51" i="50"/>
  <c r="E38" i="50"/>
  <c r="E24" i="50"/>
  <c r="E10" i="50"/>
  <c r="E45" i="50"/>
  <c r="K40" i="64"/>
  <c r="K35" i="64"/>
  <c r="K33" i="64"/>
  <c r="K21" i="64"/>
  <c r="K12" i="64"/>
  <c r="K10" i="64"/>
  <c r="B27" i="51" l="1"/>
  <c r="B26" i="51"/>
  <c r="E5" i="61" l="1"/>
  <c r="E3" i="61"/>
  <c r="G6" i="53"/>
  <c r="E6" i="61" s="1"/>
  <c r="F6" i="53"/>
  <c r="E6" i="53"/>
  <c r="E4" i="61" s="1"/>
  <c r="D6" i="53"/>
  <c r="E19" i="64" l="1"/>
  <c r="G3" i="61" l="1"/>
  <c r="H3" i="61" s="1"/>
  <c r="G4" i="61"/>
  <c r="H4" i="61" s="1"/>
  <c r="G5" i="61"/>
  <c r="H5" i="61" s="1"/>
  <c r="G6" i="61"/>
  <c r="H6" i="61" s="1"/>
  <c r="F7" i="61" l="1"/>
  <c r="E7" i="61"/>
  <c r="G7" i="61" s="1"/>
  <c r="H7" i="61" s="1"/>
  <c r="H31" i="64"/>
  <c r="B31" i="64"/>
  <c r="B9" i="64"/>
  <c r="F6" i="63" l="1"/>
  <c r="F6" i="62"/>
  <c r="D6" i="63"/>
  <c r="D6" i="62"/>
  <c r="E6" i="63"/>
  <c r="E6" i="62"/>
  <c r="E6" i="43"/>
  <c r="E7" i="43" s="1"/>
  <c r="E9" i="43" s="1"/>
  <c r="C6" i="62" l="1"/>
  <c r="C6" i="63"/>
  <c r="C7" i="63" s="1"/>
  <c r="F31" i="57"/>
  <c r="F31" i="56"/>
  <c r="F31" i="63"/>
  <c r="F31" i="43"/>
  <c r="F32" i="43" s="1"/>
  <c r="G8" i="43"/>
  <c r="F31" i="62"/>
  <c r="E31" i="62"/>
  <c r="D31" i="62"/>
  <c r="C31" i="62"/>
  <c r="F4" i="62"/>
  <c r="E4" i="62"/>
  <c r="D4" i="62"/>
  <c r="C4" i="62"/>
  <c r="F3" i="62"/>
  <c r="E3" i="62"/>
  <c r="D3" i="62"/>
  <c r="C3" i="62"/>
  <c r="C2" i="62"/>
  <c r="E31" i="63"/>
  <c r="D31" i="63"/>
  <c r="C31" i="63"/>
  <c r="F4" i="63"/>
  <c r="E4" i="63"/>
  <c r="D4" i="63"/>
  <c r="C4" i="63"/>
  <c r="F3" i="63"/>
  <c r="E3" i="63"/>
  <c r="D3" i="63"/>
  <c r="C3" i="63"/>
  <c r="C2" i="63"/>
  <c r="F6" i="57"/>
  <c r="F3" i="57"/>
  <c r="F4" i="57"/>
  <c r="F6" i="43"/>
  <c r="F6" i="56"/>
  <c r="F4" i="56"/>
  <c r="F3" i="56"/>
  <c r="F4" i="43"/>
  <c r="F3" i="43"/>
  <c r="G19" i="51"/>
  <c r="G12" i="51"/>
  <c r="F7" i="62" l="1"/>
  <c r="F7" i="56"/>
  <c r="F7" i="57"/>
  <c r="F7" i="63"/>
  <c r="F7" i="43"/>
  <c r="F9" i="43" s="1"/>
  <c r="D7" i="62"/>
  <c r="G6" i="63"/>
  <c r="G6" i="62"/>
  <c r="G3" i="2" s="1"/>
  <c r="C7" i="62"/>
  <c r="E7" i="62"/>
  <c r="D7" i="63"/>
  <c r="E7" i="63"/>
  <c r="G7" i="63" l="1"/>
  <c r="F4" i="2" s="1"/>
  <c r="F3" i="2"/>
  <c r="G7" i="62"/>
  <c r="G4" i="2" s="1"/>
  <c r="K6" i="61" l="1"/>
  <c r="K3" i="61"/>
  <c r="F77" i="50" l="1"/>
  <c r="F74" i="50"/>
  <c r="F64" i="50"/>
  <c r="F61" i="50"/>
  <c r="F51" i="50"/>
  <c r="F48" i="50"/>
  <c r="F38" i="50"/>
  <c r="F35" i="50"/>
  <c r="F24" i="50"/>
  <c r="F21" i="50"/>
  <c r="F10" i="50"/>
  <c r="F7" i="50"/>
  <c r="D33" i="53" l="1"/>
  <c r="F33" i="53"/>
  <c r="G33" i="53"/>
  <c r="H33" i="53"/>
  <c r="I33" i="53"/>
  <c r="I70" i="50" l="1"/>
  <c r="H75" i="50"/>
  <c r="H74" i="50"/>
  <c r="I57" i="50"/>
  <c r="H62" i="50"/>
  <c r="H61" i="50"/>
  <c r="I44" i="50"/>
  <c r="H49" i="50"/>
  <c r="H48" i="50"/>
  <c r="I31" i="50"/>
  <c r="H36" i="50"/>
  <c r="H35" i="50"/>
  <c r="I17" i="50"/>
  <c r="H22" i="50"/>
  <c r="H21" i="50"/>
  <c r="I3" i="50"/>
  <c r="D3" i="57"/>
  <c r="E3" i="57"/>
  <c r="D4" i="57"/>
  <c r="E4" i="57"/>
  <c r="D6" i="57"/>
  <c r="D7" i="57" s="1"/>
  <c r="E6" i="57"/>
  <c r="E7" i="57" s="1"/>
  <c r="D31" i="57"/>
  <c r="E31" i="57"/>
  <c r="D31" i="56"/>
  <c r="E31" i="56"/>
  <c r="D3" i="56"/>
  <c r="E3" i="56"/>
  <c r="D4" i="56"/>
  <c r="E4" i="56"/>
  <c r="D6" i="56"/>
  <c r="E6" i="56"/>
  <c r="E46" i="53"/>
  <c r="F46" i="53" s="1"/>
  <c r="G46" i="53" s="1"/>
  <c r="I4" i="53"/>
  <c r="I5" i="53"/>
  <c r="E4" i="53"/>
  <c r="F4" i="53"/>
  <c r="G4" i="53"/>
  <c r="H4" i="53"/>
  <c r="E5" i="53"/>
  <c r="F5" i="53"/>
  <c r="G5" i="53"/>
  <c r="H5" i="53"/>
  <c r="D5" i="53"/>
  <c r="D4" i="53"/>
  <c r="E7" i="56" l="1"/>
  <c r="E72" i="50"/>
  <c r="E76" i="50"/>
  <c r="E73" i="50"/>
  <c r="E78" i="50"/>
  <c r="E74" i="50"/>
  <c r="E71" i="50"/>
  <c r="E75" i="50"/>
  <c r="E38" i="43"/>
  <c r="E36" i="50"/>
  <c r="E45" i="43" s="1"/>
  <c r="E33" i="50"/>
  <c r="E43" i="43" s="1"/>
  <c r="E37" i="50"/>
  <c r="E44" i="43" s="1"/>
  <c r="E34" i="50"/>
  <c r="E39" i="50"/>
  <c r="E35" i="50"/>
  <c r="E32" i="50"/>
  <c r="F38" i="43"/>
  <c r="E48" i="50"/>
  <c r="F36" i="43"/>
  <c r="E49" i="50"/>
  <c r="F45" i="43" s="1"/>
  <c r="E46" i="50"/>
  <c r="F43" i="43" s="1"/>
  <c r="E50" i="50"/>
  <c r="F44" i="43" s="1"/>
  <c r="E47" i="50"/>
  <c r="F37" i="43" s="1"/>
  <c r="E52" i="50"/>
  <c r="F47" i="43" s="1"/>
  <c r="E7" i="50"/>
  <c r="E5" i="50"/>
  <c r="C43" i="43" s="1"/>
  <c r="E8" i="50"/>
  <c r="C45" i="43" s="1"/>
  <c r="E6" i="50"/>
  <c r="E11" i="50"/>
  <c r="E4" i="50"/>
  <c r="C36" i="43" s="1"/>
  <c r="E9" i="50"/>
  <c r="C44" i="43" s="1"/>
  <c r="E60" i="50"/>
  <c r="E65" i="50"/>
  <c r="E61" i="50"/>
  <c r="E58" i="50"/>
  <c r="E62" i="50"/>
  <c r="E59" i="50"/>
  <c r="E63" i="50"/>
  <c r="E22" i="50"/>
  <c r="D45" i="43" s="1"/>
  <c r="E19" i="50"/>
  <c r="D43" i="43" s="1"/>
  <c r="E23" i="50"/>
  <c r="D44" i="43" s="1"/>
  <c r="E20" i="50"/>
  <c r="D37" i="43" s="1"/>
  <c r="D38" i="43"/>
  <c r="E21" i="50"/>
  <c r="E25" i="50"/>
  <c r="D47" i="43" s="1"/>
  <c r="E18" i="50"/>
  <c r="D36" i="43" s="1"/>
  <c r="E36" i="43"/>
  <c r="E37" i="43"/>
  <c r="E47" i="43"/>
  <c r="D7" i="56"/>
  <c r="D37" i="62" l="1"/>
  <c r="D12" i="62" s="1"/>
  <c r="D37" i="63"/>
  <c r="D12" i="63" s="1"/>
  <c r="D45" i="62"/>
  <c r="D20" i="62" s="1"/>
  <c r="D45" i="63"/>
  <c r="D20" i="63" s="1"/>
  <c r="C44" i="62"/>
  <c r="C19" i="62" s="1"/>
  <c r="C44" i="63"/>
  <c r="C19" i="63" s="1"/>
  <c r="F37" i="57"/>
  <c r="F12" i="57" s="1"/>
  <c r="F37" i="63"/>
  <c r="F12" i="63" s="1"/>
  <c r="F37" i="56"/>
  <c r="F12" i="56" s="1"/>
  <c r="F37" i="62"/>
  <c r="F12" i="62" s="1"/>
  <c r="F12" i="43"/>
  <c r="F45" i="62"/>
  <c r="F20" i="62" s="1"/>
  <c r="F45" i="57"/>
  <c r="F20" i="57" s="1"/>
  <c r="F45" i="63"/>
  <c r="F20" i="63" s="1"/>
  <c r="F45" i="56"/>
  <c r="F20" i="56" s="1"/>
  <c r="F20" i="43"/>
  <c r="F38" i="57"/>
  <c r="F13" i="57" s="1"/>
  <c r="F38" i="63"/>
  <c r="F13" i="63" s="1"/>
  <c r="F38" i="56"/>
  <c r="F13" i="56" s="1"/>
  <c r="F38" i="62"/>
  <c r="F13" i="62" s="1"/>
  <c r="F13" i="43"/>
  <c r="E43" i="62"/>
  <c r="E43" i="63"/>
  <c r="D47" i="63"/>
  <c r="D22" i="63" s="1"/>
  <c r="D47" i="62"/>
  <c r="D22" i="62" s="1"/>
  <c r="D44" i="62"/>
  <c r="D19" i="62" s="1"/>
  <c r="D44" i="63"/>
  <c r="D19" i="63" s="1"/>
  <c r="C36" i="62"/>
  <c r="C11" i="62" s="1"/>
  <c r="C36" i="63"/>
  <c r="C11" i="63" s="1"/>
  <c r="C45" i="63"/>
  <c r="C20" i="63" s="1"/>
  <c r="C45" i="62"/>
  <c r="C20" i="62" s="1"/>
  <c r="F44" i="57"/>
  <c r="F19" i="57" s="1"/>
  <c r="F44" i="63"/>
  <c r="F19" i="63" s="1"/>
  <c r="F44" i="56"/>
  <c r="F19" i="56" s="1"/>
  <c r="F44" i="62"/>
  <c r="F19" i="62" s="1"/>
  <c r="F19" i="43"/>
  <c r="F36" i="62"/>
  <c r="F11" i="62" s="1"/>
  <c r="F36" i="63"/>
  <c r="F11" i="63" s="1"/>
  <c r="F36" i="56"/>
  <c r="F11" i="56" s="1"/>
  <c r="F14" i="56" s="1"/>
  <c r="F36" i="57"/>
  <c r="F11" i="57" s="1"/>
  <c r="F11" i="43"/>
  <c r="E45" i="62"/>
  <c r="E20" i="62" s="1"/>
  <c r="E45" i="63"/>
  <c r="E20" i="63" s="1"/>
  <c r="E37" i="63"/>
  <c r="E12" i="63" s="1"/>
  <c r="E37" i="62"/>
  <c r="E12" i="62" s="1"/>
  <c r="E36" i="63"/>
  <c r="E11" i="63" s="1"/>
  <c r="E36" i="62"/>
  <c r="E11" i="62" s="1"/>
  <c r="E47" i="62"/>
  <c r="E22" i="62" s="1"/>
  <c r="E47" i="63"/>
  <c r="E22" i="63" s="1"/>
  <c r="D36" i="62"/>
  <c r="D11" i="62" s="1"/>
  <c r="D36" i="63"/>
  <c r="D11" i="63" s="1"/>
  <c r="D38" i="62"/>
  <c r="D13" i="62" s="1"/>
  <c r="D38" i="63"/>
  <c r="D13" i="63" s="1"/>
  <c r="D43" i="62"/>
  <c r="D43" i="63"/>
  <c r="C43" i="62"/>
  <c r="C43" i="63"/>
  <c r="F47" i="63"/>
  <c r="F22" i="63" s="1"/>
  <c r="F47" i="57"/>
  <c r="F22" i="57" s="1"/>
  <c r="F47" i="62"/>
  <c r="F22" i="62" s="1"/>
  <c r="F47" i="56"/>
  <c r="F22" i="56" s="1"/>
  <c r="F22" i="43"/>
  <c r="F43" i="63"/>
  <c r="F43" i="56"/>
  <c r="F43" i="62"/>
  <c r="F43" i="57"/>
  <c r="E44" i="63"/>
  <c r="E19" i="63" s="1"/>
  <c r="E44" i="62"/>
  <c r="E19" i="62" s="1"/>
  <c r="E38" i="63"/>
  <c r="E13" i="63" s="1"/>
  <c r="E38" i="62"/>
  <c r="E13" i="62" s="1"/>
  <c r="E47" i="57"/>
  <c r="E22" i="57" s="1"/>
  <c r="E47" i="56"/>
  <c r="E22" i="56" s="1"/>
  <c r="D45" i="57"/>
  <c r="D45" i="56"/>
  <c r="E45" i="57"/>
  <c r="E45" i="56"/>
  <c r="E37" i="57"/>
  <c r="E12" i="57" s="1"/>
  <c r="E37" i="56"/>
  <c r="E12" i="56" s="1"/>
  <c r="D36" i="56"/>
  <c r="D11" i="56" s="1"/>
  <c r="D36" i="57"/>
  <c r="D11" i="57" s="1"/>
  <c r="C44" i="57"/>
  <c r="C44" i="56"/>
  <c r="C45" i="56"/>
  <c r="C45" i="57"/>
  <c r="E38" i="57"/>
  <c r="E13" i="57" s="1"/>
  <c r="E38" i="56"/>
  <c r="E13" i="56" s="1"/>
  <c r="E36" i="56"/>
  <c r="E11" i="56" s="1"/>
  <c r="E36" i="57"/>
  <c r="E11" i="57" s="1"/>
  <c r="D47" i="57"/>
  <c r="D22" i="57" s="1"/>
  <c r="D47" i="56"/>
  <c r="D22" i="56" s="1"/>
  <c r="D44" i="57"/>
  <c r="D19" i="57" s="1"/>
  <c r="D44" i="56"/>
  <c r="D19" i="56" s="1"/>
  <c r="C36" i="57"/>
  <c r="C36" i="56"/>
  <c r="C43" i="57"/>
  <c r="C43" i="56"/>
  <c r="E44" i="56"/>
  <c r="E19" i="56" s="1"/>
  <c r="E44" i="57"/>
  <c r="E19" i="57" s="1"/>
  <c r="D38" i="57"/>
  <c r="D13" i="57" s="1"/>
  <c r="D38" i="56"/>
  <c r="D13" i="56" s="1"/>
  <c r="D37" i="57"/>
  <c r="D12" i="57" s="1"/>
  <c r="D37" i="56"/>
  <c r="D12" i="56" s="1"/>
  <c r="D43" i="57"/>
  <c r="D43" i="56"/>
  <c r="E43" i="57"/>
  <c r="E43" i="56"/>
  <c r="D14" i="62" l="1"/>
  <c r="F14" i="63"/>
  <c r="F14" i="57"/>
  <c r="D14" i="63"/>
  <c r="G20" i="63"/>
  <c r="F17" i="2" s="1"/>
  <c r="F14" i="43"/>
  <c r="G19" i="63"/>
  <c r="F16" i="2" s="1"/>
  <c r="F42" i="2" s="1"/>
  <c r="E14" i="62"/>
  <c r="G11" i="63"/>
  <c r="F8" i="2" s="1"/>
  <c r="G19" i="62"/>
  <c r="G16" i="2" s="1"/>
  <c r="G42" i="2" s="1"/>
  <c r="E14" i="63"/>
  <c r="G20" i="62"/>
  <c r="G17" i="2" s="1"/>
  <c r="G11" i="62"/>
  <c r="G8" i="2" s="1"/>
  <c r="F14" i="62"/>
  <c r="E14" i="56"/>
  <c r="D14" i="56"/>
  <c r="E14" i="57"/>
  <c r="D14" i="57"/>
  <c r="D31" i="43"/>
  <c r="D32" i="43" s="1"/>
  <c r="E31" i="43"/>
  <c r="E32" i="43" s="1"/>
  <c r="D6" i="43"/>
  <c r="E3" i="43"/>
  <c r="E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G34" i="2" l="1"/>
  <c r="G43" i="2"/>
  <c r="F34" i="2"/>
  <c r="F43" i="2"/>
  <c r="E12" i="43"/>
  <c r="E22" i="43"/>
  <c r="E13" i="43"/>
  <c r="D22" i="43"/>
  <c r="D13" i="43"/>
  <c r="D19" i="43"/>
  <c r="D12" i="43"/>
  <c r="D11" i="43"/>
  <c r="D20" i="43"/>
  <c r="E19" i="43"/>
  <c r="D7" i="43"/>
  <c r="D9" i="43" s="1"/>
  <c r="E11" i="43"/>
  <c r="E20" i="43"/>
  <c r="E14" i="43" l="1"/>
  <c r="D14" i="43"/>
  <c r="C2" i="57"/>
  <c r="C2" i="56"/>
  <c r="H7" i="50" l="1"/>
  <c r="C4" i="57" l="1"/>
  <c r="C3" i="57"/>
  <c r="C3" i="56"/>
  <c r="C4" i="56"/>
  <c r="C3" i="43"/>
  <c r="C4" i="43"/>
  <c r="B9" i="51"/>
  <c r="L8" i="55" l="1"/>
  <c r="K9" i="55"/>
  <c r="L7" i="55"/>
  <c r="F8" i="56" s="1"/>
  <c r="F9" i="56" s="1"/>
  <c r="F32" i="56" s="1"/>
  <c r="C6" i="57"/>
  <c r="G6" i="57" s="1"/>
  <c r="C31" i="57"/>
  <c r="C6" i="56"/>
  <c r="G6" i="56" s="1"/>
  <c r="C31" i="56"/>
  <c r="F8" i="57" l="1"/>
  <c r="F9" i="57" s="1"/>
  <c r="F32" i="57" s="1"/>
  <c r="E8" i="62"/>
  <c r="E9" i="62" s="1"/>
  <c r="E32" i="62" s="1"/>
  <c r="D8" i="63"/>
  <c r="D9" i="63" s="1"/>
  <c r="F8" i="63"/>
  <c r="F9" i="63" s="1"/>
  <c r="F32" i="63" s="1"/>
  <c r="D8" i="62"/>
  <c r="D9" i="62" s="1"/>
  <c r="D32" i="62" s="1"/>
  <c r="F8" i="62"/>
  <c r="F9" i="62" s="1"/>
  <c r="F32" i="62" s="1"/>
  <c r="E8" i="63"/>
  <c r="E9" i="63" s="1"/>
  <c r="E32" i="63" s="1"/>
  <c r="E8" i="56"/>
  <c r="E9" i="56" s="1"/>
  <c r="D8" i="56"/>
  <c r="D9" i="56" s="1"/>
  <c r="E8" i="57"/>
  <c r="E9" i="57" s="1"/>
  <c r="D8" i="57"/>
  <c r="D9" i="57" s="1"/>
  <c r="E3" i="2"/>
  <c r="D3" i="2"/>
  <c r="C7" i="56"/>
  <c r="G7" i="56" s="1"/>
  <c r="C7" i="57"/>
  <c r="G7" i="57" s="1"/>
  <c r="C38" i="43"/>
  <c r="C37" i="43"/>
  <c r="L9" i="55"/>
  <c r="C8" i="63" s="1"/>
  <c r="K10" i="55"/>
  <c r="L10" i="55" s="1"/>
  <c r="C8" i="62" s="1"/>
  <c r="C11" i="56"/>
  <c r="G11" i="56" s="1"/>
  <c r="C37" i="62" l="1"/>
  <c r="C12" i="62" s="1"/>
  <c r="C37" i="63"/>
  <c r="C12" i="63" s="1"/>
  <c r="D32" i="63"/>
  <c r="C9" i="62"/>
  <c r="G8" i="62"/>
  <c r="G5" i="2" s="1"/>
  <c r="C38" i="62"/>
  <c r="C13" i="62" s="1"/>
  <c r="G13" i="62" s="1"/>
  <c r="G10" i="2" s="1"/>
  <c r="C38" i="63"/>
  <c r="C13" i="63" s="1"/>
  <c r="G13" i="63" s="1"/>
  <c r="F10" i="2" s="1"/>
  <c r="C9" i="63"/>
  <c r="C32" i="63" s="1"/>
  <c r="G8" i="63"/>
  <c r="F5" i="2" s="1"/>
  <c r="C38" i="57"/>
  <c r="C13" i="57" s="1"/>
  <c r="C38" i="56"/>
  <c r="C13" i="56" s="1"/>
  <c r="G13" i="56" s="1"/>
  <c r="C37" i="56"/>
  <c r="C12" i="56" s="1"/>
  <c r="G12" i="56" s="1"/>
  <c r="C37" i="57"/>
  <c r="E32" i="57"/>
  <c r="D32" i="56"/>
  <c r="D32" i="57"/>
  <c r="E32" i="56"/>
  <c r="C8" i="56"/>
  <c r="D4" i="2"/>
  <c r="E4" i="2"/>
  <c r="C8" i="57"/>
  <c r="G8" i="57" s="1"/>
  <c r="C11" i="57"/>
  <c r="G11" i="57" s="1"/>
  <c r="D8" i="2"/>
  <c r="D34" i="2" s="1"/>
  <c r="C19" i="57"/>
  <c r="G19" i="57" s="1"/>
  <c r="C19" i="56"/>
  <c r="G19" i="56" s="1"/>
  <c r="C12" i="57"/>
  <c r="G12" i="57" s="1"/>
  <c r="G9" i="63" l="1"/>
  <c r="F6" i="2" s="1"/>
  <c r="F47" i="2" s="1"/>
  <c r="F36" i="2"/>
  <c r="G9" i="62"/>
  <c r="G6" i="2" s="1"/>
  <c r="G47" i="2" s="1"/>
  <c r="C32" i="62"/>
  <c r="G12" i="63"/>
  <c r="F9" i="2" s="1"/>
  <c r="C14" i="63"/>
  <c r="G14" i="63" s="1"/>
  <c r="F11" i="2" s="1"/>
  <c r="G36" i="2"/>
  <c r="G12" i="62"/>
  <c r="G9" i="2" s="1"/>
  <c r="C14" i="62"/>
  <c r="G14" i="62" s="1"/>
  <c r="G11" i="2" s="1"/>
  <c r="C9" i="56"/>
  <c r="G9" i="56" s="1"/>
  <c r="D6" i="2" s="1"/>
  <c r="D29" i="2" s="1"/>
  <c r="G8" i="56"/>
  <c r="G13" i="57"/>
  <c r="E10" i="2" s="1"/>
  <c r="E36" i="2" s="1"/>
  <c r="E20" i="56"/>
  <c r="D20" i="56"/>
  <c r="D20" i="57"/>
  <c r="E20" i="57"/>
  <c r="C9" i="57"/>
  <c r="G9" i="57" s="1"/>
  <c r="E5" i="2"/>
  <c r="E8" i="2"/>
  <c r="E34" i="2" s="1"/>
  <c r="D5" i="2"/>
  <c r="C14" i="56"/>
  <c r="G14" i="56" s="1"/>
  <c r="C14" i="57"/>
  <c r="G14" i="57" s="1"/>
  <c r="E16" i="2"/>
  <c r="D10" i="2"/>
  <c r="D36" i="2" s="1"/>
  <c r="D16" i="2"/>
  <c r="C32" i="56" l="1"/>
  <c r="C20" i="56" s="1"/>
  <c r="F35" i="2"/>
  <c r="G35" i="2"/>
  <c r="G29" i="2"/>
  <c r="G49" i="2"/>
  <c r="F29" i="2"/>
  <c r="F49" i="2"/>
  <c r="G20" i="56"/>
  <c r="E42" i="2"/>
  <c r="D47" i="2"/>
  <c r="D42" i="2"/>
  <c r="C32" i="57"/>
  <c r="C20" i="57" s="1"/>
  <c r="G20" i="57" s="1"/>
  <c r="E6" i="2"/>
  <c r="E29" i="2" s="1"/>
  <c r="E47" i="2" l="1"/>
  <c r="E17" i="2"/>
  <c r="D11" i="2"/>
  <c r="D9" i="2"/>
  <c r="D35" i="2" s="1"/>
  <c r="E49" i="2" l="1"/>
  <c r="E43" i="2"/>
  <c r="E11" i="2"/>
  <c r="E9" i="2"/>
  <c r="E35" i="2" s="1"/>
  <c r="D17" i="2" l="1"/>
  <c r="D49" i="2" l="1"/>
  <c r="D43" i="2"/>
  <c r="B5" i="51"/>
  <c r="H8" i="50" l="1"/>
  <c r="E45" i="53" l="1"/>
  <c r="F45" i="53" s="1"/>
  <c r="G45" i="53" s="1"/>
  <c r="E44" i="53"/>
  <c r="E43" i="53"/>
  <c r="E33" i="53"/>
  <c r="E42" i="53" s="1"/>
  <c r="F42" i="53" s="1"/>
  <c r="G42" i="53" s="1"/>
  <c r="H42" i="53" s="1"/>
  <c r="E41" i="53"/>
  <c r="F41" i="53" s="1"/>
  <c r="G41" i="53" s="1"/>
  <c r="H41" i="53" s="1"/>
  <c r="I9" i="55"/>
  <c r="G22" i="51"/>
  <c r="D27" i="51"/>
  <c r="B8" i="51"/>
  <c r="B7" i="51"/>
  <c r="C47" i="43"/>
  <c r="C31" i="43"/>
  <c r="C32" i="43" s="1"/>
  <c r="C6" i="43"/>
  <c r="G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C47" i="63" l="1"/>
  <c r="C22" i="63" s="1"/>
  <c r="C47" i="62"/>
  <c r="C22" i="62" s="1"/>
  <c r="G21" i="63"/>
  <c r="G21" i="62"/>
  <c r="F44" i="53"/>
  <c r="F33" i="56" s="1"/>
  <c r="F10" i="43"/>
  <c r="F15" i="43" s="1"/>
  <c r="F16" i="43" s="1"/>
  <c r="F33" i="43"/>
  <c r="I42" i="53"/>
  <c r="D10" i="63"/>
  <c r="D15" i="63" s="1"/>
  <c r="D33" i="63"/>
  <c r="D34" i="63" s="1"/>
  <c r="D40" i="63" s="1"/>
  <c r="I41" i="53"/>
  <c r="C10" i="63"/>
  <c r="C33" i="63"/>
  <c r="C34" i="63" s="1"/>
  <c r="C40" i="63" s="1"/>
  <c r="G44" i="53"/>
  <c r="F10" i="57" s="1"/>
  <c r="F15" i="57" s="1"/>
  <c r="F10" i="56"/>
  <c r="F15" i="56" s="1"/>
  <c r="F43" i="53"/>
  <c r="E10" i="56" s="1"/>
  <c r="C56" i="2"/>
  <c r="C47" i="56"/>
  <c r="C22" i="56" s="1"/>
  <c r="C47" i="57"/>
  <c r="C22" i="57" s="1"/>
  <c r="E33" i="43"/>
  <c r="E10" i="43"/>
  <c r="K10" i="36"/>
  <c r="D33" i="43"/>
  <c r="D10" i="43"/>
  <c r="C22" i="43"/>
  <c r="G22" i="43" s="1"/>
  <c r="C3" i="2"/>
  <c r="H3" i="2" s="1"/>
  <c r="C19" i="43"/>
  <c r="G19" i="43" s="1"/>
  <c r="C10" i="56"/>
  <c r="C33" i="43"/>
  <c r="C34" i="43" s="1"/>
  <c r="C40" i="43" s="1"/>
  <c r="C7" i="43"/>
  <c r="G7" i="43" s="1"/>
  <c r="C10" i="43"/>
  <c r="D26" i="5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K17" i="36"/>
  <c r="K19" i="36" s="1"/>
  <c r="M14" i="36"/>
  <c r="C11" i="43"/>
  <c r="G11" i="43" s="1"/>
  <c r="C12" i="43"/>
  <c r="G12" i="43" s="1"/>
  <c r="C13" i="43"/>
  <c r="G13" i="43" s="1"/>
  <c r="C20" i="43"/>
  <c r="G20" i="43" s="1"/>
  <c r="G18" i="62" l="1"/>
  <c r="G18" i="63"/>
  <c r="F18" i="2"/>
  <c r="F50" i="2" s="1"/>
  <c r="D21" i="63"/>
  <c r="E21" i="63"/>
  <c r="F21" i="63"/>
  <c r="C21" i="63"/>
  <c r="C46" i="63" s="1"/>
  <c r="C48" i="63" s="1"/>
  <c r="G22" i="62"/>
  <c r="G18" i="2"/>
  <c r="G50" i="2" s="1"/>
  <c r="F21" i="62"/>
  <c r="E21" i="62"/>
  <c r="C21" i="62"/>
  <c r="C46" i="62" s="1"/>
  <c r="D21" i="62"/>
  <c r="G22" i="63"/>
  <c r="H44" i="53"/>
  <c r="F33" i="57"/>
  <c r="D33" i="62"/>
  <c r="D34" i="62" s="1"/>
  <c r="D40" i="62" s="1"/>
  <c r="D10" i="62"/>
  <c r="D15" i="62" s="1"/>
  <c r="D16" i="62" s="1"/>
  <c r="C10" i="62"/>
  <c r="C33" i="62"/>
  <c r="C34" i="62" s="1"/>
  <c r="C40" i="62" s="1"/>
  <c r="G43" i="53"/>
  <c r="F34" i="43"/>
  <c r="F40" i="43" s="1"/>
  <c r="F16" i="56"/>
  <c r="G10" i="43"/>
  <c r="C7" i="2" s="1"/>
  <c r="C30" i="2" s="1"/>
  <c r="G22" i="56"/>
  <c r="D19" i="2" s="1"/>
  <c r="D51" i="2" s="1"/>
  <c r="G22" i="57"/>
  <c r="E19" i="2" s="1"/>
  <c r="E51" i="2" s="1"/>
  <c r="F16" i="57"/>
  <c r="D16" i="63"/>
  <c r="C15" i="62"/>
  <c r="C15" i="63"/>
  <c r="G18" i="56"/>
  <c r="C57" i="2"/>
  <c r="C55" i="2" s="1"/>
  <c r="D33" i="56"/>
  <c r="D34" i="56" s="1"/>
  <c r="D40" i="56" s="1"/>
  <c r="D10" i="56"/>
  <c r="D15" i="56" s="1"/>
  <c r="D16" i="56" s="1"/>
  <c r="E33" i="56"/>
  <c r="E34" i="56" s="1"/>
  <c r="E40" i="56" s="1"/>
  <c r="E15" i="56"/>
  <c r="E16" i="56" s="1"/>
  <c r="C9" i="43"/>
  <c r="G9" i="43" s="1"/>
  <c r="C4" i="2"/>
  <c r="H4" i="2" s="1"/>
  <c r="G18" i="43"/>
  <c r="D34" i="43"/>
  <c r="D40" i="43" s="1"/>
  <c r="D15" i="43"/>
  <c r="C33" i="56"/>
  <c r="C34" i="56" s="1"/>
  <c r="C40" i="56" s="1"/>
  <c r="C14" i="43"/>
  <c r="G14" i="43" s="1"/>
  <c r="G17" i="36"/>
  <c r="G19" i="36" s="1"/>
  <c r="G18" i="57"/>
  <c r="E26" i="51"/>
  <c r="F26" i="51" s="1"/>
  <c r="G26" i="51" s="1"/>
  <c r="H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G21" i="56"/>
  <c r="F21" i="56" s="1"/>
  <c r="G21" i="57"/>
  <c r="F21" i="57" s="1"/>
  <c r="C17" i="2"/>
  <c r="C43" i="2" s="1"/>
  <c r="C9" i="2"/>
  <c r="C35" i="2" s="1"/>
  <c r="G21" i="43"/>
  <c r="F21" i="43" s="1"/>
  <c r="E27" i="51"/>
  <c r="F27" i="51" s="1"/>
  <c r="G27" i="51" s="1"/>
  <c r="H27" i="51" s="1"/>
  <c r="D28" i="51"/>
  <c r="M17" i="36"/>
  <c r="C48" i="62" l="1"/>
  <c r="F46" i="57"/>
  <c r="D60" i="2"/>
  <c r="F18" i="56"/>
  <c r="F17" i="56" s="1"/>
  <c r="F46" i="43"/>
  <c r="F48" i="43" s="1"/>
  <c r="F19" i="2"/>
  <c r="F51" i="2" s="1"/>
  <c r="E46" i="62"/>
  <c r="E46" i="63"/>
  <c r="F15" i="2"/>
  <c r="E18" i="63"/>
  <c r="E17" i="63" s="1"/>
  <c r="D18" i="63"/>
  <c r="D17" i="63" s="1"/>
  <c r="D23" i="63" s="1"/>
  <c r="D24" i="63" s="1"/>
  <c r="D25" i="63" s="1"/>
  <c r="D26" i="63" s="1"/>
  <c r="D27" i="63" s="1"/>
  <c r="C18" i="63"/>
  <c r="C17" i="63" s="1"/>
  <c r="C23" i="63" s="1"/>
  <c r="C24" i="63" s="1"/>
  <c r="C25" i="63" s="1"/>
  <c r="C26" i="63" s="1"/>
  <c r="C27" i="63" s="1"/>
  <c r="F18" i="63"/>
  <c r="F17" i="63" s="1"/>
  <c r="F23" i="63" s="1"/>
  <c r="F46" i="63"/>
  <c r="F46" i="56"/>
  <c r="F23" i="56"/>
  <c r="F24" i="56" s="1"/>
  <c r="F25" i="56" s="1"/>
  <c r="F26" i="56" s="1"/>
  <c r="F27" i="56" s="1"/>
  <c r="E60" i="2"/>
  <c r="F18" i="57"/>
  <c r="F17" i="57" s="1"/>
  <c r="F23" i="57" s="1"/>
  <c r="F24" i="57" s="1"/>
  <c r="F25" i="57" s="1"/>
  <c r="F26" i="57" s="1"/>
  <c r="F27" i="57" s="1"/>
  <c r="D18" i="43"/>
  <c r="F18" i="43"/>
  <c r="F17" i="43" s="1"/>
  <c r="F23" i="43" s="1"/>
  <c r="F24" i="43" s="1"/>
  <c r="F25" i="43" s="1"/>
  <c r="F26" i="43" s="1"/>
  <c r="F27" i="43" s="1"/>
  <c r="D46" i="62"/>
  <c r="D48" i="62" s="1"/>
  <c r="F46" i="62"/>
  <c r="G19" i="2"/>
  <c r="G51" i="2" s="1"/>
  <c r="D46" i="63"/>
  <c r="D48" i="63" s="1"/>
  <c r="G15" i="2"/>
  <c r="F18" i="62"/>
  <c r="F17" i="62" s="1"/>
  <c r="F23" i="62" s="1"/>
  <c r="D18" i="62"/>
  <c r="D17" i="62" s="1"/>
  <c r="D23" i="62" s="1"/>
  <c r="D24" i="62" s="1"/>
  <c r="D25" i="62" s="1"/>
  <c r="D26" i="62" s="1"/>
  <c r="D27" i="62" s="1"/>
  <c r="C18" i="62"/>
  <c r="C17" i="62" s="1"/>
  <c r="E18" i="62"/>
  <c r="E17" i="62" s="1"/>
  <c r="E23" i="62" s="1"/>
  <c r="I44" i="53"/>
  <c r="F10" i="63"/>
  <c r="F15" i="63" s="1"/>
  <c r="F33" i="63"/>
  <c r="H43" i="53"/>
  <c r="F34" i="56"/>
  <c r="F40" i="56" s="1"/>
  <c r="G10" i="56"/>
  <c r="D7" i="2" s="1"/>
  <c r="D30" i="2" s="1"/>
  <c r="C16" i="63"/>
  <c r="C16" i="62"/>
  <c r="C18" i="43"/>
  <c r="C60" i="2"/>
  <c r="M19" i="36"/>
  <c r="C33" i="57"/>
  <c r="C34" i="57" s="1"/>
  <c r="C40" i="57" s="1"/>
  <c r="C10" i="57"/>
  <c r="D33" i="57"/>
  <c r="D34" i="57" s="1"/>
  <c r="D40" i="57" s="1"/>
  <c r="D10" i="57"/>
  <c r="D15" i="57" s="1"/>
  <c r="D16" i="57" s="1"/>
  <c r="H9" i="2"/>
  <c r="H35" i="2" s="1"/>
  <c r="I22" i="36"/>
  <c r="E33" i="57"/>
  <c r="E34" i="57" s="1"/>
  <c r="E40" i="57" s="1"/>
  <c r="E10" i="57"/>
  <c r="E15" i="57" s="1"/>
  <c r="E16" i="57" s="1"/>
  <c r="H17" i="2"/>
  <c r="H43" i="2" s="1"/>
  <c r="F6" i="36"/>
  <c r="F5" i="36" s="1"/>
  <c r="F17" i="36" s="1"/>
  <c r="F19" i="36" s="1"/>
  <c r="L6" i="36"/>
  <c r="L5" i="36" s="1"/>
  <c r="L17" i="36" s="1"/>
  <c r="L19" i="36" s="1"/>
  <c r="I23" i="36"/>
  <c r="D21" i="56"/>
  <c r="E21" i="56"/>
  <c r="C18" i="57"/>
  <c r="C17" i="57" s="1"/>
  <c r="E18" i="57"/>
  <c r="E17" i="57" s="1"/>
  <c r="D18" i="57"/>
  <c r="D17" i="57" s="1"/>
  <c r="C21" i="43"/>
  <c r="D21" i="43"/>
  <c r="E21" i="43"/>
  <c r="E46" i="43" s="1"/>
  <c r="E21" i="57"/>
  <c r="D21" i="57"/>
  <c r="D16" i="43"/>
  <c r="E34" i="43"/>
  <c r="E40" i="43" s="1"/>
  <c r="E15" i="43"/>
  <c r="C6" i="2"/>
  <c r="C15" i="56"/>
  <c r="G15" i="56" s="1"/>
  <c r="C20" i="36"/>
  <c r="D20" i="36" s="1"/>
  <c r="E20" i="36" s="1"/>
  <c r="C16" i="2"/>
  <c r="D18" i="2"/>
  <c r="D50" i="2" s="1"/>
  <c r="C21" i="56"/>
  <c r="C46" i="56" s="1"/>
  <c r="C48" i="56" s="1"/>
  <c r="E18" i="2"/>
  <c r="E50" i="2" s="1"/>
  <c r="C21" i="57"/>
  <c r="C46" i="57" s="1"/>
  <c r="C8" i="2"/>
  <c r="C34" i="2" s="1"/>
  <c r="C10" i="2"/>
  <c r="C36" i="2" s="1"/>
  <c r="C15" i="43"/>
  <c r="E28" i="51"/>
  <c r="I27" i="51"/>
  <c r="C19" i="2"/>
  <c r="H19" i="2" s="1"/>
  <c r="F28" i="51"/>
  <c r="C18" i="2"/>
  <c r="E48" i="43" l="1"/>
  <c r="F48" i="56"/>
  <c r="G17" i="62"/>
  <c r="G14" i="2" s="1"/>
  <c r="G48" i="2" s="1"/>
  <c r="G17" i="63"/>
  <c r="C23" i="62"/>
  <c r="C24" i="62" s="1"/>
  <c r="C25" i="62" s="1"/>
  <c r="C26" i="62" s="1"/>
  <c r="C27" i="62" s="1"/>
  <c r="E23" i="63"/>
  <c r="G15" i="43"/>
  <c r="F16" i="63"/>
  <c r="F24" i="63"/>
  <c r="F25" i="63" s="1"/>
  <c r="F26" i="63" s="1"/>
  <c r="F27" i="63" s="1"/>
  <c r="F33" i="62"/>
  <c r="F10" i="62"/>
  <c r="F15" i="62" s="1"/>
  <c r="E10" i="63"/>
  <c r="E15" i="63" s="1"/>
  <c r="E33" i="63"/>
  <c r="E34" i="63" s="1"/>
  <c r="E40" i="63" s="1"/>
  <c r="E48" i="63" s="1"/>
  <c r="F34" i="63"/>
  <c r="F40" i="63" s="1"/>
  <c r="F48" i="63" s="1"/>
  <c r="I43" i="53"/>
  <c r="F34" i="62"/>
  <c r="F40" i="62" s="1"/>
  <c r="F48" i="62" s="1"/>
  <c r="F34" i="57"/>
  <c r="F40" i="57" s="1"/>
  <c r="F48" i="57" s="1"/>
  <c r="G17" i="57"/>
  <c r="D46" i="43"/>
  <c r="D48" i="43" s="1"/>
  <c r="G10" i="57"/>
  <c r="E7" i="2" s="1"/>
  <c r="E30" i="2" s="1"/>
  <c r="D31" i="2"/>
  <c r="D32" i="2" s="1"/>
  <c r="H16" i="2"/>
  <c r="H42" i="2" s="1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H18" i="2"/>
  <c r="F18" i="36"/>
  <c r="G18" i="36" s="1"/>
  <c r="H18" i="36" s="1"/>
  <c r="E24" i="36" s="1"/>
  <c r="H10" i="2"/>
  <c r="H8" i="2"/>
  <c r="H34" i="2" s="1"/>
  <c r="H6" i="2"/>
  <c r="C16" i="43"/>
  <c r="E46" i="57"/>
  <c r="E48" i="57" s="1"/>
  <c r="E23" i="57"/>
  <c r="E24" i="57" s="1"/>
  <c r="E25" i="57" s="1"/>
  <c r="E46" i="56"/>
  <c r="E48" i="56" s="1"/>
  <c r="D46" i="57"/>
  <c r="D48" i="57" s="1"/>
  <c r="D23" i="57"/>
  <c r="D24" i="57" s="1"/>
  <c r="D46" i="56"/>
  <c r="D48" i="56" s="1"/>
  <c r="C16" i="56"/>
  <c r="G16" i="56"/>
  <c r="D13" i="2" s="1"/>
  <c r="E16" i="43"/>
  <c r="C48" i="57"/>
  <c r="C15" i="57"/>
  <c r="G15" i="57" s="1"/>
  <c r="C23" i="57"/>
  <c r="C11" i="2"/>
  <c r="H11" i="2" s="1"/>
  <c r="C46" i="43"/>
  <c r="C48" i="43" s="1"/>
  <c r="G28" i="51"/>
  <c r="G41" i="2" l="1"/>
  <c r="G23" i="62"/>
  <c r="G20" i="2" s="1"/>
  <c r="G10" i="63"/>
  <c r="F7" i="2" s="1"/>
  <c r="F30" i="2" s="1"/>
  <c r="F31" i="2" s="1"/>
  <c r="F32" i="2" s="1"/>
  <c r="F14" i="2"/>
  <c r="G23" i="63"/>
  <c r="F20" i="2" s="1"/>
  <c r="F16" i="62"/>
  <c r="F24" i="62"/>
  <c r="F25" i="62" s="1"/>
  <c r="F26" i="62" s="1"/>
  <c r="F27" i="62" s="1"/>
  <c r="E10" i="62"/>
  <c r="E33" i="62"/>
  <c r="E34" i="62" s="1"/>
  <c r="E40" i="62" s="1"/>
  <c r="E48" i="62" s="1"/>
  <c r="E16" i="63"/>
  <c r="E24" i="63"/>
  <c r="E25" i="63" s="1"/>
  <c r="E26" i="63" s="1"/>
  <c r="E27" i="63" s="1"/>
  <c r="G15" i="63"/>
  <c r="E14" i="2"/>
  <c r="E48" i="2" s="1"/>
  <c r="E31" i="2"/>
  <c r="E32" i="2" s="1"/>
  <c r="I20" i="36"/>
  <c r="J20" i="36" s="1"/>
  <c r="K20" i="36" s="1"/>
  <c r="L20" i="36" s="1"/>
  <c r="D25" i="57"/>
  <c r="D26" i="57" s="1"/>
  <c r="D27" i="57" s="1"/>
  <c r="I18" i="36"/>
  <c r="J18" i="36" s="1"/>
  <c r="K18" i="36" s="1"/>
  <c r="L18" i="36" s="1"/>
  <c r="H47" i="2"/>
  <c r="H36" i="2"/>
  <c r="H29" i="2"/>
  <c r="G23" i="57"/>
  <c r="H51" i="2"/>
  <c r="H49" i="2"/>
  <c r="H50" i="2"/>
  <c r="E26" i="57"/>
  <c r="E27" i="57" s="1"/>
  <c r="D12" i="2"/>
  <c r="D38" i="2" s="1"/>
  <c r="C16" i="57"/>
  <c r="C24" i="57"/>
  <c r="H28" i="51"/>
  <c r="I26" i="51"/>
  <c r="H60" i="2" s="1"/>
  <c r="F41" i="2" l="1"/>
  <c r="F48" i="2"/>
  <c r="E15" i="62"/>
  <c r="G10" i="62"/>
  <c r="G7" i="2" s="1"/>
  <c r="G30" i="2" s="1"/>
  <c r="G31" i="2" s="1"/>
  <c r="G32" i="2" s="1"/>
  <c r="G24" i="63"/>
  <c r="G16" i="63"/>
  <c r="F13" i="2" s="1"/>
  <c r="F12" i="2"/>
  <c r="F38" i="2" s="1"/>
  <c r="F39" i="2" s="1"/>
  <c r="E41" i="2"/>
  <c r="G24" i="57"/>
  <c r="E21" i="2" s="1"/>
  <c r="E53" i="2" s="1"/>
  <c r="C25" i="57"/>
  <c r="C26" i="57" s="1"/>
  <c r="C27" i="57" s="1"/>
  <c r="E20" i="2"/>
  <c r="G16" i="43"/>
  <c r="C12" i="2"/>
  <c r="C38" i="2" s="1"/>
  <c r="E12" i="2"/>
  <c r="E38" i="2" s="1"/>
  <c r="G16" i="57"/>
  <c r="E13" i="2" s="1"/>
  <c r="G15" i="62" l="1"/>
  <c r="E24" i="62"/>
  <c r="E25" i="62" s="1"/>
  <c r="E26" i="62" s="1"/>
  <c r="E27" i="62" s="1"/>
  <c r="E16" i="62"/>
  <c r="F21" i="2"/>
  <c r="F53" i="2" s="1"/>
  <c r="G25" i="63"/>
  <c r="G25" i="57"/>
  <c r="G26" i="57" s="1"/>
  <c r="E23" i="2" s="1"/>
  <c r="E39" i="2"/>
  <c r="H7" i="2"/>
  <c r="C13" i="2"/>
  <c r="G12" i="2" l="1"/>
  <c r="G38" i="2" s="1"/>
  <c r="G39" i="2" s="1"/>
  <c r="G24" i="62"/>
  <c r="G16" i="62"/>
  <c r="G13" i="2" s="1"/>
  <c r="F22" i="2"/>
  <c r="G26" i="63"/>
  <c r="E22" i="2"/>
  <c r="G27" i="57"/>
  <c r="E52" i="2"/>
  <c r="E59" i="2"/>
  <c r="E58" i="2" s="1"/>
  <c r="H12" i="2"/>
  <c r="H30" i="2"/>
  <c r="H31" i="2" s="1"/>
  <c r="H32" i="2" s="1"/>
  <c r="G21" i="2" l="1"/>
  <c r="G53" i="2" s="1"/>
  <c r="G25" i="62"/>
  <c r="G27" i="63"/>
  <c r="F24" i="2" s="1"/>
  <c r="F23" i="2"/>
  <c r="F52" i="2" s="1"/>
  <c r="E24" i="2"/>
  <c r="H13" i="2"/>
  <c r="H38" i="2"/>
  <c r="G22" i="2" l="1"/>
  <c r="G26" i="62"/>
  <c r="E18" i="43"/>
  <c r="E17" i="43" s="1"/>
  <c r="E23" i="43" s="1"/>
  <c r="E24" i="43" s="1"/>
  <c r="D17" i="43"/>
  <c r="D23" i="43" s="1"/>
  <c r="D24" i="43" s="1"/>
  <c r="D25" i="43" s="1"/>
  <c r="C17" i="43"/>
  <c r="G23" i="2" l="1"/>
  <c r="G52" i="2" s="1"/>
  <c r="G27" i="62"/>
  <c r="G24" i="2" s="1"/>
  <c r="G17" i="43"/>
  <c r="C23" i="43"/>
  <c r="C24" i="43" s="1"/>
  <c r="D26" i="43"/>
  <c r="D27" i="43" s="1"/>
  <c r="E25" i="43"/>
  <c r="E26" i="43" s="1"/>
  <c r="E27" i="43" s="1"/>
  <c r="G23" i="43" l="1"/>
  <c r="G24" i="43" s="1"/>
  <c r="C14" i="2"/>
  <c r="C25" i="43"/>
  <c r="C26" i="43" s="1"/>
  <c r="G25" i="43" l="1"/>
  <c r="G26" i="43" s="1"/>
  <c r="G27" i="43" s="1"/>
  <c r="C41" i="2"/>
  <c r="C48" i="2"/>
  <c r="C27" i="43"/>
  <c r="C20" i="2"/>
  <c r="C39" i="2" s="1"/>
  <c r="C21" i="2" l="1"/>
  <c r="C53" i="2" s="1"/>
  <c r="C22" i="2" l="1"/>
  <c r="C23" i="2" s="1"/>
  <c r="C59" i="2" l="1"/>
  <c r="C58" i="2" s="1"/>
  <c r="C52" i="2"/>
  <c r="C24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C18" i="56"/>
  <c r="C17" i="56" s="1"/>
  <c r="G17" i="56" l="1"/>
  <c r="E26" i="56"/>
  <c r="E27" i="56" s="1"/>
  <c r="C23" i="56"/>
  <c r="C24" i="56" s="1"/>
  <c r="C25" i="56" s="1"/>
  <c r="D26" i="56"/>
  <c r="D27" i="56" s="1"/>
  <c r="D14" i="2" l="1"/>
  <c r="G23" i="56"/>
  <c r="C26" i="56"/>
  <c r="D48" i="2" l="1"/>
  <c r="D41" i="2"/>
  <c r="C27" i="56"/>
  <c r="G24" i="56"/>
  <c r="D20" i="2"/>
  <c r="H14" i="2"/>
  <c r="G25" i="56" l="1"/>
  <c r="G26" i="56" s="1"/>
  <c r="H20" i="2"/>
  <c r="D39" i="2"/>
  <c r="H41" i="2"/>
  <c r="H48" i="2"/>
  <c r="D21" i="2"/>
  <c r="D53" i="2" s="1"/>
  <c r="G27" i="56" l="1"/>
  <c r="D22" i="2"/>
  <c r="H39" i="2"/>
  <c r="H21" i="2"/>
  <c r="H22" i="2" s="1"/>
  <c r="D23" i="2" l="1"/>
  <c r="D59" i="2" s="1"/>
  <c r="D58" i="2" s="1"/>
  <c r="D24" i="2"/>
  <c r="H23" i="2"/>
  <c r="H53" i="2"/>
  <c r="D52" i="2" l="1"/>
  <c r="H24" i="2"/>
  <c r="H52" i="2"/>
  <c r="H59" i="2"/>
  <c r="H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1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沿用？</t>
        </r>
      </text>
    </comment>
    <comment ref="J1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沿用？</t>
        </r>
      </text>
    </comment>
  </commentList>
</comments>
</file>

<file path=xl/sharedStrings.xml><?xml version="1.0" encoding="utf-8"?>
<sst xmlns="http://schemas.openxmlformats.org/spreadsheetml/2006/main" count="1596" uniqueCount="353">
  <si>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</si>
  <si>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</si>
  <si>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</si>
  <si>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</si>
  <si>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</si>
  <si>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</si>
  <si>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</si>
  <si>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</si>
  <si>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</si>
  <si>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变动费用</t>
  </si>
  <si>
    <t>固定费用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</si>
  <si>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</si>
  <si>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</si>
  <si>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</si>
  <si>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</si>
  <si>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</si>
  <si>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</si>
  <si>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</si>
  <si>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</si>
  <si>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</si>
  <si>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</si>
  <si>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</si>
  <si>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</si>
  <si>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</si>
  <si>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</si>
  <si>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</si>
  <si>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</si>
  <si>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</si>
  <si>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</si>
  <si>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</si>
  <si>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</si>
  <si>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</si>
  <si>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</si>
  <si>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</si>
  <si>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</si>
  <si>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</si>
  <si>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</si>
  <si>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</si>
  <si>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</si>
  <si>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</si>
  <si>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</si>
  <si>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</si>
  <si>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</si>
  <si>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</si>
  <si>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</si>
  <si>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</si>
  <si>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</si>
  <si>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</si>
  <si>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</si>
  <si>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</si>
  <si>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</si>
  <si>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</si>
  <si>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</si>
  <si>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</si>
  <si>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</si>
  <si>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</si>
  <si>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</si>
  <si>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</si>
  <si>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</si>
  <si>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</si>
  <si>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</si>
  <si>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</si>
  <si>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</si>
  <si>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</si>
  <si>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</si>
  <si>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</si>
  <si>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</si>
  <si>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</si>
  <si>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</si>
  <si>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</si>
  <si>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</si>
  <si>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</si>
  <si>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</si>
  <si>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</si>
  <si>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</si>
  <si>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</si>
  <si>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</si>
  <si>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</si>
  <si>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</si>
  <si>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</si>
  <si>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</si>
  <si>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</si>
  <si>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</si>
  <si>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</si>
  <si>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</si>
  <si>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</si>
  <si>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</si>
  <si>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</si>
  <si>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</si>
  <si>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</si>
  <si>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</si>
  <si>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</si>
  <si>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</si>
  <si>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</si>
  <si>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</si>
  <si>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</si>
  <si>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</si>
  <si>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</si>
  <si>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</si>
  <si>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</si>
  <si>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</si>
  <si>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</si>
  <si>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</si>
  <si>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</si>
  <si>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</si>
  <si>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</si>
  <si>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</si>
  <si>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</si>
  <si>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</si>
  <si>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</si>
  <si>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</si>
  <si>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</si>
  <si>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</si>
  <si>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</si>
  <si>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</si>
  <si>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</si>
  <si>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</si>
  <si>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</si>
  <si>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</si>
  <si>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</si>
  <si>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</si>
  <si>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</si>
  <si>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</si>
  <si>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</si>
  <si>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</si>
  <si>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</si>
  <si>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</si>
  <si>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</si>
  <si>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</si>
  <si>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</si>
  <si>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</si>
  <si>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</si>
  <si>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</si>
  <si>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</si>
  <si>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</si>
  <si>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</si>
  <si>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</si>
  <si>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</si>
  <si>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</si>
  <si>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</si>
  <si>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</si>
  <si>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</si>
  <si>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</si>
  <si>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</si>
  <si>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</si>
  <si>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</si>
  <si>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</si>
  <si>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</si>
  <si>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</si>
  <si>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</si>
  <si>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</si>
  <si>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</si>
  <si>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</si>
  <si>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</si>
  <si>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</si>
  <si>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</si>
  <si>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</si>
  <si>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</si>
  <si>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</si>
  <si>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</si>
  <si>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</si>
  <si>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</si>
  <si>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</si>
  <si>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</si>
  <si>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</si>
  <si>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</si>
  <si>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</si>
  <si>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</si>
  <si>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</si>
  <si>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</si>
  <si>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</si>
  <si>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</si>
  <si>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</si>
  <si>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</si>
  <si>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</si>
  <si>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</si>
  <si>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</si>
  <si>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</si>
  <si>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</si>
  <si>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</si>
  <si>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</si>
  <si>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</si>
  <si>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</si>
  <si>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</si>
  <si>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</si>
  <si>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</si>
  <si>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</si>
  <si>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</si>
  <si>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</si>
  <si>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</si>
  <si>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</si>
  <si>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</si>
  <si>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</si>
  <si>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</si>
  <si>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</si>
  <si>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</si>
  <si>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</si>
  <si>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</si>
  <si>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</si>
  <si>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</si>
  <si>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</si>
  <si>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</si>
  <si>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</si>
  <si>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</si>
  <si>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</si>
  <si>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</si>
  <si>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</si>
  <si>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</si>
  <si>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</si>
  <si>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</si>
  <si>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</si>
  <si>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</si>
  <si>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</si>
  <si>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</si>
  <si>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</si>
  <si>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</si>
  <si>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</si>
  <si>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</si>
  <si>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</si>
  <si>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</si>
  <si>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</si>
  <si>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</si>
  <si>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</si>
  <si>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</si>
  <si>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</si>
  <si>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</si>
  <si>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</si>
  <si>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 xml:space="preserve">    年</t>
    <phoneticPr fontId="38" type="noConversion"/>
  </si>
  <si>
    <t>产品名称</t>
    <phoneticPr fontId="38" type="noConversion"/>
  </si>
  <si>
    <t>材料成本</t>
    <phoneticPr fontId="38" type="noConversion"/>
  </si>
  <si>
    <t>驾驶员座椅总成</t>
  </si>
  <si>
    <t>2026年</t>
  </si>
  <si>
    <t>材料成本</t>
    <phoneticPr fontId="38" type="noConversion"/>
  </si>
  <si>
    <t>变动费用参考河北工厂2021年实际及2022预算暂估。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</si>
  <si>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</si>
  <si>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</si>
  <si>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</si>
  <si>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t>所得税(税率15%）</t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</si>
  <si>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</si>
  <si>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</si>
  <si>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</si>
  <si>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</si>
  <si>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</si>
  <si>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</si>
  <si>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</si>
  <si>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</si>
  <si>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</si>
  <si>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前期报价</t>
    <phoneticPr fontId="38" type="noConversion"/>
  </si>
  <si>
    <t>差异</t>
    <phoneticPr fontId="38" type="noConversion"/>
  </si>
  <si>
    <t>配置</t>
    <phoneticPr fontId="38" type="noConversion"/>
  </si>
  <si>
    <t xml:space="preserve">吉利G3座椅项目研发费用预算表 </t>
    <phoneticPr fontId="38" type="noConversion"/>
  </si>
  <si>
    <r>
      <t xml:space="preserve">吉利G3座椅项目可行性分析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</si>
  <si>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吉利</t>
    <phoneticPr fontId="38" type="noConversion"/>
  </si>
  <si>
    <t>乘客单人座椅总成</t>
  </si>
  <si>
    <t>68N2531-00010</t>
  </si>
  <si>
    <t>68N2531-00020</t>
  </si>
  <si>
    <t>71NE2531-0010</t>
  </si>
  <si>
    <t>71NE2531-0020</t>
  </si>
  <si>
    <t>标配：织物，滑轨前后调节，高度调节，靠背角度调节，前端倾角调节，坐深调节，悬浮减震，阻尼调节，速降，集成三点式安全带（高度可调），侧扶手，腰托</t>
  </si>
  <si>
    <t>高配：皮革，滑轨前后调节，高度调节，靠背角度调节，前端倾角调节，坐深调节，悬浮减震，阻尼调节，速降，集成三点式安全带（高度可调），侧扶手，通风、加热、腰托、可调侧翼、肩部调节、音响头枕</t>
  </si>
  <si>
    <t>标配：织物，坐垫翻转，滑轨前后调节，靠背角度调节</t>
  </si>
  <si>
    <t>2024年</t>
    <phoneticPr fontId="38" type="noConversion"/>
  </si>
  <si>
    <t>2025年</t>
    <phoneticPr fontId="38" type="noConversion"/>
  </si>
  <si>
    <t>供应商年降：     5年2%</t>
    <phoneticPr fontId="38" type="noConversion"/>
  </si>
  <si>
    <t>材料成本年降汇总表2%</t>
    <phoneticPr fontId="38" type="noConversion"/>
  </si>
  <si>
    <t xml:space="preserve">2028年  </t>
    <phoneticPr fontId="38" type="noConversion"/>
  </si>
  <si>
    <t xml:space="preserve">2024年  </t>
    <phoneticPr fontId="38" type="noConversion"/>
  </si>
  <si>
    <t xml:space="preserve">2027年  </t>
    <phoneticPr fontId="38" type="noConversion"/>
  </si>
  <si>
    <t xml:space="preserve">2026年  </t>
    <phoneticPr fontId="38" type="noConversion"/>
  </si>
  <si>
    <t xml:space="preserve">2025年  </t>
    <phoneticPr fontId="38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</si>
  <si>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</si>
  <si>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</si>
  <si>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</si>
  <si>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t>2027年</t>
  </si>
  <si>
    <t>2028年</t>
  </si>
  <si>
    <r>
      <t>吉利G</t>
    </r>
    <r>
      <rPr>
        <sz val="11"/>
        <color theme="1"/>
        <rFont val="宋体"/>
        <family val="3"/>
        <charset val="134"/>
        <scheme val="minor"/>
      </rPr>
      <t>3在H6基础上增减件</t>
    </r>
    <phoneticPr fontId="38" type="noConversion"/>
  </si>
  <si>
    <t>手动标配主驾</t>
    <phoneticPr fontId="38" type="noConversion"/>
  </si>
  <si>
    <r>
      <t>H</t>
    </r>
    <r>
      <rPr>
        <sz val="11"/>
        <color theme="1"/>
        <rFont val="宋体"/>
        <family val="3"/>
        <charset val="134"/>
        <scheme val="minor"/>
      </rPr>
      <t>6标配主驾</t>
    </r>
    <phoneticPr fontId="38" type="noConversion"/>
  </si>
  <si>
    <r>
      <t>G</t>
    </r>
    <r>
      <rPr>
        <sz val="11"/>
        <color theme="1"/>
        <rFont val="宋体"/>
        <family val="3"/>
        <charset val="134"/>
        <scheme val="minor"/>
      </rPr>
      <t>3标配主驾</t>
    </r>
    <phoneticPr fontId="38" type="noConversion"/>
  </si>
  <si>
    <t>靠背面套</t>
    <phoneticPr fontId="38" type="noConversion"/>
  </si>
  <si>
    <t>靠背泡沫</t>
    <phoneticPr fontId="38" type="noConversion"/>
  </si>
  <si>
    <t>座垫面套</t>
    <phoneticPr fontId="38" type="noConversion"/>
  </si>
  <si>
    <t>座垫泡沫</t>
    <phoneticPr fontId="38" type="noConversion"/>
  </si>
  <si>
    <t>左侧大罩壳</t>
    <phoneticPr fontId="38" type="noConversion"/>
  </si>
  <si>
    <t>靠背支撑板</t>
    <phoneticPr fontId="38" type="noConversion"/>
  </si>
  <si>
    <t>安全带出口罩壳总成</t>
  </si>
  <si>
    <t>安全带出口罩壳总成</t>
    <phoneticPr fontId="38" type="noConversion"/>
  </si>
  <si>
    <t>底支架总成</t>
    <phoneticPr fontId="38" type="noConversion"/>
  </si>
  <si>
    <t>手动高配主驾</t>
    <phoneticPr fontId="38" type="noConversion"/>
  </si>
  <si>
    <t>座椅旋转调节手柄</t>
  </si>
  <si>
    <t>安全带高度调节总成</t>
  </si>
  <si>
    <t>加热通风系统（普通）</t>
  </si>
  <si>
    <t>旋转盘总成</t>
    <phoneticPr fontId="38" type="noConversion"/>
  </si>
  <si>
    <t>H6高配主驾</t>
    <phoneticPr fontId="38" type="noConversion"/>
  </si>
  <si>
    <t>G3高配主驾</t>
    <phoneticPr fontId="38" type="noConversion"/>
  </si>
  <si>
    <t>A9109609520</t>
  </si>
  <si>
    <t>SHT0011947</t>
  </si>
  <si>
    <t>产品图号</t>
    <phoneticPr fontId="38" type="noConversion"/>
  </si>
  <si>
    <r>
      <t>Q</t>
    </r>
    <r>
      <rPr>
        <sz val="11"/>
        <color theme="1"/>
        <rFont val="宋体"/>
        <family val="3"/>
        <charset val="134"/>
        <scheme val="minor"/>
      </rPr>
      <t>AD号</t>
    </r>
    <phoneticPr fontId="38" type="noConversion"/>
  </si>
  <si>
    <t>价格</t>
    <phoneticPr fontId="38" type="noConversion"/>
  </si>
  <si>
    <t>无</t>
    <phoneticPr fontId="38" type="noConversion"/>
  </si>
  <si>
    <t>3.0平台成本</t>
    <phoneticPr fontId="38" type="noConversion"/>
  </si>
  <si>
    <t>元</t>
    <phoneticPr fontId="38" type="noConversion"/>
  </si>
  <si>
    <t>合计</t>
    <phoneticPr fontId="38" type="noConversion"/>
  </si>
  <si>
    <t>音响</t>
    <phoneticPr fontId="38" type="noConversion"/>
  </si>
  <si>
    <t>手动标配副驾</t>
    <phoneticPr fontId="38" type="noConversion"/>
  </si>
  <si>
    <t>G3高配副驾</t>
    <phoneticPr fontId="38" type="noConversion"/>
  </si>
  <si>
    <t>手动高配副驾</t>
    <phoneticPr fontId="38" type="noConversion"/>
  </si>
  <si>
    <t>H6高配副驾</t>
    <phoneticPr fontId="38" type="noConversion"/>
  </si>
  <si>
    <t>G3标配副驾</t>
    <phoneticPr fontId="38" type="noConversion"/>
  </si>
  <si>
    <t>H6标配副驾</t>
    <phoneticPr fontId="38" type="noConversion"/>
  </si>
  <si>
    <t>右侧罩壳</t>
  </si>
  <si>
    <t>右侧大罩壳</t>
    <phoneticPr fontId="38" type="noConversion"/>
  </si>
  <si>
    <t>A9609103909</t>
  </si>
  <si>
    <t>SHT0011952</t>
  </si>
  <si>
    <t>A9609109920</t>
  </si>
  <si>
    <t>李燕龙 12:04:01</t>
  </si>
  <si>
    <t>A9609103909-+副驾驶标配</t>
  </si>
  <si>
    <t>李燕龙 12:05:29</t>
  </si>
  <si>
    <t>SHT0011952--副驾驶标配</t>
  </si>
  <si>
    <t>李燕龙 12:06:51</t>
  </si>
  <si>
    <t>A9609109820-主驾驶高配</t>
  </si>
  <si>
    <t>李燕龙 12:07:14</t>
  </si>
  <si>
    <t>A9609109920副驾驶高配</t>
  </si>
  <si>
    <t>李燕龙 12:07:33</t>
  </si>
  <si>
    <t>A9109609520主驾驶标配</t>
  </si>
  <si>
    <t>合计</t>
    <phoneticPr fontId="38" type="noConversion"/>
  </si>
  <si>
    <t>合计</t>
    <phoneticPr fontId="38" type="noConversion"/>
  </si>
  <si>
    <t>此成本参看“增减件”明细。</t>
    <phoneticPr fontId="38" type="noConversion"/>
  </si>
  <si>
    <t>A9609109720</t>
  </si>
  <si>
    <r>
      <t>以下内容以技术产品P</t>
    </r>
    <r>
      <rPr>
        <sz val="11"/>
        <color theme="1"/>
        <rFont val="宋体"/>
        <family val="3"/>
        <charset val="134"/>
        <scheme val="minor"/>
      </rPr>
      <t>PT为基础汇总</t>
    </r>
    <phoneticPr fontId="38" type="noConversion"/>
  </si>
  <si>
    <t>材料成本</t>
    <phoneticPr fontId="38" type="noConversion"/>
  </si>
  <si>
    <t>现在此项目只是在技术交流阶段，还没有技术BOM,只是用H6座椅成本来应对吉利G3成本，在此基础上增加新开件。</t>
    <phoneticPr fontId="38" type="noConversion"/>
  </si>
  <si>
    <t>建议：后期确定了技术BOM后重新对此项目进行经济分析。</t>
    <phoneticPr fontId="38" type="noConversion"/>
  </si>
  <si>
    <t>周赛总预估</t>
    <phoneticPr fontId="38" type="noConversion"/>
  </si>
  <si>
    <t>价格</t>
  </si>
  <si>
    <t>根据技术李燕龙工程师反馈，吉利G3项目标配与H6的基本一致，只有滑轨与安全带可考虑降低要求来匹配G3，总体会降低成本四十元左右，但是由于同时也会增加一些小零部件无法提供成本，因此考虑这些成本就用两个件的降本冲抵。成本暂保持不变。</t>
    <phoneticPr fontId="38" type="noConversion"/>
  </si>
  <si>
    <t>客供件</t>
    <phoneticPr fontId="38" type="noConversion"/>
  </si>
  <si>
    <t>附加值汇总表（未税）</t>
    <phoneticPr fontId="38" type="noConversion"/>
  </si>
  <si>
    <t>河北工厂</t>
  </si>
  <si>
    <t>安徽马鞍山</t>
  </si>
  <si>
    <t>银行电子承兑汇票</t>
  </si>
  <si>
    <t>同现有产品</t>
  </si>
  <si>
    <t>2024年</t>
    <phoneticPr fontId="38" type="noConversion"/>
  </si>
  <si>
    <t>开发费的财务费用未考虑。</t>
    <phoneticPr fontId="38" type="noConversion"/>
  </si>
  <si>
    <t>单台材料成本为未税价格，按3.0平台成本暂估。</t>
    <phoneticPr fontId="38" type="noConversion"/>
  </si>
  <si>
    <t>假设工厂产能能满足客户订单。</t>
    <phoneticPr fontId="38" type="noConversion"/>
  </si>
  <si>
    <t>研发费用按照5年平均摊销。</t>
    <phoneticPr fontId="38" type="noConversion"/>
  </si>
  <si>
    <t>假设织物成本同H6，PVC的成本是H6的2倍</t>
    <phoneticPr fontId="38" type="noConversion"/>
  </si>
  <si>
    <t>假设织物成本同H6，PVC的成本是H6的2倍。</t>
    <phoneticPr fontId="38" type="noConversion"/>
  </si>
  <si>
    <t>开发费支付方式</t>
    <phoneticPr fontId="35" type="noConversion"/>
  </si>
  <si>
    <t>开发费、模检具费支付一半，分摊一半</t>
    <phoneticPr fontId="35" type="noConversion"/>
  </si>
  <si>
    <r>
      <t>运费预计5</t>
    </r>
    <r>
      <rPr>
        <sz val="11"/>
        <color theme="1"/>
        <rFont val="宋体"/>
        <family val="3"/>
        <charset val="134"/>
        <scheme val="minor"/>
      </rPr>
      <t>6</t>
    </r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</si>
</sst>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 readingOrder="1"/>
    </xf>
    <xf numFmtId="0" fontId="45" fillId="0" borderId="16" xfId="0" applyFont="1" applyBorder="1" applyAlignment="1">
      <alignment horizontal="center" vertical="center" wrapText="1" readingOrder="1"/>
    </xf>
    <xf numFmtId="0" fontId="27" fillId="0" borderId="0" xfId="0" applyFont="1">
      <alignment vertical="center"/>
    </xf>
    <xf numFmtId="9" fontId="16" fillId="0" borderId="7" xfId="3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7" fillId="7" borderId="1" xfId="0" applyFont="1" applyFill="1" applyBorder="1">
      <alignment vertical="center"/>
    </xf>
    <xf numFmtId="43" fontId="16" fillId="0" borderId="7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 wrapText="1" readingOrder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  <xf numFmtId="43" fontId="0" fillId="0" borderId="1" xfId="0" applyNumberFormat="1" applyBorder="1" applyAlignment="1"/>
    <xf numFmtId="0" fontId="47" fillId="0" borderId="1" xfId="0" applyFont="1" applyBorder="1" applyAlignment="1"/>
    <xf numFmtId="10" fontId="0" fillId="0" borderId="0" xfId="0" applyNumberFormat="1" applyAlignment="1"/>
    <xf numFmtId="0" fontId="0" fillId="10" borderId="1" xfId="0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10" fontId="0" fillId="10" borderId="1" xfId="0" applyNumberFormat="1" applyFill="1" applyBorder="1" applyAlignment="1">
      <alignment horizontal="center"/>
    </xf>
    <xf numFmtId="178" fontId="16" fillId="11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7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11" borderId="1" xfId="0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5" fillId="8" borderId="1" xfId="0" applyFont="1" applyFill="1" applyBorder="1" applyAlignment="1">
      <alignment horizontal="center" vertical="center"/>
    </xf>
    <xf numFmtId="0" fontId="48" fillId="8" borderId="1" xfId="0" applyFont="1" applyFill="1" applyBorder="1" applyAlignment="1">
      <alignment horizontal="center" vertical="center" wrapText="1" readingOrder="1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7" fillId="0" borderId="20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49" fillId="0" borderId="0" xfId="0" applyFont="1" applyBorder="1" applyAlignment="1">
      <alignment horizontal="left" vertical="center" readingOrder="1"/>
    </xf>
    <xf numFmtId="0" fontId="0" fillId="0" borderId="2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27" fillId="0" borderId="0" xfId="0" applyFont="1" applyFill="1" applyBorder="1">
      <alignment vertical="center"/>
    </xf>
    <xf numFmtId="0" fontId="50" fillId="0" borderId="1" xfId="0" applyFont="1" applyFill="1" applyBorder="1" applyAlignment="1">
      <alignment horizontal="center" vertical="center" wrapText="1"/>
    </xf>
    <xf numFmtId="0" fontId="49" fillId="0" borderId="0" xfId="0" applyFont="1" applyBorder="1">
      <alignment vertical="center"/>
    </xf>
    <xf numFmtId="0" fontId="0" fillId="12" borderId="21" xfId="0" applyFill="1" applyBorder="1">
      <alignment vertical="center"/>
    </xf>
    <xf numFmtId="0" fontId="0" fillId="0" borderId="2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2" borderId="1" xfId="0" applyFill="1" applyBorder="1" applyAlignment="1"/>
    <xf numFmtId="43" fontId="0" fillId="0" borderId="1" xfId="0" applyNumberFormat="1" applyFill="1" applyBorder="1" applyAlignment="1"/>
    <xf numFmtId="43" fontId="16" fillId="12" borderId="0" xfId="1" applyFont="1" applyFill="1">
      <alignment vertical="center"/>
    </xf>
    <xf numFmtId="0" fontId="0" fillId="0" borderId="0" xfId="0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7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43" fontId="4" fillId="7" borderId="1" xfId="0" applyNumberFormat="1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43" fontId="0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26</xdr:col>
      <xdr:colOff>646505</xdr:colOff>
      <xdr:row>43</xdr:row>
      <xdr:rowOff>8953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700" y="2752725"/>
          <a:ext cx="9561905" cy="458095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20</xdr:col>
      <xdr:colOff>275848</xdr:colOff>
      <xdr:row>12</xdr:row>
      <xdr:rowOff>47491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5100" y="695325"/>
          <a:ext cx="3019048" cy="10761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7" customFormat="1" ht="35.25" customHeight="1">
      <c r="A2" s="138" t="s">
        <v>0</v>
      </c>
      <c r="B2" s="138" t="s">
        <v>1</v>
      </c>
      <c r="C2" s="138" t="s">
        <v>2</v>
      </c>
      <c r="D2" s="139"/>
    </row>
    <row r="3" spans="1:4" s="137" customFormat="1" ht="33.75" customHeight="1">
      <c r="A3" s="140">
        <v>1</v>
      </c>
      <c r="B3" s="140" t="s">
        <v>3</v>
      </c>
      <c r="C3" s="141" t="s">
        <v>4</v>
      </c>
      <c r="D3" s="139"/>
    </row>
    <row r="4" spans="1:4" s="137" customFormat="1" ht="33.75" customHeight="1">
      <c r="A4" s="140">
        <v>2</v>
      </c>
      <c r="B4" s="140" t="s">
        <v>5</v>
      </c>
      <c r="C4" s="141" t="s">
        <v>6</v>
      </c>
    </row>
    <row r="5" spans="1:4" s="137" customFormat="1" ht="33.75" customHeight="1">
      <c r="A5" s="140">
        <v>3</v>
      </c>
      <c r="B5" s="245" t="s">
        <v>7</v>
      </c>
      <c r="C5" s="142" t="s">
        <v>8</v>
      </c>
    </row>
    <row r="6" spans="1:4" s="137" customFormat="1" ht="33.75" customHeight="1">
      <c r="A6" s="140">
        <v>4</v>
      </c>
      <c r="B6" s="246"/>
      <c r="C6" s="141" t="s">
        <v>345</v>
      </c>
    </row>
    <row r="7" spans="1:4" s="137" customFormat="1" ht="33.75" customHeight="1">
      <c r="A7" s="140">
        <v>5</v>
      </c>
      <c r="B7" s="143" t="s">
        <v>9</v>
      </c>
      <c r="C7" s="141" t="s">
        <v>233</v>
      </c>
    </row>
    <row r="8" spans="1:4" s="137" customFormat="1" ht="33.75" customHeight="1">
      <c r="A8" s="140">
        <v>6</v>
      </c>
      <c r="B8" s="245" t="s">
        <v>10</v>
      </c>
      <c r="C8" s="141" t="s">
        <v>346</v>
      </c>
    </row>
    <row r="9" spans="1:4" s="137" customFormat="1" ht="33.75" customHeight="1">
      <c r="A9" s="140">
        <v>7</v>
      </c>
      <c r="B9" s="246"/>
      <c r="C9" s="141" t="s">
        <v>347</v>
      </c>
    </row>
    <row r="10" spans="1:4" s="137" customFormat="1" ht="33.75" customHeight="1">
      <c r="A10" s="140">
        <v>8</v>
      </c>
      <c r="B10" s="246"/>
      <c r="C10" s="142" t="s">
        <v>344</v>
      </c>
    </row>
    <row r="11" spans="1:4" s="137" customFormat="1" ht="33.75" customHeight="1">
      <c r="A11" s="140">
        <v>9</v>
      </c>
      <c r="B11" s="246"/>
      <c r="C11" s="141" t="s">
        <v>11</v>
      </c>
    </row>
    <row r="12" spans="1:4" s="137" customFormat="1" ht="33.75" customHeight="1">
      <c r="A12" s="140">
        <v>10</v>
      </c>
      <c r="B12" s="143" t="s">
        <v>12</v>
      </c>
      <c r="C12" s="141" t="s">
        <v>13</v>
      </c>
    </row>
    <row r="13" spans="1:4" ht="33.75" customHeight="1"/>
    <row r="14" spans="1:4" ht="33.75" customHeight="1"/>
    <row r="15" spans="1:4" ht="33.75" customHeight="1">
      <c r="C15" s="144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C10" sqref="C10"/>
    </sheetView>
  </sheetViews>
  <sheetFormatPr defaultColWidth="9" defaultRowHeight="16.5"/>
  <cols>
    <col min="1" max="1" width="14" style="4" customWidth="1"/>
    <col min="2" max="2" width="14.125" style="4" customWidth="1"/>
    <col min="3" max="3" width="23.75" style="4" customWidth="1"/>
    <col min="4" max="4" width="23.625" style="4" customWidth="1"/>
    <col min="5" max="5" width="18.25" style="4" customWidth="1"/>
    <col min="6" max="6" width="26.5" style="4" customWidth="1"/>
    <col min="7" max="8" width="18.25" style="4" customWidth="1"/>
    <col min="9" max="9" width="11.625" style="4" customWidth="1"/>
    <col min="10" max="10" width="9.25" style="4" customWidth="1"/>
    <col min="11" max="11" width="9.125" style="4" customWidth="1"/>
    <col min="12" max="16384" width="9" style="4"/>
  </cols>
  <sheetData>
    <row r="1" spans="1:12" ht="29.25" customHeight="1">
      <c r="A1" s="14" t="s">
        <v>184</v>
      </c>
      <c r="E1" s="15"/>
      <c r="F1" s="15"/>
      <c r="G1" s="15"/>
      <c r="H1" s="15"/>
      <c r="I1" s="15"/>
    </row>
    <row r="2" spans="1:12" ht="24" customHeight="1">
      <c r="A2" s="16" t="s">
        <v>185</v>
      </c>
      <c r="E2" s="15"/>
      <c r="F2" s="15"/>
      <c r="G2" s="15"/>
      <c r="H2" s="15"/>
      <c r="I2" s="15"/>
    </row>
    <row r="3" spans="1:12">
      <c r="C3" s="4" t="s">
        <v>186</v>
      </c>
      <c r="D3" s="7" t="s">
        <v>227</v>
      </c>
      <c r="E3" s="158">
        <v>0.02</v>
      </c>
    </row>
    <row r="5" spans="1:12" ht="45" customHeight="1">
      <c r="A5" s="274" t="s">
        <v>187</v>
      </c>
      <c r="B5" s="6" t="s">
        <v>139</v>
      </c>
      <c r="C5" s="208" t="s">
        <v>230</v>
      </c>
      <c r="D5" s="208" t="s">
        <v>230</v>
      </c>
      <c r="E5" s="208" t="s">
        <v>253</v>
      </c>
      <c r="F5" s="208" t="s">
        <v>253</v>
      </c>
      <c r="G5" s="13"/>
      <c r="H5" s="13"/>
      <c r="I5" s="273" t="s">
        <v>15</v>
      </c>
    </row>
    <row r="6" spans="1:12" ht="31.5" customHeight="1">
      <c r="A6" s="274"/>
      <c r="B6" s="6" t="s">
        <v>140</v>
      </c>
      <c r="C6" s="209" t="s">
        <v>254</v>
      </c>
      <c r="D6" s="209" t="s">
        <v>255</v>
      </c>
      <c r="E6" s="209" t="s">
        <v>256</v>
      </c>
      <c r="F6" s="209" t="s">
        <v>257</v>
      </c>
      <c r="G6" s="13"/>
      <c r="H6" s="13"/>
      <c r="I6" s="273"/>
      <c r="K6" s="4">
        <v>100</v>
      </c>
    </row>
    <row r="7" spans="1:12" ht="84" customHeight="1">
      <c r="A7" s="274"/>
      <c r="B7" s="19" t="s">
        <v>188</v>
      </c>
      <c r="C7" s="210" t="s">
        <v>258</v>
      </c>
      <c r="D7" s="210" t="s">
        <v>259</v>
      </c>
      <c r="E7" s="210" t="s">
        <v>260</v>
      </c>
      <c r="F7" s="210" t="s">
        <v>259</v>
      </c>
      <c r="G7" s="18"/>
      <c r="H7" s="18"/>
      <c r="I7" s="273"/>
      <c r="K7" s="4">
        <f>K6*(1-$E$3)</f>
        <v>98</v>
      </c>
      <c r="L7" s="4">
        <f>K7/$K$6</f>
        <v>0.98</v>
      </c>
    </row>
    <row r="8" spans="1:12" ht="33">
      <c r="A8" s="274"/>
      <c r="B8" s="19" t="s">
        <v>189</v>
      </c>
      <c r="C8" s="211">
        <v>2335.25</v>
      </c>
      <c r="D8" s="211">
        <v>3175.25</v>
      </c>
      <c r="E8" s="211">
        <v>1125.25</v>
      </c>
      <c r="F8" s="211">
        <v>3175.25</v>
      </c>
      <c r="G8" s="18"/>
      <c r="H8" s="18"/>
      <c r="I8" s="273"/>
      <c r="K8" s="4">
        <f>K7*(1-$E$3)</f>
        <v>96.039999999999992</v>
      </c>
      <c r="L8" s="4">
        <f t="shared" ref="L8:L10" si="0">K8/$K$6</f>
        <v>0.96039999999999992</v>
      </c>
    </row>
    <row r="9" spans="1:12" ht="18.75">
      <c r="A9" s="274" t="s">
        <v>190</v>
      </c>
      <c r="B9" s="172" t="s">
        <v>261</v>
      </c>
      <c r="C9" s="210">
        <v>1600</v>
      </c>
      <c r="D9" s="186">
        <v>400</v>
      </c>
      <c r="E9" s="186">
        <v>1600</v>
      </c>
      <c r="F9" s="179">
        <v>400</v>
      </c>
      <c r="G9" s="179"/>
      <c r="H9" s="180"/>
      <c r="I9" s="24">
        <f>SUM(C9:H9)</f>
        <v>4000</v>
      </c>
      <c r="K9" s="4">
        <f t="shared" ref="K9:K10" si="1">K8*(1-$E$3)</f>
        <v>94.119199999999992</v>
      </c>
      <c r="L9" s="4">
        <f t="shared" si="0"/>
        <v>0.94119199999999992</v>
      </c>
    </row>
    <row r="10" spans="1:12" ht="18.75">
      <c r="A10" s="274"/>
      <c r="B10" s="172" t="s">
        <v>262</v>
      </c>
      <c r="C10" s="210">
        <v>6400</v>
      </c>
      <c r="D10" s="186">
        <v>1600</v>
      </c>
      <c r="E10" s="186">
        <v>6400</v>
      </c>
      <c r="F10" s="179">
        <v>1600</v>
      </c>
      <c r="G10" s="179"/>
      <c r="H10" s="180"/>
      <c r="I10" s="24">
        <f t="shared" ref="I10:I14" si="2">SUM(C10:H10)</f>
        <v>16000</v>
      </c>
      <c r="K10" s="4">
        <f t="shared" si="1"/>
        <v>92.23681599999999</v>
      </c>
      <c r="L10" s="4">
        <f t="shared" si="0"/>
        <v>0.92236815999999988</v>
      </c>
    </row>
    <row r="11" spans="1:12" ht="18.75">
      <c r="A11" s="274"/>
      <c r="B11" s="236" t="s">
        <v>231</v>
      </c>
      <c r="C11" s="210">
        <v>8000</v>
      </c>
      <c r="D11" s="186">
        <v>2000</v>
      </c>
      <c r="E11" s="186">
        <v>8000</v>
      </c>
      <c r="F11" s="179">
        <v>2000</v>
      </c>
      <c r="G11" s="179"/>
      <c r="H11" s="180"/>
      <c r="I11" s="24">
        <f t="shared" si="2"/>
        <v>20000</v>
      </c>
    </row>
    <row r="12" spans="1:12" ht="18.75">
      <c r="A12" s="274"/>
      <c r="B12" s="236" t="s">
        <v>273</v>
      </c>
      <c r="C12" s="210">
        <v>12000</v>
      </c>
      <c r="D12" s="186">
        <v>3000</v>
      </c>
      <c r="E12" s="186">
        <v>12000</v>
      </c>
      <c r="F12" s="179">
        <v>3000</v>
      </c>
      <c r="G12" s="179"/>
      <c r="H12" s="180"/>
      <c r="I12" s="24">
        <f t="shared" si="2"/>
        <v>30000</v>
      </c>
    </row>
    <row r="13" spans="1:12" ht="18.75">
      <c r="A13" s="274"/>
      <c r="B13" s="236" t="s">
        <v>274</v>
      </c>
      <c r="C13" s="210">
        <v>16000</v>
      </c>
      <c r="D13" s="186">
        <v>4000</v>
      </c>
      <c r="E13" s="186">
        <v>16000</v>
      </c>
      <c r="F13" s="179">
        <v>4000</v>
      </c>
      <c r="G13" s="179"/>
      <c r="H13" s="180"/>
      <c r="I13" s="24">
        <f t="shared" si="2"/>
        <v>40000</v>
      </c>
    </row>
    <row r="14" spans="1:12" ht="17.25">
      <c r="A14" s="274"/>
      <c r="B14" s="172"/>
      <c r="C14" s="21"/>
      <c r="D14" s="21"/>
      <c r="E14" s="21"/>
      <c r="F14" s="21"/>
      <c r="G14" s="21"/>
      <c r="H14" s="21"/>
      <c r="I14" s="24">
        <f t="shared" si="2"/>
        <v>0</v>
      </c>
    </row>
    <row r="15" spans="1:12" ht="17.25">
      <c r="A15" s="273" t="s">
        <v>15</v>
      </c>
      <c r="B15" s="273"/>
      <c r="C15" s="22">
        <f t="shared" ref="C15:I15" si="3">SUM(C9:C14)</f>
        <v>44000</v>
      </c>
      <c r="D15" s="22">
        <f t="shared" si="3"/>
        <v>11000</v>
      </c>
      <c r="E15" s="22">
        <f t="shared" si="3"/>
        <v>44000</v>
      </c>
      <c r="F15" s="22">
        <f t="shared" si="3"/>
        <v>11000</v>
      </c>
      <c r="G15" s="22">
        <f t="shared" si="3"/>
        <v>0</v>
      </c>
      <c r="H15" s="22">
        <f t="shared" si="3"/>
        <v>0</v>
      </c>
      <c r="I15" s="22">
        <f t="shared" si="3"/>
        <v>110000</v>
      </c>
    </row>
    <row r="16" spans="1:12">
      <c r="A16" s="23"/>
      <c r="B16" s="23"/>
      <c r="C16" s="23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xSplit="3" ySplit="5" topLeftCell="D36" activePane="bottomRight" state="frozen"/>
      <selection pane="topRight"/>
      <selection pane="bottomLeft"/>
      <selection pane="bottomRight" activeCell="E41" sqref="E41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20.875" style="4" customWidth="1"/>
    <col min="5" max="5" width="15.75" style="4" customWidth="1"/>
    <col min="6" max="6" width="12.125" style="4" customWidth="1"/>
    <col min="7" max="9" width="14.375" style="4" customWidth="1"/>
    <col min="10" max="10" width="17.375" style="4" customWidth="1"/>
    <col min="11" max="11" width="16" style="4" customWidth="1"/>
    <col min="12" max="16384" width="9" style="4"/>
  </cols>
  <sheetData>
    <row r="1" spans="1:12" s="3" customFormat="1" ht="28.5" customHeight="1">
      <c r="A1" s="291" t="s">
        <v>7</v>
      </c>
      <c r="B1" s="291"/>
      <c r="C1" s="5"/>
      <c r="K1" s="12"/>
    </row>
    <row r="2" spans="1:12">
      <c r="A2" s="292" t="s">
        <v>191</v>
      </c>
      <c r="B2" s="292"/>
      <c r="C2" s="293"/>
      <c r="D2" s="293"/>
      <c r="E2" s="294" t="s">
        <v>263</v>
      </c>
      <c r="F2" s="295"/>
      <c r="G2" s="295"/>
      <c r="H2" s="295"/>
      <c r="I2" s="295"/>
      <c r="J2" s="296"/>
    </row>
    <row r="3" spans="1:12">
      <c r="A3" s="282" t="s">
        <v>14</v>
      </c>
      <c r="B3" s="282" t="s">
        <v>192</v>
      </c>
      <c r="C3" s="6" t="s">
        <v>193</v>
      </c>
      <c r="D3" s="297"/>
      <c r="E3" s="297"/>
      <c r="F3" s="6" t="s">
        <v>194</v>
      </c>
      <c r="G3" s="283"/>
      <c r="H3" s="284"/>
      <c r="I3" s="285"/>
      <c r="J3" s="298" t="s">
        <v>149</v>
      </c>
    </row>
    <row r="4" spans="1:12" ht="28.5">
      <c r="A4" s="282"/>
      <c r="B4" s="282"/>
      <c r="C4" s="6" t="s">
        <v>139</v>
      </c>
      <c r="D4" s="156" t="str">
        <f>销量!C5</f>
        <v>驾驶员座椅总成</v>
      </c>
      <c r="E4" s="156" t="str">
        <f>销量!D5</f>
        <v>驾驶员座椅总成</v>
      </c>
      <c r="F4" s="156" t="str">
        <f>销量!E5</f>
        <v>乘客单人座椅总成</v>
      </c>
      <c r="G4" s="156" t="str">
        <f>销量!F5</f>
        <v>乘客单人座椅总成</v>
      </c>
      <c r="H4" s="156">
        <f>销量!G5</f>
        <v>0</v>
      </c>
      <c r="I4" s="156">
        <f>销量!H5</f>
        <v>0</v>
      </c>
      <c r="J4" s="299"/>
    </row>
    <row r="5" spans="1:12">
      <c r="A5" s="282"/>
      <c r="B5" s="282"/>
      <c r="C5" s="6" t="s">
        <v>140</v>
      </c>
      <c r="D5" s="156" t="str">
        <f>销量!C6</f>
        <v>68N2531-00010</v>
      </c>
      <c r="E5" s="156" t="str">
        <f>销量!D6</f>
        <v>68N2531-00020</v>
      </c>
      <c r="F5" s="156" t="str">
        <f>销量!E6</f>
        <v>71NE2531-0010</v>
      </c>
      <c r="G5" s="156" t="str">
        <f>销量!F6</f>
        <v>71NE2531-0020</v>
      </c>
      <c r="H5" s="156">
        <f>销量!G6</f>
        <v>0</v>
      </c>
      <c r="I5" s="156">
        <f>销量!H6</f>
        <v>0</v>
      </c>
      <c r="J5" s="300"/>
    </row>
    <row r="6" spans="1:12" ht="16.5" customHeight="1">
      <c r="A6" s="9">
        <v>1</v>
      </c>
      <c r="B6" s="277" t="s">
        <v>232</v>
      </c>
      <c r="C6" s="278"/>
      <c r="D6" s="10">
        <f>'成本（增减件）'!$E$19</f>
        <v>1558.15</v>
      </c>
      <c r="E6" s="10">
        <f>'成本（增减件）'!$K$21</f>
        <v>2569.83</v>
      </c>
      <c r="F6" s="10">
        <f>'成本（增减件）'!$E$40</f>
        <v>663.13</v>
      </c>
      <c r="G6" s="10">
        <f>'成本（增减件）'!$K$40</f>
        <v>1706.345</v>
      </c>
      <c r="H6" s="10"/>
      <c r="I6" s="10"/>
      <c r="J6" s="174"/>
      <c r="K6" s="4" t="s">
        <v>328</v>
      </c>
    </row>
    <row r="7" spans="1:12" ht="16.5" customHeight="1">
      <c r="A7" s="9">
        <v>2</v>
      </c>
      <c r="B7" s="277"/>
      <c r="C7" s="278"/>
      <c r="D7" s="10"/>
      <c r="E7" s="8"/>
      <c r="F7" s="8"/>
      <c r="G7" s="8"/>
      <c r="H7" s="8"/>
      <c r="I7" s="8"/>
      <c r="J7" s="13"/>
    </row>
    <row r="8" spans="1:12" ht="16.5" customHeight="1">
      <c r="A8" s="9">
        <v>3</v>
      </c>
      <c r="B8" s="277"/>
      <c r="C8" s="278"/>
      <c r="D8" s="10"/>
      <c r="E8" s="8"/>
      <c r="F8" s="10"/>
      <c r="G8" s="8"/>
      <c r="H8" s="10"/>
      <c r="I8" s="10"/>
      <c r="J8" s="13"/>
    </row>
    <row r="9" spans="1:12">
      <c r="A9" s="9">
        <v>4</v>
      </c>
      <c r="B9" s="277"/>
      <c r="C9" s="278"/>
      <c r="D9" s="10"/>
      <c r="E9" s="8"/>
      <c r="F9" s="10"/>
      <c r="G9" s="8"/>
      <c r="H9" s="8"/>
      <c r="I9" s="8"/>
      <c r="J9" s="13"/>
    </row>
    <row r="10" spans="1:12" ht="16.5" customHeight="1">
      <c r="A10" s="9">
        <v>5</v>
      </c>
      <c r="B10" s="277"/>
      <c r="C10" s="278"/>
      <c r="D10" s="10"/>
      <c r="E10" s="10"/>
      <c r="F10" s="10"/>
      <c r="G10" s="8"/>
      <c r="H10" s="8"/>
      <c r="I10" s="8"/>
      <c r="J10" s="13"/>
      <c r="K10" s="275"/>
      <c r="L10" s="276"/>
    </row>
    <row r="11" spans="1:12" ht="16.5" customHeight="1">
      <c r="A11" s="9">
        <v>6</v>
      </c>
      <c r="B11" s="277"/>
      <c r="C11" s="278"/>
      <c r="D11" s="10"/>
      <c r="E11" s="8"/>
      <c r="F11" s="10"/>
      <c r="G11" s="8"/>
      <c r="H11" s="8"/>
      <c r="I11" s="8"/>
      <c r="J11" s="13"/>
      <c r="K11" s="275"/>
      <c r="L11" s="276"/>
    </row>
    <row r="12" spans="1:12" ht="16.5" customHeight="1">
      <c r="A12" s="9">
        <v>7</v>
      </c>
      <c r="B12" s="277"/>
      <c r="C12" s="278"/>
      <c r="D12" s="10"/>
      <c r="E12" s="8"/>
      <c r="F12" s="10"/>
      <c r="G12" s="8"/>
      <c r="H12" s="8"/>
      <c r="I12" s="8"/>
      <c r="J12" s="13"/>
      <c r="K12" s="275"/>
      <c r="L12" s="276"/>
    </row>
    <row r="13" spans="1:12" ht="16.5" customHeight="1">
      <c r="A13" s="9">
        <v>8</v>
      </c>
      <c r="B13" s="277"/>
      <c r="C13" s="278"/>
      <c r="D13" s="10"/>
      <c r="E13" s="8"/>
      <c r="F13" s="10"/>
      <c r="G13" s="8"/>
      <c r="H13" s="8"/>
      <c r="I13" s="8"/>
      <c r="J13" s="13"/>
      <c r="K13" s="275"/>
      <c r="L13" s="276"/>
    </row>
    <row r="14" spans="1:12" ht="16.5" customHeight="1">
      <c r="A14" s="9">
        <v>9</v>
      </c>
      <c r="B14" s="277"/>
      <c r="C14" s="278"/>
      <c r="D14" s="10"/>
      <c r="E14" s="8"/>
      <c r="F14" s="10"/>
      <c r="G14" s="8"/>
      <c r="H14" s="8"/>
      <c r="I14" s="8"/>
      <c r="J14" s="13"/>
      <c r="K14" s="275"/>
      <c r="L14" s="276"/>
    </row>
    <row r="15" spans="1:12" ht="16.5" customHeight="1">
      <c r="A15" s="9">
        <v>10</v>
      </c>
      <c r="B15" s="277"/>
      <c r="C15" s="278"/>
      <c r="D15" s="10"/>
      <c r="E15" s="8"/>
      <c r="F15" s="10"/>
      <c r="G15" s="8"/>
      <c r="H15" s="8"/>
      <c r="I15" s="8"/>
      <c r="J15" s="13"/>
      <c r="K15" s="275"/>
      <c r="L15" s="276"/>
    </row>
    <row r="16" spans="1:12" ht="16.5" customHeight="1">
      <c r="A16" s="9">
        <v>11</v>
      </c>
      <c r="B16" s="277"/>
      <c r="C16" s="278"/>
      <c r="D16" s="10"/>
      <c r="E16" s="8"/>
      <c r="F16" s="10"/>
      <c r="G16" s="8"/>
      <c r="H16" s="8"/>
      <c r="I16" s="8"/>
      <c r="J16" s="13"/>
      <c r="K16" s="275"/>
      <c r="L16" s="276"/>
    </row>
    <row r="17" spans="1:12" ht="16.5" customHeight="1">
      <c r="A17" s="9">
        <v>12</v>
      </c>
      <c r="B17" s="277"/>
      <c r="C17" s="278"/>
      <c r="D17" s="10"/>
      <c r="E17" s="8"/>
      <c r="F17" s="10"/>
      <c r="G17" s="8"/>
      <c r="H17" s="8"/>
      <c r="I17" s="8"/>
      <c r="J17" s="13"/>
      <c r="K17" s="275"/>
      <c r="L17" s="276"/>
    </row>
    <row r="18" spans="1:12" ht="16.5" customHeight="1">
      <c r="A18" s="9">
        <v>13</v>
      </c>
      <c r="B18" s="277"/>
      <c r="C18" s="278"/>
      <c r="D18" s="10"/>
      <c r="E18" s="8"/>
      <c r="F18" s="10"/>
      <c r="G18" s="8"/>
      <c r="H18" s="8"/>
      <c r="I18" s="8"/>
      <c r="J18" s="13"/>
      <c r="K18" s="275"/>
      <c r="L18" s="276"/>
    </row>
    <row r="19" spans="1:12" ht="16.5" customHeight="1">
      <c r="A19" s="9">
        <v>14</v>
      </c>
      <c r="B19" s="277"/>
      <c r="C19" s="278"/>
      <c r="D19" s="10"/>
      <c r="E19" s="8"/>
      <c r="F19" s="10"/>
      <c r="G19" s="8"/>
      <c r="H19" s="8"/>
      <c r="I19" s="8"/>
      <c r="J19" s="13"/>
      <c r="K19" s="275"/>
      <c r="L19" s="276"/>
    </row>
    <row r="20" spans="1:12" ht="16.5" customHeight="1">
      <c r="A20" s="9">
        <v>15</v>
      </c>
      <c r="B20" s="277"/>
      <c r="C20" s="278"/>
      <c r="D20" s="10"/>
      <c r="E20" s="10"/>
      <c r="F20" s="10"/>
      <c r="G20" s="10"/>
      <c r="H20" s="8"/>
      <c r="I20" s="8"/>
      <c r="J20" s="13"/>
      <c r="K20" s="275"/>
      <c r="L20" s="276"/>
    </row>
    <row r="21" spans="1:12" ht="16.5" customHeight="1">
      <c r="A21" s="9">
        <v>16</v>
      </c>
      <c r="B21" s="277"/>
      <c r="C21" s="278"/>
      <c r="D21" s="8"/>
      <c r="E21" s="10"/>
      <c r="F21" s="8"/>
      <c r="G21" s="10"/>
      <c r="H21" s="8"/>
      <c r="I21" s="8"/>
      <c r="J21" s="13"/>
      <c r="K21" s="275"/>
      <c r="L21" s="276"/>
    </row>
    <row r="22" spans="1:12" ht="16.5" customHeight="1">
      <c r="A22" s="9">
        <v>17</v>
      </c>
      <c r="B22" s="277"/>
      <c r="C22" s="278"/>
      <c r="D22" s="8"/>
      <c r="E22" s="10"/>
      <c r="F22" s="8"/>
      <c r="G22" s="10"/>
      <c r="H22" s="8"/>
      <c r="I22" s="8"/>
      <c r="J22" s="13"/>
      <c r="K22" s="275"/>
      <c r="L22" s="276"/>
    </row>
    <row r="23" spans="1:12" ht="16.5" customHeight="1">
      <c r="A23" s="9">
        <v>18</v>
      </c>
      <c r="B23" s="277"/>
      <c r="C23" s="278"/>
      <c r="D23" s="8"/>
      <c r="E23" s="10"/>
      <c r="F23" s="8"/>
      <c r="G23" s="10"/>
      <c r="H23" s="8"/>
      <c r="I23" s="8"/>
      <c r="J23" s="13"/>
      <c r="K23" s="275"/>
      <c r="L23" s="276"/>
    </row>
    <row r="24" spans="1:12" ht="16.5" customHeight="1">
      <c r="A24" s="9">
        <v>19</v>
      </c>
      <c r="B24" s="277"/>
      <c r="C24" s="278"/>
      <c r="D24" s="8"/>
      <c r="E24" s="10"/>
      <c r="F24" s="8"/>
      <c r="G24" s="10"/>
      <c r="H24" s="8"/>
      <c r="I24" s="8"/>
      <c r="J24" s="13"/>
      <c r="K24" s="275"/>
      <c r="L24" s="276"/>
    </row>
    <row r="25" spans="1:12">
      <c r="A25" s="9">
        <v>20</v>
      </c>
      <c r="B25" s="277"/>
      <c r="C25" s="278"/>
      <c r="D25" s="8"/>
      <c r="E25" s="10"/>
      <c r="F25" s="8"/>
      <c r="G25" s="10"/>
      <c r="H25" s="8"/>
      <c r="I25" s="8"/>
      <c r="J25" s="13"/>
      <c r="K25" s="275"/>
      <c r="L25" s="276"/>
    </row>
    <row r="26" spans="1:12">
      <c r="A26" s="9">
        <v>21</v>
      </c>
      <c r="B26" s="277"/>
      <c r="C26" s="278"/>
      <c r="D26" s="8"/>
      <c r="E26" s="10"/>
      <c r="F26" s="8"/>
      <c r="G26" s="10"/>
      <c r="H26" s="8"/>
      <c r="I26" s="8"/>
      <c r="J26" s="13"/>
      <c r="K26" s="275"/>
      <c r="L26" s="276"/>
    </row>
    <row r="27" spans="1:12">
      <c r="A27" s="9">
        <v>22</v>
      </c>
      <c r="B27" s="277"/>
      <c r="C27" s="278"/>
      <c r="D27" s="8"/>
      <c r="E27" s="10"/>
      <c r="F27" s="8"/>
      <c r="G27" s="10"/>
      <c r="H27" s="8"/>
      <c r="I27" s="8"/>
      <c r="J27" s="13"/>
      <c r="K27" s="275"/>
      <c r="L27" s="276"/>
    </row>
    <row r="28" spans="1:12">
      <c r="A28" s="9">
        <v>23</v>
      </c>
      <c r="B28" s="277"/>
      <c r="C28" s="278"/>
      <c r="D28" s="8"/>
      <c r="E28" s="10"/>
      <c r="F28" s="8"/>
      <c r="G28" s="10"/>
      <c r="H28" s="8"/>
      <c r="I28" s="8"/>
      <c r="J28" s="13"/>
    </row>
    <row r="29" spans="1:12">
      <c r="A29" s="9">
        <v>24</v>
      </c>
      <c r="B29" s="277"/>
      <c r="C29" s="278"/>
      <c r="D29" s="8"/>
      <c r="E29" s="10"/>
      <c r="F29" s="8"/>
      <c r="G29" s="10"/>
      <c r="H29" s="8"/>
      <c r="I29" s="8"/>
      <c r="J29" s="13"/>
    </row>
    <row r="30" spans="1:12">
      <c r="A30" s="9">
        <v>25</v>
      </c>
      <c r="B30" s="277"/>
      <c r="C30" s="278"/>
      <c r="D30" s="10"/>
      <c r="E30" s="10"/>
      <c r="F30" s="10"/>
      <c r="G30" s="10"/>
      <c r="H30" s="8"/>
      <c r="I30" s="8"/>
      <c r="J30" s="13"/>
    </row>
    <row r="31" spans="1:12">
      <c r="A31" s="9">
        <v>26</v>
      </c>
      <c r="B31" s="277"/>
      <c r="C31" s="278"/>
      <c r="D31" s="10"/>
      <c r="E31" s="10"/>
      <c r="F31" s="10"/>
      <c r="G31" s="10"/>
      <c r="H31" s="8"/>
      <c r="I31" s="8"/>
      <c r="J31" s="13"/>
    </row>
    <row r="32" spans="1:12">
      <c r="A32" s="9">
        <v>27</v>
      </c>
      <c r="B32" s="277"/>
      <c r="C32" s="278"/>
      <c r="D32" s="8"/>
      <c r="E32" s="8"/>
      <c r="F32" s="8"/>
      <c r="G32" s="8"/>
      <c r="H32" s="8"/>
      <c r="I32" s="8"/>
      <c r="J32" s="13"/>
    </row>
    <row r="33" spans="1:10" ht="31.5" customHeight="1">
      <c r="A33" s="279" t="s">
        <v>195</v>
      </c>
      <c r="B33" s="280"/>
      <c r="C33" s="281"/>
      <c r="D33" s="11">
        <f t="shared" ref="D33:I33" si="0">SUM(D6:D32)</f>
        <v>1558.15</v>
      </c>
      <c r="E33" s="11">
        <f t="shared" si="0"/>
        <v>2569.83</v>
      </c>
      <c r="F33" s="11">
        <f t="shared" si="0"/>
        <v>663.13</v>
      </c>
      <c r="G33" s="11">
        <f t="shared" si="0"/>
        <v>1706.345</v>
      </c>
      <c r="H33" s="11">
        <f t="shared" si="0"/>
        <v>0</v>
      </c>
      <c r="I33" s="11">
        <f t="shared" si="0"/>
        <v>0</v>
      </c>
      <c r="J33" s="13"/>
    </row>
    <row r="34" spans="1:10">
      <c r="D34" s="159"/>
      <c r="E34" s="159"/>
    </row>
    <row r="35" spans="1:10">
      <c r="D35" s="10"/>
      <c r="E35" s="10"/>
      <c r="F35" s="10"/>
    </row>
    <row r="38" spans="1:10" ht="27.75" customHeight="1">
      <c r="D38" s="274" t="s">
        <v>264</v>
      </c>
      <c r="E38" s="274"/>
      <c r="F38" s="274"/>
      <c r="G38" s="274"/>
      <c r="H38" s="274"/>
      <c r="I38" s="274"/>
      <c r="J38" s="274"/>
    </row>
    <row r="39" spans="1:10">
      <c r="D39" s="286" t="s">
        <v>228</v>
      </c>
      <c r="E39" s="288" t="s">
        <v>229</v>
      </c>
      <c r="F39" s="289"/>
      <c r="G39" s="289"/>
      <c r="H39" s="289"/>
      <c r="I39" s="289"/>
      <c r="J39" s="290"/>
    </row>
    <row r="40" spans="1:10">
      <c r="D40" s="287"/>
      <c r="E40" s="207" t="s">
        <v>234</v>
      </c>
      <c r="F40" s="207" t="s">
        <v>235</v>
      </c>
      <c r="G40" s="207" t="s">
        <v>236</v>
      </c>
      <c r="H40" s="207" t="s">
        <v>273</v>
      </c>
      <c r="I40" s="207" t="s">
        <v>274</v>
      </c>
      <c r="J40" s="163"/>
    </row>
    <row r="41" spans="1:10">
      <c r="D41" s="156" t="s">
        <v>230</v>
      </c>
      <c r="E41" s="168">
        <f>D33</f>
        <v>1558.15</v>
      </c>
      <c r="F41" s="168">
        <f t="shared" ref="F41:I44" si="1">E41*(1-0.02)</f>
        <v>1526.9870000000001</v>
      </c>
      <c r="G41" s="168">
        <f t="shared" si="1"/>
        <v>1496.4472600000001</v>
      </c>
      <c r="H41" s="168">
        <f t="shared" si="1"/>
        <v>1466.5183148000001</v>
      </c>
      <c r="I41" s="168">
        <f t="shared" si="1"/>
        <v>1437.1879485040001</v>
      </c>
      <c r="J41" s="168"/>
    </row>
    <row r="42" spans="1:10">
      <c r="D42" s="156" t="s">
        <v>230</v>
      </c>
      <c r="E42" s="175">
        <f>E33</f>
        <v>2569.83</v>
      </c>
      <c r="F42" s="168">
        <f t="shared" si="1"/>
        <v>2518.4333999999999</v>
      </c>
      <c r="G42" s="168">
        <f t="shared" si="1"/>
        <v>2468.0647319999998</v>
      </c>
      <c r="H42" s="168">
        <f t="shared" si="1"/>
        <v>2418.70343736</v>
      </c>
      <c r="I42" s="168">
        <f t="shared" si="1"/>
        <v>2370.3293686128</v>
      </c>
      <c r="J42" s="168"/>
    </row>
    <row r="43" spans="1:10">
      <c r="D43" s="156" t="s">
        <v>253</v>
      </c>
      <c r="E43" s="175">
        <f>F33</f>
        <v>663.13</v>
      </c>
      <c r="F43" s="168">
        <f t="shared" si="1"/>
        <v>649.86739999999998</v>
      </c>
      <c r="G43" s="168">
        <f t="shared" si="1"/>
        <v>636.87005199999999</v>
      </c>
      <c r="H43" s="168">
        <f t="shared" si="1"/>
        <v>624.13265095999998</v>
      </c>
      <c r="I43" s="168">
        <f t="shared" si="1"/>
        <v>611.64999794079995</v>
      </c>
      <c r="J43" s="168"/>
    </row>
    <row r="44" spans="1:10">
      <c r="D44" s="156" t="s">
        <v>253</v>
      </c>
      <c r="E44" s="175">
        <f>G33</f>
        <v>1706.345</v>
      </c>
      <c r="F44" s="168">
        <f t="shared" si="1"/>
        <v>1672.2181</v>
      </c>
      <c r="G44" s="168">
        <f t="shared" si="1"/>
        <v>1638.7737380000001</v>
      </c>
      <c r="H44" s="168">
        <f t="shared" si="1"/>
        <v>1605.9982632400001</v>
      </c>
      <c r="I44" s="168">
        <f t="shared" si="1"/>
        <v>1573.8782979752002</v>
      </c>
      <c r="J44" s="168"/>
    </row>
    <row r="45" spans="1:10">
      <c r="D45" s="13"/>
      <c r="E45" s="175">
        <f>H33</f>
        <v>0</v>
      </c>
      <c r="F45" s="168">
        <f t="shared" ref="F45:G46" si="2">E45*(1-0.05)</f>
        <v>0</v>
      </c>
      <c r="G45" s="168">
        <f t="shared" si="2"/>
        <v>0</v>
      </c>
      <c r="H45" s="168"/>
      <c r="I45" s="168"/>
      <c r="J45" s="168"/>
    </row>
    <row r="46" spans="1:10">
      <c r="D46" s="13"/>
      <c r="E46" s="175">
        <f>I33</f>
        <v>0</v>
      </c>
      <c r="F46" s="168">
        <f t="shared" si="2"/>
        <v>0</v>
      </c>
      <c r="G46" s="168">
        <f t="shared" si="2"/>
        <v>0</v>
      </c>
      <c r="H46" s="168"/>
      <c r="I46" s="168"/>
      <c r="J46" s="168"/>
    </row>
  </sheetData>
  <mergeCells count="57"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pane xSplit="2" ySplit="1" topLeftCell="C2" activePane="bottomRight" state="frozen"/>
      <selection pane="topRight"/>
      <selection pane="bottomLeft"/>
      <selection pane="bottomRight" activeCell="C14" sqref="C14"/>
    </sheetView>
  </sheetViews>
  <sheetFormatPr defaultColWidth="9" defaultRowHeight="13.5"/>
  <cols>
    <col min="1" max="1" width="9" style="239"/>
    <col min="2" max="2" width="29.625" style="239" customWidth="1"/>
    <col min="3" max="3" width="25.5" style="239" customWidth="1"/>
    <col min="4" max="4" width="18.625" style="239" customWidth="1"/>
    <col min="5" max="5" width="22" style="239" customWidth="1"/>
    <col min="6" max="16384" width="9" style="239"/>
  </cols>
  <sheetData>
    <row r="1" spans="1:5" ht="27" customHeight="1">
      <c r="A1" s="238" t="s">
        <v>14</v>
      </c>
      <c r="B1" s="238" t="s">
        <v>196</v>
      </c>
      <c r="C1" s="238" t="s">
        <v>197</v>
      </c>
      <c r="D1" s="238" t="s">
        <v>198</v>
      </c>
      <c r="E1" s="238" t="s">
        <v>199</v>
      </c>
    </row>
    <row r="2" spans="1:5">
      <c r="A2" s="238">
        <v>1</v>
      </c>
      <c r="B2" s="238" t="s">
        <v>200</v>
      </c>
      <c r="C2" s="240" t="s">
        <v>339</v>
      </c>
      <c r="D2" s="238"/>
      <c r="E2" s="238"/>
    </row>
    <row r="3" spans="1:5">
      <c r="A3" s="238">
        <v>2</v>
      </c>
      <c r="B3" s="238" t="s">
        <v>201</v>
      </c>
      <c r="C3" s="241" t="s">
        <v>340</v>
      </c>
      <c r="D3" s="238"/>
      <c r="E3" s="238"/>
    </row>
    <row r="4" spans="1:5" ht="27">
      <c r="A4" s="238">
        <v>3</v>
      </c>
      <c r="B4" s="238" t="s">
        <v>350</v>
      </c>
      <c r="C4" s="241" t="s">
        <v>351</v>
      </c>
      <c r="D4" s="238"/>
      <c r="E4" s="238"/>
    </row>
    <row r="5" spans="1:5">
      <c r="A5" s="238">
        <v>4</v>
      </c>
      <c r="B5" s="238" t="s">
        <v>202</v>
      </c>
      <c r="C5" s="240" t="s">
        <v>341</v>
      </c>
      <c r="D5" s="238"/>
      <c r="E5" s="238"/>
    </row>
    <row r="6" spans="1:5">
      <c r="A6" s="238">
        <v>5</v>
      </c>
      <c r="B6" s="238" t="s">
        <v>203</v>
      </c>
      <c r="C6" s="240" t="s">
        <v>339</v>
      </c>
      <c r="D6" s="238"/>
      <c r="E6" s="238"/>
    </row>
    <row r="7" spans="1:5">
      <c r="A7" s="238">
        <v>6</v>
      </c>
      <c r="B7" s="238" t="s">
        <v>204</v>
      </c>
      <c r="C7" s="240"/>
      <c r="D7" s="238"/>
      <c r="E7" s="238"/>
    </row>
    <row r="8" spans="1:5">
      <c r="A8" s="238">
        <v>7</v>
      </c>
      <c r="B8" s="238" t="s">
        <v>205</v>
      </c>
      <c r="C8" s="240" t="s">
        <v>342</v>
      </c>
      <c r="D8" s="238"/>
      <c r="E8" s="238"/>
    </row>
    <row r="9" spans="1:5">
      <c r="A9" s="238">
        <v>8</v>
      </c>
      <c r="B9" s="238" t="s">
        <v>206</v>
      </c>
      <c r="C9" s="240" t="s">
        <v>342</v>
      </c>
      <c r="D9" s="238"/>
      <c r="E9" s="238"/>
    </row>
    <row r="10" spans="1:5">
      <c r="A10" s="238">
        <v>9</v>
      </c>
      <c r="B10" s="238" t="s">
        <v>207</v>
      </c>
      <c r="C10" s="240" t="s">
        <v>342</v>
      </c>
      <c r="D10" s="238"/>
      <c r="E10" s="238"/>
    </row>
    <row r="11" spans="1:5">
      <c r="A11" s="238">
        <v>10</v>
      </c>
      <c r="B11" s="238" t="s">
        <v>208</v>
      </c>
      <c r="C11" s="240" t="s">
        <v>342</v>
      </c>
      <c r="D11" s="238"/>
      <c r="E11" s="238"/>
    </row>
    <row r="12" spans="1:5" ht="27">
      <c r="A12" s="238">
        <v>11</v>
      </c>
      <c r="B12" s="238" t="s">
        <v>209</v>
      </c>
      <c r="C12" s="240"/>
      <c r="D12" s="238"/>
      <c r="E12" s="244" t="s">
        <v>348</v>
      </c>
    </row>
    <row r="13" spans="1:5">
      <c r="A13" s="238">
        <v>12</v>
      </c>
      <c r="B13" s="238" t="s">
        <v>210</v>
      </c>
      <c r="C13" s="240"/>
      <c r="D13" s="238"/>
      <c r="E13" s="238"/>
    </row>
    <row r="14" spans="1:5" ht="19.5" customHeight="1">
      <c r="A14" s="238">
        <v>13</v>
      </c>
      <c r="B14" s="238"/>
      <c r="C14" s="238"/>
      <c r="D14" s="238"/>
      <c r="E14" s="238"/>
    </row>
    <row r="15" spans="1:5">
      <c r="A15" s="238">
        <v>14</v>
      </c>
      <c r="B15" s="238"/>
      <c r="C15" s="238"/>
      <c r="D15" s="238"/>
      <c r="E15" s="238"/>
    </row>
    <row r="16" spans="1:5">
      <c r="A16" s="238">
        <v>15</v>
      </c>
      <c r="B16" s="238"/>
      <c r="C16" s="238"/>
      <c r="D16" s="238"/>
      <c r="E16" s="238"/>
    </row>
    <row r="17" spans="1:5">
      <c r="A17" s="238">
        <v>16</v>
      </c>
      <c r="B17" s="238"/>
      <c r="C17" s="238"/>
      <c r="D17" s="238"/>
      <c r="E17" s="238"/>
    </row>
    <row r="18" spans="1:5">
      <c r="A18" s="238">
        <v>17</v>
      </c>
      <c r="B18" s="238"/>
      <c r="C18" s="238"/>
      <c r="D18" s="238"/>
      <c r="E18" s="238"/>
    </row>
    <row r="19" spans="1:5">
      <c r="A19" s="238">
        <v>18</v>
      </c>
      <c r="B19" s="238"/>
      <c r="C19" s="238"/>
      <c r="D19" s="238"/>
      <c r="E19" s="238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8"/>
  <sheetViews>
    <sheetView workbookViewId="0">
      <selection activeCell="J3" sqref="J3"/>
    </sheetView>
  </sheetViews>
  <sheetFormatPr defaultColWidth="9" defaultRowHeight="13.5"/>
  <cols>
    <col min="1" max="2" width="9" style="65"/>
    <col min="3" max="4" width="8.75" style="325" customWidth="1"/>
    <col min="5" max="5" width="15.75" style="65" customWidth="1"/>
    <col min="6" max="8" width="11.125" style="65" customWidth="1"/>
    <col min="9" max="9" width="12.875" style="148" customWidth="1"/>
    <col min="10" max="16384" width="9" style="65"/>
  </cols>
  <sheetData>
    <row r="1" spans="1:12" s="145" customFormat="1" ht="18.75" customHeight="1">
      <c r="C1" s="320"/>
      <c r="D1" s="320"/>
      <c r="G1" s="301" t="s">
        <v>211</v>
      </c>
      <c r="H1" s="301"/>
      <c r="I1" s="146"/>
    </row>
    <row r="2" spans="1:12">
      <c r="A2" s="307" t="s">
        <v>212</v>
      </c>
      <c r="B2" s="307"/>
      <c r="C2" s="303" t="s">
        <v>213</v>
      </c>
      <c r="D2" s="308"/>
      <c r="E2" s="308"/>
      <c r="F2" s="308"/>
      <c r="G2" s="308"/>
      <c r="H2" s="304"/>
      <c r="I2" s="147" t="s">
        <v>220</v>
      </c>
      <c r="K2" s="162"/>
      <c r="L2" s="162"/>
    </row>
    <row r="3" spans="1:12" ht="34.5" customHeight="1">
      <c r="A3" s="307"/>
      <c r="B3" s="307"/>
      <c r="C3" s="154" t="s">
        <v>222</v>
      </c>
      <c r="D3" s="154" t="s">
        <v>223</v>
      </c>
      <c r="E3" s="153" t="s">
        <v>221</v>
      </c>
      <c r="F3" s="154" t="s">
        <v>226</v>
      </c>
      <c r="G3" s="154" t="s">
        <v>225</v>
      </c>
      <c r="H3" s="154" t="s">
        <v>224</v>
      </c>
      <c r="I3" s="157">
        <f>销量!C8</f>
        <v>2335.25</v>
      </c>
    </row>
    <row r="4" spans="1:12" ht="24" customHeight="1">
      <c r="A4" s="302" t="s">
        <v>214</v>
      </c>
      <c r="B4" s="302"/>
      <c r="C4" s="321"/>
      <c r="D4" s="322"/>
      <c r="E4" s="149">
        <f>$I$3*F4</f>
        <v>131.28772317627636</v>
      </c>
      <c r="F4" s="177">
        <v>5.6219986372455351E-2</v>
      </c>
      <c r="G4" s="149"/>
      <c r="H4" s="150">
        <v>4.48E-2</v>
      </c>
      <c r="J4" s="160"/>
      <c r="K4" s="66"/>
      <c r="L4" s="66"/>
    </row>
    <row r="5" spans="1:12" ht="24" customHeight="1">
      <c r="A5" s="302" t="s">
        <v>215</v>
      </c>
      <c r="B5" s="151" t="s">
        <v>216</v>
      </c>
      <c r="C5" s="321"/>
      <c r="D5" s="322"/>
      <c r="E5" s="149">
        <f t="shared" ref="E5:E6" si="0">$I$3*F5</f>
        <v>105.08624999999999</v>
      </c>
      <c r="F5" s="150">
        <v>4.4999999999999998E-2</v>
      </c>
      <c r="G5" s="150"/>
      <c r="H5" s="150">
        <v>4.0399999999999998E-2</v>
      </c>
      <c r="J5" s="161"/>
      <c r="K5" s="66"/>
      <c r="L5" s="66"/>
    </row>
    <row r="6" spans="1:12" ht="24" customHeight="1">
      <c r="A6" s="302"/>
      <c r="B6" s="151" t="s">
        <v>217</v>
      </c>
      <c r="C6" s="321"/>
      <c r="D6" s="322"/>
      <c r="E6" s="149">
        <f t="shared" si="0"/>
        <v>35.20620471591414</v>
      </c>
      <c r="F6" s="177">
        <v>1.5075989601076605E-2</v>
      </c>
      <c r="G6" s="149"/>
      <c r="H6" s="150">
        <v>1.66E-2</v>
      </c>
      <c r="J6" s="160"/>
      <c r="K6" s="66"/>
      <c r="L6" s="66"/>
    </row>
    <row r="7" spans="1:12" ht="24" customHeight="1">
      <c r="A7" s="303" t="s">
        <v>218</v>
      </c>
      <c r="B7" s="304"/>
      <c r="C7" s="323"/>
      <c r="D7" s="324"/>
      <c r="E7" s="149">
        <f>$I$3*F7</f>
        <v>271.58017789219053</v>
      </c>
      <c r="F7" s="176">
        <f>SUM(F4:F6)</f>
        <v>0.11629597597353196</v>
      </c>
      <c r="G7" s="149"/>
      <c r="H7" s="152">
        <f>SUM(H4:H6)</f>
        <v>0.1018</v>
      </c>
      <c r="J7" s="160"/>
      <c r="K7" s="66"/>
      <c r="L7" s="66"/>
    </row>
    <row r="8" spans="1:12" ht="24" customHeight="1">
      <c r="A8" s="302" t="s">
        <v>45</v>
      </c>
      <c r="B8" s="302"/>
      <c r="C8" s="321"/>
      <c r="D8" s="322"/>
      <c r="E8" s="149">
        <f>$I$3*F8</f>
        <v>70.05749999999999</v>
      </c>
      <c r="F8" s="178">
        <v>0.03</v>
      </c>
      <c r="G8" s="149"/>
      <c r="H8" s="150">
        <f>1.97%+0.75%</f>
        <v>2.7199999999999998E-2</v>
      </c>
      <c r="J8" s="161"/>
      <c r="K8" s="66"/>
      <c r="L8" s="66"/>
    </row>
    <row r="9" spans="1:12" ht="24" customHeight="1">
      <c r="A9" s="305" t="s">
        <v>219</v>
      </c>
      <c r="B9" s="151" t="s">
        <v>216</v>
      </c>
      <c r="C9" s="321"/>
      <c r="D9" s="322"/>
      <c r="E9" s="149">
        <f>$I$3*F9</f>
        <v>16.34675</v>
      </c>
      <c r="F9" s="150">
        <v>7.0000000000000001E-3</v>
      </c>
      <c r="G9" s="149"/>
      <c r="H9" s="150">
        <v>5.3E-3</v>
      </c>
      <c r="J9" s="148"/>
      <c r="K9" s="66"/>
      <c r="L9" s="66"/>
    </row>
    <row r="10" spans="1:12" ht="24" customHeight="1">
      <c r="A10" s="306"/>
      <c r="B10" s="151" t="s">
        <v>217</v>
      </c>
      <c r="C10" s="321"/>
      <c r="D10" s="322"/>
      <c r="E10" s="149">
        <f>$I$3*F10</f>
        <v>93.409999999999982</v>
      </c>
      <c r="F10" s="148">
        <f>2.8%+1.2%</f>
        <v>3.9999999999999994E-2</v>
      </c>
      <c r="G10" s="149"/>
      <c r="H10" s="150">
        <v>3.4099999999999998E-2</v>
      </c>
      <c r="I10" s="147" t="s">
        <v>352</v>
      </c>
      <c r="J10" s="148"/>
      <c r="K10" s="66"/>
      <c r="L10" s="66"/>
    </row>
    <row r="11" spans="1:12" ht="24" customHeight="1">
      <c r="A11" s="302" t="s">
        <v>48</v>
      </c>
      <c r="B11" s="302"/>
      <c r="C11" s="321"/>
      <c r="D11" s="322"/>
      <c r="E11" s="149">
        <f t="shared" ref="E11" si="1">$I$3*F11</f>
        <v>93.41</v>
      </c>
      <c r="F11" s="150">
        <v>0.04</v>
      </c>
      <c r="G11" s="149"/>
      <c r="H11" s="150">
        <v>1.0999999999999999E-2</v>
      </c>
      <c r="J11" s="148"/>
      <c r="K11" s="66"/>
      <c r="L11" s="66"/>
    </row>
    <row r="15" spans="1:12" ht="24" customHeight="1">
      <c r="A15" s="145"/>
      <c r="B15" s="145"/>
      <c r="C15" s="320"/>
      <c r="D15" s="320"/>
      <c r="E15" s="145"/>
      <c r="F15" s="145"/>
      <c r="G15" s="301" t="s">
        <v>211</v>
      </c>
      <c r="H15" s="301"/>
      <c r="I15" s="146"/>
    </row>
    <row r="16" spans="1:12">
      <c r="A16" s="307" t="s">
        <v>212</v>
      </c>
      <c r="B16" s="307"/>
      <c r="C16" s="303" t="s">
        <v>213</v>
      </c>
      <c r="D16" s="308"/>
      <c r="E16" s="308"/>
      <c r="F16" s="308"/>
      <c r="G16" s="308"/>
      <c r="H16" s="304"/>
      <c r="I16" s="147" t="s">
        <v>220</v>
      </c>
    </row>
    <row r="17" spans="1:9" ht="24" customHeight="1">
      <c r="A17" s="307"/>
      <c r="B17" s="307"/>
      <c r="C17" s="154" t="s">
        <v>222</v>
      </c>
      <c r="D17" s="154" t="s">
        <v>223</v>
      </c>
      <c r="E17" s="153" t="s">
        <v>221</v>
      </c>
      <c r="F17" s="154" t="s">
        <v>226</v>
      </c>
      <c r="G17" s="154" t="s">
        <v>225</v>
      </c>
      <c r="H17" s="154" t="s">
        <v>224</v>
      </c>
      <c r="I17" s="157">
        <f>销量!D8</f>
        <v>3175.25</v>
      </c>
    </row>
    <row r="18" spans="1:9" ht="24" customHeight="1">
      <c r="A18" s="302" t="s">
        <v>214</v>
      </c>
      <c r="B18" s="302"/>
      <c r="C18" s="321"/>
      <c r="D18" s="322"/>
      <c r="E18" s="149">
        <f>$I$17*F18</f>
        <v>178.51251172913885</v>
      </c>
      <c r="F18" s="177">
        <v>5.6219986372455351E-2</v>
      </c>
      <c r="G18" s="149"/>
      <c r="H18" s="150">
        <v>4.48E-2</v>
      </c>
    </row>
    <row r="19" spans="1:9" ht="24" customHeight="1">
      <c r="A19" s="302" t="s">
        <v>215</v>
      </c>
      <c r="B19" s="173" t="s">
        <v>216</v>
      </c>
      <c r="C19" s="321"/>
      <c r="D19" s="322"/>
      <c r="E19" s="149">
        <f t="shared" ref="E19:E25" si="2">$I$17*F19</f>
        <v>142.88624999999999</v>
      </c>
      <c r="F19" s="150">
        <v>4.4999999999999998E-2</v>
      </c>
      <c r="G19" s="149"/>
      <c r="H19" s="150">
        <v>4.0399999999999998E-2</v>
      </c>
    </row>
    <row r="20" spans="1:9" ht="24" customHeight="1">
      <c r="A20" s="302"/>
      <c r="B20" s="173" t="s">
        <v>217</v>
      </c>
      <c r="C20" s="321"/>
      <c r="D20" s="322"/>
      <c r="E20" s="149">
        <f t="shared" si="2"/>
        <v>47.870035980818493</v>
      </c>
      <c r="F20" s="177">
        <v>1.5075989601076605E-2</v>
      </c>
      <c r="G20" s="149"/>
      <c r="H20" s="150">
        <v>1.66E-2</v>
      </c>
    </row>
    <row r="21" spans="1:9" ht="24" customHeight="1">
      <c r="A21" s="303" t="s">
        <v>218</v>
      </c>
      <c r="B21" s="304"/>
      <c r="C21" s="323"/>
      <c r="D21" s="324"/>
      <c r="E21" s="149">
        <f t="shared" si="2"/>
        <v>369.26879770995737</v>
      </c>
      <c r="F21" s="176">
        <f>SUM(F18:F20)</f>
        <v>0.11629597597353196</v>
      </c>
      <c r="G21" s="149"/>
      <c r="H21" s="152">
        <f>SUM(H18:H20)</f>
        <v>0.1018</v>
      </c>
    </row>
    <row r="22" spans="1:9" ht="24" customHeight="1">
      <c r="A22" s="302" t="s">
        <v>45</v>
      </c>
      <c r="B22" s="302"/>
      <c r="C22" s="321"/>
      <c r="D22" s="322"/>
      <c r="E22" s="149">
        <f t="shared" si="2"/>
        <v>95.257499999999993</v>
      </c>
      <c r="F22" s="178">
        <v>0.03</v>
      </c>
      <c r="G22" s="149"/>
      <c r="H22" s="150">
        <f>1.97%+0.75%</f>
        <v>2.7199999999999998E-2</v>
      </c>
    </row>
    <row r="23" spans="1:9" ht="24" customHeight="1">
      <c r="A23" s="305" t="s">
        <v>219</v>
      </c>
      <c r="B23" s="173" t="s">
        <v>216</v>
      </c>
      <c r="C23" s="321"/>
      <c r="D23" s="322"/>
      <c r="E23" s="149">
        <f t="shared" si="2"/>
        <v>22.226749999999999</v>
      </c>
      <c r="F23" s="150">
        <v>7.0000000000000001E-3</v>
      </c>
      <c r="G23" s="149"/>
      <c r="H23" s="150">
        <v>5.3E-3</v>
      </c>
    </row>
    <row r="24" spans="1:9" ht="24" customHeight="1">
      <c r="A24" s="306"/>
      <c r="B24" s="173" t="s">
        <v>217</v>
      </c>
      <c r="C24" s="321"/>
      <c r="D24" s="322"/>
      <c r="E24" s="149">
        <f t="shared" si="2"/>
        <v>127.00999999999998</v>
      </c>
      <c r="F24" s="148">
        <f>2.8%+1.2%</f>
        <v>3.9999999999999994E-2</v>
      </c>
      <c r="G24" s="149"/>
      <c r="H24" s="150">
        <v>3.4099999999999998E-2</v>
      </c>
      <c r="I24" s="147" t="s">
        <v>352</v>
      </c>
    </row>
    <row r="25" spans="1:9" ht="24" customHeight="1">
      <c r="A25" s="302" t="s">
        <v>48</v>
      </c>
      <c r="B25" s="302"/>
      <c r="C25" s="321"/>
      <c r="D25" s="322"/>
      <c r="E25" s="149">
        <f t="shared" si="2"/>
        <v>127.01</v>
      </c>
      <c r="F25" s="150">
        <v>0.04</v>
      </c>
      <c r="G25" s="149"/>
      <c r="H25" s="150">
        <v>1.0999999999999999E-2</v>
      </c>
    </row>
    <row r="29" spans="1:9" ht="24" customHeight="1">
      <c r="A29" s="145"/>
      <c r="B29" s="145"/>
      <c r="C29" s="320"/>
      <c r="D29" s="320"/>
      <c r="E29" s="145"/>
      <c r="F29" s="145"/>
      <c r="G29" s="301" t="s">
        <v>211</v>
      </c>
      <c r="H29" s="301"/>
      <c r="I29" s="146"/>
    </row>
    <row r="30" spans="1:9">
      <c r="A30" s="307" t="s">
        <v>212</v>
      </c>
      <c r="B30" s="307"/>
      <c r="C30" s="303" t="s">
        <v>213</v>
      </c>
      <c r="D30" s="308"/>
      <c r="E30" s="308"/>
      <c r="F30" s="308"/>
      <c r="G30" s="308"/>
      <c r="H30" s="304"/>
      <c r="I30" s="147" t="s">
        <v>220</v>
      </c>
    </row>
    <row r="31" spans="1:9" ht="24" customHeight="1">
      <c r="A31" s="307"/>
      <c r="B31" s="307"/>
      <c r="C31" s="154" t="s">
        <v>222</v>
      </c>
      <c r="D31" s="154" t="s">
        <v>223</v>
      </c>
      <c r="E31" s="153" t="s">
        <v>221</v>
      </c>
      <c r="F31" s="154" t="s">
        <v>226</v>
      </c>
      <c r="G31" s="154" t="s">
        <v>225</v>
      </c>
      <c r="H31" s="154" t="s">
        <v>224</v>
      </c>
      <c r="I31" s="157">
        <f>销量!E8</f>
        <v>1125.25</v>
      </c>
    </row>
    <row r="32" spans="1:9" ht="24" customHeight="1">
      <c r="A32" s="302" t="s">
        <v>214</v>
      </c>
      <c r="B32" s="302"/>
      <c r="C32" s="321"/>
      <c r="D32" s="322"/>
      <c r="E32" s="149">
        <f>$I$31*F32</f>
        <v>63.261539665605383</v>
      </c>
      <c r="F32" s="177">
        <v>5.6219986372455351E-2</v>
      </c>
      <c r="G32" s="149"/>
      <c r="H32" s="150">
        <v>4.48E-2</v>
      </c>
    </row>
    <row r="33" spans="1:9" ht="24" customHeight="1">
      <c r="A33" s="302" t="s">
        <v>215</v>
      </c>
      <c r="B33" s="173" t="s">
        <v>216</v>
      </c>
      <c r="C33" s="321"/>
      <c r="D33" s="322"/>
      <c r="E33" s="149">
        <f t="shared" ref="E33:E39" si="3">$I$31*F33</f>
        <v>50.636249999999997</v>
      </c>
      <c r="F33" s="150">
        <v>4.4999999999999998E-2</v>
      </c>
      <c r="G33" s="149"/>
      <c r="H33" s="150">
        <v>4.0399999999999998E-2</v>
      </c>
    </row>
    <row r="34" spans="1:9" ht="24" customHeight="1">
      <c r="A34" s="302"/>
      <c r="B34" s="173" t="s">
        <v>217</v>
      </c>
      <c r="C34" s="321"/>
      <c r="D34" s="322"/>
      <c r="E34" s="149">
        <f t="shared" si="3"/>
        <v>16.96425729861145</v>
      </c>
      <c r="F34" s="177">
        <v>1.5075989601076605E-2</v>
      </c>
      <c r="G34" s="149"/>
      <c r="H34" s="150">
        <v>1.66E-2</v>
      </c>
    </row>
    <row r="35" spans="1:9" ht="24" customHeight="1">
      <c r="A35" s="303" t="s">
        <v>218</v>
      </c>
      <c r="B35" s="304"/>
      <c r="C35" s="323"/>
      <c r="D35" s="324"/>
      <c r="E35" s="149">
        <f t="shared" si="3"/>
        <v>130.86204696421683</v>
      </c>
      <c r="F35" s="176">
        <f>SUM(F32:F34)</f>
        <v>0.11629597597353196</v>
      </c>
      <c r="G35" s="152"/>
      <c r="H35" s="152">
        <f>SUM(H32:H34)</f>
        <v>0.1018</v>
      </c>
    </row>
    <row r="36" spans="1:9" ht="24" customHeight="1">
      <c r="A36" s="302" t="s">
        <v>45</v>
      </c>
      <c r="B36" s="302"/>
      <c r="C36" s="321"/>
      <c r="D36" s="322"/>
      <c r="E36" s="149">
        <f t="shared" si="3"/>
        <v>33.7575</v>
      </c>
      <c r="F36" s="178">
        <v>0.03</v>
      </c>
      <c r="G36" s="149"/>
      <c r="H36" s="150">
        <f>1.97%+0.75%</f>
        <v>2.7199999999999998E-2</v>
      </c>
    </row>
    <row r="37" spans="1:9" ht="24" customHeight="1">
      <c r="A37" s="305" t="s">
        <v>219</v>
      </c>
      <c r="B37" s="173" t="s">
        <v>216</v>
      </c>
      <c r="C37" s="321"/>
      <c r="D37" s="322"/>
      <c r="E37" s="149">
        <f t="shared" si="3"/>
        <v>7.8767500000000004</v>
      </c>
      <c r="F37" s="150">
        <v>7.0000000000000001E-3</v>
      </c>
      <c r="G37" s="149"/>
      <c r="H37" s="150">
        <v>5.3E-3</v>
      </c>
    </row>
    <row r="38" spans="1:9" ht="24" customHeight="1">
      <c r="A38" s="306"/>
      <c r="B38" s="173" t="s">
        <v>217</v>
      </c>
      <c r="C38" s="321"/>
      <c r="D38" s="322"/>
      <c r="E38" s="149">
        <f t="shared" si="3"/>
        <v>45.009999999999991</v>
      </c>
      <c r="F38" s="148">
        <f>2.8%+1.2%</f>
        <v>3.9999999999999994E-2</v>
      </c>
      <c r="G38" s="149"/>
      <c r="H38" s="150">
        <v>3.4099999999999998E-2</v>
      </c>
      <c r="I38" s="147" t="s">
        <v>352</v>
      </c>
    </row>
    <row r="39" spans="1:9" ht="24" customHeight="1">
      <c r="A39" s="302" t="s">
        <v>48</v>
      </c>
      <c r="B39" s="302"/>
      <c r="C39" s="321"/>
      <c r="D39" s="322"/>
      <c r="E39" s="149">
        <f t="shared" si="3"/>
        <v>45.01</v>
      </c>
      <c r="F39" s="150">
        <v>0.04</v>
      </c>
      <c r="G39" s="149"/>
      <c r="H39" s="150">
        <v>1.0999999999999999E-2</v>
      </c>
    </row>
    <row r="42" spans="1:9" ht="24" customHeight="1">
      <c r="A42" s="145"/>
      <c r="B42" s="145"/>
      <c r="C42" s="320"/>
      <c r="D42" s="320"/>
      <c r="E42" s="145"/>
      <c r="F42" s="145"/>
      <c r="G42" s="301" t="s">
        <v>211</v>
      </c>
      <c r="H42" s="301"/>
      <c r="I42" s="146"/>
    </row>
    <row r="43" spans="1:9">
      <c r="A43" s="307" t="s">
        <v>212</v>
      </c>
      <c r="B43" s="307"/>
      <c r="C43" s="303" t="s">
        <v>213</v>
      </c>
      <c r="D43" s="308"/>
      <c r="E43" s="308"/>
      <c r="F43" s="308"/>
      <c r="G43" s="308"/>
      <c r="H43" s="304"/>
      <c r="I43" s="147" t="s">
        <v>220</v>
      </c>
    </row>
    <row r="44" spans="1:9" ht="24" customHeight="1">
      <c r="A44" s="307"/>
      <c r="B44" s="307"/>
      <c r="C44" s="154" t="s">
        <v>222</v>
      </c>
      <c r="D44" s="154" t="s">
        <v>223</v>
      </c>
      <c r="E44" s="153" t="s">
        <v>221</v>
      </c>
      <c r="F44" s="154" t="s">
        <v>226</v>
      </c>
      <c r="G44" s="154" t="s">
        <v>225</v>
      </c>
      <c r="H44" s="154" t="s">
        <v>224</v>
      </c>
      <c r="I44" s="157">
        <f>销量!F8</f>
        <v>3175.25</v>
      </c>
    </row>
    <row r="45" spans="1:9" ht="24" customHeight="1">
      <c r="A45" s="302" t="s">
        <v>214</v>
      </c>
      <c r="B45" s="302"/>
      <c r="C45" s="321"/>
      <c r="D45" s="322"/>
      <c r="E45" s="149">
        <f>$I$44*F45</f>
        <v>178.51251172913885</v>
      </c>
      <c r="F45" s="177">
        <v>5.6219986372455351E-2</v>
      </c>
      <c r="G45" s="149"/>
      <c r="H45" s="150">
        <v>4.48E-2</v>
      </c>
    </row>
    <row r="46" spans="1:9" ht="24" customHeight="1">
      <c r="A46" s="302" t="s">
        <v>215</v>
      </c>
      <c r="B46" s="173" t="s">
        <v>216</v>
      </c>
      <c r="C46" s="321"/>
      <c r="D46" s="322"/>
      <c r="E46" s="149">
        <f t="shared" ref="E46:E52" si="4">$I$44*F46</f>
        <v>142.88624999999999</v>
      </c>
      <c r="F46" s="150">
        <v>4.4999999999999998E-2</v>
      </c>
      <c r="G46" s="149"/>
      <c r="H46" s="150">
        <v>4.0399999999999998E-2</v>
      </c>
    </row>
    <row r="47" spans="1:9" ht="24" customHeight="1">
      <c r="A47" s="302"/>
      <c r="B47" s="173" t="s">
        <v>217</v>
      </c>
      <c r="C47" s="321"/>
      <c r="D47" s="322"/>
      <c r="E47" s="149">
        <f t="shared" si="4"/>
        <v>47.870035980818493</v>
      </c>
      <c r="F47" s="177">
        <v>1.5075989601076605E-2</v>
      </c>
      <c r="G47" s="149"/>
      <c r="H47" s="150">
        <v>1.66E-2</v>
      </c>
    </row>
    <row r="48" spans="1:9" ht="24" customHeight="1">
      <c r="A48" s="303" t="s">
        <v>218</v>
      </c>
      <c r="B48" s="304"/>
      <c r="C48" s="323"/>
      <c r="D48" s="324"/>
      <c r="E48" s="149">
        <f t="shared" si="4"/>
        <v>369.26879770995737</v>
      </c>
      <c r="F48" s="176">
        <f>SUM(F45:F47)</f>
        <v>0.11629597597353196</v>
      </c>
      <c r="G48" s="152"/>
      <c r="H48" s="152">
        <f>SUM(H45:H47)</f>
        <v>0.1018</v>
      </c>
    </row>
    <row r="49" spans="1:9" ht="24" customHeight="1">
      <c r="A49" s="302" t="s">
        <v>45</v>
      </c>
      <c r="B49" s="302"/>
      <c r="C49" s="321"/>
      <c r="D49" s="322"/>
      <c r="E49" s="149">
        <f t="shared" si="4"/>
        <v>95.257499999999993</v>
      </c>
      <c r="F49" s="178">
        <v>0.03</v>
      </c>
      <c r="G49" s="149"/>
      <c r="H49" s="150">
        <f>1.97%+0.75%</f>
        <v>2.7199999999999998E-2</v>
      </c>
    </row>
    <row r="50" spans="1:9" ht="24" customHeight="1">
      <c r="A50" s="305" t="s">
        <v>219</v>
      </c>
      <c r="B50" s="173" t="s">
        <v>216</v>
      </c>
      <c r="C50" s="321"/>
      <c r="D50" s="322"/>
      <c r="E50" s="149">
        <f t="shared" si="4"/>
        <v>22.226749999999999</v>
      </c>
      <c r="F50" s="150">
        <v>7.0000000000000001E-3</v>
      </c>
      <c r="G50" s="149"/>
      <c r="H50" s="150">
        <v>5.3E-3</v>
      </c>
    </row>
    <row r="51" spans="1:9" ht="24" customHeight="1">
      <c r="A51" s="306"/>
      <c r="B51" s="173" t="s">
        <v>217</v>
      </c>
      <c r="C51" s="321"/>
      <c r="D51" s="322"/>
      <c r="E51" s="149">
        <f t="shared" si="4"/>
        <v>127.00999999999998</v>
      </c>
      <c r="F51" s="148">
        <f>2.8%+1.2%</f>
        <v>3.9999999999999994E-2</v>
      </c>
      <c r="G51" s="149"/>
      <c r="H51" s="150">
        <v>3.4099999999999998E-2</v>
      </c>
      <c r="I51" s="147" t="s">
        <v>352</v>
      </c>
    </row>
    <row r="52" spans="1:9" ht="24" customHeight="1">
      <c r="A52" s="302" t="s">
        <v>48</v>
      </c>
      <c r="B52" s="302"/>
      <c r="C52" s="321"/>
      <c r="D52" s="322"/>
      <c r="E52" s="149">
        <f t="shared" si="4"/>
        <v>127.01</v>
      </c>
      <c r="F52" s="150">
        <v>0.04</v>
      </c>
      <c r="G52" s="149"/>
      <c r="H52" s="150">
        <v>1.0999999999999999E-2</v>
      </c>
    </row>
    <row r="55" spans="1:9">
      <c r="A55" s="145"/>
      <c r="B55" s="145"/>
      <c r="C55" s="320"/>
      <c r="D55" s="320"/>
      <c r="E55" s="145"/>
      <c r="F55" s="145"/>
      <c r="G55" s="301" t="s">
        <v>211</v>
      </c>
      <c r="H55" s="301"/>
      <c r="I55" s="146"/>
    </row>
    <row r="56" spans="1:9">
      <c r="A56" s="307" t="s">
        <v>212</v>
      </c>
      <c r="B56" s="307"/>
      <c r="C56" s="303" t="s">
        <v>213</v>
      </c>
      <c r="D56" s="308"/>
      <c r="E56" s="308"/>
      <c r="F56" s="308"/>
      <c r="G56" s="308"/>
      <c r="H56" s="304"/>
      <c r="I56" s="147" t="s">
        <v>220</v>
      </c>
    </row>
    <row r="57" spans="1:9" ht="27">
      <c r="A57" s="307"/>
      <c r="B57" s="307"/>
      <c r="C57" s="154" t="s">
        <v>222</v>
      </c>
      <c r="D57" s="154" t="s">
        <v>223</v>
      </c>
      <c r="E57" s="153" t="s">
        <v>221</v>
      </c>
      <c r="F57" s="154" t="s">
        <v>226</v>
      </c>
      <c r="G57" s="154" t="s">
        <v>225</v>
      </c>
      <c r="H57" s="154" t="s">
        <v>224</v>
      </c>
      <c r="I57" s="157">
        <f>销量!G8</f>
        <v>0</v>
      </c>
    </row>
    <row r="58" spans="1:9">
      <c r="A58" s="302" t="s">
        <v>214</v>
      </c>
      <c r="B58" s="302"/>
      <c r="C58" s="321"/>
      <c r="D58" s="322"/>
      <c r="E58" s="149">
        <f>$I$57*F58</f>
        <v>0</v>
      </c>
      <c r="F58" s="177">
        <v>5.6219986372455351E-2</v>
      </c>
      <c r="G58" s="149"/>
      <c r="H58" s="150">
        <v>4.48E-2</v>
      </c>
    </row>
    <row r="59" spans="1:9">
      <c r="A59" s="302" t="s">
        <v>215</v>
      </c>
      <c r="B59" s="173" t="s">
        <v>216</v>
      </c>
      <c r="C59" s="321"/>
      <c r="D59" s="322"/>
      <c r="E59" s="149">
        <f t="shared" ref="E59:E65" si="5">$I$57*F59</f>
        <v>0</v>
      </c>
      <c r="F59" s="150">
        <v>4.4999999999999998E-2</v>
      </c>
      <c r="G59" s="149"/>
      <c r="H59" s="150">
        <v>4.0399999999999998E-2</v>
      </c>
    </row>
    <row r="60" spans="1:9">
      <c r="A60" s="302"/>
      <c r="B60" s="173" t="s">
        <v>217</v>
      </c>
      <c r="C60" s="321"/>
      <c r="D60" s="322"/>
      <c r="E60" s="149">
        <f t="shared" si="5"/>
        <v>0</v>
      </c>
      <c r="F60" s="177">
        <v>1.5075989601076605E-2</v>
      </c>
      <c r="G60" s="149"/>
      <c r="H60" s="150">
        <v>1.66E-2</v>
      </c>
    </row>
    <row r="61" spans="1:9">
      <c r="A61" s="303" t="s">
        <v>218</v>
      </c>
      <c r="B61" s="304"/>
      <c r="C61" s="323"/>
      <c r="D61" s="324"/>
      <c r="E61" s="149">
        <f t="shared" si="5"/>
        <v>0</v>
      </c>
      <c r="F61" s="176">
        <f>SUM(F58:F60)</f>
        <v>0.11629597597353196</v>
      </c>
      <c r="G61" s="152"/>
      <c r="H61" s="152">
        <f>SUM(H58:H60)</f>
        <v>0.1018</v>
      </c>
    </row>
    <row r="62" spans="1:9">
      <c r="A62" s="302" t="s">
        <v>45</v>
      </c>
      <c r="B62" s="302"/>
      <c r="C62" s="321"/>
      <c r="D62" s="322"/>
      <c r="E62" s="149">
        <f t="shared" si="5"/>
        <v>0</v>
      </c>
      <c r="F62" s="178">
        <v>0.03</v>
      </c>
      <c r="G62" s="149"/>
      <c r="H62" s="150">
        <f>1.97%+0.75%</f>
        <v>2.7199999999999998E-2</v>
      </c>
    </row>
    <row r="63" spans="1:9">
      <c r="A63" s="305" t="s">
        <v>219</v>
      </c>
      <c r="B63" s="173" t="s">
        <v>216</v>
      </c>
      <c r="C63" s="321"/>
      <c r="D63" s="322"/>
      <c r="E63" s="149">
        <f t="shared" si="5"/>
        <v>0</v>
      </c>
      <c r="F63" s="150">
        <v>7.0000000000000001E-3</v>
      </c>
      <c r="G63" s="149"/>
      <c r="H63" s="150">
        <v>5.3E-3</v>
      </c>
    </row>
    <row r="64" spans="1:9">
      <c r="A64" s="306"/>
      <c r="B64" s="173" t="s">
        <v>217</v>
      </c>
      <c r="C64" s="321"/>
      <c r="D64" s="322"/>
      <c r="E64" s="149">
        <f t="shared" si="5"/>
        <v>0</v>
      </c>
      <c r="F64" s="148">
        <f>2.8%+1.2%</f>
        <v>3.9999999999999994E-2</v>
      </c>
      <c r="G64" s="149"/>
      <c r="H64" s="150">
        <v>3.4099999999999998E-2</v>
      </c>
    </row>
    <row r="65" spans="1:9">
      <c r="A65" s="302" t="s">
        <v>48</v>
      </c>
      <c r="B65" s="302"/>
      <c r="C65" s="321"/>
      <c r="D65" s="322"/>
      <c r="E65" s="149">
        <f t="shared" si="5"/>
        <v>0</v>
      </c>
      <c r="F65" s="150">
        <v>0.04</v>
      </c>
      <c r="G65" s="149"/>
      <c r="H65" s="150">
        <v>1.0999999999999999E-2</v>
      </c>
    </row>
    <row r="68" spans="1:9">
      <c r="A68" s="145"/>
      <c r="B68" s="145"/>
      <c r="C68" s="320"/>
      <c r="D68" s="320"/>
      <c r="E68" s="145"/>
      <c r="F68" s="145"/>
      <c r="G68" s="301" t="s">
        <v>211</v>
      </c>
      <c r="H68" s="301"/>
      <c r="I68" s="146"/>
    </row>
    <row r="69" spans="1:9">
      <c r="A69" s="307" t="s">
        <v>212</v>
      </c>
      <c r="B69" s="307"/>
      <c r="C69" s="303" t="s">
        <v>213</v>
      </c>
      <c r="D69" s="308"/>
      <c r="E69" s="308"/>
      <c r="F69" s="308"/>
      <c r="G69" s="308"/>
      <c r="H69" s="304"/>
      <c r="I69" s="147" t="s">
        <v>220</v>
      </c>
    </row>
    <row r="70" spans="1:9" ht="27">
      <c r="A70" s="307"/>
      <c r="B70" s="307"/>
      <c r="C70" s="154" t="s">
        <v>222</v>
      </c>
      <c r="D70" s="154" t="s">
        <v>223</v>
      </c>
      <c r="E70" s="153" t="s">
        <v>221</v>
      </c>
      <c r="F70" s="154" t="s">
        <v>226</v>
      </c>
      <c r="G70" s="154" t="s">
        <v>225</v>
      </c>
      <c r="H70" s="154" t="s">
        <v>224</v>
      </c>
      <c r="I70" s="157">
        <f>销量!H8</f>
        <v>0</v>
      </c>
    </row>
    <row r="71" spans="1:9">
      <c r="A71" s="302" t="s">
        <v>214</v>
      </c>
      <c r="B71" s="302"/>
      <c r="C71" s="321"/>
      <c r="D71" s="322"/>
      <c r="E71" s="149">
        <f>$I$70*F71</f>
        <v>0</v>
      </c>
      <c r="F71" s="177">
        <v>5.6219986372455351E-2</v>
      </c>
      <c r="G71" s="149"/>
      <c r="H71" s="150">
        <v>4.48E-2</v>
      </c>
    </row>
    <row r="72" spans="1:9">
      <c r="A72" s="302" t="s">
        <v>215</v>
      </c>
      <c r="B72" s="173" t="s">
        <v>216</v>
      </c>
      <c r="C72" s="321"/>
      <c r="D72" s="322"/>
      <c r="E72" s="149">
        <f t="shared" ref="E72:E78" si="6">$I$70*F72</f>
        <v>0</v>
      </c>
      <c r="F72" s="150">
        <v>4.4999999999999998E-2</v>
      </c>
      <c r="G72" s="149"/>
      <c r="H72" s="150">
        <v>4.0399999999999998E-2</v>
      </c>
    </row>
    <row r="73" spans="1:9">
      <c r="A73" s="302"/>
      <c r="B73" s="173" t="s">
        <v>217</v>
      </c>
      <c r="C73" s="321"/>
      <c r="D73" s="322"/>
      <c r="E73" s="149">
        <f t="shared" si="6"/>
        <v>0</v>
      </c>
      <c r="F73" s="177">
        <v>1.5075989601076605E-2</v>
      </c>
      <c r="G73" s="149"/>
      <c r="H73" s="150">
        <v>1.66E-2</v>
      </c>
    </row>
    <row r="74" spans="1:9">
      <c r="A74" s="303" t="s">
        <v>218</v>
      </c>
      <c r="B74" s="304"/>
      <c r="C74" s="323"/>
      <c r="D74" s="324"/>
      <c r="E74" s="149">
        <f t="shared" si="6"/>
        <v>0</v>
      </c>
      <c r="F74" s="176">
        <f>SUM(F71:F73)</f>
        <v>0.11629597597353196</v>
      </c>
      <c r="G74" s="152"/>
      <c r="H74" s="152">
        <f>SUM(H71:H73)</f>
        <v>0.1018</v>
      </c>
    </row>
    <row r="75" spans="1:9">
      <c r="A75" s="302" t="s">
        <v>45</v>
      </c>
      <c r="B75" s="302"/>
      <c r="C75" s="321"/>
      <c r="D75" s="322"/>
      <c r="E75" s="149">
        <f t="shared" si="6"/>
        <v>0</v>
      </c>
      <c r="F75" s="178">
        <v>0.03</v>
      </c>
      <c r="G75" s="149"/>
      <c r="H75" s="150">
        <f>1.97%+0.75%</f>
        <v>2.7199999999999998E-2</v>
      </c>
    </row>
    <row r="76" spans="1:9">
      <c r="A76" s="305" t="s">
        <v>219</v>
      </c>
      <c r="B76" s="173" t="s">
        <v>216</v>
      </c>
      <c r="C76" s="321"/>
      <c r="D76" s="322"/>
      <c r="E76" s="149">
        <f t="shared" si="6"/>
        <v>0</v>
      </c>
      <c r="F76" s="150">
        <v>7.0000000000000001E-3</v>
      </c>
      <c r="G76" s="149"/>
      <c r="H76" s="150">
        <v>5.3E-3</v>
      </c>
    </row>
    <row r="77" spans="1:9">
      <c r="A77" s="306"/>
      <c r="B77" s="173" t="s">
        <v>217</v>
      </c>
      <c r="C77" s="321"/>
      <c r="D77" s="322"/>
      <c r="E77" s="149">
        <f t="shared" si="6"/>
        <v>0</v>
      </c>
      <c r="F77" s="148">
        <f>2.8%+1.2%</f>
        <v>3.9999999999999994E-2</v>
      </c>
      <c r="G77" s="149"/>
      <c r="H77" s="150">
        <v>3.4099999999999998E-2</v>
      </c>
    </row>
    <row r="78" spans="1:9">
      <c r="A78" s="302" t="s">
        <v>48</v>
      </c>
      <c r="B78" s="302"/>
      <c r="C78" s="321"/>
      <c r="D78" s="322"/>
      <c r="E78" s="149">
        <f t="shared" si="6"/>
        <v>0</v>
      </c>
      <c r="F78" s="150">
        <v>0.04</v>
      </c>
      <c r="G78" s="149"/>
      <c r="H78" s="150">
        <v>1.0999999999999999E-2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workbookViewId="0">
      <selection activeCell="M6" sqref="M6"/>
    </sheetView>
  </sheetViews>
  <sheetFormatPr defaultRowHeight="13.5"/>
  <cols>
    <col min="1" max="1" width="9" style="187"/>
    <col min="2" max="2" width="14.125" style="187" bestFit="1" customWidth="1"/>
    <col min="3" max="3" width="16.75" style="187" bestFit="1" customWidth="1"/>
    <col min="4" max="4" width="44.375" style="187" customWidth="1"/>
    <col min="5" max="5" width="11.75" style="187" bestFit="1" customWidth="1"/>
    <col min="6" max="6" width="11.625" style="187" bestFit="1" customWidth="1"/>
    <col min="7" max="7" width="11.875" style="187" customWidth="1"/>
    <col min="8" max="8" width="9" style="193"/>
    <col min="9" max="11" width="0" style="187" hidden="1" customWidth="1"/>
    <col min="12" max="16384" width="9" style="187"/>
  </cols>
  <sheetData>
    <row r="1" spans="2:11" ht="18.75">
      <c r="B1" s="309" t="s">
        <v>338</v>
      </c>
      <c r="C1" s="309"/>
      <c r="D1" s="309"/>
      <c r="E1" s="309"/>
      <c r="F1" s="309"/>
      <c r="G1" s="309"/>
      <c r="H1" s="309"/>
      <c r="I1" s="309"/>
    </row>
    <row r="2" spans="2:11" s="189" customFormat="1">
      <c r="B2" s="194" t="s">
        <v>240</v>
      </c>
      <c r="C2" s="194" t="s">
        <v>241</v>
      </c>
      <c r="D2" s="195" t="s">
        <v>249</v>
      </c>
      <c r="E2" s="194" t="s">
        <v>242</v>
      </c>
      <c r="F2" s="194" t="s">
        <v>243</v>
      </c>
      <c r="G2" s="194" t="s">
        <v>244</v>
      </c>
      <c r="H2" s="196" t="s">
        <v>245</v>
      </c>
      <c r="I2" s="188" t="s">
        <v>246</v>
      </c>
      <c r="J2" s="188" t="s">
        <v>247</v>
      </c>
      <c r="K2" s="188" t="s">
        <v>248</v>
      </c>
    </row>
    <row r="3" spans="2:11" ht="49.5">
      <c r="B3" s="209" t="s">
        <v>254</v>
      </c>
      <c r="C3" s="208" t="s">
        <v>230</v>
      </c>
      <c r="D3" s="212" t="s">
        <v>258</v>
      </c>
      <c r="E3" s="174">
        <f>材料成本!$D$6</f>
        <v>1558.15</v>
      </c>
      <c r="F3" s="229">
        <v>2335.25</v>
      </c>
      <c r="G3" s="230">
        <f>F3-E3</f>
        <v>777.09999999999991</v>
      </c>
      <c r="H3" s="150">
        <f>G3/F3</f>
        <v>0.33276951075901934</v>
      </c>
      <c r="I3" s="190"/>
      <c r="J3" s="190"/>
      <c r="K3" s="191">
        <f t="shared" ref="K3:K6" si="0">F3-J3</f>
        <v>2335.25</v>
      </c>
    </row>
    <row r="4" spans="2:11" ht="66">
      <c r="B4" s="209" t="s">
        <v>255</v>
      </c>
      <c r="C4" s="208" t="s">
        <v>230</v>
      </c>
      <c r="D4" s="212" t="s">
        <v>259</v>
      </c>
      <c r="E4" s="174">
        <f>材料成本!$E$6</f>
        <v>2569.83</v>
      </c>
      <c r="F4" s="229">
        <v>3175.25</v>
      </c>
      <c r="G4" s="230">
        <f>F4-E4</f>
        <v>605.42000000000007</v>
      </c>
      <c r="H4" s="150">
        <f>G4/F4</f>
        <v>0.19066845130304702</v>
      </c>
    </row>
    <row r="5" spans="2:11" ht="33">
      <c r="B5" s="209" t="s">
        <v>256</v>
      </c>
      <c r="C5" s="208" t="s">
        <v>253</v>
      </c>
      <c r="D5" s="212" t="s">
        <v>260</v>
      </c>
      <c r="E5" s="174">
        <f>材料成本!$F$6</f>
        <v>663.13</v>
      </c>
      <c r="F5" s="229">
        <v>1125.25</v>
      </c>
      <c r="G5" s="230">
        <f>F5-E5</f>
        <v>462.12</v>
      </c>
      <c r="H5" s="150">
        <f>G5/F5</f>
        <v>0.41068207065096646</v>
      </c>
    </row>
    <row r="6" spans="2:11" ht="66">
      <c r="B6" s="209" t="s">
        <v>257</v>
      </c>
      <c r="C6" s="209" t="s">
        <v>253</v>
      </c>
      <c r="D6" s="212" t="s">
        <v>259</v>
      </c>
      <c r="E6" s="174">
        <f>材料成本!$G$6</f>
        <v>1706.345</v>
      </c>
      <c r="F6" s="229">
        <v>3175.25</v>
      </c>
      <c r="G6" s="230">
        <f t="shared" ref="G6:G7" si="1">F6-E6</f>
        <v>1468.905</v>
      </c>
      <c r="H6" s="150">
        <f t="shared" ref="H6:H7" si="2">G6/F6</f>
        <v>0.46261081804582316</v>
      </c>
      <c r="I6" s="192"/>
      <c r="J6" s="190"/>
      <c r="K6" s="191">
        <f t="shared" si="0"/>
        <v>3175.25</v>
      </c>
    </row>
    <row r="7" spans="2:11" ht="16.5">
      <c r="B7" s="209" t="s">
        <v>327</v>
      </c>
      <c r="C7" s="231"/>
      <c r="D7" s="231"/>
      <c r="E7" s="232">
        <f>SUM(E3:E6)</f>
        <v>6497.4549999999999</v>
      </c>
      <c r="F7" s="232">
        <f>SUM(F3:F6)</f>
        <v>9811</v>
      </c>
      <c r="G7" s="230">
        <f t="shared" si="1"/>
        <v>3313.5450000000001</v>
      </c>
      <c r="H7" s="150">
        <f t="shared" si="2"/>
        <v>0.33773774334930179</v>
      </c>
    </row>
  </sheetData>
  <mergeCells count="1">
    <mergeCell ref="B1:I1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N51"/>
  <sheetViews>
    <sheetView workbookViewId="0">
      <selection activeCell="H51" sqref="H51"/>
    </sheetView>
  </sheetViews>
  <sheetFormatPr defaultRowHeight="13.5"/>
  <cols>
    <col min="2" max="3" width="17.875" customWidth="1"/>
    <col min="4" max="4" width="15" customWidth="1"/>
    <col min="7" max="7" width="11.5" customWidth="1"/>
    <col min="8" max="9" width="12.875" customWidth="1"/>
    <col min="10" max="10" width="19" customWidth="1"/>
  </cols>
  <sheetData>
    <row r="2" spans="1:14" ht="19.5" customHeight="1">
      <c r="B2" s="181" t="s">
        <v>330</v>
      </c>
    </row>
    <row r="3" spans="1:14">
      <c r="B3" s="181"/>
    </row>
    <row r="4" spans="1:14" ht="14.25" thickBot="1">
      <c r="B4" s="181" t="s">
        <v>275</v>
      </c>
      <c r="C4" s="181"/>
    </row>
    <row r="5" spans="1:14">
      <c r="A5" s="213"/>
      <c r="B5" s="316" t="s">
        <v>276</v>
      </c>
      <c r="C5" s="316"/>
      <c r="D5" s="316"/>
      <c r="E5" s="214"/>
      <c r="F5" s="201"/>
      <c r="G5" s="317" t="s">
        <v>288</v>
      </c>
      <c r="H5" s="316"/>
      <c r="I5" s="316"/>
      <c r="J5" s="316"/>
      <c r="K5" s="318"/>
    </row>
    <row r="6" spans="1:14">
      <c r="A6" s="215"/>
      <c r="B6" s="313" t="s">
        <v>277</v>
      </c>
      <c r="C6" s="313"/>
      <c r="D6" s="313" t="s">
        <v>278</v>
      </c>
      <c r="E6" s="314"/>
      <c r="F6" s="200"/>
      <c r="G6" s="215"/>
      <c r="H6" s="313" t="s">
        <v>293</v>
      </c>
      <c r="I6" s="313"/>
      <c r="J6" s="313" t="s">
        <v>294</v>
      </c>
      <c r="K6" s="314"/>
      <c r="N6" t="s">
        <v>316</v>
      </c>
    </row>
    <row r="7" spans="1:14">
      <c r="A7" s="216" t="s">
        <v>297</v>
      </c>
      <c r="B7" s="202" t="s">
        <v>295</v>
      </c>
      <c r="C7" s="313" t="s">
        <v>299</v>
      </c>
      <c r="D7" s="202" t="s">
        <v>254</v>
      </c>
      <c r="E7" s="314" t="s">
        <v>299</v>
      </c>
      <c r="F7" s="201"/>
      <c r="G7" s="216" t="s">
        <v>297</v>
      </c>
      <c r="H7" s="237" t="s">
        <v>329</v>
      </c>
      <c r="I7" s="202" t="s">
        <v>335</v>
      </c>
      <c r="J7" s="202" t="s">
        <v>255</v>
      </c>
      <c r="K7" s="217" t="s">
        <v>335</v>
      </c>
      <c r="N7" t="s">
        <v>317</v>
      </c>
    </row>
    <row r="8" spans="1:14">
      <c r="A8" s="216" t="s">
        <v>298</v>
      </c>
      <c r="B8" s="202" t="s">
        <v>296</v>
      </c>
      <c r="C8" s="313"/>
      <c r="D8" s="202"/>
      <c r="E8" s="315"/>
      <c r="F8" s="201"/>
      <c r="G8" s="216" t="s">
        <v>298</v>
      </c>
      <c r="H8" s="202"/>
      <c r="I8" s="202"/>
      <c r="J8" s="202"/>
      <c r="K8" s="217"/>
      <c r="N8" t="s">
        <v>318</v>
      </c>
    </row>
    <row r="9" spans="1:14">
      <c r="A9" s="216" t="s">
        <v>301</v>
      </c>
      <c r="B9" s="202">
        <f>1505.94+52.21</f>
        <v>1558.15</v>
      </c>
      <c r="C9" s="200"/>
      <c r="D9" s="202"/>
      <c r="E9" s="222"/>
      <c r="F9" s="201"/>
      <c r="G9" s="216" t="s">
        <v>301</v>
      </c>
      <c r="H9" s="202">
        <v>2142.77</v>
      </c>
      <c r="I9" s="202"/>
      <c r="J9" s="202"/>
      <c r="K9" s="217"/>
      <c r="N9" t="s">
        <v>319</v>
      </c>
    </row>
    <row r="10" spans="1:14">
      <c r="A10" s="215"/>
      <c r="B10" s="202" t="s">
        <v>279</v>
      </c>
      <c r="C10" s="201">
        <v>66</v>
      </c>
      <c r="D10" s="202" t="s">
        <v>279</v>
      </c>
      <c r="E10" s="217"/>
      <c r="F10" s="201"/>
      <c r="G10" s="215"/>
      <c r="H10" s="202" t="s">
        <v>279</v>
      </c>
      <c r="I10" s="201">
        <v>70.41</v>
      </c>
      <c r="J10" s="202" t="s">
        <v>279</v>
      </c>
      <c r="K10" s="217">
        <f>I10</f>
        <v>70.41</v>
      </c>
      <c r="N10" t="s">
        <v>320</v>
      </c>
    </row>
    <row r="11" spans="1:14">
      <c r="A11" s="215"/>
      <c r="B11" s="202" t="s">
        <v>280</v>
      </c>
      <c r="C11" s="201">
        <v>25.28</v>
      </c>
      <c r="D11" s="202" t="s">
        <v>280</v>
      </c>
      <c r="E11" s="217"/>
      <c r="F11" s="201"/>
      <c r="G11" s="215"/>
      <c r="H11" s="202" t="s">
        <v>280</v>
      </c>
      <c r="I11" s="201">
        <v>25.42</v>
      </c>
      <c r="J11" s="202" t="s">
        <v>280</v>
      </c>
      <c r="K11" s="217"/>
      <c r="N11" t="s">
        <v>321</v>
      </c>
    </row>
    <row r="12" spans="1:14">
      <c r="A12" s="215"/>
      <c r="B12" s="202" t="s">
        <v>281</v>
      </c>
      <c r="C12" s="201">
        <v>23.16</v>
      </c>
      <c r="D12" s="202" t="s">
        <v>281</v>
      </c>
      <c r="E12" s="217"/>
      <c r="F12" s="201"/>
      <c r="G12" s="215"/>
      <c r="H12" s="202" t="s">
        <v>281</v>
      </c>
      <c r="I12" s="201">
        <v>26.65</v>
      </c>
      <c r="J12" s="202" t="s">
        <v>281</v>
      </c>
      <c r="K12" s="217">
        <f>I12</f>
        <v>26.65</v>
      </c>
      <c r="N12" t="s">
        <v>322</v>
      </c>
    </row>
    <row r="13" spans="1:14">
      <c r="A13" s="215"/>
      <c r="B13" s="202" t="s">
        <v>282</v>
      </c>
      <c r="C13" s="201">
        <v>16.739999999999998</v>
      </c>
      <c r="D13" s="202" t="s">
        <v>282</v>
      </c>
      <c r="E13" s="217"/>
      <c r="F13" s="201"/>
      <c r="G13" s="215"/>
      <c r="H13" s="202" t="s">
        <v>282</v>
      </c>
      <c r="I13" s="201">
        <v>12.58</v>
      </c>
      <c r="J13" s="202" t="s">
        <v>282</v>
      </c>
      <c r="K13" s="217"/>
      <c r="N13" t="s">
        <v>323</v>
      </c>
    </row>
    <row r="14" spans="1:14">
      <c r="A14" s="215"/>
      <c r="B14" s="202" t="s">
        <v>283</v>
      </c>
      <c r="C14" s="223">
        <v>5.69</v>
      </c>
      <c r="D14" s="202" t="s">
        <v>283</v>
      </c>
      <c r="E14" s="217"/>
      <c r="F14" s="201"/>
      <c r="G14" s="215"/>
      <c r="H14" s="202" t="s">
        <v>283</v>
      </c>
      <c r="I14" s="223">
        <v>5.69</v>
      </c>
      <c r="J14" s="202" t="s">
        <v>283</v>
      </c>
      <c r="K14" s="217"/>
      <c r="N14" t="s">
        <v>324</v>
      </c>
    </row>
    <row r="15" spans="1:14">
      <c r="A15" s="215"/>
      <c r="B15" s="202" t="s">
        <v>284</v>
      </c>
      <c r="C15" s="201">
        <v>10.050000000000001</v>
      </c>
      <c r="D15" s="202" t="s">
        <v>284</v>
      </c>
      <c r="E15" s="217"/>
      <c r="F15" s="201"/>
      <c r="G15" s="215"/>
      <c r="H15" s="201" t="s">
        <v>289</v>
      </c>
      <c r="I15" s="202" t="s">
        <v>300</v>
      </c>
      <c r="J15" s="201" t="s">
        <v>289</v>
      </c>
      <c r="K15" s="228"/>
      <c r="L15" s="311" t="s">
        <v>334</v>
      </c>
      <c r="N15" t="s">
        <v>325</v>
      </c>
    </row>
    <row r="16" spans="1:14">
      <c r="A16" s="215"/>
      <c r="B16" s="202" t="s">
        <v>286</v>
      </c>
      <c r="C16" s="223">
        <v>8.6479999999999997</v>
      </c>
      <c r="D16" s="202" t="s">
        <v>286</v>
      </c>
      <c r="E16" s="217"/>
      <c r="F16" s="201"/>
      <c r="G16" s="215"/>
      <c r="H16" s="202" t="s">
        <v>292</v>
      </c>
      <c r="I16" s="202" t="s">
        <v>302</v>
      </c>
      <c r="J16" s="202" t="s">
        <v>292</v>
      </c>
      <c r="K16" s="228">
        <v>330</v>
      </c>
      <c r="L16" s="312"/>
    </row>
    <row r="17" spans="1:12">
      <c r="A17" s="215"/>
      <c r="B17" s="202" t="s">
        <v>287</v>
      </c>
      <c r="C17" s="202">
        <v>52.21</v>
      </c>
      <c r="D17" s="202" t="s">
        <v>287</v>
      </c>
      <c r="E17" s="217"/>
      <c r="F17" s="201"/>
      <c r="G17" s="215"/>
      <c r="H17" s="221" t="s">
        <v>291</v>
      </c>
      <c r="I17" s="223">
        <v>554.57000000000005</v>
      </c>
      <c r="J17" s="221" t="s">
        <v>291</v>
      </c>
      <c r="K17" s="217"/>
    </row>
    <row r="18" spans="1:12">
      <c r="A18" s="215"/>
      <c r="B18" s="202"/>
      <c r="C18" s="202"/>
      <c r="D18" s="202"/>
      <c r="E18" s="217"/>
      <c r="F18" s="201"/>
      <c r="G18" s="215"/>
      <c r="H18" s="202" t="s">
        <v>287</v>
      </c>
      <c r="I18" s="202">
        <v>52.21</v>
      </c>
      <c r="J18" s="202" t="s">
        <v>287</v>
      </c>
      <c r="K18" s="217"/>
    </row>
    <row r="19" spans="1:12">
      <c r="A19" s="216" t="s">
        <v>303</v>
      </c>
      <c r="B19" s="201"/>
      <c r="C19" s="224"/>
      <c r="D19" s="201"/>
      <c r="E19" s="217">
        <f>B9</f>
        <v>1558.15</v>
      </c>
      <c r="F19" s="201"/>
      <c r="G19" s="215"/>
      <c r="H19" s="221" t="s">
        <v>290</v>
      </c>
      <c r="I19" s="201">
        <v>30</v>
      </c>
      <c r="J19" s="221" t="s">
        <v>290</v>
      </c>
      <c r="K19" s="217"/>
    </row>
    <row r="20" spans="1:12">
      <c r="A20" s="215"/>
      <c r="B20" s="201"/>
      <c r="C20" s="201"/>
      <c r="D20" s="201"/>
      <c r="E20" s="217"/>
      <c r="F20" s="201"/>
      <c r="G20" s="215"/>
      <c r="H20" s="201"/>
      <c r="I20" s="201"/>
      <c r="J20" s="224" t="s">
        <v>304</v>
      </c>
      <c r="K20" s="227"/>
      <c r="L20" s="181" t="s">
        <v>337</v>
      </c>
    </row>
    <row r="21" spans="1:12">
      <c r="A21" s="215"/>
      <c r="B21" s="201"/>
      <c r="C21" s="201"/>
      <c r="D21" s="201"/>
      <c r="E21" s="217"/>
      <c r="F21" s="201"/>
      <c r="G21" s="216" t="s">
        <v>303</v>
      </c>
      <c r="H21" s="201"/>
      <c r="I21" s="201"/>
      <c r="J21" s="201"/>
      <c r="K21" s="217">
        <f>H9+K16+K20+K10+K12</f>
        <v>2569.83</v>
      </c>
    </row>
    <row r="22" spans="1:12" ht="14.25" thickBot="1">
      <c r="A22" s="215"/>
      <c r="B22" s="201"/>
      <c r="C22" s="201"/>
      <c r="D22" s="201"/>
      <c r="E22" s="217"/>
      <c r="F22" s="201"/>
      <c r="G22" s="218"/>
      <c r="H22" s="219"/>
      <c r="I22" s="219"/>
      <c r="J22" s="219"/>
      <c r="K22" s="220"/>
    </row>
    <row r="23" spans="1:12" ht="14.25" thickBot="1">
      <c r="A23" s="218"/>
      <c r="B23" s="219"/>
      <c r="C23" s="219"/>
      <c r="D23" s="219"/>
      <c r="E23" s="220"/>
    </row>
    <row r="26" spans="1:12" ht="14.25" thickBot="1"/>
    <row r="27" spans="1:12">
      <c r="A27" s="213"/>
      <c r="B27" s="316" t="s">
        <v>305</v>
      </c>
      <c r="C27" s="316"/>
      <c r="D27" s="316"/>
      <c r="E27" s="214"/>
      <c r="G27" s="317" t="s">
        <v>307</v>
      </c>
      <c r="H27" s="316"/>
      <c r="I27" s="316"/>
      <c r="J27" s="316"/>
      <c r="K27" s="318"/>
    </row>
    <row r="28" spans="1:12">
      <c r="A28" s="215"/>
      <c r="B28" s="313" t="s">
        <v>310</v>
      </c>
      <c r="C28" s="313"/>
      <c r="D28" s="313" t="s">
        <v>309</v>
      </c>
      <c r="E28" s="314"/>
      <c r="G28" s="215"/>
      <c r="H28" s="313" t="s">
        <v>308</v>
      </c>
      <c r="I28" s="313"/>
      <c r="J28" s="313" t="s">
        <v>306</v>
      </c>
      <c r="K28" s="314"/>
    </row>
    <row r="29" spans="1:12" ht="33">
      <c r="A29" s="216" t="s">
        <v>297</v>
      </c>
      <c r="B29" s="225" t="s">
        <v>313</v>
      </c>
      <c r="C29" s="313" t="s">
        <v>299</v>
      </c>
      <c r="D29" s="209" t="s">
        <v>256</v>
      </c>
      <c r="E29" s="314" t="s">
        <v>299</v>
      </c>
      <c r="G29" s="216" t="s">
        <v>297</v>
      </c>
      <c r="H29" s="202" t="s">
        <v>315</v>
      </c>
      <c r="I29" s="202" t="s">
        <v>335</v>
      </c>
      <c r="J29" s="209" t="s">
        <v>257</v>
      </c>
      <c r="K29" s="217" t="s">
        <v>335</v>
      </c>
    </row>
    <row r="30" spans="1:12">
      <c r="A30" s="216" t="s">
        <v>298</v>
      </c>
      <c r="B30" s="202" t="s">
        <v>314</v>
      </c>
      <c r="C30" s="313"/>
      <c r="D30" s="202"/>
      <c r="E30" s="315"/>
      <c r="G30" s="216" t="s">
        <v>298</v>
      </c>
      <c r="H30" s="202"/>
      <c r="I30" s="202"/>
      <c r="J30" s="202"/>
      <c r="K30" s="217"/>
    </row>
    <row r="31" spans="1:12">
      <c r="A31" s="216" t="s">
        <v>331</v>
      </c>
      <c r="B31" s="201">
        <f>599.59+63.54</f>
        <v>663.13</v>
      </c>
      <c r="C31" s="201"/>
      <c r="D31" s="201"/>
      <c r="E31" s="217"/>
      <c r="G31" s="216" t="s">
        <v>301</v>
      </c>
      <c r="H31" s="202">
        <f>1506.63+52.21</f>
        <v>1558.8400000000001</v>
      </c>
      <c r="I31" s="202"/>
      <c r="J31" s="202"/>
      <c r="K31" s="217"/>
    </row>
    <row r="32" spans="1:12">
      <c r="A32" s="215"/>
      <c r="B32" s="202" t="s">
        <v>279</v>
      </c>
      <c r="C32" s="201">
        <v>60.92</v>
      </c>
      <c r="D32" s="202" t="s">
        <v>279</v>
      </c>
      <c r="E32" s="217"/>
      <c r="G32" s="215"/>
      <c r="H32" s="201"/>
      <c r="I32" s="201"/>
      <c r="J32" s="224" t="s">
        <v>304</v>
      </c>
      <c r="K32" s="227"/>
      <c r="L32" s="181" t="s">
        <v>337</v>
      </c>
    </row>
    <row r="33" spans="1:11">
      <c r="A33" s="215"/>
      <c r="B33" s="202" t="s">
        <v>280</v>
      </c>
      <c r="C33" s="201">
        <v>35.21</v>
      </c>
      <c r="D33" s="202" t="s">
        <v>280</v>
      </c>
      <c r="E33" s="217"/>
      <c r="G33" s="215"/>
      <c r="H33" s="202" t="s">
        <v>279</v>
      </c>
      <c r="I33" s="201">
        <v>89.34</v>
      </c>
      <c r="J33" s="202" t="s">
        <v>279</v>
      </c>
      <c r="K33" s="217">
        <f>I33</f>
        <v>89.34</v>
      </c>
    </row>
    <row r="34" spans="1:11">
      <c r="A34" s="215"/>
      <c r="B34" s="202" t="s">
        <v>281</v>
      </c>
      <c r="C34" s="201">
        <v>27.46</v>
      </c>
      <c r="D34" s="202" t="s">
        <v>281</v>
      </c>
      <c r="E34" s="217"/>
      <c r="G34" s="215"/>
      <c r="H34" s="202" t="s">
        <v>280</v>
      </c>
      <c r="I34" s="201">
        <v>32.412999999999997</v>
      </c>
      <c r="J34" s="202" t="s">
        <v>280</v>
      </c>
      <c r="K34" s="217"/>
    </row>
    <row r="35" spans="1:11">
      <c r="A35" s="215"/>
      <c r="B35" s="202" t="s">
        <v>282</v>
      </c>
      <c r="C35" s="201">
        <v>17.170000000000002</v>
      </c>
      <c r="D35" s="202" t="s">
        <v>282</v>
      </c>
      <c r="E35" s="217"/>
      <c r="G35" s="215"/>
      <c r="H35" s="202" t="s">
        <v>281</v>
      </c>
      <c r="I35" s="201">
        <v>23.164999999999999</v>
      </c>
      <c r="J35" s="202" t="s">
        <v>281</v>
      </c>
      <c r="K35" s="217">
        <f>I35</f>
        <v>23.164999999999999</v>
      </c>
    </row>
    <row r="36" spans="1:11">
      <c r="A36" s="215"/>
      <c r="B36" s="221" t="s">
        <v>311</v>
      </c>
      <c r="C36" s="201">
        <v>4.3099999999999996</v>
      </c>
      <c r="D36" s="221" t="s">
        <v>311</v>
      </c>
      <c r="E36" s="217"/>
      <c r="G36" s="215"/>
      <c r="H36" s="202" t="s">
        <v>282</v>
      </c>
      <c r="I36" s="201">
        <v>17.239000000000001</v>
      </c>
      <c r="J36" s="202" t="s">
        <v>282</v>
      </c>
      <c r="K36" s="217"/>
    </row>
    <row r="37" spans="1:11">
      <c r="A37" s="215"/>
      <c r="B37" s="226" t="s">
        <v>285</v>
      </c>
      <c r="C37" s="201">
        <v>5.83</v>
      </c>
      <c r="D37" s="226" t="s">
        <v>285</v>
      </c>
      <c r="E37" s="217"/>
      <c r="G37" s="215"/>
      <c r="H37" s="221" t="s">
        <v>312</v>
      </c>
      <c r="I37" s="201">
        <v>5.69</v>
      </c>
      <c r="J37" s="221" t="s">
        <v>312</v>
      </c>
      <c r="K37" s="217"/>
    </row>
    <row r="38" spans="1:11">
      <c r="A38" s="215"/>
      <c r="B38" s="202" t="s">
        <v>287</v>
      </c>
      <c r="C38" s="201">
        <v>63.54</v>
      </c>
      <c r="D38" s="202" t="s">
        <v>287</v>
      </c>
      <c r="E38" s="217"/>
      <c r="G38" s="215"/>
      <c r="H38" s="221" t="s">
        <v>290</v>
      </c>
      <c r="I38" s="201">
        <v>0</v>
      </c>
      <c r="J38" s="221" t="s">
        <v>290</v>
      </c>
      <c r="K38" s="217">
        <v>35</v>
      </c>
    </row>
    <row r="39" spans="1:11">
      <c r="A39" s="215"/>
      <c r="B39" s="201"/>
      <c r="C39" s="201"/>
      <c r="D39" s="201"/>
      <c r="E39" s="217"/>
      <c r="G39" s="215"/>
      <c r="H39" s="201"/>
      <c r="I39" s="201"/>
      <c r="J39" s="201"/>
      <c r="K39" s="217"/>
    </row>
    <row r="40" spans="1:11">
      <c r="A40" s="215"/>
      <c r="B40" s="202" t="s">
        <v>326</v>
      </c>
      <c r="C40" s="201"/>
      <c r="D40" s="201"/>
      <c r="E40" s="217">
        <v>663.13</v>
      </c>
      <c r="G40" s="215"/>
      <c r="H40" s="202" t="s">
        <v>326</v>
      </c>
      <c r="I40" s="201"/>
      <c r="J40" s="201"/>
      <c r="K40" s="217">
        <f>H31+K38+K32+K33+K35</f>
        <v>1706.345</v>
      </c>
    </row>
    <row r="41" spans="1:11">
      <c r="A41" s="215"/>
      <c r="B41" s="201"/>
      <c r="C41" s="201"/>
      <c r="D41" s="201"/>
      <c r="E41" s="217"/>
      <c r="G41" s="215"/>
      <c r="H41" s="201"/>
      <c r="I41" s="201"/>
      <c r="J41" s="201"/>
      <c r="K41" s="217"/>
    </row>
    <row r="42" spans="1:11" ht="14.25" thickBot="1">
      <c r="A42" s="218"/>
      <c r="B42" s="219"/>
      <c r="C42" s="219"/>
      <c r="D42" s="219"/>
      <c r="E42" s="220"/>
      <c r="G42" s="218"/>
      <c r="H42" s="219"/>
      <c r="I42" s="219"/>
      <c r="J42" s="219"/>
      <c r="K42" s="220"/>
    </row>
    <row r="45" spans="1:11">
      <c r="A45">
        <v>1</v>
      </c>
      <c r="B45" s="310" t="s">
        <v>336</v>
      </c>
      <c r="C45" s="310"/>
      <c r="D45" s="310"/>
      <c r="E45" s="310"/>
      <c r="F45" s="310"/>
      <c r="G45" s="310"/>
      <c r="H45" s="310"/>
      <c r="I45" s="310"/>
      <c r="J45" s="310"/>
    </row>
    <row r="46" spans="1:11">
      <c r="B46" s="310"/>
      <c r="C46" s="310"/>
      <c r="D46" s="310"/>
      <c r="E46" s="310"/>
      <c r="F46" s="310"/>
      <c r="G46" s="310"/>
      <c r="H46" s="310"/>
      <c r="I46" s="310"/>
      <c r="J46" s="310"/>
    </row>
    <row r="47" spans="1:11">
      <c r="A47">
        <v>2</v>
      </c>
      <c r="B47" s="181" t="s">
        <v>349</v>
      </c>
    </row>
    <row r="51" spans="4:4">
      <c r="D51" s="234"/>
    </row>
  </sheetData>
  <mergeCells count="18">
    <mergeCell ref="H6:I6"/>
    <mergeCell ref="J6:K6"/>
    <mergeCell ref="G5:K5"/>
    <mergeCell ref="C29:C30"/>
    <mergeCell ref="E29:E30"/>
    <mergeCell ref="B5:D5"/>
    <mergeCell ref="B6:C6"/>
    <mergeCell ref="D6:E6"/>
    <mergeCell ref="G27:K27"/>
    <mergeCell ref="H28:I28"/>
    <mergeCell ref="J28:K28"/>
    <mergeCell ref="B45:J46"/>
    <mergeCell ref="L15:L16"/>
    <mergeCell ref="C7:C8"/>
    <mergeCell ref="E7:E8"/>
    <mergeCell ref="B27:D27"/>
    <mergeCell ref="B28:C28"/>
    <mergeCell ref="D28:E28"/>
  </mergeCells>
  <phoneticPr fontId="38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6" topLeftCell="D19" activePane="bottomRight" state="frozen"/>
      <selection pane="topRight"/>
      <selection pane="bottomLeft"/>
      <selection pane="bottomRight" activeCell="C24" sqref="C24"/>
    </sheetView>
  </sheetViews>
  <sheetFormatPr defaultColWidth="9" defaultRowHeight="16.5"/>
  <cols>
    <col min="1" max="1" width="5.125" style="108" customWidth="1"/>
    <col min="2" max="2" width="35.75" style="108" customWidth="1"/>
    <col min="3" max="3" width="14.5" style="109" customWidth="1"/>
    <col min="4" max="4" width="13" style="109" customWidth="1"/>
    <col min="5" max="7" width="16" style="109" customWidth="1"/>
    <col min="8" max="8" width="16.5" style="109" customWidth="1"/>
    <col min="9" max="9" width="15.5" style="108" customWidth="1"/>
    <col min="10" max="35" width="9" style="108"/>
    <col min="36" max="36" width="4.375" style="108" customWidth="1"/>
    <col min="37" max="37" width="13.875" style="108" customWidth="1"/>
    <col min="38" max="16384" width="9" style="108"/>
  </cols>
  <sheetData>
    <row r="1" spans="1:38" ht="27" customHeight="1">
      <c r="A1" s="247" t="s">
        <v>251</v>
      </c>
      <c r="B1" s="247"/>
      <c r="C1" s="247"/>
      <c r="D1" s="247"/>
      <c r="E1" s="247"/>
      <c r="F1" s="247"/>
      <c r="G1" s="247"/>
      <c r="H1" s="247"/>
    </row>
    <row r="2" spans="1:38" ht="15.75" customHeight="1">
      <c r="A2" s="248" t="s">
        <v>14</v>
      </c>
      <c r="B2" s="110" t="s">
        <v>1</v>
      </c>
      <c r="C2" s="110" t="s">
        <v>238</v>
      </c>
      <c r="D2" s="110" t="s">
        <v>239</v>
      </c>
      <c r="E2" s="110" t="s">
        <v>270</v>
      </c>
      <c r="F2" s="110" t="s">
        <v>271</v>
      </c>
      <c r="G2" s="110" t="s">
        <v>272</v>
      </c>
      <c r="H2" s="50" t="s">
        <v>15</v>
      </c>
      <c r="AL2" s="108" t="s">
        <v>16</v>
      </c>
    </row>
    <row r="3" spans="1:38" s="47" customFormat="1" ht="15.75" customHeight="1">
      <c r="A3" s="249"/>
      <c r="B3" s="52" t="s">
        <v>3</v>
      </c>
      <c r="C3" s="111">
        <f>'2024年'!G6</f>
        <v>4000</v>
      </c>
      <c r="D3" s="111">
        <f>'2025年'!G6</f>
        <v>16000</v>
      </c>
      <c r="E3" s="111">
        <f>'2026年'!G6</f>
        <v>20000</v>
      </c>
      <c r="F3" s="111">
        <f>'2027年'!G6</f>
        <v>30000</v>
      </c>
      <c r="G3" s="111">
        <f>'2028年'!G6</f>
        <v>40000</v>
      </c>
      <c r="H3" s="197">
        <f>SUM(C3:G3)</f>
        <v>110000</v>
      </c>
      <c r="I3" s="67"/>
      <c r="AJ3" s="51" t="s">
        <v>14</v>
      </c>
      <c r="AK3" s="52" t="s">
        <v>3</v>
      </c>
      <c r="AL3" s="47" t="s">
        <v>17</v>
      </c>
    </row>
    <row r="4" spans="1:38" s="47" customFormat="1" ht="15.75" customHeight="1">
      <c r="A4" s="60">
        <v>1</v>
      </c>
      <c r="B4" s="52" t="s">
        <v>18</v>
      </c>
      <c r="C4" s="111">
        <f>'2024年'!G7</f>
        <v>8077000</v>
      </c>
      <c r="D4" s="111">
        <f>'2025年'!G7</f>
        <v>32308000</v>
      </c>
      <c r="E4" s="111">
        <f>'2026年'!G7</f>
        <v>40385000</v>
      </c>
      <c r="F4" s="111">
        <f>'2027年'!G7</f>
        <v>60577500</v>
      </c>
      <c r="G4" s="111">
        <f>'2028年'!G7</f>
        <v>80770000</v>
      </c>
      <c r="H4" s="111">
        <f t="shared" ref="H4:H11" si="0">SUM(C4:E4)</f>
        <v>80770000</v>
      </c>
      <c r="I4" s="67"/>
      <c r="AJ4" s="51" t="s">
        <v>19</v>
      </c>
      <c r="AK4" s="52" t="s">
        <v>18</v>
      </c>
      <c r="AL4" s="47" t="s">
        <v>17</v>
      </c>
    </row>
    <row r="5" spans="1:38" s="47" customFormat="1" ht="15.75" customHeight="1">
      <c r="A5" s="60">
        <v>2</v>
      </c>
      <c r="B5" s="49" t="s">
        <v>20</v>
      </c>
      <c r="C5" s="111">
        <f>'2024年'!G8</f>
        <v>0</v>
      </c>
      <c r="D5" s="111">
        <f>'2025年'!G8</f>
        <v>646160.00000000058</v>
      </c>
      <c r="E5" s="111">
        <f>'2026年'!G8</f>
        <v>1599246.0000000033</v>
      </c>
      <c r="F5" s="111">
        <f>'2027年'!G8</f>
        <v>2937134.7840000051</v>
      </c>
      <c r="G5" s="111">
        <f>'2028年'!G8</f>
        <v>4619513.6697600074</v>
      </c>
      <c r="H5" s="111">
        <f t="shared" si="0"/>
        <v>2245406.0000000037</v>
      </c>
      <c r="I5" s="67"/>
      <c r="AJ5" s="51" t="s">
        <v>21</v>
      </c>
      <c r="AK5" s="49" t="s">
        <v>22</v>
      </c>
      <c r="AL5" s="47" t="s">
        <v>17</v>
      </c>
    </row>
    <row r="6" spans="1:38" s="47" customFormat="1" ht="15.75" customHeight="1">
      <c r="A6" s="60">
        <v>3</v>
      </c>
      <c r="B6" s="52" t="s">
        <v>23</v>
      </c>
      <c r="C6" s="112">
        <f>+C4-C5</f>
        <v>8077000</v>
      </c>
      <c r="D6" s="112">
        <f>'2025年'!G9</f>
        <v>31661840</v>
      </c>
      <c r="E6" s="112">
        <f>'2026年'!G9</f>
        <v>38785754</v>
      </c>
      <c r="F6" s="111">
        <f>'2027年'!G9</f>
        <v>57640365.215999991</v>
      </c>
      <c r="G6" s="111">
        <f>'2028年'!G9</f>
        <v>76150486.330239981</v>
      </c>
      <c r="H6" s="111">
        <f t="shared" si="0"/>
        <v>78524594</v>
      </c>
      <c r="I6" s="67"/>
      <c r="AJ6" s="51" t="s">
        <v>24</v>
      </c>
      <c r="AK6" s="52" t="s">
        <v>23</v>
      </c>
      <c r="AL6" s="47" t="s">
        <v>25</v>
      </c>
    </row>
    <row r="7" spans="1:38" s="47" customFormat="1" ht="15.75" customHeight="1">
      <c r="A7" s="60">
        <v>4</v>
      </c>
      <c r="B7" s="51" t="s">
        <v>26</v>
      </c>
      <c r="C7" s="111">
        <f>'2024年'!G10</f>
        <v>5264518</v>
      </c>
      <c r="D7" s="111">
        <f>'2025年'!G10</f>
        <v>20636910.560000002</v>
      </c>
      <c r="E7" s="111">
        <f>'2026年'!G10</f>
        <v>25280215.436000001</v>
      </c>
      <c r="F7" s="111">
        <f>'2027年'!G10</f>
        <v>37161916.690920003</v>
      </c>
      <c r="G7" s="111">
        <f>'2028年'!G10</f>
        <v>48558237.809468806</v>
      </c>
      <c r="H7" s="111">
        <f t="shared" si="0"/>
        <v>51181643.996000007</v>
      </c>
      <c r="I7" s="67"/>
      <c r="AJ7" s="51" t="s">
        <v>27</v>
      </c>
      <c r="AK7" s="51" t="s">
        <v>26</v>
      </c>
      <c r="AL7" s="47" t="s">
        <v>28</v>
      </c>
    </row>
    <row r="8" spans="1:38" s="47" customFormat="1" ht="15.75" customHeight="1">
      <c r="A8" s="60">
        <v>5</v>
      </c>
      <c r="B8" s="51" t="s">
        <v>29</v>
      </c>
      <c r="C8" s="111">
        <f>'2024年'!G11</f>
        <v>454088.8299303219</v>
      </c>
      <c r="D8" s="111">
        <f>'2025年'!G11</f>
        <v>1816355.3197212876</v>
      </c>
      <c r="E8" s="111">
        <f>'2026年'!G11</f>
        <v>2270444.1496516094</v>
      </c>
      <c r="F8" s="111">
        <f>'2027年'!G11</f>
        <v>3405666.224477414</v>
      </c>
      <c r="G8" s="111">
        <f>'2028年'!G11</f>
        <v>4540888.2993032187</v>
      </c>
      <c r="H8" s="111">
        <f t="shared" si="0"/>
        <v>4540888.2993032187</v>
      </c>
      <c r="I8" s="67"/>
      <c r="AJ8" s="51" t="s">
        <v>30</v>
      </c>
      <c r="AK8" s="51" t="s">
        <v>29</v>
      </c>
    </row>
    <row r="9" spans="1:38" s="47" customFormat="1" ht="15.75" customHeight="1">
      <c r="A9" s="60">
        <v>6</v>
      </c>
      <c r="B9" s="51" t="s">
        <v>31</v>
      </c>
      <c r="C9" s="111">
        <f>'2024年'!G12</f>
        <v>121768.76800789573</v>
      </c>
      <c r="D9" s="111">
        <f>'2025年'!G12</f>
        <v>487075.07203158294</v>
      </c>
      <c r="E9" s="111">
        <f>'2026年'!G12</f>
        <v>608843.84003947873</v>
      </c>
      <c r="F9" s="111">
        <f>'2027年'!G12</f>
        <v>913265.76005921804</v>
      </c>
      <c r="G9" s="111">
        <f>'2028年'!G12</f>
        <v>1217687.6800789575</v>
      </c>
      <c r="H9" s="111">
        <f t="shared" si="0"/>
        <v>1217687.6800789572</v>
      </c>
      <c r="I9" s="67"/>
      <c r="AJ9" s="51" t="s">
        <v>32</v>
      </c>
      <c r="AK9" s="51" t="s">
        <v>31</v>
      </c>
    </row>
    <row r="10" spans="1:38" s="47" customFormat="1" ht="15.75" customHeight="1">
      <c r="A10" s="60">
        <v>7</v>
      </c>
      <c r="B10" s="113" t="s">
        <v>33</v>
      </c>
      <c r="C10" s="111">
        <f>'2024年'!G13</f>
        <v>323079.99999999994</v>
      </c>
      <c r="D10" s="111">
        <f>'2025年'!G13</f>
        <v>1292319.9999999998</v>
      </c>
      <c r="E10" s="111">
        <f>'2026年'!G13</f>
        <v>1615399.9999999998</v>
      </c>
      <c r="F10" s="111">
        <f>'2027年'!G13</f>
        <v>2423099.9999999995</v>
      </c>
      <c r="G10" s="111">
        <f>'2028年'!G13</f>
        <v>3230799.9999999995</v>
      </c>
      <c r="H10" s="111">
        <f t="shared" si="0"/>
        <v>3230799.9999999995</v>
      </c>
      <c r="I10" s="67"/>
      <c r="AJ10" s="51" t="s">
        <v>34</v>
      </c>
      <c r="AK10" s="51" t="s">
        <v>33</v>
      </c>
      <c r="AL10" s="47" t="s">
        <v>17</v>
      </c>
    </row>
    <row r="11" spans="1:38" s="47" customFormat="1" ht="15.75" customHeight="1">
      <c r="A11" s="60">
        <v>8</v>
      </c>
      <c r="B11" s="114" t="s">
        <v>35</v>
      </c>
      <c r="C11" s="115">
        <f>'2024年'!G14</f>
        <v>898937.59793821757</v>
      </c>
      <c r="D11" s="115">
        <f>'2025年'!G14</f>
        <v>3595750.3917528703</v>
      </c>
      <c r="E11" s="115">
        <f>'2026年'!G14</f>
        <v>4494687.989691088</v>
      </c>
      <c r="F11" s="115">
        <f>'2027年'!G14</f>
        <v>6742031.984536632</v>
      </c>
      <c r="G11" s="115">
        <f>'2028年'!G14</f>
        <v>8989375.979382176</v>
      </c>
      <c r="H11" s="115">
        <f t="shared" si="0"/>
        <v>8989375.979382176</v>
      </c>
      <c r="I11" s="67"/>
      <c r="AJ11" s="51" t="s">
        <v>36</v>
      </c>
      <c r="AK11" s="54" t="s">
        <v>35</v>
      </c>
    </row>
    <row r="12" spans="1:38" s="47" customFormat="1" ht="15.75" customHeight="1">
      <c r="A12" s="60">
        <v>9</v>
      </c>
      <c r="B12" s="116" t="s">
        <v>37</v>
      </c>
      <c r="C12" s="111">
        <f>'2024年'!G15</f>
        <v>1913544.4020617823</v>
      </c>
      <c r="D12" s="111">
        <f>'2025年'!G15</f>
        <v>7429179.0482471287</v>
      </c>
      <c r="E12" s="111">
        <f>'2026年'!G15</f>
        <v>9010850.5743089039</v>
      </c>
      <c r="F12" s="111">
        <f>'2027年'!G15</f>
        <v>13736416.540543361</v>
      </c>
      <c r="G12" s="111">
        <f>'2028年'!G15</f>
        <v>18602872.541389015</v>
      </c>
      <c r="H12" s="111">
        <f>H6-H7-H11</f>
        <v>18353574.024617817</v>
      </c>
      <c r="I12" s="67"/>
      <c r="K12" s="108"/>
      <c r="L12" s="108"/>
      <c r="M12" s="108"/>
      <c r="N12" s="108"/>
      <c r="O12" s="108"/>
      <c r="P12" s="108"/>
      <c r="AJ12" s="51" t="s">
        <v>38</v>
      </c>
      <c r="AK12" s="54" t="s">
        <v>37</v>
      </c>
    </row>
    <row r="13" spans="1:38" ht="15.75" customHeight="1">
      <c r="A13" s="60">
        <v>10</v>
      </c>
      <c r="B13" s="117" t="s">
        <v>39</v>
      </c>
      <c r="C13" s="118">
        <f>+C12/C6</f>
        <v>0.23691276489560262</v>
      </c>
      <c r="D13" s="118">
        <f>'2025年'!G16</f>
        <v>0.23464141844716316</v>
      </c>
      <c r="E13" s="118">
        <f>'2026年'!G16</f>
        <v>0.23232371798957174</v>
      </c>
      <c r="F13" s="118">
        <f>'2027年'!G16</f>
        <v>0.23831244803997814</v>
      </c>
      <c r="G13" s="118">
        <f>'2028年'!G16</f>
        <v>0.24429092232864258</v>
      </c>
      <c r="H13" s="118">
        <f>+H12/H6</f>
        <v>0.23373026321686957</v>
      </c>
      <c r="I13" s="67"/>
      <c r="AJ13" s="117" t="s">
        <v>40</v>
      </c>
      <c r="AK13" s="117" t="s">
        <v>39</v>
      </c>
    </row>
    <row r="14" spans="1:38" ht="15.75" customHeight="1">
      <c r="A14" s="60">
        <v>11</v>
      </c>
      <c r="B14" s="117" t="s">
        <v>41</v>
      </c>
      <c r="C14" s="111">
        <f>'2024年'!G17</f>
        <v>1079765</v>
      </c>
      <c r="D14" s="111">
        <f>'2025年'!G17</f>
        <v>2170160</v>
      </c>
      <c r="E14" s="111">
        <f>'2026年'!G17</f>
        <v>2533625</v>
      </c>
      <c r="F14" s="111">
        <f>'2027年'!G17</f>
        <v>3442287.5</v>
      </c>
      <c r="G14" s="111">
        <f>'2028年'!G17</f>
        <v>4350950</v>
      </c>
      <c r="H14" s="111">
        <f>SUM(C14:E14)</f>
        <v>5783550</v>
      </c>
      <c r="I14" s="67"/>
      <c r="AJ14" s="117" t="s">
        <v>42</v>
      </c>
      <c r="AK14" s="117" t="s">
        <v>41</v>
      </c>
    </row>
    <row r="15" spans="1:38" ht="15.75" hidden="1" customHeight="1">
      <c r="A15" s="155"/>
      <c r="B15" s="117"/>
      <c r="C15" s="111"/>
      <c r="D15" s="111"/>
      <c r="E15" s="111"/>
      <c r="F15" s="111">
        <f>'2027年'!G18</f>
        <v>716300</v>
      </c>
      <c r="G15" s="111">
        <f>'2028年'!G18</f>
        <v>716300</v>
      </c>
      <c r="H15" s="111"/>
      <c r="I15" s="67"/>
      <c r="AJ15" s="117"/>
      <c r="AK15" s="117"/>
    </row>
    <row r="16" spans="1:38" ht="15.75" customHeight="1">
      <c r="A16" s="60">
        <v>12</v>
      </c>
      <c r="B16" s="117" t="s">
        <v>43</v>
      </c>
      <c r="C16" s="119">
        <f>'2024年'!G19</f>
        <v>56539</v>
      </c>
      <c r="D16" s="119">
        <f>'2025年'!G19</f>
        <v>226156</v>
      </c>
      <c r="E16" s="119">
        <f>'2026年'!G19</f>
        <v>282695</v>
      </c>
      <c r="F16" s="111">
        <f>'2027年'!G19</f>
        <v>424042.5</v>
      </c>
      <c r="G16" s="111">
        <f>'2028年'!G19</f>
        <v>565390</v>
      </c>
      <c r="H16" s="111">
        <f>SUM(C16:E16)</f>
        <v>565390</v>
      </c>
      <c r="I16" s="67"/>
      <c r="Q16" s="67"/>
      <c r="AJ16" s="117" t="s">
        <v>44</v>
      </c>
      <c r="AK16" s="117" t="s">
        <v>43</v>
      </c>
      <c r="AL16" s="108" t="s">
        <v>17</v>
      </c>
    </row>
    <row r="17" spans="1:38" ht="15.75" customHeight="1">
      <c r="A17" s="60">
        <v>13</v>
      </c>
      <c r="B17" s="117" t="s">
        <v>45</v>
      </c>
      <c r="C17" s="119">
        <f>'2024年'!G20</f>
        <v>242310</v>
      </c>
      <c r="D17" s="119">
        <f>'2025年'!G20</f>
        <v>969240</v>
      </c>
      <c r="E17" s="119">
        <f>'2026年'!G20</f>
        <v>1211550</v>
      </c>
      <c r="F17" s="111">
        <f>'2027年'!G20</f>
        <v>1817325</v>
      </c>
      <c r="G17" s="111">
        <f>'2028年'!G20</f>
        <v>2423100</v>
      </c>
      <c r="H17" s="111">
        <f>SUM(C17:E17)</f>
        <v>2423100</v>
      </c>
      <c r="I17" s="67"/>
      <c r="AJ17" s="117" t="s">
        <v>46</v>
      </c>
      <c r="AK17" s="117" t="s">
        <v>45</v>
      </c>
    </row>
    <row r="18" spans="1:38" s="46" customFormat="1" ht="15.75" customHeight="1">
      <c r="A18" s="60">
        <v>14</v>
      </c>
      <c r="B18" s="59" t="s">
        <v>47</v>
      </c>
      <c r="C18" s="120">
        <f>'2024年'!G21</f>
        <v>624980</v>
      </c>
      <c r="D18" s="120">
        <f>'2025年'!G21</f>
        <v>624980</v>
      </c>
      <c r="E18" s="120">
        <f>'2026年'!G21</f>
        <v>624980</v>
      </c>
      <c r="F18" s="111">
        <f>'2027年'!G21</f>
        <v>624980</v>
      </c>
      <c r="G18" s="111">
        <f>'2028年'!G21</f>
        <v>624980</v>
      </c>
      <c r="H18" s="111">
        <f>SUM(C18:E18)</f>
        <v>1874940</v>
      </c>
      <c r="I18" s="67"/>
      <c r="AJ18" s="59"/>
      <c r="AK18" s="59"/>
    </row>
    <row r="19" spans="1:38" s="47" customFormat="1" ht="15.75" customHeight="1">
      <c r="A19" s="60">
        <v>15</v>
      </c>
      <c r="B19" s="51" t="s">
        <v>48</v>
      </c>
      <c r="C19" s="119">
        <f>'2024年'!G22</f>
        <v>323080</v>
      </c>
      <c r="D19" s="119">
        <f>'2025年'!G22</f>
        <v>1292320</v>
      </c>
      <c r="E19" s="119">
        <f>'2026年'!G22</f>
        <v>1615400</v>
      </c>
      <c r="F19" s="111">
        <f>'2027年'!G22</f>
        <v>2423100</v>
      </c>
      <c r="G19" s="111">
        <f>'2028年'!G22</f>
        <v>3230800</v>
      </c>
      <c r="H19" s="111">
        <f>SUM(C19:E19)</f>
        <v>3230800</v>
      </c>
      <c r="I19" s="67"/>
      <c r="AJ19" s="51" t="s">
        <v>49</v>
      </c>
      <c r="AK19" s="51" t="s">
        <v>48</v>
      </c>
    </row>
    <row r="20" spans="1:38" s="106" customFormat="1" ht="15.75" customHeight="1">
      <c r="A20" s="60">
        <v>16</v>
      </c>
      <c r="B20" s="121" t="s">
        <v>50</v>
      </c>
      <c r="C20" s="115">
        <f t="shared" ref="C20" si="1">+C19+C18+C17+C16+C14</f>
        <v>2326674</v>
      </c>
      <c r="D20" s="115">
        <f>'2025年'!G23</f>
        <v>5282856</v>
      </c>
      <c r="E20" s="115">
        <f>'2026年'!G23</f>
        <v>6268250</v>
      </c>
      <c r="F20" s="115">
        <f>'2027年'!G23</f>
        <v>8731735</v>
      </c>
      <c r="G20" s="115">
        <f>'2028年'!G23</f>
        <v>11195220</v>
      </c>
      <c r="H20" s="115">
        <f>SUM(C20:E20)</f>
        <v>13877780</v>
      </c>
      <c r="I20" s="67"/>
      <c r="AJ20" s="134" t="s">
        <v>51</v>
      </c>
      <c r="AK20" s="135" t="s">
        <v>50</v>
      </c>
    </row>
    <row r="21" spans="1:38" ht="15.75" customHeight="1">
      <c r="A21" s="60">
        <v>17</v>
      </c>
      <c r="B21" s="117" t="s">
        <v>52</v>
      </c>
      <c r="C21" s="122">
        <f>+C12-C20</f>
        <v>-413129.59793821769</v>
      </c>
      <c r="D21" s="122">
        <f>'2025年'!G24</f>
        <v>2146323.0482471287</v>
      </c>
      <c r="E21" s="122">
        <f>'2026年'!G24</f>
        <v>2742600.5743089039</v>
      </c>
      <c r="F21" s="111">
        <f>'2027年'!G24</f>
        <v>5004681.5405433606</v>
      </c>
      <c r="G21" s="111">
        <f>'2028年'!G24</f>
        <v>7407652.5413890146</v>
      </c>
      <c r="H21" s="122">
        <f>+H12-H20</f>
        <v>4475794.0246178173</v>
      </c>
      <c r="I21" s="67"/>
      <c r="AJ21" s="117" t="s">
        <v>53</v>
      </c>
      <c r="AK21" s="117" t="s">
        <v>52</v>
      </c>
    </row>
    <row r="22" spans="1:38" ht="15.75" customHeight="1">
      <c r="A22" s="60">
        <v>18</v>
      </c>
      <c r="B22" s="117" t="s">
        <v>54</v>
      </c>
      <c r="C22" s="122">
        <f>IF(C21&lt;0,0,C21*0.25)</f>
        <v>0</v>
      </c>
      <c r="D22" s="122">
        <f>'2025年'!G25</f>
        <v>321948.45723706932</v>
      </c>
      <c r="E22" s="122">
        <f>'2026年'!G25</f>
        <v>411390.08614633558</v>
      </c>
      <c r="F22" s="111">
        <f>'2027年'!G25</f>
        <v>750702.23108150403</v>
      </c>
      <c r="G22" s="111">
        <f>'2028年'!G25</f>
        <v>1111147.881208352</v>
      </c>
      <c r="H22" s="122">
        <f>IF(H21&lt;0,0,H21*0.25)</f>
        <v>1118948.5061544543</v>
      </c>
      <c r="I22" s="67"/>
      <c r="AJ22" s="117" t="s">
        <v>55</v>
      </c>
      <c r="AK22" s="117" t="s">
        <v>54</v>
      </c>
    </row>
    <row r="23" spans="1:38" ht="15.75" customHeight="1">
      <c r="A23" s="60">
        <v>19</v>
      </c>
      <c r="B23" s="117" t="s">
        <v>56</v>
      </c>
      <c r="C23" s="122">
        <f>C21-C22</f>
        <v>-413129.59793821769</v>
      </c>
      <c r="D23" s="122">
        <f>'2025年'!G26</f>
        <v>1824374.5910100595</v>
      </c>
      <c r="E23" s="122">
        <f>'2026年'!G26</f>
        <v>2331210.4881625683</v>
      </c>
      <c r="F23" s="111">
        <f>'2027年'!G26</f>
        <v>4253979.3094618563</v>
      </c>
      <c r="G23" s="111">
        <f>'2028年'!G26</f>
        <v>6296504.6601806628</v>
      </c>
      <c r="H23" s="197">
        <f>H21-H22</f>
        <v>3356845.5184633629</v>
      </c>
      <c r="I23" s="67"/>
      <c r="AJ23" s="117" t="s">
        <v>57</v>
      </c>
      <c r="AK23" s="117" t="s">
        <v>56</v>
      </c>
    </row>
    <row r="24" spans="1:38" ht="15.75" customHeight="1">
      <c r="A24" s="60">
        <v>20</v>
      </c>
      <c r="B24" s="117" t="s">
        <v>58</v>
      </c>
      <c r="C24" s="123">
        <f>(C23/C4)*100%</f>
        <v>-5.1148891660049239E-2</v>
      </c>
      <c r="D24" s="123">
        <f>'2025年'!G27</f>
        <v>5.6468199548410904E-2</v>
      </c>
      <c r="E24" s="123">
        <f>'2026年'!G27</f>
        <v>5.7724662329146179E-2</v>
      </c>
      <c r="F24" s="118">
        <f>'2027年'!G27</f>
        <v>7.0223751549038108E-2</v>
      </c>
      <c r="G24" s="118">
        <f>'2028年'!G27</f>
        <v>7.7955981926218429E-2</v>
      </c>
      <c r="H24" s="123">
        <f>(H23/H4)*100%</f>
        <v>4.1560548699558782E-2</v>
      </c>
      <c r="I24" s="67"/>
      <c r="AJ24" s="136" t="s">
        <v>59</v>
      </c>
      <c r="AK24" s="136" t="s">
        <v>60</v>
      </c>
    </row>
    <row r="25" spans="1:38" s="107" customFormat="1" ht="15.75" customHeight="1">
      <c r="C25" s="124"/>
      <c r="D25" s="124"/>
      <c r="E25" s="124"/>
      <c r="F25" s="124"/>
      <c r="G25" s="124"/>
      <c r="H25" s="124"/>
      <c r="I25" s="133"/>
    </row>
    <row r="26" spans="1:38" s="107" customFormat="1" ht="15.75" customHeight="1">
      <c r="A26" s="107" t="s">
        <v>61</v>
      </c>
      <c r="C26" s="125"/>
      <c r="D26" s="125"/>
      <c r="E26" s="125"/>
      <c r="F26" s="125"/>
      <c r="G26" s="125"/>
      <c r="H26" s="125"/>
      <c r="I26" s="133"/>
      <c r="AJ26" s="107" t="s">
        <v>61</v>
      </c>
    </row>
    <row r="27" spans="1:38" ht="15.75" customHeight="1">
      <c r="A27" s="117" t="s">
        <v>14</v>
      </c>
      <c r="B27" s="126" t="s">
        <v>1</v>
      </c>
      <c r="C27" s="110" t="s">
        <v>238</v>
      </c>
      <c r="D27" s="110" t="s">
        <v>239</v>
      </c>
      <c r="E27" s="110" t="s">
        <v>270</v>
      </c>
      <c r="F27" s="110" t="s">
        <v>271</v>
      </c>
      <c r="G27" s="110" t="s">
        <v>272</v>
      </c>
      <c r="H27" s="50" t="s">
        <v>15</v>
      </c>
      <c r="AL27" s="108" t="s">
        <v>16</v>
      </c>
    </row>
    <row r="28" spans="1:38" s="47" customFormat="1" ht="15.75" customHeight="1">
      <c r="A28" s="51" t="s">
        <v>62</v>
      </c>
      <c r="B28" s="54" t="s">
        <v>63</v>
      </c>
      <c r="C28" s="58"/>
      <c r="D28" s="58"/>
      <c r="E28" s="58"/>
      <c r="F28" s="58"/>
      <c r="G28" s="58"/>
      <c r="H28" s="58"/>
      <c r="I28" s="67"/>
      <c r="AJ28" s="51" t="s">
        <v>64</v>
      </c>
      <c r="AK28" s="54" t="s">
        <v>63</v>
      </c>
    </row>
    <row r="29" spans="1:38" s="47" customFormat="1" ht="15.75" customHeight="1">
      <c r="A29" s="51" t="s">
        <v>19</v>
      </c>
      <c r="B29" s="51" t="s">
        <v>65</v>
      </c>
      <c r="C29" s="53">
        <f>+C6/C3</f>
        <v>2019.25</v>
      </c>
      <c r="D29" s="53">
        <f t="shared" ref="D29:E29" si="2">+D6/D3</f>
        <v>1978.865</v>
      </c>
      <c r="E29" s="53">
        <f t="shared" si="2"/>
        <v>1939.2877000000001</v>
      </c>
      <c r="F29" s="53">
        <f t="shared" ref="F29:G29" si="3">+F6/F3</f>
        <v>1921.3455071999997</v>
      </c>
      <c r="G29" s="53">
        <f t="shared" si="3"/>
        <v>1903.7621582559996</v>
      </c>
      <c r="H29" s="53">
        <f>+H6/H3</f>
        <v>713.85994545454548</v>
      </c>
      <c r="I29" s="67"/>
      <c r="AJ29" s="51" t="s">
        <v>19</v>
      </c>
      <c r="AK29" s="51" t="s">
        <v>65</v>
      </c>
    </row>
    <row r="30" spans="1:38" s="47" customFormat="1" ht="15.75" customHeight="1">
      <c r="A30" s="51" t="s">
        <v>21</v>
      </c>
      <c r="B30" s="51" t="s">
        <v>66</v>
      </c>
      <c r="C30" s="53">
        <f>+C7/C3</f>
        <v>1316.1295</v>
      </c>
      <c r="D30" s="53">
        <f t="shared" ref="D30:E30" si="4">+D7/D3</f>
        <v>1289.8069100000002</v>
      </c>
      <c r="E30" s="53">
        <f t="shared" si="4"/>
        <v>1264.0107717999999</v>
      </c>
      <c r="F30" s="53">
        <f t="shared" ref="F30:G30" si="5">+F7/F3</f>
        <v>1238.730556364</v>
      </c>
      <c r="G30" s="53">
        <f t="shared" si="5"/>
        <v>1213.9559452367203</v>
      </c>
      <c r="H30" s="53">
        <f>+H7/H3</f>
        <v>465.28767269090918</v>
      </c>
      <c r="I30" s="67"/>
      <c r="AJ30" s="51" t="s">
        <v>21</v>
      </c>
      <c r="AK30" s="51" t="s">
        <v>66</v>
      </c>
    </row>
    <row r="31" spans="1:38" s="47" customFormat="1" ht="15.75" customHeight="1">
      <c r="A31" s="51" t="s">
        <v>67</v>
      </c>
      <c r="B31" s="51" t="s">
        <v>68</v>
      </c>
      <c r="C31" s="58">
        <f t="shared" ref="C31:H31" si="6">C29-C30</f>
        <v>703.12049999999999</v>
      </c>
      <c r="D31" s="58">
        <f t="shared" si="6"/>
        <v>689.05808999999977</v>
      </c>
      <c r="E31" s="58">
        <f t="shared" si="6"/>
        <v>675.27692820000016</v>
      </c>
      <c r="F31" s="58">
        <f t="shared" ref="F31:G31" si="7">F29-F30</f>
        <v>682.61495083599971</v>
      </c>
      <c r="G31" s="58">
        <f t="shared" si="7"/>
        <v>689.80621301927931</v>
      </c>
      <c r="H31" s="58">
        <f t="shared" si="6"/>
        <v>248.57227276363631</v>
      </c>
      <c r="I31" s="67"/>
      <c r="AJ31" s="51" t="s">
        <v>67</v>
      </c>
      <c r="AK31" s="51" t="s">
        <v>68</v>
      </c>
    </row>
    <row r="32" spans="1:38" s="47" customFormat="1" ht="15.75" customHeight="1">
      <c r="A32" s="51">
        <v>3.1</v>
      </c>
      <c r="B32" s="51" t="s">
        <v>69</v>
      </c>
      <c r="C32" s="127">
        <f t="shared" ref="C32:H32" si="8">C31/C29</f>
        <v>0.34820874086913456</v>
      </c>
      <c r="D32" s="127">
        <f t="shared" si="8"/>
        <v>0.34820874086913445</v>
      </c>
      <c r="E32" s="127">
        <f t="shared" si="8"/>
        <v>0.34820874086913467</v>
      </c>
      <c r="F32" s="127">
        <f t="shared" ref="F32:G32" si="9">F31/F29</f>
        <v>0.355279645580655</v>
      </c>
      <c r="G32" s="127">
        <f t="shared" si="9"/>
        <v>0.36233844129520765</v>
      </c>
      <c r="H32" s="127">
        <f t="shared" si="8"/>
        <v>0.3482087408691345</v>
      </c>
      <c r="I32" s="67"/>
      <c r="AJ32" s="51"/>
      <c r="AK32" s="51"/>
    </row>
    <row r="33" spans="1:37" s="47" customFormat="1" ht="15.75" customHeight="1">
      <c r="A33" s="51" t="s">
        <v>64</v>
      </c>
      <c r="B33" s="54" t="s">
        <v>9</v>
      </c>
      <c r="C33" s="58"/>
      <c r="D33" s="58"/>
      <c r="E33" s="58"/>
      <c r="F33" s="58"/>
      <c r="G33" s="58"/>
      <c r="H33" s="58"/>
      <c r="I33" s="67"/>
      <c r="AJ33" s="51" t="s">
        <v>70</v>
      </c>
      <c r="AK33" s="54" t="s">
        <v>9</v>
      </c>
    </row>
    <row r="34" spans="1:37" s="47" customFormat="1" ht="15.75" customHeight="1">
      <c r="A34" s="51" t="s">
        <v>19</v>
      </c>
      <c r="B34" s="59" t="s">
        <v>71</v>
      </c>
      <c r="C34" s="53">
        <f>+C8/C3</f>
        <v>113.52220748258047</v>
      </c>
      <c r="D34" s="53">
        <f t="shared" ref="D34:E34" si="10">+D8/D3</f>
        <v>113.52220748258047</v>
      </c>
      <c r="E34" s="53">
        <f t="shared" si="10"/>
        <v>113.52220748258047</v>
      </c>
      <c r="F34" s="53">
        <f t="shared" ref="F34:G34" si="11">+F8/F3</f>
        <v>113.52220748258047</v>
      </c>
      <c r="G34" s="53">
        <f t="shared" si="11"/>
        <v>113.52220748258047</v>
      </c>
      <c r="H34" s="53">
        <f>+H8/H3</f>
        <v>41.280802720938354</v>
      </c>
      <c r="I34" s="67"/>
      <c r="AJ34" s="51" t="s">
        <v>67</v>
      </c>
      <c r="AK34" s="51" t="s">
        <v>71</v>
      </c>
    </row>
    <row r="35" spans="1:37" s="47" customFormat="1" ht="15.75" customHeight="1">
      <c r="A35" s="51" t="s">
        <v>21</v>
      </c>
      <c r="B35" s="59" t="s">
        <v>72</v>
      </c>
      <c r="C35" s="53">
        <f>+C9/C3</f>
        <v>30.442192001973932</v>
      </c>
      <c r="D35" s="53">
        <f t="shared" ref="D35:E35" si="12">+D9/D3</f>
        <v>30.442192001973932</v>
      </c>
      <c r="E35" s="53">
        <f t="shared" si="12"/>
        <v>30.442192001973936</v>
      </c>
      <c r="F35" s="53">
        <f t="shared" ref="F35:G35" si="13">+F9/F3</f>
        <v>30.442192001973936</v>
      </c>
      <c r="G35" s="53">
        <f t="shared" si="13"/>
        <v>30.442192001973936</v>
      </c>
      <c r="H35" s="53">
        <f>+H9/H3</f>
        <v>11.069888000717793</v>
      </c>
      <c r="I35" s="67"/>
      <c r="AJ35" s="51" t="s">
        <v>24</v>
      </c>
      <c r="AK35" s="51" t="s">
        <v>72</v>
      </c>
    </row>
    <row r="36" spans="1:37" s="47" customFormat="1" ht="15.75" customHeight="1">
      <c r="A36" s="51" t="s">
        <v>67</v>
      </c>
      <c r="B36" s="59" t="s">
        <v>73</v>
      </c>
      <c r="C36" s="53">
        <f>+C10/C3</f>
        <v>80.769999999999982</v>
      </c>
      <c r="D36" s="53">
        <f t="shared" ref="D36:E36" si="14">+D10/D3</f>
        <v>80.769999999999982</v>
      </c>
      <c r="E36" s="53">
        <f t="shared" si="14"/>
        <v>80.769999999999982</v>
      </c>
      <c r="F36" s="53">
        <f t="shared" ref="F36:G36" si="15">+F10/F3</f>
        <v>80.769999999999982</v>
      </c>
      <c r="G36" s="53">
        <f t="shared" si="15"/>
        <v>80.769999999999982</v>
      </c>
      <c r="H36" s="53">
        <f>+H10/H3</f>
        <v>29.370909090909088</v>
      </c>
      <c r="I36" s="67"/>
      <c r="AJ36" s="51" t="s">
        <v>30</v>
      </c>
      <c r="AK36" s="51" t="s">
        <v>73</v>
      </c>
    </row>
    <row r="37" spans="1:37" s="47" customFormat="1" ht="15.75" customHeight="1">
      <c r="A37" s="51" t="s">
        <v>74</v>
      </c>
      <c r="B37" s="116" t="s">
        <v>75</v>
      </c>
      <c r="C37" s="53"/>
      <c r="D37" s="53"/>
      <c r="E37" s="53"/>
      <c r="F37" s="53"/>
      <c r="G37" s="53"/>
      <c r="H37" s="53"/>
      <c r="I37" s="67"/>
      <c r="AJ37" s="51" t="s">
        <v>74</v>
      </c>
      <c r="AK37" s="54" t="s">
        <v>75</v>
      </c>
    </row>
    <row r="38" spans="1:37" s="47" customFormat="1">
      <c r="A38" s="51" t="s">
        <v>19</v>
      </c>
      <c r="B38" s="59" t="s">
        <v>76</v>
      </c>
      <c r="C38" s="53">
        <f>+C12/C3</f>
        <v>478.38610051544561</v>
      </c>
      <c r="D38" s="53">
        <f t="shared" ref="D38:E38" si="16">+D12/D3</f>
        <v>464.32369051544555</v>
      </c>
      <c r="E38" s="53">
        <f t="shared" si="16"/>
        <v>450.5425287154452</v>
      </c>
      <c r="F38" s="53">
        <f t="shared" ref="F38:G38" si="17">+F12/F3</f>
        <v>457.88055135144538</v>
      </c>
      <c r="G38" s="53">
        <f t="shared" si="17"/>
        <v>465.07181353472538</v>
      </c>
      <c r="H38" s="53">
        <f>+H12/H3</f>
        <v>166.85067295107106</v>
      </c>
      <c r="I38" s="67"/>
      <c r="AJ38" s="51" t="s">
        <v>19</v>
      </c>
      <c r="AK38" s="51" t="s">
        <v>77</v>
      </c>
    </row>
    <row r="39" spans="1:37" s="47" customFormat="1" ht="15.75" customHeight="1">
      <c r="A39" s="51" t="s">
        <v>21</v>
      </c>
      <c r="B39" s="59" t="s">
        <v>78</v>
      </c>
      <c r="C39" s="111">
        <f t="shared" ref="C39:E39" si="18">+C20/C38</f>
        <v>4863.5903039262294</v>
      </c>
      <c r="D39" s="111">
        <f t="shared" si="18"/>
        <v>11377.528452480001</v>
      </c>
      <c r="E39" s="111">
        <f t="shared" si="18"/>
        <v>13912.671058760176</v>
      </c>
      <c r="F39" s="111">
        <f t="shared" ref="F39:G39" si="19">+F20/F38</f>
        <v>19069.897103574451</v>
      </c>
      <c r="G39" s="111">
        <f t="shared" si="19"/>
        <v>24072.024307196785</v>
      </c>
      <c r="H39" s="197">
        <f t="shared" ref="H39" si="20">+H20/H38</f>
        <v>83174.851827356179</v>
      </c>
      <c r="I39" s="67"/>
      <c r="AJ39" s="51" t="s">
        <v>21</v>
      </c>
      <c r="AK39" s="51" t="s">
        <v>78</v>
      </c>
    </row>
    <row r="40" spans="1:37" s="47" customFormat="1" ht="15.75" customHeight="1">
      <c r="A40" s="51" t="s">
        <v>79</v>
      </c>
      <c r="B40" s="54" t="s">
        <v>80</v>
      </c>
      <c r="C40" s="58"/>
      <c r="D40" s="58"/>
      <c r="E40" s="58"/>
      <c r="F40" s="58"/>
      <c r="G40" s="58"/>
      <c r="H40" s="58"/>
      <c r="I40" s="67"/>
      <c r="AJ40" s="51" t="s">
        <v>79</v>
      </c>
      <c r="AK40" s="54" t="s">
        <v>80</v>
      </c>
    </row>
    <row r="41" spans="1:37" s="47" customFormat="1" ht="15.75" customHeight="1">
      <c r="A41" s="51" t="s">
        <v>19</v>
      </c>
      <c r="B41" s="51" t="s">
        <v>81</v>
      </c>
      <c r="C41" s="58">
        <f>+C14/C3</f>
        <v>269.94125000000003</v>
      </c>
      <c r="D41" s="58">
        <f t="shared" ref="D41:E41" si="21">+D14/D3</f>
        <v>135.63499999999999</v>
      </c>
      <c r="E41" s="58">
        <f t="shared" si="21"/>
        <v>126.68125000000001</v>
      </c>
      <c r="F41" s="58">
        <f t="shared" ref="F41:G41" si="22">+F14/F3</f>
        <v>114.74291666666667</v>
      </c>
      <c r="G41" s="58">
        <f t="shared" si="22"/>
        <v>108.77375000000001</v>
      </c>
      <c r="H41" s="58">
        <f>+H14/H3</f>
        <v>52.577727272727273</v>
      </c>
      <c r="I41" s="67"/>
      <c r="AJ41" s="51" t="s">
        <v>19</v>
      </c>
      <c r="AK41" s="51" t="s">
        <v>81</v>
      </c>
    </row>
    <row r="42" spans="1:37" s="47" customFormat="1" ht="15.75" customHeight="1">
      <c r="A42" s="51" t="s">
        <v>21</v>
      </c>
      <c r="B42" s="51" t="s">
        <v>82</v>
      </c>
      <c r="C42" s="58">
        <f>+C16/C3</f>
        <v>14.13475</v>
      </c>
      <c r="D42" s="58">
        <f t="shared" ref="D42:E42" si="23">+D16/D3</f>
        <v>14.13475</v>
      </c>
      <c r="E42" s="58">
        <f t="shared" si="23"/>
        <v>14.13475</v>
      </c>
      <c r="F42" s="58">
        <f t="shared" ref="F42:G42" si="24">+F16/F3</f>
        <v>14.13475</v>
      </c>
      <c r="G42" s="58">
        <f t="shared" si="24"/>
        <v>14.13475</v>
      </c>
      <c r="H42" s="58">
        <f>+H16/H3</f>
        <v>5.1399090909090912</v>
      </c>
      <c r="I42" s="67"/>
      <c r="AJ42" s="51" t="s">
        <v>21</v>
      </c>
      <c r="AK42" s="51" t="s">
        <v>82</v>
      </c>
    </row>
    <row r="43" spans="1:37" s="47" customFormat="1" ht="15.75" customHeight="1">
      <c r="A43" s="51" t="s">
        <v>67</v>
      </c>
      <c r="B43" s="51" t="s">
        <v>83</v>
      </c>
      <c r="C43" s="58">
        <f>+C17/C3</f>
        <v>60.577500000000001</v>
      </c>
      <c r="D43" s="58">
        <f t="shared" ref="D43:E43" si="25">+D17/D3</f>
        <v>60.577500000000001</v>
      </c>
      <c r="E43" s="58">
        <f t="shared" si="25"/>
        <v>60.577500000000001</v>
      </c>
      <c r="F43" s="58">
        <f t="shared" ref="F43:G43" si="26">+F17/F3</f>
        <v>60.577500000000001</v>
      </c>
      <c r="G43" s="58">
        <f t="shared" si="26"/>
        <v>60.577500000000001</v>
      </c>
      <c r="H43" s="58">
        <f>+H17/H3</f>
        <v>22.028181818181817</v>
      </c>
      <c r="I43" s="67"/>
      <c r="AJ43" s="51" t="s">
        <v>67</v>
      </c>
      <c r="AK43" s="51" t="s">
        <v>83</v>
      </c>
    </row>
    <row r="44" spans="1:37" s="47" customFormat="1" ht="15.75" customHeight="1">
      <c r="A44" s="51" t="s">
        <v>24</v>
      </c>
      <c r="B44" s="51" t="s">
        <v>84</v>
      </c>
      <c r="C44" s="58"/>
      <c r="D44" s="58"/>
      <c r="E44" s="58"/>
      <c r="F44" s="58"/>
      <c r="G44" s="58"/>
      <c r="H44" s="58"/>
      <c r="I44" s="67"/>
      <c r="AJ44" s="51" t="s">
        <v>24</v>
      </c>
      <c r="AK44" s="51" t="s">
        <v>85</v>
      </c>
    </row>
    <row r="45" spans="1:37" s="47" customFormat="1" ht="15.75" customHeight="1">
      <c r="A45" s="51" t="s">
        <v>27</v>
      </c>
      <c r="B45" s="51" t="s">
        <v>86</v>
      </c>
      <c r="C45" s="58"/>
      <c r="D45" s="58"/>
      <c r="E45" s="58"/>
      <c r="F45" s="58"/>
      <c r="G45" s="58"/>
      <c r="H45" s="58"/>
      <c r="I45" s="67"/>
      <c r="AJ45" s="51" t="s">
        <v>27</v>
      </c>
      <c r="AK45" s="51" t="s">
        <v>86</v>
      </c>
    </row>
    <row r="46" spans="1:37" s="47" customFormat="1" ht="15.75" customHeight="1">
      <c r="A46" s="51" t="s">
        <v>87</v>
      </c>
      <c r="B46" s="54" t="s">
        <v>88</v>
      </c>
      <c r="C46" s="58"/>
      <c r="D46" s="58"/>
      <c r="E46" s="58"/>
      <c r="F46" s="58"/>
      <c r="G46" s="58"/>
      <c r="H46" s="58"/>
      <c r="I46" s="67"/>
      <c r="AJ46" s="51" t="s">
        <v>87</v>
      </c>
      <c r="AK46" s="54" t="s">
        <v>88</v>
      </c>
    </row>
    <row r="47" spans="1:37" s="47" customFormat="1" ht="15.75" customHeight="1">
      <c r="A47" s="51" t="s">
        <v>19</v>
      </c>
      <c r="B47" s="51" t="s">
        <v>89</v>
      </c>
      <c r="C47" s="128">
        <f>+(C10+C16)/C6</f>
        <v>4.6999999999999993E-2</v>
      </c>
      <c r="D47" s="128">
        <f t="shared" ref="D47:E47" si="27">+(D10+D16)/D6</f>
        <v>4.795918367346938E-2</v>
      </c>
      <c r="E47" s="128">
        <f t="shared" si="27"/>
        <v>4.8937942523948348E-2</v>
      </c>
      <c r="F47" s="128">
        <f t="shared" ref="F47:G47" si="28">+(F10+F16)/F6</f>
        <v>4.9394942057197112E-2</v>
      </c>
      <c r="G47" s="128">
        <f t="shared" si="28"/>
        <v>4.9851158974049799E-2</v>
      </c>
      <c r="H47" s="128">
        <f>+(H10+H16)/H6</f>
        <v>4.8343962147706226E-2</v>
      </c>
      <c r="I47" s="67"/>
      <c r="AJ47" s="51" t="s">
        <v>19</v>
      </c>
      <c r="AK47" s="51" t="s">
        <v>89</v>
      </c>
    </row>
    <row r="48" spans="1:37" s="47" customFormat="1" ht="15.75" customHeight="1">
      <c r="A48" s="51" t="s">
        <v>21</v>
      </c>
      <c r="B48" s="51" t="s">
        <v>90</v>
      </c>
      <c r="C48" s="128">
        <f>+(C8+C9+C14)/C6</f>
        <v>0.20497989326955771</v>
      </c>
      <c r="D48" s="128">
        <f t="shared" ref="D48:E48" si="29">+(D8+D9+D14)/D6</f>
        <v>0.14129281152810041</v>
      </c>
      <c r="E48" s="128">
        <f t="shared" si="29"/>
        <v>0.139559308030755</v>
      </c>
      <c r="F48" s="128">
        <f t="shared" ref="F48:G48" si="30">+(F8+F9+F14)/F6</f>
        <v>0.13464903380560553</v>
      </c>
      <c r="G48" s="128">
        <f t="shared" si="30"/>
        <v>0.13275720834585925</v>
      </c>
      <c r="H48" s="128">
        <f>+(H8+H9+H14)/H6</f>
        <v>0.14698740090757012</v>
      </c>
      <c r="I48" s="67"/>
      <c r="AJ48" s="51" t="s">
        <v>21</v>
      </c>
      <c r="AK48" s="51" t="s">
        <v>90</v>
      </c>
    </row>
    <row r="49" spans="1:37" s="47" customFormat="1" ht="15.75" customHeight="1">
      <c r="A49" s="51" t="s">
        <v>67</v>
      </c>
      <c r="B49" s="51" t="s">
        <v>91</v>
      </c>
      <c r="C49" s="128">
        <f>+C17/C6</f>
        <v>0.03</v>
      </c>
      <c r="D49" s="128">
        <f t="shared" ref="D49:E49" si="31">+D17/D6</f>
        <v>3.0612244897959183E-2</v>
      </c>
      <c r="E49" s="128">
        <f t="shared" si="31"/>
        <v>3.1236984589754269E-2</v>
      </c>
      <c r="F49" s="128">
        <f t="shared" ref="F49:G49" si="32">+F17/F6</f>
        <v>3.1528686419487521E-2</v>
      </c>
      <c r="G49" s="128">
        <f t="shared" si="32"/>
        <v>3.1819888706840299E-2</v>
      </c>
      <c r="H49" s="128">
        <f>+H17/H6</f>
        <v>3.0857848179386957E-2</v>
      </c>
      <c r="I49" s="67"/>
      <c r="AJ49" s="51" t="s">
        <v>67</v>
      </c>
      <c r="AK49" s="51" t="s">
        <v>91</v>
      </c>
    </row>
    <row r="50" spans="1:37" s="47" customFormat="1" ht="15.75" customHeight="1">
      <c r="A50" s="51" t="s">
        <v>24</v>
      </c>
      <c r="B50" s="51" t="s">
        <v>92</v>
      </c>
      <c r="C50" s="128">
        <f>+C18/C6</f>
        <v>7.7377739259626099E-2</v>
      </c>
      <c r="D50" s="128">
        <f t="shared" ref="D50:E50" si="33">+D18/D6</f>
        <v>1.973921919888421E-2</v>
      </c>
      <c r="E50" s="128">
        <f t="shared" si="33"/>
        <v>1.6113648325619762E-2</v>
      </c>
      <c r="F50" s="128">
        <f t="shared" ref="F50:G50" si="34">+F18/F6</f>
        <v>1.0842748786513867E-2</v>
      </c>
      <c r="G50" s="128">
        <f t="shared" si="34"/>
        <v>8.2071701720940332E-3</v>
      </c>
      <c r="H50" s="128">
        <f>+H18/H6</f>
        <v>2.387710530537732E-2</v>
      </c>
      <c r="I50" s="67"/>
      <c r="AJ50" s="51" t="s">
        <v>24</v>
      </c>
      <c r="AK50" s="51" t="s">
        <v>92</v>
      </c>
    </row>
    <row r="51" spans="1:37" s="47" customFormat="1" ht="15.75" customHeight="1">
      <c r="A51" s="51" t="s">
        <v>27</v>
      </c>
      <c r="B51" s="51" t="s">
        <v>93</v>
      </c>
      <c r="C51" s="128">
        <f>+C19/C6</f>
        <v>0.04</v>
      </c>
      <c r="D51" s="128">
        <f t="shared" ref="D51:E51" si="35">+D19/D6</f>
        <v>4.0816326530612242E-2</v>
      </c>
      <c r="E51" s="128">
        <f t="shared" si="35"/>
        <v>4.1649312786339023E-2</v>
      </c>
      <c r="F51" s="128">
        <f t="shared" ref="F51:G51" si="36">+F19/F6</f>
        <v>4.2038248559316697E-2</v>
      </c>
      <c r="G51" s="128">
        <f t="shared" si="36"/>
        <v>4.242651827578707E-2</v>
      </c>
      <c r="H51" s="128">
        <f>+H19/H6</f>
        <v>4.114379757251594E-2</v>
      </c>
      <c r="I51" s="67"/>
      <c r="AJ51" s="51" t="s">
        <v>27</v>
      </c>
      <c r="AK51" s="51" t="s">
        <v>93</v>
      </c>
    </row>
    <row r="52" spans="1:37" s="47" customFormat="1" ht="15.75" customHeight="1">
      <c r="A52" s="51" t="s">
        <v>30</v>
      </c>
      <c r="B52" s="51" t="s">
        <v>94</v>
      </c>
      <c r="C52" s="128">
        <f>+C23/C6</f>
        <v>-5.1148891660049239E-2</v>
      </c>
      <c r="D52" s="128">
        <f t="shared" ref="D52:E52" si="37">+D23/D6</f>
        <v>5.7620611784092758E-2</v>
      </c>
      <c r="E52" s="128">
        <f t="shared" si="37"/>
        <v>6.0104812920810262E-2</v>
      </c>
      <c r="F52" s="128">
        <f t="shared" ref="F52:G52" si="38">+F23/F6</f>
        <v>7.3802088059654131E-2</v>
      </c>
      <c r="G52" s="128">
        <f t="shared" si="38"/>
        <v>8.2685022297490821E-2</v>
      </c>
      <c r="H52" s="128">
        <f>+H23/H6</f>
        <v>4.2748970067433431E-2</v>
      </c>
      <c r="I52" s="67"/>
      <c r="AJ52" s="51" t="s">
        <v>30</v>
      </c>
      <c r="AK52" s="51" t="s">
        <v>95</v>
      </c>
    </row>
    <row r="53" spans="1:37" s="47" customFormat="1" ht="15.75" customHeight="1">
      <c r="A53" s="51" t="s">
        <v>96</v>
      </c>
      <c r="B53" s="54" t="s">
        <v>97</v>
      </c>
      <c r="C53" s="58">
        <f>+C21/C3</f>
        <v>-103.28239948455442</v>
      </c>
      <c r="D53" s="58">
        <f t="shared" ref="D53:E53" si="39">+D21/D3</f>
        <v>134.14519051544553</v>
      </c>
      <c r="E53" s="58">
        <f t="shared" si="39"/>
        <v>137.13002871544521</v>
      </c>
      <c r="F53" s="58">
        <f t="shared" ref="F53:G53" si="40">+F21/F3</f>
        <v>166.82271801811203</v>
      </c>
      <c r="G53" s="58">
        <f t="shared" si="40"/>
        <v>185.19131353472537</v>
      </c>
      <c r="H53" s="58">
        <f>+H21/H3</f>
        <v>40.6890365874347</v>
      </c>
      <c r="I53" s="67"/>
      <c r="AJ53" s="51" t="s">
        <v>96</v>
      </c>
      <c r="AK53" s="54" t="s">
        <v>97</v>
      </c>
    </row>
    <row r="54" spans="1:37" s="47" customFormat="1" ht="15.75" customHeight="1">
      <c r="A54" s="51" t="s">
        <v>98</v>
      </c>
      <c r="B54" s="129" t="s">
        <v>99</v>
      </c>
      <c r="C54" s="58"/>
      <c r="D54" s="58"/>
      <c r="E54" s="58"/>
      <c r="F54" s="58"/>
      <c r="G54" s="58"/>
      <c r="H54" s="58"/>
      <c r="I54" s="67"/>
      <c r="AJ54" s="51"/>
      <c r="AK54" s="54"/>
    </row>
    <row r="55" spans="1:37" s="47" customFormat="1" ht="15.75" customHeight="1">
      <c r="A55" s="51" t="s">
        <v>19</v>
      </c>
      <c r="B55" s="51" t="s">
        <v>100</v>
      </c>
      <c r="C55" s="58">
        <f>C56+C57</f>
        <v>6894900</v>
      </c>
      <c r="D55" s="58"/>
      <c r="E55" s="58"/>
      <c r="F55" s="58"/>
      <c r="G55" s="58"/>
      <c r="H55" s="58"/>
      <c r="I55" s="67"/>
    </row>
    <row r="56" spans="1:37" s="47" customFormat="1" ht="15.75" customHeight="1">
      <c r="A56" s="51">
        <v>1.1000000000000001</v>
      </c>
      <c r="B56" s="130" t="s">
        <v>101</v>
      </c>
      <c r="C56" s="58">
        <f>项目投资!B27</f>
        <v>3124900</v>
      </c>
      <c r="D56" s="58"/>
      <c r="E56" s="58"/>
      <c r="F56" s="58"/>
      <c r="G56" s="58"/>
      <c r="H56" s="58"/>
      <c r="I56" s="67"/>
    </row>
    <row r="57" spans="1:37" s="47" customFormat="1" ht="15.75" customHeight="1">
      <c r="A57" s="51">
        <v>1.2</v>
      </c>
      <c r="B57" s="51" t="s">
        <v>102</v>
      </c>
      <c r="C57" s="58">
        <f>项目投资!B26</f>
        <v>3770000</v>
      </c>
      <c r="D57" s="58"/>
      <c r="E57" s="58"/>
      <c r="F57" s="58"/>
      <c r="G57" s="58"/>
      <c r="H57" s="58"/>
      <c r="I57" s="67"/>
    </row>
    <row r="58" spans="1:37" ht="15.75" customHeight="1">
      <c r="A58" s="117" t="s">
        <v>21</v>
      </c>
      <c r="B58" s="117" t="s">
        <v>103</v>
      </c>
      <c r="C58" s="131">
        <f t="shared" ref="C58:E58" si="41">C59+C60</f>
        <v>303170.40206178231</v>
      </c>
      <c r="D58" s="131">
        <f t="shared" si="41"/>
        <v>2540674.5910100592</v>
      </c>
      <c r="E58" s="131">
        <f t="shared" si="41"/>
        <v>3047510.4881625683</v>
      </c>
      <c r="F58" s="131"/>
      <c r="G58" s="131"/>
      <c r="H58" s="131">
        <f t="shared" ref="H58" si="42">H59+H60</f>
        <v>6938345.5184633629</v>
      </c>
      <c r="I58" s="67"/>
    </row>
    <row r="59" spans="1:37" ht="15.75" customHeight="1">
      <c r="A59" s="117" t="s">
        <v>67</v>
      </c>
      <c r="B59" s="117" t="s">
        <v>104</v>
      </c>
      <c r="C59" s="131">
        <f t="shared" ref="C59:E59" si="43">C23</f>
        <v>-413129.59793821769</v>
      </c>
      <c r="D59" s="131">
        <f t="shared" si="43"/>
        <v>1824374.5910100595</v>
      </c>
      <c r="E59" s="131">
        <f t="shared" si="43"/>
        <v>2331210.4881625683</v>
      </c>
      <c r="F59" s="131"/>
      <c r="G59" s="131"/>
      <c r="H59" s="131">
        <f t="shared" ref="H59" si="44">H23</f>
        <v>3356845.5184633629</v>
      </c>
      <c r="I59" s="67"/>
    </row>
    <row r="60" spans="1:37" ht="15.75" customHeight="1">
      <c r="A60" s="117" t="s">
        <v>24</v>
      </c>
      <c r="B60" s="117" t="s">
        <v>105</v>
      </c>
      <c r="C60" s="131">
        <f>'2024年'!G18</f>
        <v>716300</v>
      </c>
      <c r="D60" s="131">
        <f>'2025年'!G18</f>
        <v>716300</v>
      </c>
      <c r="E60" s="131">
        <f>'2026年'!G18</f>
        <v>716300</v>
      </c>
      <c r="F60" s="131"/>
      <c r="G60" s="131"/>
      <c r="H60" s="131">
        <f>项目投资!I26</f>
        <v>3581500</v>
      </c>
      <c r="I60" s="67"/>
    </row>
    <row r="61" spans="1:37" ht="15.75" customHeight="1">
      <c r="A61" s="117" t="s">
        <v>27</v>
      </c>
      <c r="B61" s="117" t="s">
        <v>106</v>
      </c>
      <c r="C61" s="132"/>
      <c r="D61" s="132"/>
      <c r="E61" s="132"/>
      <c r="F61" s="132"/>
      <c r="G61" s="132"/>
      <c r="H61" s="131"/>
      <c r="I61" s="67"/>
    </row>
    <row r="63" spans="1:37">
      <c r="C63" s="233" t="s">
        <v>332</v>
      </c>
      <c r="D63" s="233"/>
      <c r="E63" s="233"/>
      <c r="F63" s="233"/>
      <c r="G63" s="233"/>
      <c r="H63" s="233"/>
    </row>
    <row r="64" spans="1:37">
      <c r="C64" s="233" t="s">
        <v>333</v>
      </c>
      <c r="D64" s="233"/>
      <c r="E64" s="233"/>
      <c r="F64" s="233"/>
      <c r="G64" s="233"/>
      <c r="H64" s="233"/>
    </row>
  </sheetData>
  <mergeCells count="2">
    <mergeCell ref="A1:H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50" t="s">
        <v>110</v>
      </c>
      <c r="D3" s="250"/>
      <c r="E3" s="250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8077000</v>
      </c>
      <c r="G5" s="85">
        <f t="shared" si="1"/>
        <v>32308000</v>
      </c>
      <c r="H5" s="85">
        <f t="shared" si="1"/>
        <v>40385000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80770000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损益表!C4</f>
        <v>8077000</v>
      </c>
      <c r="G6" s="87">
        <f>损益表!D4</f>
        <v>32308000</v>
      </c>
      <c r="H6" s="87">
        <f>损益表!E4</f>
        <v>40385000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损益表!H4</f>
        <v>80770000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8077000</v>
      </c>
      <c r="G17" s="85">
        <f t="shared" si="4"/>
        <v>32308000</v>
      </c>
      <c r="H17" s="85">
        <f t="shared" si="4"/>
        <v>40385000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80770000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8077000</v>
      </c>
      <c r="G19" s="87">
        <f t="shared" si="6"/>
        <v>32308000</v>
      </c>
      <c r="H19" s="87">
        <f t="shared" si="6"/>
        <v>40385000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80770000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35" activePane="bottomRight" state="frozen"/>
      <selection pane="topRight"/>
      <selection pane="bottomLeft"/>
      <selection pane="bottomRight" activeCell="C36" sqref="C36"/>
    </sheetView>
  </sheetViews>
  <sheetFormatPr defaultColWidth="9" defaultRowHeight="16.5"/>
  <cols>
    <col min="1" max="1" width="5.125" style="47" customWidth="1"/>
    <col min="2" max="2" width="17.5" style="47" customWidth="1"/>
    <col min="3" max="6" width="13.25" style="48" customWidth="1"/>
    <col min="7" max="7" width="18.75" style="48" customWidth="1"/>
    <col min="8" max="8" width="12.375" style="47" customWidth="1"/>
    <col min="9" max="9" width="10.125" style="47" customWidth="1"/>
    <col min="10" max="16" width="9" style="47" customWidth="1"/>
    <col min="17" max="33" width="9" style="47"/>
    <col min="34" max="34" width="4.375" style="47" customWidth="1"/>
    <col min="35" max="35" width="13.875" style="47" customWidth="1"/>
    <col min="36" max="16384" width="9" style="47"/>
  </cols>
  <sheetData>
    <row r="1" spans="1:36">
      <c r="A1" s="251" t="s">
        <v>137</v>
      </c>
      <c r="B1" s="251"/>
      <c r="C1" s="255" t="s">
        <v>266</v>
      </c>
      <c r="D1" s="256"/>
      <c r="E1" s="256"/>
      <c r="F1" s="256"/>
      <c r="G1" s="257"/>
    </row>
    <row r="2" spans="1:36">
      <c r="A2" s="251" t="s">
        <v>138</v>
      </c>
      <c r="B2" s="251"/>
      <c r="C2" s="258" t="s">
        <v>252</v>
      </c>
      <c r="D2" s="258"/>
      <c r="E2" s="258"/>
      <c r="F2" s="258"/>
      <c r="G2" s="258"/>
    </row>
    <row r="3" spans="1:36">
      <c r="A3" s="251" t="s">
        <v>139</v>
      </c>
      <c r="B3" s="251"/>
      <c r="C3" s="156" t="str">
        <f>销量!C5</f>
        <v>驾驶员座椅总成</v>
      </c>
      <c r="D3" s="156" t="str">
        <f>销量!D5</f>
        <v>驾驶员座椅总成</v>
      </c>
      <c r="E3" s="156" t="str">
        <f>销量!E5</f>
        <v>乘客单人座椅总成</v>
      </c>
      <c r="F3" s="156" t="str">
        <f>销量!F5</f>
        <v>乘客单人座椅总成</v>
      </c>
      <c r="G3" s="252" t="s">
        <v>15</v>
      </c>
    </row>
    <row r="4" spans="1:36" ht="39" customHeight="1">
      <c r="A4" s="251" t="s">
        <v>140</v>
      </c>
      <c r="B4" s="251"/>
      <c r="C4" s="156" t="str">
        <f>销量!C6</f>
        <v>68N2531-00010</v>
      </c>
      <c r="D4" s="156" t="str">
        <f>销量!D6</f>
        <v>68N2531-00020</v>
      </c>
      <c r="E4" s="156" t="str">
        <f>销量!E6</f>
        <v>71NE2531-0010</v>
      </c>
      <c r="F4" s="156" t="str">
        <f>销量!F6</f>
        <v>71NE2531-0020</v>
      </c>
      <c r="G4" s="253"/>
    </row>
    <row r="5" spans="1:36">
      <c r="A5" s="251" t="s">
        <v>141</v>
      </c>
      <c r="B5" s="251"/>
      <c r="C5" s="50"/>
      <c r="D5" s="50"/>
      <c r="E5" s="50"/>
      <c r="F5" s="206"/>
      <c r="G5" s="254"/>
      <c r="AJ5" s="47" t="s">
        <v>16</v>
      </c>
    </row>
    <row r="6" spans="1:36" ht="17.25">
      <c r="A6" s="51" t="s">
        <v>14</v>
      </c>
      <c r="B6" s="52" t="s">
        <v>142</v>
      </c>
      <c r="C6" s="21">
        <f>销量!C9</f>
        <v>1600</v>
      </c>
      <c r="D6" s="21">
        <f>销量!D9</f>
        <v>400</v>
      </c>
      <c r="E6" s="21">
        <f>销量!E9</f>
        <v>1600</v>
      </c>
      <c r="F6" s="21">
        <f>销量!F9</f>
        <v>400</v>
      </c>
      <c r="G6" s="53">
        <f t="shared" ref="G6:G15" si="0">SUM(C6:F6)</f>
        <v>4000</v>
      </c>
      <c r="R6" s="52" t="s">
        <v>3</v>
      </c>
      <c r="AH6" s="51" t="s">
        <v>14</v>
      </c>
      <c r="AI6" s="52" t="s">
        <v>3</v>
      </c>
      <c r="AJ6" s="47" t="s">
        <v>17</v>
      </c>
    </row>
    <row r="7" spans="1:36">
      <c r="A7" s="49">
        <v>1</v>
      </c>
      <c r="B7" s="52" t="s">
        <v>18</v>
      </c>
      <c r="C7" s="53">
        <f>C6*销量!C8</f>
        <v>3736400</v>
      </c>
      <c r="D7" s="53">
        <f>D6*销量!D8</f>
        <v>1270100</v>
      </c>
      <c r="E7" s="53">
        <f>E6*销量!E8</f>
        <v>1800400</v>
      </c>
      <c r="F7" s="53">
        <f>F6*销量!F8</f>
        <v>1270100</v>
      </c>
      <c r="G7" s="53">
        <f t="shared" si="0"/>
        <v>8077000</v>
      </c>
      <c r="H7" s="48"/>
      <c r="R7" s="52" t="s">
        <v>18</v>
      </c>
      <c r="AH7" s="51" t="s">
        <v>19</v>
      </c>
      <c r="AI7" s="52" t="s">
        <v>18</v>
      </c>
      <c r="AJ7" s="47" t="s">
        <v>17</v>
      </c>
    </row>
    <row r="8" spans="1:36">
      <c r="A8" s="49">
        <v>2</v>
      </c>
      <c r="B8" s="49" t="s">
        <v>20</v>
      </c>
      <c r="C8" s="53"/>
      <c r="D8" s="53"/>
      <c r="E8" s="53"/>
      <c r="F8" s="53"/>
      <c r="G8" s="53">
        <f t="shared" si="0"/>
        <v>0</v>
      </c>
      <c r="H8" s="67"/>
      <c r="R8" s="49" t="s">
        <v>22</v>
      </c>
      <c r="AH8" s="51" t="s">
        <v>21</v>
      </c>
      <c r="AI8" s="49" t="s">
        <v>22</v>
      </c>
      <c r="AJ8" s="47" t="s">
        <v>17</v>
      </c>
    </row>
    <row r="9" spans="1:36">
      <c r="A9" s="49">
        <v>3</v>
      </c>
      <c r="B9" s="52" t="s">
        <v>23</v>
      </c>
      <c r="C9" s="53">
        <f>+C7-C8</f>
        <v>3736400</v>
      </c>
      <c r="D9" s="53">
        <f t="shared" ref="D9:F9" si="1">+D7-D8</f>
        <v>1270100</v>
      </c>
      <c r="E9" s="53">
        <f t="shared" si="1"/>
        <v>1800400</v>
      </c>
      <c r="F9" s="53">
        <f t="shared" si="1"/>
        <v>1270100</v>
      </c>
      <c r="G9" s="53">
        <f t="shared" si="0"/>
        <v>8077000</v>
      </c>
      <c r="R9" s="52" t="s">
        <v>23</v>
      </c>
      <c r="AH9" s="51" t="s">
        <v>24</v>
      </c>
      <c r="AI9" s="52" t="s">
        <v>23</v>
      </c>
      <c r="AJ9" s="47" t="s">
        <v>25</v>
      </c>
    </row>
    <row r="10" spans="1:36">
      <c r="A10" s="49">
        <v>4</v>
      </c>
      <c r="B10" s="51" t="s">
        <v>26</v>
      </c>
      <c r="C10" s="53">
        <f>C6*材料成本!E41</f>
        <v>2493040</v>
      </c>
      <c r="D10" s="53">
        <f>D6*材料成本!E42</f>
        <v>1027932</v>
      </c>
      <c r="E10" s="53">
        <f>E6*材料成本!E43</f>
        <v>1061008</v>
      </c>
      <c r="F10" s="53">
        <f>F6*材料成本!E44</f>
        <v>682538</v>
      </c>
      <c r="G10" s="53">
        <f t="shared" si="0"/>
        <v>5264518</v>
      </c>
      <c r="R10" s="51" t="s">
        <v>26</v>
      </c>
      <c r="AH10" s="51" t="s">
        <v>27</v>
      </c>
      <c r="AI10" s="51" t="s">
        <v>26</v>
      </c>
      <c r="AJ10" s="47" t="s">
        <v>28</v>
      </c>
    </row>
    <row r="11" spans="1:36">
      <c r="A11" s="49">
        <v>5</v>
      </c>
      <c r="B11" s="51" t="s">
        <v>29</v>
      </c>
      <c r="C11" s="53">
        <f>+C6*C36</f>
        <v>210060.35708204217</v>
      </c>
      <c r="D11" s="53">
        <f t="shared" ref="D11:F11" si="2">+D6*D36</f>
        <v>71405.004691655544</v>
      </c>
      <c r="E11" s="53">
        <f t="shared" si="2"/>
        <v>101218.46346496862</v>
      </c>
      <c r="F11" s="53">
        <f t="shared" si="2"/>
        <v>71405.004691655544</v>
      </c>
      <c r="G11" s="53">
        <f t="shared" si="0"/>
        <v>454088.8299303219</v>
      </c>
      <c r="R11" s="51" t="s">
        <v>29</v>
      </c>
      <c r="AH11" s="51" t="s">
        <v>30</v>
      </c>
      <c r="AI11" s="51" t="s">
        <v>29</v>
      </c>
    </row>
    <row r="12" spans="1:36">
      <c r="A12" s="49">
        <v>6</v>
      </c>
      <c r="B12" s="51" t="s">
        <v>31</v>
      </c>
      <c r="C12" s="53">
        <f>+C6*C37</f>
        <v>56329.927545462626</v>
      </c>
      <c r="D12" s="53">
        <f t="shared" ref="D12:E12" si="3">+D6*D37</f>
        <v>19148.014392327397</v>
      </c>
      <c r="E12" s="53">
        <f t="shared" si="3"/>
        <v>27142.811677778322</v>
      </c>
      <c r="F12" s="53">
        <f t="shared" ref="F12" si="4">+F6*F37</f>
        <v>19148.014392327397</v>
      </c>
      <c r="G12" s="53">
        <f t="shared" si="0"/>
        <v>121768.76800789573</v>
      </c>
      <c r="R12" s="51" t="s">
        <v>31</v>
      </c>
      <c r="AH12" s="51" t="s">
        <v>32</v>
      </c>
      <c r="AI12" s="51" t="s">
        <v>31</v>
      </c>
    </row>
    <row r="13" spans="1:36">
      <c r="A13" s="49">
        <v>7</v>
      </c>
      <c r="B13" s="51" t="s">
        <v>33</v>
      </c>
      <c r="C13" s="53">
        <f>+C6*C38</f>
        <v>149455.99999999997</v>
      </c>
      <c r="D13" s="53">
        <f t="shared" ref="D13:E13" si="5">+D6*D38</f>
        <v>50803.999999999993</v>
      </c>
      <c r="E13" s="53">
        <f t="shared" si="5"/>
        <v>72015.999999999985</v>
      </c>
      <c r="F13" s="53">
        <f t="shared" ref="F13" si="6">+F6*F38</f>
        <v>50803.999999999993</v>
      </c>
      <c r="G13" s="53">
        <f t="shared" si="0"/>
        <v>323079.99999999994</v>
      </c>
      <c r="R13" s="51" t="s">
        <v>33</v>
      </c>
      <c r="AH13" s="51" t="s">
        <v>34</v>
      </c>
      <c r="AI13" s="51" t="s">
        <v>33</v>
      </c>
      <c r="AJ13" s="47" t="s">
        <v>17</v>
      </c>
    </row>
    <row r="14" spans="1:36">
      <c r="A14" s="49">
        <v>8</v>
      </c>
      <c r="B14" s="54" t="s">
        <v>35</v>
      </c>
      <c r="C14" s="53">
        <f>SUM(C11:C13)</f>
        <v>415846.28462750476</v>
      </c>
      <c r="D14" s="53">
        <f t="shared" ref="D14:E14" si="7">SUM(D11:D13)</f>
        <v>141357.01908398294</v>
      </c>
      <c r="E14" s="53">
        <f t="shared" si="7"/>
        <v>200377.27514274692</v>
      </c>
      <c r="F14" s="53">
        <f t="shared" ref="F14" si="8">SUM(F11:F13)</f>
        <v>141357.01908398294</v>
      </c>
      <c r="G14" s="53">
        <f t="shared" si="0"/>
        <v>898937.59793821757</v>
      </c>
      <c r="R14" s="54" t="s">
        <v>35</v>
      </c>
      <c r="AH14" s="51" t="s">
        <v>36</v>
      </c>
      <c r="AI14" s="54" t="s">
        <v>35</v>
      </c>
    </row>
    <row r="15" spans="1:36">
      <c r="A15" s="49">
        <v>9</v>
      </c>
      <c r="B15" s="54" t="s">
        <v>37</v>
      </c>
      <c r="C15" s="53">
        <f>+C9-C10-C14</f>
        <v>827513.71537249524</v>
      </c>
      <c r="D15" s="53">
        <f t="shared" ref="D15:E15" si="9">+D9-D10-D14</f>
        <v>100810.98091601706</v>
      </c>
      <c r="E15" s="53">
        <f t="shared" si="9"/>
        <v>539014.72485725302</v>
      </c>
      <c r="F15" s="53">
        <f t="shared" ref="F15" si="10">+F9-F10-F14</f>
        <v>446204.98091601708</v>
      </c>
      <c r="G15" s="53">
        <f t="shared" si="0"/>
        <v>1913544.4020617823</v>
      </c>
      <c r="R15" s="54" t="s">
        <v>37</v>
      </c>
      <c r="AH15" s="51" t="s">
        <v>38</v>
      </c>
      <c r="AI15" s="54" t="s">
        <v>37</v>
      </c>
    </row>
    <row r="16" spans="1:36">
      <c r="A16" s="49">
        <v>10</v>
      </c>
      <c r="B16" s="51" t="s">
        <v>39</v>
      </c>
      <c r="C16" s="55">
        <f>+C15/C9</f>
        <v>0.22147353478548742</v>
      </c>
      <c r="D16" s="55">
        <f t="shared" ref="D16:F16" si="11">+D15/D9</f>
        <v>7.9372475329515038E-2</v>
      </c>
      <c r="E16" s="55">
        <f t="shared" si="11"/>
        <v>0.29938609467743449</v>
      </c>
      <c r="F16" s="55">
        <f t="shared" si="11"/>
        <v>0.35131484207229124</v>
      </c>
      <c r="G16" s="55">
        <f t="shared" ref="G16" si="12">+G15/G9</f>
        <v>0.23691276489560262</v>
      </c>
      <c r="R16" s="51" t="s">
        <v>39</v>
      </c>
      <c r="AH16" s="51" t="s">
        <v>40</v>
      </c>
      <c r="AI16" s="51" t="s">
        <v>39</v>
      </c>
    </row>
    <row r="17" spans="1:36">
      <c r="A17" s="49">
        <v>11</v>
      </c>
      <c r="B17" s="51" t="s">
        <v>41</v>
      </c>
      <c r="C17" s="53">
        <f>C6*C43+C18</f>
        <v>454658</v>
      </c>
      <c r="D17" s="53">
        <f t="shared" ref="D17:E17" si="13">D6*D43+D18</f>
        <v>128784.5</v>
      </c>
      <c r="E17" s="53">
        <f t="shared" si="13"/>
        <v>367538</v>
      </c>
      <c r="F17" s="53">
        <f t="shared" ref="F17" si="14">F6*F43+F18</f>
        <v>128784.5</v>
      </c>
      <c r="G17" s="53">
        <f>SUM(C17:F17)</f>
        <v>1079765</v>
      </c>
      <c r="H17" s="164"/>
      <c r="I17" s="165"/>
      <c r="J17" s="165"/>
      <c r="R17" s="51" t="s">
        <v>41</v>
      </c>
      <c r="AH17" s="51" t="s">
        <v>42</v>
      </c>
      <c r="AI17" s="51" t="s">
        <v>41</v>
      </c>
    </row>
    <row r="18" spans="1:36" s="45" customFormat="1">
      <c r="A18" s="49">
        <v>12</v>
      </c>
      <c r="B18" s="56" t="s">
        <v>143</v>
      </c>
      <c r="C18" s="57">
        <f>$G$18/$G$6*C6</f>
        <v>286520</v>
      </c>
      <c r="D18" s="57">
        <f>$G$18/$G$6*D6</f>
        <v>71630</v>
      </c>
      <c r="E18" s="57">
        <f>$G$18/$G$6*E6</f>
        <v>286520</v>
      </c>
      <c r="F18" s="57">
        <f>$G$18/$G$6*F6</f>
        <v>71630</v>
      </c>
      <c r="G18" s="57">
        <f>项目投资!D26</f>
        <v>716300</v>
      </c>
      <c r="H18" s="166" t="s">
        <v>144</v>
      </c>
      <c r="I18" s="166"/>
      <c r="J18" s="166"/>
    </row>
    <row r="19" spans="1:36">
      <c r="A19" s="49">
        <v>13</v>
      </c>
      <c r="B19" s="51" t="s">
        <v>43</v>
      </c>
      <c r="C19" s="53">
        <f>C6*C44</f>
        <v>26154.799999999999</v>
      </c>
      <c r="D19" s="53">
        <f t="shared" ref="D19:E19" si="15">D6*D44</f>
        <v>8890.6999999999989</v>
      </c>
      <c r="E19" s="53">
        <f t="shared" si="15"/>
        <v>12602.800000000001</v>
      </c>
      <c r="F19" s="53">
        <f t="shared" ref="F19" si="16">F6*F44</f>
        <v>8890.6999999999989</v>
      </c>
      <c r="G19" s="53">
        <f>SUM(C19:F19)</f>
        <v>56539</v>
      </c>
      <c r="H19" s="167"/>
      <c r="I19" s="165"/>
      <c r="J19" s="165"/>
      <c r="R19" s="51" t="s">
        <v>43</v>
      </c>
      <c r="AH19" s="51" t="s">
        <v>44</v>
      </c>
      <c r="AI19" s="51" t="s">
        <v>43</v>
      </c>
      <c r="AJ19" s="47" t="s">
        <v>17</v>
      </c>
    </row>
    <row r="20" spans="1:36">
      <c r="A20" s="49">
        <v>14</v>
      </c>
      <c r="B20" s="51" t="s">
        <v>45</v>
      </c>
      <c r="C20" s="53">
        <f>C6*C45</f>
        <v>112091.99999999999</v>
      </c>
      <c r="D20" s="53">
        <f t="shared" ref="D20:E20" si="17">D6*D45</f>
        <v>38103</v>
      </c>
      <c r="E20" s="53">
        <f t="shared" si="17"/>
        <v>54012</v>
      </c>
      <c r="F20" s="53">
        <f t="shared" ref="F20" si="18">F6*F45</f>
        <v>38103</v>
      </c>
      <c r="G20" s="53">
        <f>SUM(C20:F20)</f>
        <v>242310</v>
      </c>
      <c r="R20" s="51" t="s">
        <v>45</v>
      </c>
      <c r="AH20" s="51" t="s">
        <v>46</v>
      </c>
      <c r="AI20" s="51" t="s">
        <v>45</v>
      </c>
    </row>
    <row r="21" spans="1:36">
      <c r="A21" s="49">
        <v>15</v>
      </c>
      <c r="B21" s="51" t="s">
        <v>47</v>
      </c>
      <c r="C21" s="58">
        <f>$G$21/$G$6*C6</f>
        <v>249992</v>
      </c>
      <c r="D21" s="58">
        <f>$G$21/$G$6*D6</f>
        <v>62498</v>
      </c>
      <c r="E21" s="58">
        <f>$G$21/$G$6*E6</f>
        <v>249992</v>
      </c>
      <c r="F21" s="58">
        <f>$G$21/$G$6*F6</f>
        <v>62498</v>
      </c>
      <c r="G21" s="53">
        <f>项目投资!D27</f>
        <v>624980</v>
      </c>
      <c r="R21" s="51" t="s">
        <v>47</v>
      </c>
      <c r="AH21" s="51"/>
      <c r="AI21" s="51"/>
    </row>
    <row r="22" spans="1:36">
      <c r="A22" s="49">
        <v>16</v>
      </c>
      <c r="B22" s="51" t="s">
        <v>48</v>
      </c>
      <c r="C22" s="53">
        <f>C6*C47</f>
        <v>149456</v>
      </c>
      <c r="D22" s="53">
        <f t="shared" ref="D22:E22" si="19">D6*D47</f>
        <v>50804</v>
      </c>
      <c r="E22" s="53">
        <f t="shared" si="19"/>
        <v>72016</v>
      </c>
      <c r="F22" s="53">
        <f t="shared" ref="F22" si="20">F6*F47</f>
        <v>50804</v>
      </c>
      <c r="G22" s="53">
        <f>SUM(C22:F22)</f>
        <v>323080</v>
      </c>
      <c r="R22" s="51" t="s">
        <v>48</v>
      </c>
      <c r="AH22" s="51" t="s">
        <v>49</v>
      </c>
      <c r="AI22" s="51" t="s">
        <v>48</v>
      </c>
    </row>
    <row r="23" spans="1:36">
      <c r="A23" s="49">
        <v>17</v>
      </c>
      <c r="B23" s="54" t="s">
        <v>50</v>
      </c>
      <c r="C23" s="58">
        <f>+C22+C21+C20+C19+C17</f>
        <v>992352.8</v>
      </c>
      <c r="D23" s="58">
        <f t="shared" ref="D23:E23" si="21">+D22+D21+D20+D19+D17</f>
        <v>289080.2</v>
      </c>
      <c r="E23" s="58">
        <f t="shared" si="21"/>
        <v>756160.8</v>
      </c>
      <c r="F23" s="58">
        <f t="shared" ref="F23" si="22">+F22+F21+F20+F19+F17</f>
        <v>289080.2</v>
      </c>
      <c r="G23" s="58">
        <f t="shared" ref="G23" si="23">+G22+G21+G20+G19+G17</f>
        <v>2326674</v>
      </c>
      <c r="R23" s="54" t="s">
        <v>50</v>
      </c>
      <c r="AH23" s="51" t="s">
        <v>51</v>
      </c>
      <c r="AI23" s="54" t="s">
        <v>50</v>
      </c>
    </row>
    <row r="24" spans="1:36">
      <c r="A24" s="49">
        <v>18</v>
      </c>
      <c r="B24" s="59" t="s">
        <v>52</v>
      </c>
      <c r="C24" s="58">
        <f>+C15-C23</f>
        <v>-164839.08462750481</v>
      </c>
      <c r="D24" s="58">
        <f t="shared" ref="D24:E24" si="24">+D15-D23</f>
        <v>-188269.21908398296</v>
      </c>
      <c r="E24" s="58">
        <f t="shared" si="24"/>
        <v>-217146.07514274702</v>
      </c>
      <c r="F24" s="58">
        <f t="shared" ref="F24" si="25">+F15-F23</f>
        <v>157124.78091601707</v>
      </c>
      <c r="G24" s="58">
        <f t="shared" ref="G24" si="26">+G15-G23</f>
        <v>-413129.59793821769</v>
      </c>
      <c r="I24" s="69"/>
      <c r="R24" s="51" t="s">
        <v>52</v>
      </c>
      <c r="AH24" s="51" t="s">
        <v>53</v>
      </c>
      <c r="AI24" s="51" t="s">
        <v>52</v>
      </c>
    </row>
    <row r="25" spans="1:36">
      <c r="A25" s="49">
        <v>19</v>
      </c>
      <c r="B25" s="51" t="s">
        <v>237</v>
      </c>
      <c r="C25" s="58">
        <f>IF(C24&lt;0,0,C24*0.25)</f>
        <v>0</v>
      </c>
      <c r="D25" s="58">
        <f>IF(D24&lt;0,0,D24*0.15)</f>
        <v>0</v>
      </c>
      <c r="E25" s="58">
        <f t="shared" ref="E25:G25" si="27">IF(E24&lt;0,0,E24*0.25)</f>
        <v>0</v>
      </c>
      <c r="F25" s="58">
        <f t="shared" ref="F25" si="28">IF(F24&lt;0,0,F24*0.25)</f>
        <v>39281.195229004268</v>
      </c>
      <c r="G25" s="58">
        <f t="shared" si="27"/>
        <v>0</v>
      </c>
      <c r="H25" s="65"/>
      <c r="I25" s="65"/>
      <c r="J25" s="65"/>
      <c r="R25" s="51" t="s">
        <v>54</v>
      </c>
      <c r="AH25" s="51" t="s">
        <v>55</v>
      </c>
      <c r="AI25" s="51" t="s">
        <v>54</v>
      </c>
    </row>
    <row r="26" spans="1:36">
      <c r="A26" s="49">
        <v>20</v>
      </c>
      <c r="B26" s="51" t="s">
        <v>56</v>
      </c>
      <c r="C26" s="58">
        <f t="shared" ref="C26:E26" si="29">C24-C25</f>
        <v>-164839.08462750481</v>
      </c>
      <c r="D26" s="58">
        <f t="shared" si="29"/>
        <v>-188269.21908398296</v>
      </c>
      <c r="E26" s="58">
        <f t="shared" si="29"/>
        <v>-217146.07514274702</v>
      </c>
      <c r="F26" s="58">
        <f t="shared" ref="F26" si="30">F24-F25</f>
        <v>117843.5856870128</v>
      </c>
      <c r="G26" s="53">
        <f>G24-G25</f>
        <v>-413129.59793821769</v>
      </c>
      <c r="H26" s="65"/>
      <c r="I26" s="65"/>
      <c r="J26" s="65"/>
      <c r="R26" s="51" t="s">
        <v>56</v>
      </c>
      <c r="AH26" s="51" t="s">
        <v>57</v>
      </c>
      <c r="AI26" s="51" t="s">
        <v>56</v>
      </c>
    </row>
    <row r="27" spans="1:36">
      <c r="A27" s="49">
        <v>21</v>
      </c>
      <c r="B27" s="51" t="s">
        <v>60</v>
      </c>
      <c r="C27" s="128">
        <f t="shared" ref="C27:G27" si="31">C26/C7</f>
        <v>-4.4117087203592982E-2</v>
      </c>
      <c r="D27" s="128">
        <f t="shared" ref="D27:F27" si="32">D26/D7</f>
        <v>-0.14823180779779777</v>
      </c>
      <c r="E27" s="128">
        <f>E26/E7</f>
        <v>-0.12060990621125696</v>
      </c>
      <c r="F27" s="128">
        <f t="shared" si="32"/>
        <v>9.2782919208733799E-2</v>
      </c>
      <c r="G27" s="128">
        <f t="shared" si="31"/>
        <v>-5.1148891660049239E-2</v>
      </c>
      <c r="H27" s="65"/>
      <c r="I27" s="65"/>
      <c r="J27" s="65"/>
      <c r="R27" s="51" t="s">
        <v>60</v>
      </c>
      <c r="AH27" s="51" t="s">
        <v>59</v>
      </c>
      <c r="AI27" s="51" t="s">
        <v>60</v>
      </c>
    </row>
    <row r="28" spans="1:36">
      <c r="H28" s="65"/>
      <c r="I28" s="65"/>
      <c r="J28" s="65"/>
      <c r="R28" s="51"/>
    </row>
    <row r="29" spans="1:36">
      <c r="A29" s="47" t="s">
        <v>61</v>
      </c>
      <c r="G29" s="48" t="s">
        <v>145</v>
      </c>
      <c r="H29" s="65"/>
      <c r="I29" s="65"/>
      <c r="J29" s="65"/>
      <c r="R29" s="51"/>
      <c r="AH29" s="47" t="s">
        <v>61</v>
      </c>
    </row>
    <row r="30" spans="1:36">
      <c r="A30" s="51" t="s">
        <v>62</v>
      </c>
      <c r="B30" s="54" t="s">
        <v>63</v>
      </c>
      <c r="C30" s="58"/>
      <c r="D30" s="58"/>
      <c r="E30" s="58"/>
      <c r="F30" s="58"/>
      <c r="G30" s="58"/>
      <c r="H30" s="65"/>
      <c r="I30" s="65"/>
      <c r="J30" s="65"/>
      <c r="L30" s="65"/>
      <c r="R30" s="54" t="s">
        <v>63</v>
      </c>
      <c r="AH30" s="51" t="s">
        <v>64</v>
      </c>
      <c r="AI30" s="54" t="s">
        <v>63</v>
      </c>
    </row>
    <row r="31" spans="1:36">
      <c r="A31" s="60">
        <v>1</v>
      </c>
      <c r="B31" s="56" t="s">
        <v>65</v>
      </c>
      <c r="C31" s="61">
        <f>销量!C8</f>
        <v>2335.25</v>
      </c>
      <c r="D31" s="61">
        <f>销量!D8</f>
        <v>3175.25</v>
      </c>
      <c r="E31" s="61">
        <f>销量!E8</f>
        <v>1125.25</v>
      </c>
      <c r="F31" s="61">
        <f>销量!F8</f>
        <v>3175.25</v>
      </c>
      <c r="G31" s="58"/>
      <c r="H31" s="65"/>
      <c r="I31" s="65"/>
      <c r="J31" s="65"/>
      <c r="L31" s="65"/>
      <c r="R31" s="51" t="s">
        <v>65</v>
      </c>
      <c r="AH31" s="51" t="s">
        <v>19</v>
      </c>
      <c r="AI31" s="51" t="s">
        <v>65</v>
      </c>
    </row>
    <row r="32" spans="1:36">
      <c r="A32" s="60">
        <v>2</v>
      </c>
      <c r="B32" s="51" t="s">
        <v>146</v>
      </c>
      <c r="C32" s="53">
        <f>C31*1</f>
        <v>2335.25</v>
      </c>
      <c r="D32" s="53">
        <f t="shared" ref="D32:E32" si="33">D31*1</f>
        <v>3175.25</v>
      </c>
      <c r="E32" s="53">
        <f t="shared" si="33"/>
        <v>1125.25</v>
      </c>
      <c r="F32" s="53">
        <f t="shared" ref="F32" si="34">F31*1</f>
        <v>3175.25</v>
      </c>
      <c r="G32" s="58"/>
      <c r="H32" s="65"/>
      <c r="I32" s="65"/>
      <c r="J32" s="65"/>
      <c r="K32" s="65"/>
      <c r="L32" s="65"/>
      <c r="M32" s="65"/>
      <c r="N32" s="65"/>
      <c r="AH32" s="51"/>
      <c r="AI32" s="51"/>
    </row>
    <row r="33" spans="1:35">
      <c r="A33" s="60">
        <v>3</v>
      </c>
      <c r="B33" s="56" t="s">
        <v>66</v>
      </c>
      <c r="C33" s="53">
        <f>材料成本!E41</f>
        <v>1558.15</v>
      </c>
      <c r="D33" s="53">
        <f>材料成本!E42</f>
        <v>2569.83</v>
      </c>
      <c r="E33" s="53">
        <f>材料成本!E43</f>
        <v>663.13</v>
      </c>
      <c r="F33" s="53">
        <f>材料成本!E44</f>
        <v>1706.345</v>
      </c>
      <c r="G33" s="58"/>
      <c r="I33" s="65"/>
      <c r="J33" s="65"/>
      <c r="K33" s="65"/>
      <c r="L33" s="65"/>
      <c r="M33" s="65"/>
      <c r="N33" s="65"/>
      <c r="R33" s="51" t="s">
        <v>66</v>
      </c>
      <c r="AH33" s="51" t="s">
        <v>21</v>
      </c>
      <c r="AI33" s="51" t="s">
        <v>66</v>
      </c>
    </row>
    <row r="34" spans="1:35" ht="17.25" customHeight="1">
      <c r="A34" s="60">
        <v>4</v>
      </c>
      <c r="B34" s="51" t="s">
        <v>68</v>
      </c>
      <c r="C34" s="62">
        <f>C32-C33</f>
        <v>777.09999999999991</v>
      </c>
      <c r="D34" s="62">
        <f t="shared" ref="D34:E34" si="35">D32-D33</f>
        <v>605.42000000000007</v>
      </c>
      <c r="E34" s="62">
        <f t="shared" si="35"/>
        <v>462.12</v>
      </c>
      <c r="F34" s="62">
        <f t="shared" ref="F34" si="36">F32-F33</f>
        <v>1468.905</v>
      </c>
      <c r="G34" s="58"/>
      <c r="I34" s="65"/>
      <c r="J34" s="65"/>
      <c r="K34" s="65"/>
      <c r="L34" s="65"/>
      <c r="M34" s="65"/>
      <c r="N34" s="65"/>
      <c r="R34" s="51" t="s">
        <v>68</v>
      </c>
      <c r="AH34" s="51" t="s">
        <v>67</v>
      </c>
      <c r="AI34" s="51" t="s">
        <v>68</v>
      </c>
    </row>
    <row r="35" spans="1:35">
      <c r="A35" s="51" t="s">
        <v>64</v>
      </c>
      <c r="B35" s="54" t="s">
        <v>9</v>
      </c>
      <c r="C35" s="58"/>
      <c r="D35" s="58"/>
      <c r="E35" s="58"/>
      <c r="F35" s="58"/>
      <c r="G35" s="5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54" t="s">
        <v>9</v>
      </c>
      <c r="AH35" s="51" t="s">
        <v>70</v>
      </c>
      <c r="AI35" s="54" t="s">
        <v>9</v>
      </c>
    </row>
    <row r="36" spans="1:35">
      <c r="A36" s="60">
        <v>1</v>
      </c>
      <c r="B36" s="51" t="s">
        <v>71</v>
      </c>
      <c r="C36" s="57">
        <f>标准成本!E4</f>
        <v>131.28772317627636</v>
      </c>
      <c r="D36" s="57">
        <f>标准成本!E18</f>
        <v>178.51251172913885</v>
      </c>
      <c r="E36" s="57">
        <f>标准成本!E32</f>
        <v>63.261539665605383</v>
      </c>
      <c r="F36" s="57">
        <f>标准成本!E45</f>
        <v>178.51251172913885</v>
      </c>
      <c r="G36" s="6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51" t="s">
        <v>71</v>
      </c>
      <c r="AH36" s="51" t="s">
        <v>67</v>
      </c>
      <c r="AI36" s="51" t="s">
        <v>71</v>
      </c>
    </row>
    <row r="37" spans="1:35">
      <c r="A37" s="60">
        <v>2</v>
      </c>
      <c r="B37" s="51" t="s">
        <v>72</v>
      </c>
      <c r="C37" s="57">
        <f>标准成本!E6</f>
        <v>35.20620471591414</v>
      </c>
      <c r="D37" s="57">
        <f>标准成本!E20</f>
        <v>47.870035980818493</v>
      </c>
      <c r="E37" s="57">
        <f>标准成本!E34</f>
        <v>16.96425729861145</v>
      </c>
      <c r="F37" s="57">
        <f>标准成本!E47</f>
        <v>47.870035980818493</v>
      </c>
      <c r="G37" s="6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51" t="s">
        <v>72</v>
      </c>
      <c r="AH37" s="51" t="s">
        <v>24</v>
      </c>
      <c r="AI37" s="51" t="s">
        <v>72</v>
      </c>
    </row>
    <row r="38" spans="1:35">
      <c r="A38" s="60">
        <v>3</v>
      </c>
      <c r="B38" s="51" t="s">
        <v>73</v>
      </c>
      <c r="C38" s="57">
        <f>标准成本!E10</f>
        <v>93.409999999999982</v>
      </c>
      <c r="D38" s="57">
        <f>标准成本!E24</f>
        <v>127.00999999999998</v>
      </c>
      <c r="E38" s="57">
        <f>标准成本!E38</f>
        <v>45.009999999999991</v>
      </c>
      <c r="F38" s="57">
        <f>标准成本!E51</f>
        <v>127.00999999999998</v>
      </c>
      <c r="G38" s="61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51" t="s">
        <v>73</v>
      </c>
      <c r="AH38" s="51" t="s">
        <v>30</v>
      </c>
      <c r="AI38" s="51" t="s">
        <v>73</v>
      </c>
    </row>
    <row r="39" spans="1:35">
      <c r="A39" s="51" t="s">
        <v>70</v>
      </c>
      <c r="B39" s="54" t="s">
        <v>75</v>
      </c>
      <c r="C39" s="58"/>
      <c r="D39" s="58"/>
      <c r="E39" s="58"/>
      <c r="F39" s="58"/>
      <c r="G39" s="58"/>
      <c r="R39" s="54" t="s">
        <v>75</v>
      </c>
      <c r="AH39" s="51" t="s">
        <v>74</v>
      </c>
      <c r="AI39" s="54" t="s">
        <v>75</v>
      </c>
    </row>
    <row r="40" spans="1:35">
      <c r="A40" s="60">
        <v>1</v>
      </c>
      <c r="B40" s="51" t="s">
        <v>77</v>
      </c>
      <c r="C40" s="58">
        <f>C34-C36-C37-C38</f>
        <v>517.19607210780941</v>
      </c>
      <c r="D40" s="58">
        <f t="shared" ref="D40:E40" si="37">D34-D36-D37-D38</f>
        <v>252.02745229004273</v>
      </c>
      <c r="E40" s="58">
        <f t="shared" si="37"/>
        <v>336.88420303578317</v>
      </c>
      <c r="F40" s="58">
        <f t="shared" ref="F40" si="38">F34-F36-F37-F38</f>
        <v>1115.5124522900426</v>
      </c>
      <c r="G40" s="58"/>
      <c r="R40" s="51" t="s">
        <v>77</v>
      </c>
      <c r="AH40" s="51" t="s">
        <v>19</v>
      </c>
      <c r="AI40" s="51" t="s">
        <v>77</v>
      </c>
    </row>
    <row r="41" spans="1:35">
      <c r="A41" s="60">
        <v>2</v>
      </c>
      <c r="B41" s="51" t="s">
        <v>78</v>
      </c>
      <c r="C41" s="58"/>
      <c r="D41" s="58"/>
      <c r="E41" s="58"/>
      <c r="F41" s="58"/>
      <c r="G41" s="58"/>
      <c r="R41" s="51" t="s">
        <v>78</v>
      </c>
      <c r="AH41" s="51" t="s">
        <v>21</v>
      </c>
      <c r="AI41" s="51" t="s">
        <v>78</v>
      </c>
    </row>
    <row r="42" spans="1:35">
      <c r="A42" s="51" t="s">
        <v>74</v>
      </c>
      <c r="B42" s="54" t="s">
        <v>80</v>
      </c>
      <c r="C42" s="58"/>
      <c r="D42" s="58"/>
      <c r="E42" s="58"/>
      <c r="F42" s="58"/>
      <c r="G42" s="58"/>
      <c r="R42" s="54" t="s">
        <v>80</v>
      </c>
      <c r="AH42" s="51" t="s">
        <v>79</v>
      </c>
      <c r="AI42" s="54" t="s">
        <v>80</v>
      </c>
    </row>
    <row r="43" spans="1:35">
      <c r="A43" s="60">
        <v>1</v>
      </c>
      <c r="B43" s="59" t="s">
        <v>81</v>
      </c>
      <c r="C43" s="57">
        <f>标准成本!E5</f>
        <v>105.08624999999999</v>
      </c>
      <c r="D43" s="57">
        <f>标准成本!E19</f>
        <v>142.88624999999999</v>
      </c>
      <c r="E43" s="57">
        <f>标准成本!E33</f>
        <v>50.636249999999997</v>
      </c>
      <c r="F43" s="57">
        <f>标准成本!E46</f>
        <v>142.88624999999999</v>
      </c>
      <c r="G43" s="58"/>
      <c r="R43" s="51" t="s">
        <v>81</v>
      </c>
      <c r="AH43" s="51" t="s">
        <v>19</v>
      </c>
      <c r="AI43" s="51" t="s">
        <v>81</v>
      </c>
    </row>
    <row r="44" spans="1:35">
      <c r="A44" s="60">
        <v>2</v>
      </c>
      <c r="B44" s="59" t="s">
        <v>82</v>
      </c>
      <c r="C44" s="57">
        <f>标准成本!E9</f>
        <v>16.34675</v>
      </c>
      <c r="D44" s="57">
        <f>标准成本!E23</f>
        <v>22.226749999999999</v>
      </c>
      <c r="E44" s="57">
        <f>标准成本!E37</f>
        <v>7.8767500000000004</v>
      </c>
      <c r="F44" s="57">
        <f>标准成本!E50</f>
        <v>22.226749999999999</v>
      </c>
      <c r="G44" s="58"/>
      <c r="R44" s="51" t="s">
        <v>82</v>
      </c>
      <c r="AH44" s="51" t="s">
        <v>21</v>
      </c>
      <c r="AI44" s="51" t="s">
        <v>82</v>
      </c>
    </row>
    <row r="45" spans="1:35">
      <c r="A45" s="60">
        <v>3</v>
      </c>
      <c r="B45" s="59" t="s">
        <v>83</v>
      </c>
      <c r="C45" s="63">
        <f>标准成本!E8</f>
        <v>70.05749999999999</v>
      </c>
      <c r="D45" s="63">
        <f>标准成本!E22</f>
        <v>95.257499999999993</v>
      </c>
      <c r="E45" s="63">
        <f>标准成本!E36</f>
        <v>33.7575</v>
      </c>
      <c r="F45" s="63">
        <f>标准成本!E49</f>
        <v>95.257499999999993</v>
      </c>
      <c r="G45" s="58"/>
      <c r="R45" s="51" t="s">
        <v>83</v>
      </c>
      <c r="AH45" s="51" t="s">
        <v>67</v>
      </c>
      <c r="AI45" s="51" t="s">
        <v>83</v>
      </c>
    </row>
    <row r="46" spans="1:35" s="46" customFormat="1">
      <c r="A46" s="60">
        <v>4</v>
      </c>
      <c r="B46" s="59" t="s">
        <v>84</v>
      </c>
      <c r="C46" s="63">
        <f>C21/C6</f>
        <v>156.245</v>
      </c>
      <c r="D46" s="63">
        <f t="shared" ref="D46:E46" si="39">D21/D6</f>
        <v>156.245</v>
      </c>
      <c r="E46" s="63">
        <f t="shared" si="39"/>
        <v>156.245</v>
      </c>
      <c r="F46" s="63">
        <f t="shared" ref="F46" si="40">F21/F6</f>
        <v>156.245</v>
      </c>
      <c r="G46" s="63"/>
      <c r="R46" s="59" t="s">
        <v>86</v>
      </c>
      <c r="AH46" s="59" t="s">
        <v>27</v>
      </c>
      <c r="AI46" s="59" t="s">
        <v>86</v>
      </c>
    </row>
    <row r="47" spans="1:35" s="46" customFormat="1">
      <c r="A47" s="60">
        <v>5</v>
      </c>
      <c r="B47" s="59" t="s">
        <v>86</v>
      </c>
      <c r="C47" s="63">
        <f>标准成本!E11</f>
        <v>93.41</v>
      </c>
      <c r="D47" s="63">
        <f>标准成本!E25</f>
        <v>127.01</v>
      </c>
      <c r="E47" s="63">
        <f>标准成本!E39</f>
        <v>45.01</v>
      </c>
      <c r="F47" s="63">
        <f>标准成本!E52</f>
        <v>127.01</v>
      </c>
      <c r="G47" s="63"/>
      <c r="R47" s="59" t="s">
        <v>86</v>
      </c>
      <c r="AH47" s="59" t="s">
        <v>27</v>
      </c>
      <c r="AI47" s="59" t="s">
        <v>86</v>
      </c>
    </row>
    <row r="48" spans="1:35">
      <c r="A48" s="51" t="s">
        <v>79</v>
      </c>
      <c r="B48" s="54" t="s">
        <v>97</v>
      </c>
      <c r="C48" s="58">
        <f>C40-C43-C44-C45-C47-C46</f>
        <v>76.050572107809415</v>
      </c>
      <c r="D48" s="58">
        <f t="shared" ref="D48:F48" si="41">D40-D43-D44-D45-D47-D46</f>
        <v>-291.59804770995726</v>
      </c>
      <c r="E48" s="58">
        <f>E40-E43-E44-E45-E47-E46</f>
        <v>43.358703035783151</v>
      </c>
      <c r="F48" s="58">
        <f t="shared" si="41"/>
        <v>571.88695229004259</v>
      </c>
      <c r="G48" s="58"/>
      <c r="R48" s="54" t="s">
        <v>97</v>
      </c>
      <c r="AH48" s="51" t="s">
        <v>96</v>
      </c>
      <c r="AI48" s="54" t="s">
        <v>97</v>
      </c>
    </row>
    <row r="51" spans="2:12">
      <c r="C51" s="64"/>
      <c r="D51" s="64"/>
      <c r="E51" s="64"/>
      <c r="F51" s="64"/>
    </row>
    <row r="54" spans="2:12">
      <c r="B54" s="65"/>
      <c r="C54" s="66"/>
      <c r="D54" s="66"/>
      <c r="E54" s="66"/>
      <c r="F54" s="66"/>
      <c r="G54" s="66"/>
      <c r="H54" s="65"/>
      <c r="I54" s="65"/>
      <c r="J54" s="65"/>
      <c r="K54" s="65"/>
      <c r="L54" s="65"/>
    </row>
    <row r="55" spans="2:12">
      <c r="B55" s="65"/>
      <c r="C55" s="66"/>
      <c r="D55" s="66"/>
      <c r="E55" s="66"/>
      <c r="F55" s="66"/>
      <c r="G55" s="66"/>
      <c r="H55" s="65"/>
      <c r="I55" s="65"/>
      <c r="J55" s="65"/>
      <c r="K55" s="65"/>
      <c r="L55" s="65"/>
    </row>
    <row r="56" spans="2:12">
      <c r="B56" s="65"/>
      <c r="C56" s="66"/>
      <c r="D56" s="66"/>
      <c r="E56" s="66"/>
      <c r="F56" s="66"/>
      <c r="G56" s="66"/>
      <c r="H56" s="65"/>
      <c r="I56" s="65"/>
      <c r="J56" s="65"/>
      <c r="K56" s="65"/>
      <c r="L56" s="65"/>
    </row>
    <row r="57" spans="2:12">
      <c r="B57" s="65"/>
      <c r="C57" s="66"/>
      <c r="D57" s="66"/>
      <c r="E57" s="66"/>
      <c r="F57" s="66"/>
      <c r="G57" s="66"/>
      <c r="H57" s="65"/>
      <c r="I57" s="65"/>
      <c r="J57" s="65"/>
      <c r="K57" s="65"/>
      <c r="L57" s="65"/>
    </row>
    <row r="58" spans="2:12">
      <c r="B58" s="65"/>
      <c r="C58" s="66"/>
      <c r="D58" s="66"/>
      <c r="E58" s="66"/>
      <c r="F58" s="66"/>
      <c r="G58" s="66"/>
      <c r="H58" s="65"/>
      <c r="I58" s="65"/>
      <c r="J58" s="65"/>
      <c r="K58" s="65"/>
      <c r="L58" s="65"/>
    </row>
    <row r="59" spans="2:12">
      <c r="B59" s="65"/>
      <c r="C59" s="66"/>
      <c r="D59" s="66"/>
      <c r="E59" s="66"/>
      <c r="F59" s="66"/>
      <c r="G59" s="66"/>
      <c r="H59" s="65"/>
      <c r="I59" s="65"/>
      <c r="J59" s="65"/>
      <c r="K59" s="65"/>
      <c r="L59" s="65"/>
    </row>
    <row r="60" spans="2:12">
      <c r="B60" s="65"/>
      <c r="C60" s="66"/>
      <c r="D60" s="66"/>
      <c r="E60" s="66"/>
      <c r="F60" s="66"/>
      <c r="G60" s="66"/>
      <c r="H60" s="65"/>
      <c r="I60" s="65"/>
      <c r="J60" s="65"/>
      <c r="K60" s="65"/>
      <c r="L60" s="65"/>
    </row>
    <row r="61" spans="2:12">
      <c r="B61" s="65"/>
      <c r="C61" s="66"/>
      <c r="D61" s="66"/>
      <c r="E61" s="66"/>
      <c r="F61" s="66"/>
      <c r="G61" s="66"/>
      <c r="H61" s="65"/>
      <c r="I61" s="65"/>
      <c r="J61" s="65"/>
      <c r="K61" s="65"/>
      <c r="L61" s="65"/>
    </row>
    <row r="62" spans="2:12">
      <c r="B62" s="65"/>
      <c r="C62" s="66"/>
      <c r="D62" s="66"/>
      <c r="E62" s="66"/>
      <c r="F62" s="66"/>
      <c r="G62" s="66"/>
      <c r="H62" s="65"/>
      <c r="I62" s="65"/>
      <c r="J62" s="65"/>
      <c r="K62" s="65"/>
      <c r="L62" s="65"/>
    </row>
    <row r="63" spans="2:12">
      <c r="B63" s="65"/>
      <c r="C63" s="66"/>
      <c r="D63" s="66"/>
      <c r="E63" s="66"/>
      <c r="F63" s="66"/>
      <c r="G63" s="66"/>
      <c r="H63" s="65"/>
      <c r="I63" s="65"/>
      <c r="J63" s="65"/>
      <c r="K63" s="65"/>
      <c r="L63" s="65"/>
    </row>
    <row r="64" spans="2:12">
      <c r="B64" s="65"/>
      <c r="C64" s="66"/>
      <c r="D64" s="66"/>
      <c r="E64" s="66"/>
      <c r="F64" s="66"/>
      <c r="G64" s="66"/>
      <c r="H64" s="65"/>
      <c r="I64" s="65"/>
      <c r="J64" s="65"/>
      <c r="K64" s="65"/>
      <c r="L64" s="65"/>
    </row>
    <row r="65" spans="2:12">
      <c r="B65" s="65"/>
      <c r="C65" s="66"/>
      <c r="D65" s="66"/>
      <c r="E65" s="66"/>
      <c r="F65" s="66"/>
      <c r="G65" s="66"/>
      <c r="H65" s="65"/>
      <c r="I65" s="65"/>
      <c r="J65" s="65"/>
      <c r="K65" s="65"/>
      <c r="L65" s="65"/>
    </row>
    <row r="66" spans="2:12">
      <c r="B66" s="65"/>
      <c r="C66" s="66"/>
      <c r="D66" s="66"/>
      <c r="E66" s="66"/>
      <c r="F66" s="66"/>
      <c r="G66" s="66"/>
      <c r="H66" s="65"/>
      <c r="I66" s="65"/>
      <c r="J66" s="65"/>
      <c r="K66" s="65"/>
      <c r="L66" s="65"/>
    </row>
    <row r="67" spans="2:12">
      <c r="B67" s="65"/>
      <c r="C67" s="66"/>
      <c r="D67" s="66"/>
      <c r="E67" s="66"/>
      <c r="F67" s="66"/>
      <c r="G67" s="66"/>
      <c r="H67" s="65"/>
    </row>
    <row r="68" spans="2:12">
      <c r="B68" s="65"/>
      <c r="C68" s="66"/>
      <c r="D68" s="66"/>
      <c r="E68" s="66"/>
      <c r="F68" s="66"/>
      <c r="G68" s="66"/>
      <c r="H68" s="65"/>
    </row>
    <row r="69" spans="2:12">
      <c r="B69" s="65"/>
      <c r="C69" s="66"/>
      <c r="D69" s="66"/>
      <c r="E69" s="66"/>
      <c r="F69" s="66"/>
      <c r="G69" s="66"/>
      <c r="H69" s="65"/>
    </row>
    <row r="70" spans="2:12">
      <c r="B70" s="65"/>
      <c r="C70" s="66"/>
      <c r="D70" s="66"/>
      <c r="E70" s="66"/>
      <c r="F70" s="66"/>
      <c r="G70" s="66"/>
      <c r="H70" s="65"/>
    </row>
    <row r="71" spans="2:12">
      <c r="B71" s="65"/>
      <c r="C71" s="66"/>
      <c r="D71" s="66"/>
      <c r="E71" s="66"/>
      <c r="F71" s="66"/>
      <c r="G71" s="66"/>
      <c r="H71" s="65"/>
    </row>
    <row r="72" spans="2:12">
      <c r="B72" s="65"/>
      <c r="C72" s="66"/>
      <c r="D72" s="66"/>
      <c r="E72" s="66"/>
      <c r="F72" s="66"/>
      <c r="G72" s="66"/>
      <c r="H72" s="65"/>
    </row>
    <row r="73" spans="2:12">
      <c r="B73" s="65"/>
      <c r="C73" s="66"/>
      <c r="D73" s="66"/>
      <c r="E73" s="66"/>
      <c r="F73" s="66"/>
      <c r="G73" s="66"/>
      <c r="H73" s="65"/>
    </row>
    <row r="74" spans="2:12">
      <c r="B74" s="65"/>
      <c r="C74" s="66"/>
      <c r="D74" s="66"/>
      <c r="E74" s="66"/>
      <c r="F74" s="66"/>
      <c r="G74" s="66"/>
      <c r="H74" s="65"/>
    </row>
  </sheetData>
  <mergeCells count="8">
    <mergeCell ref="A4:B4"/>
    <mergeCell ref="A5:B5"/>
    <mergeCell ref="G3:G5"/>
    <mergeCell ref="A1:B1"/>
    <mergeCell ref="C1:G1"/>
    <mergeCell ref="A2:B2"/>
    <mergeCell ref="C2:G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11" activePane="bottomRight" state="frozen"/>
      <selection pane="topRight"/>
      <selection pane="bottomLeft"/>
      <selection pane="bottomRight" activeCell="G26" sqref="G26"/>
    </sheetView>
  </sheetViews>
  <sheetFormatPr defaultColWidth="9" defaultRowHeight="16.5"/>
  <cols>
    <col min="1" max="1" width="5.125" style="47" customWidth="1"/>
    <col min="2" max="2" width="17.5" style="47" customWidth="1"/>
    <col min="3" max="3" width="13.25" style="48" customWidth="1"/>
    <col min="4" max="4" width="16.75" style="48" customWidth="1"/>
    <col min="5" max="6" width="13.25" style="48" customWidth="1"/>
    <col min="7" max="7" width="18.75" style="48" customWidth="1"/>
    <col min="8" max="8" width="12.375" style="47" customWidth="1"/>
    <col min="9" max="9" width="10.125" style="47" customWidth="1"/>
    <col min="10" max="16" width="9" style="47" customWidth="1"/>
    <col min="17" max="33" width="9" style="47"/>
    <col min="34" max="34" width="4.375" style="47" customWidth="1"/>
    <col min="35" max="35" width="13.875" style="47" customWidth="1"/>
    <col min="36" max="16384" width="9" style="47"/>
  </cols>
  <sheetData>
    <row r="1" spans="1:36">
      <c r="A1" s="251" t="s">
        <v>137</v>
      </c>
      <c r="B1" s="251"/>
      <c r="C1" s="255" t="s">
        <v>269</v>
      </c>
      <c r="D1" s="256"/>
      <c r="E1" s="256"/>
      <c r="F1" s="256"/>
      <c r="G1" s="257"/>
    </row>
    <row r="2" spans="1:36">
      <c r="A2" s="251" t="s">
        <v>138</v>
      </c>
      <c r="B2" s="251"/>
      <c r="C2" s="258" t="str">
        <f>'2024年'!C2:G2</f>
        <v>吉利</v>
      </c>
      <c r="D2" s="258"/>
      <c r="E2" s="258"/>
      <c r="F2" s="258"/>
      <c r="G2" s="258"/>
    </row>
    <row r="3" spans="1:36">
      <c r="A3" s="251" t="s">
        <v>139</v>
      </c>
      <c r="B3" s="251"/>
      <c r="C3" s="156" t="str">
        <f>销量!C5</f>
        <v>驾驶员座椅总成</v>
      </c>
      <c r="D3" s="156" t="str">
        <f>销量!D5</f>
        <v>驾驶员座椅总成</v>
      </c>
      <c r="E3" s="156" t="str">
        <f>销量!E5</f>
        <v>乘客单人座椅总成</v>
      </c>
      <c r="F3" s="156" t="str">
        <f>销量!F5</f>
        <v>乘客单人座椅总成</v>
      </c>
      <c r="G3" s="252" t="s">
        <v>15</v>
      </c>
    </row>
    <row r="4" spans="1:36">
      <c r="A4" s="251" t="s">
        <v>140</v>
      </c>
      <c r="B4" s="251"/>
      <c r="C4" s="156" t="str">
        <f>销量!C6</f>
        <v>68N2531-00010</v>
      </c>
      <c r="D4" s="156" t="str">
        <f>销量!D6</f>
        <v>68N2531-00020</v>
      </c>
      <c r="E4" s="156" t="str">
        <f>销量!E6</f>
        <v>71NE2531-0010</v>
      </c>
      <c r="F4" s="156" t="str">
        <f>销量!F6</f>
        <v>71NE2531-0020</v>
      </c>
      <c r="G4" s="253"/>
    </row>
    <row r="5" spans="1:36">
      <c r="A5" s="251" t="s">
        <v>141</v>
      </c>
      <c r="B5" s="251"/>
      <c r="C5" s="50"/>
      <c r="D5" s="50"/>
      <c r="E5" s="50"/>
      <c r="F5" s="206"/>
      <c r="G5" s="254"/>
      <c r="AJ5" s="47" t="s">
        <v>16</v>
      </c>
    </row>
    <row r="6" spans="1:36" ht="17.25">
      <c r="A6" s="51" t="s">
        <v>14</v>
      </c>
      <c r="B6" s="52" t="s">
        <v>142</v>
      </c>
      <c r="C6" s="21">
        <f>销量!C10</f>
        <v>6400</v>
      </c>
      <c r="D6" s="21">
        <f>销量!D10</f>
        <v>1600</v>
      </c>
      <c r="E6" s="21">
        <f>销量!E10</f>
        <v>6400</v>
      </c>
      <c r="F6" s="21">
        <f>销量!F10</f>
        <v>1600</v>
      </c>
      <c r="G6" s="53">
        <f t="shared" ref="G6:G15" si="0">SUM(C6:F6)</f>
        <v>16000</v>
      </c>
      <c r="R6" s="52" t="s">
        <v>3</v>
      </c>
      <c r="AH6" s="51" t="s">
        <v>14</v>
      </c>
      <c r="AI6" s="52" t="s">
        <v>3</v>
      </c>
      <c r="AJ6" s="47" t="s">
        <v>17</v>
      </c>
    </row>
    <row r="7" spans="1:36">
      <c r="A7" s="155">
        <v>1</v>
      </c>
      <c r="B7" s="52" t="s">
        <v>18</v>
      </c>
      <c r="C7" s="53">
        <f>C6*销量!C8</f>
        <v>14945600</v>
      </c>
      <c r="D7" s="53">
        <f>D6*销量!D8</f>
        <v>5080400</v>
      </c>
      <c r="E7" s="53">
        <f>E6*销量!E8</f>
        <v>7201600</v>
      </c>
      <c r="F7" s="53">
        <f>F6*销量!F8</f>
        <v>5080400</v>
      </c>
      <c r="G7" s="53">
        <f t="shared" si="0"/>
        <v>32308000</v>
      </c>
      <c r="H7" s="48"/>
      <c r="R7" s="52" t="s">
        <v>18</v>
      </c>
      <c r="AH7" s="51" t="s">
        <v>19</v>
      </c>
      <c r="AI7" s="52" t="s">
        <v>18</v>
      </c>
      <c r="AJ7" s="47" t="s">
        <v>17</v>
      </c>
    </row>
    <row r="8" spans="1:36">
      <c r="A8" s="155">
        <v>2</v>
      </c>
      <c r="B8" s="155" t="s">
        <v>20</v>
      </c>
      <c r="C8" s="53">
        <f>C7*(1-销量!$L$7)</f>
        <v>298912.00000000029</v>
      </c>
      <c r="D8" s="53">
        <f>D7*(1-销量!$L$7)</f>
        <v>101608.00000000009</v>
      </c>
      <c r="E8" s="53">
        <f>E7*(1-销量!$L$7)</f>
        <v>144032.00000000012</v>
      </c>
      <c r="F8" s="53">
        <f>F7*(1-销量!$L$7)</f>
        <v>101608.00000000009</v>
      </c>
      <c r="G8" s="53">
        <f t="shared" si="0"/>
        <v>646160.00000000058</v>
      </c>
      <c r="H8" s="67"/>
      <c r="R8" s="155" t="s">
        <v>22</v>
      </c>
      <c r="AH8" s="51" t="s">
        <v>21</v>
      </c>
      <c r="AI8" s="155" t="s">
        <v>22</v>
      </c>
      <c r="AJ8" s="47" t="s">
        <v>17</v>
      </c>
    </row>
    <row r="9" spans="1:36">
      <c r="A9" s="155">
        <v>3</v>
      </c>
      <c r="B9" s="52" t="s">
        <v>23</v>
      </c>
      <c r="C9" s="53">
        <f>+C7-C8</f>
        <v>14646688</v>
      </c>
      <c r="D9" s="53">
        <f t="shared" ref="D9:F9" si="1">+D7-D8</f>
        <v>4978792</v>
      </c>
      <c r="E9" s="53">
        <f t="shared" si="1"/>
        <v>7057568</v>
      </c>
      <c r="F9" s="53">
        <f t="shared" si="1"/>
        <v>4978792</v>
      </c>
      <c r="G9" s="53">
        <f t="shared" si="0"/>
        <v>31661840</v>
      </c>
      <c r="R9" s="52" t="s">
        <v>23</v>
      </c>
      <c r="AH9" s="51" t="s">
        <v>24</v>
      </c>
      <c r="AI9" s="52" t="s">
        <v>23</v>
      </c>
      <c r="AJ9" s="47" t="s">
        <v>25</v>
      </c>
    </row>
    <row r="10" spans="1:36">
      <c r="A10" s="155">
        <v>4</v>
      </c>
      <c r="B10" s="51" t="s">
        <v>26</v>
      </c>
      <c r="C10" s="53">
        <f>C6*材料成本!F41</f>
        <v>9772716.8000000007</v>
      </c>
      <c r="D10" s="53">
        <f>D6*材料成本!F42</f>
        <v>4029493.44</v>
      </c>
      <c r="E10" s="53">
        <f>E6*材料成本!F43</f>
        <v>4159151.36</v>
      </c>
      <c r="F10" s="53">
        <f>F6*材料成本!F44</f>
        <v>2675548.96</v>
      </c>
      <c r="G10" s="53">
        <f t="shared" si="0"/>
        <v>20636910.560000002</v>
      </c>
      <c r="R10" s="51" t="s">
        <v>26</v>
      </c>
      <c r="AH10" s="51" t="s">
        <v>27</v>
      </c>
      <c r="AI10" s="51" t="s">
        <v>26</v>
      </c>
      <c r="AJ10" s="47" t="s">
        <v>28</v>
      </c>
    </row>
    <row r="11" spans="1:36">
      <c r="A11" s="155">
        <v>5</v>
      </c>
      <c r="B11" s="51" t="s">
        <v>29</v>
      </c>
      <c r="C11" s="53">
        <f>+C6*C36</f>
        <v>840241.42832816869</v>
      </c>
      <c r="D11" s="53">
        <f>+D6*D36</f>
        <v>285620.01876662218</v>
      </c>
      <c r="E11" s="53">
        <f t="shared" ref="E11:F11" si="2">+E6*E36</f>
        <v>404873.85385987448</v>
      </c>
      <c r="F11" s="53">
        <f t="shared" si="2"/>
        <v>285620.01876662218</v>
      </c>
      <c r="G11" s="53">
        <f t="shared" si="0"/>
        <v>1816355.3197212876</v>
      </c>
      <c r="R11" s="51" t="s">
        <v>29</v>
      </c>
      <c r="AH11" s="51" t="s">
        <v>30</v>
      </c>
      <c r="AI11" s="51" t="s">
        <v>29</v>
      </c>
    </row>
    <row r="12" spans="1:36">
      <c r="A12" s="155">
        <v>6</v>
      </c>
      <c r="B12" s="51" t="s">
        <v>31</v>
      </c>
      <c r="C12" s="53">
        <f>+C6*C37</f>
        <v>225319.7101818505</v>
      </c>
      <c r="D12" s="53">
        <f t="shared" ref="D12:E12" si="3">+D6*D37</f>
        <v>76592.057569309589</v>
      </c>
      <c r="E12" s="53">
        <f t="shared" si="3"/>
        <v>108571.24671111329</v>
      </c>
      <c r="F12" s="53">
        <f t="shared" ref="F12" si="4">+F6*F37</f>
        <v>76592.057569309589</v>
      </c>
      <c r="G12" s="53">
        <f t="shared" si="0"/>
        <v>487075.07203158294</v>
      </c>
      <c r="R12" s="51" t="s">
        <v>31</v>
      </c>
      <c r="AH12" s="51" t="s">
        <v>32</v>
      </c>
      <c r="AI12" s="51" t="s">
        <v>31</v>
      </c>
    </row>
    <row r="13" spans="1:36">
      <c r="A13" s="155">
        <v>7</v>
      </c>
      <c r="B13" s="51" t="s">
        <v>33</v>
      </c>
      <c r="C13" s="53">
        <f>+C6*C38</f>
        <v>597823.99999999988</v>
      </c>
      <c r="D13" s="53">
        <f t="shared" ref="D13:E13" si="5">+D6*D38</f>
        <v>203215.99999999997</v>
      </c>
      <c r="E13" s="53">
        <f t="shared" si="5"/>
        <v>288063.99999999994</v>
      </c>
      <c r="F13" s="53">
        <f t="shared" ref="F13" si="6">+F6*F38</f>
        <v>203215.99999999997</v>
      </c>
      <c r="G13" s="53">
        <f t="shared" si="0"/>
        <v>1292319.9999999998</v>
      </c>
      <c r="R13" s="51" t="s">
        <v>33</v>
      </c>
      <c r="AH13" s="51" t="s">
        <v>34</v>
      </c>
      <c r="AI13" s="51" t="s">
        <v>33</v>
      </c>
      <c r="AJ13" s="47" t="s">
        <v>17</v>
      </c>
    </row>
    <row r="14" spans="1:36">
      <c r="A14" s="155">
        <v>8</v>
      </c>
      <c r="B14" s="54" t="s">
        <v>35</v>
      </c>
      <c r="C14" s="53">
        <f>SUM(C11:C13)</f>
        <v>1663385.1385100191</v>
      </c>
      <c r="D14" s="53">
        <f t="shared" ref="D14:E14" si="7">SUM(D11:D13)</f>
        <v>565428.07633593178</v>
      </c>
      <c r="E14" s="53">
        <f t="shared" si="7"/>
        <v>801509.10057098768</v>
      </c>
      <c r="F14" s="53">
        <f t="shared" ref="F14" si="8">SUM(F11:F13)</f>
        <v>565428.07633593178</v>
      </c>
      <c r="G14" s="53">
        <f t="shared" si="0"/>
        <v>3595750.3917528703</v>
      </c>
      <c r="R14" s="54" t="s">
        <v>35</v>
      </c>
      <c r="AH14" s="51" t="s">
        <v>36</v>
      </c>
      <c r="AI14" s="54" t="s">
        <v>35</v>
      </c>
    </row>
    <row r="15" spans="1:36">
      <c r="A15" s="155">
        <v>9</v>
      </c>
      <c r="B15" s="54" t="s">
        <v>37</v>
      </c>
      <c r="C15" s="53">
        <f>+C9-C10-C14</f>
        <v>3210586.0614899802</v>
      </c>
      <c r="D15" s="53">
        <f t="shared" ref="D15:E15" si="9">+D9-D10-D14</f>
        <v>383870.48366406828</v>
      </c>
      <c r="E15" s="53">
        <f t="shared" si="9"/>
        <v>2096907.5394290125</v>
      </c>
      <c r="F15" s="53">
        <f t="shared" ref="F15" si="10">+F9-F10-F14</f>
        <v>1737814.9636640684</v>
      </c>
      <c r="G15" s="53">
        <f t="shared" si="0"/>
        <v>7429179.0482471287</v>
      </c>
      <c r="R15" s="54" t="s">
        <v>37</v>
      </c>
      <c r="AH15" s="51" t="s">
        <v>38</v>
      </c>
      <c r="AI15" s="54" t="s">
        <v>37</v>
      </c>
    </row>
    <row r="16" spans="1:36">
      <c r="A16" s="155">
        <v>10</v>
      </c>
      <c r="B16" s="51" t="s">
        <v>39</v>
      </c>
      <c r="C16" s="55">
        <f>+C15/C9</f>
        <v>0.21920218833704797</v>
      </c>
      <c r="D16" s="55">
        <f t="shared" ref="D16:F16" si="11">+D15/D9</f>
        <v>7.710112888107562E-2</v>
      </c>
      <c r="E16" s="55">
        <f t="shared" si="11"/>
        <v>0.29711474822899508</v>
      </c>
      <c r="F16" s="55">
        <f t="shared" si="11"/>
        <v>0.34904349562385178</v>
      </c>
      <c r="G16" s="55">
        <f t="shared" ref="G16" si="12">+G15/G9</f>
        <v>0.23464141844716316</v>
      </c>
      <c r="R16" s="51" t="s">
        <v>39</v>
      </c>
      <c r="AH16" s="51" t="s">
        <v>40</v>
      </c>
      <c r="AI16" s="51" t="s">
        <v>39</v>
      </c>
    </row>
    <row r="17" spans="1:36">
      <c r="A17" s="155">
        <v>11</v>
      </c>
      <c r="B17" s="51" t="s">
        <v>41</v>
      </c>
      <c r="C17" s="53">
        <f>C6*C43+C18</f>
        <v>959072</v>
      </c>
      <c r="D17" s="53">
        <f t="shared" ref="D17:E17" si="13">D6*D43+D18</f>
        <v>300248</v>
      </c>
      <c r="E17" s="53">
        <f t="shared" si="13"/>
        <v>610592</v>
      </c>
      <c r="F17" s="53">
        <f t="shared" ref="F17" si="14">F6*F43+F18</f>
        <v>300248</v>
      </c>
      <c r="G17" s="53">
        <f>SUM(C17:F17)</f>
        <v>2170160</v>
      </c>
      <c r="H17" s="67"/>
      <c r="R17" s="51" t="s">
        <v>41</v>
      </c>
      <c r="AH17" s="51" t="s">
        <v>42</v>
      </c>
      <c r="AI17" s="51" t="s">
        <v>41</v>
      </c>
    </row>
    <row r="18" spans="1:36" s="45" customFormat="1">
      <c r="A18" s="155">
        <v>12</v>
      </c>
      <c r="B18" s="56" t="s">
        <v>143</v>
      </c>
      <c r="C18" s="57">
        <f>$G$18/$G$6*C6</f>
        <v>286520</v>
      </c>
      <c r="D18" s="57">
        <f>$G$18/$G$6*D6</f>
        <v>71630</v>
      </c>
      <c r="E18" s="57">
        <f>$G$18/$G$6*E6</f>
        <v>286520</v>
      </c>
      <c r="F18" s="57">
        <f>$G$18/$G$6*F6</f>
        <v>71630</v>
      </c>
      <c r="G18" s="57">
        <f>项目投资!D26</f>
        <v>716300</v>
      </c>
      <c r="H18" s="68" t="s">
        <v>144</v>
      </c>
      <c r="I18" s="68"/>
      <c r="J18" s="68"/>
    </row>
    <row r="19" spans="1:36">
      <c r="A19" s="155">
        <v>13</v>
      </c>
      <c r="B19" s="51" t="s">
        <v>43</v>
      </c>
      <c r="C19" s="53">
        <f>C6*C44</f>
        <v>104619.2</v>
      </c>
      <c r="D19" s="53">
        <f t="shared" ref="D19:E19" si="15">D6*D44</f>
        <v>35562.799999999996</v>
      </c>
      <c r="E19" s="53">
        <f t="shared" si="15"/>
        <v>50411.200000000004</v>
      </c>
      <c r="F19" s="53">
        <f t="shared" ref="F19" si="16">F6*F44</f>
        <v>35562.799999999996</v>
      </c>
      <c r="G19" s="53">
        <f>SUM(C19:F19)</f>
        <v>226156</v>
      </c>
      <c r="H19" s="45"/>
      <c r="R19" s="51" t="s">
        <v>43</v>
      </c>
      <c r="AH19" s="51" t="s">
        <v>44</v>
      </c>
      <c r="AI19" s="51" t="s">
        <v>43</v>
      </c>
      <c r="AJ19" s="47" t="s">
        <v>17</v>
      </c>
    </row>
    <row r="20" spans="1:36">
      <c r="A20" s="155">
        <v>14</v>
      </c>
      <c r="B20" s="51" t="s">
        <v>45</v>
      </c>
      <c r="C20" s="53">
        <f>C6*C45</f>
        <v>448367.99999999994</v>
      </c>
      <c r="D20" s="53">
        <f t="shared" ref="D20:E20" si="17">D6*D45</f>
        <v>152412</v>
      </c>
      <c r="E20" s="53">
        <f t="shared" si="17"/>
        <v>216048</v>
      </c>
      <c r="F20" s="53">
        <f t="shared" ref="F20" si="18">F6*F45</f>
        <v>152412</v>
      </c>
      <c r="G20" s="53">
        <f>SUM(C20:F20)</f>
        <v>969240</v>
      </c>
      <c r="R20" s="51" t="s">
        <v>45</v>
      </c>
      <c r="AH20" s="51" t="s">
        <v>46</v>
      </c>
      <c r="AI20" s="51" t="s">
        <v>45</v>
      </c>
    </row>
    <row r="21" spans="1:36">
      <c r="A21" s="155">
        <v>15</v>
      </c>
      <c r="B21" s="51" t="s">
        <v>47</v>
      </c>
      <c r="C21" s="58">
        <f>$G$21/$G$6*C6</f>
        <v>249992</v>
      </c>
      <c r="D21" s="58">
        <f>$G$21/$G$6*D6</f>
        <v>62498</v>
      </c>
      <c r="E21" s="58">
        <f>$G$21/$G$6*E6</f>
        <v>249992</v>
      </c>
      <c r="F21" s="58">
        <f>$G$21/$G$6*F6</f>
        <v>62498</v>
      </c>
      <c r="G21" s="53">
        <f>项目投资!D27</f>
        <v>624980</v>
      </c>
      <c r="R21" s="51" t="s">
        <v>47</v>
      </c>
      <c r="AH21" s="51"/>
      <c r="AI21" s="51"/>
    </row>
    <row r="22" spans="1:36">
      <c r="A22" s="155">
        <v>16</v>
      </c>
      <c r="B22" s="51" t="s">
        <v>48</v>
      </c>
      <c r="C22" s="53">
        <f>C6*C47</f>
        <v>597824</v>
      </c>
      <c r="D22" s="53">
        <f t="shared" ref="D22:E22" si="19">D6*D47</f>
        <v>203216</v>
      </c>
      <c r="E22" s="53">
        <f t="shared" si="19"/>
        <v>288064</v>
      </c>
      <c r="F22" s="53">
        <f t="shared" ref="F22" si="20">F6*F47</f>
        <v>203216</v>
      </c>
      <c r="G22" s="53">
        <f>SUM(C22:F22)</f>
        <v>1292320</v>
      </c>
      <c r="R22" s="51" t="s">
        <v>48</v>
      </c>
      <c r="AH22" s="51" t="s">
        <v>49</v>
      </c>
      <c r="AI22" s="51" t="s">
        <v>48</v>
      </c>
    </row>
    <row r="23" spans="1:36">
      <c r="A23" s="155">
        <v>17</v>
      </c>
      <c r="B23" s="54" t="s">
        <v>50</v>
      </c>
      <c r="C23" s="58">
        <f>+C22+C21+C20+C19+C17</f>
        <v>2359875.2000000002</v>
      </c>
      <c r="D23" s="58">
        <f t="shared" ref="D23:E23" si="21">+D22+D21+D20+D19+D17</f>
        <v>753936.8</v>
      </c>
      <c r="E23" s="58">
        <f t="shared" si="21"/>
        <v>1415107.2</v>
      </c>
      <c r="F23" s="58">
        <f t="shared" ref="F23" si="22">+F22+F21+F20+F19+F17</f>
        <v>753936.8</v>
      </c>
      <c r="G23" s="58">
        <f t="shared" ref="G23" si="23">+G22+G21+G20+G19+G17</f>
        <v>5282856</v>
      </c>
      <c r="R23" s="54" t="s">
        <v>50</v>
      </c>
      <c r="AH23" s="51" t="s">
        <v>51</v>
      </c>
      <c r="AI23" s="54" t="s">
        <v>50</v>
      </c>
    </row>
    <row r="24" spans="1:36">
      <c r="A24" s="155">
        <v>18</v>
      </c>
      <c r="B24" s="59" t="s">
        <v>52</v>
      </c>
      <c r="C24" s="58">
        <f>+C15-C23</f>
        <v>850710.86148998002</v>
      </c>
      <c r="D24" s="58">
        <f t="shared" ref="D24:E24" si="24">+D15-D23</f>
        <v>-370066.31633593177</v>
      </c>
      <c r="E24" s="58">
        <f t="shared" si="24"/>
        <v>681800.3394290125</v>
      </c>
      <c r="F24" s="58">
        <f t="shared" ref="F24" si="25">+F15-F23</f>
        <v>983878.16366406833</v>
      </c>
      <c r="G24" s="58">
        <f t="shared" ref="G24" si="26">+G15-G23</f>
        <v>2146323.0482471287</v>
      </c>
      <c r="I24" s="69"/>
      <c r="R24" s="51" t="s">
        <v>52</v>
      </c>
      <c r="AH24" s="51" t="s">
        <v>53</v>
      </c>
      <c r="AI24" s="51" t="s">
        <v>52</v>
      </c>
    </row>
    <row r="25" spans="1:36">
      <c r="A25" s="155">
        <v>19</v>
      </c>
      <c r="B25" s="51" t="s">
        <v>237</v>
      </c>
      <c r="C25" s="58">
        <f t="shared" ref="C25:G25" si="27">IF(C24&lt;0,0,C24*0.15)</f>
        <v>127606.629223497</v>
      </c>
      <c r="D25" s="58">
        <f t="shared" si="27"/>
        <v>0</v>
      </c>
      <c r="E25" s="58">
        <f t="shared" si="27"/>
        <v>102270.05091435187</v>
      </c>
      <c r="F25" s="58">
        <f t="shared" ref="F25" si="28">IF(F24&lt;0,0,F24*0.15)</f>
        <v>147581.72454961026</v>
      </c>
      <c r="G25" s="58">
        <f t="shared" si="27"/>
        <v>321948.45723706932</v>
      </c>
      <c r="H25" s="65"/>
      <c r="I25" s="65"/>
      <c r="J25" s="65"/>
      <c r="R25" s="51" t="s">
        <v>54</v>
      </c>
      <c r="AH25" s="51" t="s">
        <v>55</v>
      </c>
      <c r="AI25" s="51" t="s">
        <v>54</v>
      </c>
    </row>
    <row r="26" spans="1:36">
      <c r="A26" s="155">
        <v>20</v>
      </c>
      <c r="B26" s="51" t="s">
        <v>56</v>
      </c>
      <c r="C26" s="58">
        <f t="shared" ref="C26:G26" si="29">C24-C25</f>
        <v>723104.23226648301</v>
      </c>
      <c r="D26" s="58">
        <f t="shared" si="29"/>
        <v>-370066.31633593177</v>
      </c>
      <c r="E26" s="58">
        <f t="shared" si="29"/>
        <v>579530.28851466067</v>
      </c>
      <c r="F26" s="58">
        <f t="shared" ref="F26" si="30">F24-F25</f>
        <v>836296.43911445804</v>
      </c>
      <c r="G26" s="58">
        <f t="shared" si="29"/>
        <v>1824374.5910100595</v>
      </c>
      <c r="H26" s="65"/>
      <c r="I26" s="65"/>
      <c r="J26" s="65"/>
      <c r="R26" s="51" t="s">
        <v>56</v>
      </c>
      <c r="AH26" s="51" t="s">
        <v>57</v>
      </c>
      <c r="AI26" s="51" t="s">
        <v>56</v>
      </c>
    </row>
    <row r="27" spans="1:36">
      <c r="A27" s="155">
        <v>21</v>
      </c>
      <c r="B27" s="51" t="s">
        <v>60</v>
      </c>
      <c r="C27" s="128">
        <f t="shared" ref="C27:G27" si="31">C26/C7</f>
        <v>4.838241571208135E-2</v>
      </c>
      <c r="D27" s="128">
        <f t="shared" ref="D27:F27" si="32">D26/D7</f>
        <v>-7.2841964478374099E-2</v>
      </c>
      <c r="E27" s="128">
        <f t="shared" si="32"/>
        <v>8.0472435085905999E-2</v>
      </c>
      <c r="F27" s="128">
        <f t="shared" si="32"/>
        <v>0.16461232169011455</v>
      </c>
      <c r="G27" s="128">
        <f t="shared" si="31"/>
        <v>5.6468199548410904E-2</v>
      </c>
      <c r="H27" s="65"/>
      <c r="I27" s="65"/>
      <c r="J27" s="65"/>
      <c r="R27" s="51" t="s">
        <v>60</v>
      </c>
      <c r="AH27" s="51" t="s">
        <v>59</v>
      </c>
      <c r="AI27" s="51" t="s">
        <v>60</v>
      </c>
    </row>
    <row r="28" spans="1:36">
      <c r="H28" s="65"/>
      <c r="I28" s="65"/>
      <c r="J28" s="65"/>
      <c r="R28" s="51"/>
    </row>
    <row r="29" spans="1:36">
      <c r="A29" s="47" t="s">
        <v>61</v>
      </c>
      <c r="G29" s="48" t="s">
        <v>145</v>
      </c>
      <c r="H29" s="65"/>
      <c r="I29" s="65"/>
      <c r="J29" s="65"/>
      <c r="R29" s="51"/>
      <c r="AH29" s="47" t="s">
        <v>61</v>
      </c>
    </row>
    <row r="30" spans="1:36">
      <c r="A30" s="51" t="s">
        <v>62</v>
      </c>
      <c r="B30" s="54" t="s">
        <v>63</v>
      </c>
      <c r="C30" s="58"/>
      <c r="D30" s="58"/>
      <c r="E30" s="58"/>
      <c r="F30" s="58"/>
      <c r="G30" s="58"/>
      <c r="H30" s="65"/>
      <c r="I30" s="65"/>
      <c r="J30" s="65"/>
      <c r="L30" s="65"/>
      <c r="R30" s="54" t="s">
        <v>63</v>
      </c>
      <c r="AH30" s="51" t="s">
        <v>64</v>
      </c>
      <c r="AI30" s="54" t="s">
        <v>63</v>
      </c>
    </row>
    <row r="31" spans="1:36">
      <c r="A31" s="155">
        <v>1</v>
      </c>
      <c r="B31" s="56" t="s">
        <v>65</v>
      </c>
      <c r="C31" s="61">
        <f>销量!C8</f>
        <v>2335.25</v>
      </c>
      <c r="D31" s="61">
        <f>销量!D8</f>
        <v>3175.25</v>
      </c>
      <c r="E31" s="61">
        <f>销量!E8</f>
        <v>1125.25</v>
      </c>
      <c r="F31" s="61">
        <f>销量!F8</f>
        <v>3175.25</v>
      </c>
      <c r="G31" s="58"/>
      <c r="H31" s="65"/>
      <c r="I31" s="65"/>
      <c r="J31" s="65"/>
      <c r="L31" s="65"/>
      <c r="R31" s="51" t="s">
        <v>65</v>
      </c>
      <c r="AH31" s="51" t="s">
        <v>19</v>
      </c>
      <c r="AI31" s="51" t="s">
        <v>65</v>
      </c>
    </row>
    <row r="32" spans="1:36">
      <c r="A32" s="155">
        <v>2</v>
      </c>
      <c r="B32" s="51" t="s">
        <v>146</v>
      </c>
      <c r="C32" s="53">
        <f>C9/C6</f>
        <v>2288.5450000000001</v>
      </c>
      <c r="D32" s="53">
        <f t="shared" ref="D32:E32" si="33">D9/D6</f>
        <v>3111.7449999999999</v>
      </c>
      <c r="E32" s="53">
        <f t="shared" si="33"/>
        <v>1102.7449999999999</v>
      </c>
      <c r="F32" s="53">
        <f t="shared" ref="F32" si="34">F9/F6</f>
        <v>3111.7449999999999</v>
      </c>
      <c r="G32" s="58"/>
      <c r="H32" s="65"/>
      <c r="I32" s="65"/>
      <c r="J32" s="65"/>
      <c r="K32" s="65"/>
      <c r="L32" s="65"/>
      <c r="M32" s="65"/>
      <c r="N32" s="65"/>
      <c r="AH32" s="51"/>
      <c r="AI32" s="51"/>
    </row>
    <row r="33" spans="1:35">
      <c r="A33" s="155">
        <v>3</v>
      </c>
      <c r="B33" s="56" t="s">
        <v>66</v>
      </c>
      <c r="C33" s="53">
        <f>材料成本!F41</f>
        <v>1526.9870000000001</v>
      </c>
      <c r="D33" s="53">
        <f>材料成本!F42</f>
        <v>2518.4333999999999</v>
      </c>
      <c r="E33" s="53">
        <f>材料成本!F43</f>
        <v>649.86739999999998</v>
      </c>
      <c r="F33" s="53">
        <f>材料成本!F44</f>
        <v>1672.2181</v>
      </c>
      <c r="G33" s="58"/>
      <c r="I33" s="65"/>
      <c r="J33" s="65"/>
      <c r="K33" s="65"/>
      <c r="L33" s="65"/>
      <c r="M33" s="65"/>
      <c r="N33" s="65"/>
      <c r="R33" s="51" t="s">
        <v>66</v>
      </c>
      <c r="AH33" s="51" t="s">
        <v>21</v>
      </c>
      <c r="AI33" s="51" t="s">
        <v>66</v>
      </c>
    </row>
    <row r="34" spans="1:35" ht="17.25" customHeight="1">
      <c r="A34" s="155">
        <v>4</v>
      </c>
      <c r="B34" s="51" t="s">
        <v>68</v>
      </c>
      <c r="C34" s="62">
        <f>C32-C33</f>
        <v>761.55799999999999</v>
      </c>
      <c r="D34" s="62">
        <f t="shared" ref="D34:E34" si="35">D32-D33</f>
        <v>593.3116</v>
      </c>
      <c r="E34" s="62">
        <f t="shared" si="35"/>
        <v>452.87759999999992</v>
      </c>
      <c r="F34" s="62">
        <f t="shared" ref="F34" si="36">F32-F33</f>
        <v>1439.5268999999998</v>
      </c>
      <c r="G34" s="58"/>
      <c r="I34" s="65"/>
      <c r="J34" s="65"/>
      <c r="K34" s="65"/>
      <c r="L34" s="65"/>
      <c r="M34" s="65"/>
      <c r="N34" s="65"/>
      <c r="R34" s="51" t="s">
        <v>68</v>
      </c>
      <c r="AH34" s="51" t="s">
        <v>67</v>
      </c>
      <c r="AI34" s="51" t="s">
        <v>68</v>
      </c>
    </row>
    <row r="35" spans="1:35">
      <c r="A35" s="51" t="s">
        <v>64</v>
      </c>
      <c r="B35" s="54" t="s">
        <v>9</v>
      </c>
      <c r="C35" s="58"/>
      <c r="D35" s="58"/>
      <c r="E35" s="58"/>
      <c r="F35" s="58"/>
      <c r="G35" s="5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54" t="s">
        <v>9</v>
      </c>
      <c r="AH35" s="51" t="s">
        <v>70</v>
      </c>
      <c r="AI35" s="54" t="s">
        <v>9</v>
      </c>
    </row>
    <row r="36" spans="1:35">
      <c r="A36" s="155">
        <v>1</v>
      </c>
      <c r="B36" s="51" t="s">
        <v>71</v>
      </c>
      <c r="C36" s="57">
        <f>'2024年'!C36</f>
        <v>131.28772317627636</v>
      </c>
      <c r="D36" s="57">
        <f>'2024年'!D36</f>
        <v>178.51251172913885</v>
      </c>
      <c r="E36" s="57">
        <f>'2024年'!E36</f>
        <v>63.261539665605383</v>
      </c>
      <c r="F36" s="57">
        <f>'2024年'!F36</f>
        <v>178.51251172913885</v>
      </c>
      <c r="G36" s="6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51" t="s">
        <v>71</v>
      </c>
      <c r="AH36" s="51" t="s">
        <v>67</v>
      </c>
      <c r="AI36" s="51" t="s">
        <v>71</v>
      </c>
    </row>
    <row r="37" spans="1:35">
      <c r="A37" s="155">
        <v>2</v>
      </c>
      <c r="B37" s="51" t="s">
        <v>72</v>
      </c>
      <c r="C37" s="57">
        <f>'2024年'!C37</f>
        <v>35.20620471591414</v>
      </c>
      <c r="D37" s="57">
        <f>'2024年'!D37</f>
        <v>47.870035980818493</v>
      </c>
      <c r="E37" s="57">
        <f>'2024年'!E37</f>
        <v>16.96425729861145</v>
      </c>
      <c r="F37" s="57">
        <f>'2024年'!F37</f>
        <v>47.870035980818493</v>
      </c>
      <c r="G37" s="6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51" t="s">
        <v>72</v>
      </c>
      <c r="AH37" s="51" t="s">
        <v>24</v>
      </c>
      <c r="AI37" s="51" t="s">
        <v>72</v>
      </c>
    </row>
    <row r="38" spans="1:35">
      <c r="A38" s="155">
        <v>3</v>
      </c>
      <c r="B38" s="51" t="s">
        <v>73</v>
      </c>
      <c r="C38" s="57">
        <f>'2024年'!C38</f>
        <v>93.409999999999982</v>
      </c>
      <c r="D38" s="57">
        <f>'2024年'!D38</f>
        <v>127.00999999999998</v>
      </c>
      <c r="E38" s="57">
        <f>'2024年'!E38</f>
        <v>45.009999999999991</v>
      </c>
      <c r="F38" s="57">
        <f>'2024年'!F38</f>
        <v>127.00999999999998</v>
      </c>
      <c r="G38" s="61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51" t="s">
        <v>73</v>
      </c>
      <c r="AH38" s="51" t="s">
        <v>30</v>
      </c>
      <c r="AI38" s="51" t="s">
        <v>73</v>
      </c>
    </row>
    <row r="39" spans="1:35">
      <c r="A39" s="51" t="s">
        <v>70</v>
      </c>
      <c r="B39" s="54" t="s">
        <v>75</v>
      </c>
      <c r="C39" s="58"/>
      <c r="D39" s="58"/>
      <c r="E39" s="58"/>
      <c r="F39" s="58"/>
      <c r="G39" s="58"/>
      <c r="R39" s="54" t="s">
        <v>75</v>
      </c>
      <c r="AH39" s="51" t="s">
        <v>74</v>
      </c>
      <c r="AI39" s="54" t="s">
        <v>75</v>
      </c>
    </row>
    <row r="40" spans="1:35">
      <c r="A40" s="155">
        <v>1</v>
      </c>
      <c r="B40" s="51" t="s">
        <v>77</v>
      </c>
      <c r="C40" s="58">
        <f>C34-C36-C37-C38</f>
        <v>501.6540721078095</v>
      </c>
      <c r="D40" s="58">
        <f t="shared" ref="D40:F40" si="37">D34-D36-D37-D38</f>
        <v>239.91905229004266</v>
      </c>
      <c r="E40" s="58">
        <f t="shared" si="37"/>
        <v>327.64180303578308</v>
      </c>
      <c r="F40" s="58">
        <f t="shared" si="37"/>
        <v>1086.1343522900424</v>
      </c>
      <c r="G40" s="58"/>
      <c r="R40" s="51" t="s">
        <v>77</v>
      </c>
      <c r="AH40" s="51" t="s">
        <v>19</v>
      </c>
      <c r="AI40" s="51" t="s">
        <v>77</v>
      </c>
    </row>
    <row r="41" spans="1:35">
      <c r="A41" s="155">
        <v>2</v>
      </c>
      <c r="B41" s="51" t="s">
        <v>78</v>
      </c>
      <c r="C41" s="58"/>
      <c r="D41" s="58"/>
      <c r="E41" s="58"/>
      <c r="F41" s="58"/>
      <c r="G41" s="58"/>
      <c r="R41" s="51" t="s">
        <v>78</v>
      </c>
      <c r="AH41" s="51" t="s">
        <v>21</v>
      </c>
      <c r="AI41" s="51" t="s">
        <v>78</v>
      </c>
    </row>
    <row r="42" spans="1:35">
      <c r="A42" s="51" t="s">
        <v>74</v>
      </c>
      <c r="B42" s="54" t="s">
        <v>80</v>
      </c>
      <c r="C42" s="58"/>
      <c r="D42" s="58"/>
      <c r="E42" s="58"/>
      <c r="F42" s="58"/>
      <c r="G42" s="58"/>
      <c r="R42" s="54" t="s">
        <v>80</v>
      </c>
      <c r="AH42" s="51" t="s">
        <v>79</v>
      </c>
      <c r="AI42" s="54" t="s">
        <v>80</v>
      </c>
    </row>
    <row r="43" spans="1:35">
      <c r="A43" s="155">
        <v>1</v>
      </c>
      <c r="B43" s="59" t="s">
        <v>81</v>
      </c>
      <c r="C43" s="57">
        <f>'2024年'!C43</f>
        <v>105.08624999999999</v>
      </c>
      <c r="D43" s="57">
        <f>'2024年'!D43</f>
        <v>142.88624999999999</v>
      </c>
      <c r="E43" s="57">
        <f>'2024年'!E43</f>
        <v>50.636249999999997</v>
      </c>
      <c r="F43" s="57">
        <f>'2024年'!F43</f>
        <v>142.88624999999999</v>
      </c>
      <c r="G43" s="58"/>
      <c r="R43" s="51" t="s">
        <v>81</v>
      </c>
      <c r="AH43" s="51" t="s">
        <v>19</v>
      </c>
      <c r="AI43" s="51" t="s">
        <v>81</v>
      </c>
    </row>
    <row r="44" spans="1:35">
      <c r="A44" s="155">
        <v>2</v>
      </c>
      <c r="B44" s="59" t="s">
        <v>82</v>
      </c>
      <c r="C44" s="57">
        <f>'2024年'!C44</f>
        <v>16.34675</v>
      </c>
      <c r="D44" s="57">
        <f>'2024年'!D44</f>
        <v>22.226749999999999</v>
      </c>
      <c r="E44" s="57">
        <f>'2024年'!E44</f>
        <v>7.8767500000000004</v>
      </c>
      <c r="F44" s="57">
        <f>'2024年'!F44</f>
        <v>22.226749999999999</v>
      </c>
      <c r="G44" s="58"/>
      <c r="R44" s="51" t="s">
        <v>82</v>
      </c>
      <c r="AH44" s="51" t="s">
        <v>21</v>
      </c>
      <c r="AI44" s="51" t="s">
        <v>82</v>
      </c>
    </row>
    <row r="45" spans="1:35">
      <c r="A45" s="155">
        <v>3</v>
      </c>
      <c r="B45" s="59" t="s">
        <v>83</v>
      </c>
      <c r="C45" s="57">
        <f>'2024年'!C45</f>
        <v>70.05749999999999</v>
      </c>
      <c r="D45" s="57">
        <f>'2024年'!D45</f>
        <v>95.257499999999993</v>
      </c>
      <c r="E45" s="57">
        <f>'2024年'!E45</f>
        <v>33.7575</v>
      </c>
      <c r="F45" s="57">
        <f>'2024年'!F45</f>
        <v>95.257499999999993</v>
      </c>
      <c r="G45" s="58"/>
      <c r="R45" s="51" t="s">
        <v>83</v>
      </c>
      <c r="AH45" s="51" t="s">
        <v>67</v>
      </c>
      <c r="AI45" s="51" t="s">
        <v>83</v>
      </c>
    </row>
    <row r="46" spans="1:35" s="46" customFormat="1">
      <c r="A46" s="155">
        <v>4</v>
      </c>
      <c r="B46" s="59" t="s">
        <v>84</v>
      </c>
      <c r="C46" s="63">
        <f>C21/C6</f>
        <v>39.061250000000001</v>
      </c>
      <c r="D46" s="63">
        <f t="shared" ref="D46:F46" si="38">D21/D6</f>
        <v>39.061250000000001</v>
      </c>
      <c r="E46" s="63">
        <f t="shared" si="38"/>
        <v>39.061250000000001</v>
      </c>
      <c r="F46" s="63">
        <f t="shared" si="38"/>
        <v>39.061250000000001</v>
      </c>
      <c r="G46" s="63"/>
      <c r="R46" s="59" t="s">
        <v>86</v>
      </c>
      <c r="AH46" s="59" t="s">
        <v>27</v>
      </c>
      <c r="AI46" s="59" t="s">
        <v>86</v>
      </c>
    </row>
    <row r="47" spans="1:35" s="46" customFormat="1">
      <c r="A47" s="155">
        <v>5</v>
      </c>
      <c r="B47" s="59" t="s">
        <v>86</v>
      </c>
      <c r="C47" s="63">
        <f>'2024年'!C47</f>
        <v>93.41</v>
      </c>
      <c r="D47" s="63">
        <f>'2024年'!D47</f>
        <v>127.01</v>
      </c>
      <c r="E47" s="63">
        <f>'2024年'!E47</f>
        <v>45.01</v>
      </c>
      <c r="F47" s="63">
        <f>'2024年'!F47</f>
        <v>127.01</v>
      </c>
      <c r="G47" s="63"/>
      <c r="R47" s="59" t="s">
        <v>86</v>
      </c>
      <c r="AH47" s="59" t="s">
        <v>27</v>
      </c>
      <c r="AI47" s="59" t="s">
        <v>86</v>
      </c>
    </row>
    <row r="48" spans="1:35">
      <c r="A48" s="51" t="s">
        <v>79</v>
      </c>
      <c r="B48" s="54" t="s">
        <v>97</v>
      </c>
      <c r="C48" s="58">
        <f>C40-C43-C44-C45-C47-C46</f>
        <v>177.6923221078095</v>
      </c>
      <c r="D48" s="58">
        <f t="shared" ref="D48:F48" si="39">D40-D43-D44-D45-D47-D46</f>
        <v>-186.52269770995733</v>
      </c>
      <c r="E48" s="58">
        <f>E40-E43-E44-E45-E47-E46</f>
        <v>151.30005303578307</v>
      </c>
      <c r="F48" s="58">
        <f t="shared" si="39"/>
        <v>659.69260229004249</v>
      </c>
      <c r="G48" s="58"/>
      <c r="R48" s="54" t="s">
        <v>97</v>
      </c>
      <c r="AH48" s="51" t="s">
        <v>96</v>
      </c>
      <c r="AI48" s="54" t="s">
        <v>97</v>
      </c>
    </row>
    <row r="51" spans="2:12">
      <c r="C51" s="64"/>
      <c r="D51" s="64"/>
      <c r="E51" s="64"/>
      <c r="F51" s="64"/>
    </row>
    <row r="54" spans="2:12">
      <c r="B54" s="65"/>
      <c r="C54" s="66"/>
      <c r="D54" s="66"/>
      <c r="E54" s="66"/>
      <c r="F54" s="66"/>
      <c r="G54" s="66"/>
      <c r="H54" s="65"/>
      <c r="I54" s="65"/>
      <c r="J54" s="65"/>
      <c r="K54" s="65"/>
      <c r="L54" s="65"/>
    </row>
    <row r="55" spans="2:12">
      <c r="B55" s="65"/>
      <c r="C55" s="66"/>
      <c r="D55" s="66"/>
      <c r="E55" s="66"/>
      <c r="F55" s="66"/>
      <c r="G55" s="66"/>
      <c r="H55" s="65"/>
      <c r="I55" s="65"/>
      <c r="J55" s="65"/>
      <c r="K55" s="65"/>
      <c r="L55" s="65"/>
    </row>
    <row r="56" spans="2:12">
      <c r="B56" s="65"/>
      <c r="C56" s="66"/>
      <c r="D56" s="66"/>
      <c r="E56" s="66"/>
      <c r="F56" s="66"/>
      <c r="G56" s="66"/>
      <c r="H56" s="65"/>
      <c r="I56" s="65"/>
      <c r="J56" s="65"/>
      <c r="K56" s="65"/>
      <c r="L56" s="65"/>
    </row>
    <row r="57" spans="2:12">
      <c r="B57" s="65"/>
      <c r="C57" s="66"/>
      <c r="D57" s="66"/>
      <c r="E57" s="66"/>
      <c r="F57" s="66"/>
      <c r="G57" s="66"/>
      <c r="H57" s="65"/>
      <c r="I57" s="65"/>
      <c r="J57" s="65"/>
      <c r="K57" s="65"/>
      <c r="L57" s="65"/>
    </row>
    <row r="58" spans="2:12">
      <c r="B58" s="65"/>
      <c r="C58" s="66"/>
      <c r="D58" s="66"/>
      <c r="E58" s="66"/>
      <c r="F58" s="66"/>
      <c r="G58" s="66"/>
      <c r="H58" s="65"/>
      <c r="I58" s="65"/>
      <c r="J58" s="65"/>
      <c r="K58" s="65"/>
      <c r="L58" s="65"/>
    </row>
    <row r="59" spans="2:12">
      <c r="B59" s="65"/>
      <c r="C59" s="66"/>
      <c r="D59" s="66"/>
      <c r="E59" s="66"/>
      <c r="F59" s="66"/>
      <c r="G59" s="66"/>
      <c r="H59" s="65"/>
      <c r="I59" s="65"/>
      <c r="J59" s="65"/>
      <c r="K59" s="65"/>
      <c r="L59" s="65"/>
    </row>
    <row r="60" spans="2:12">
      <c r="B60" s="65"/>
      <c r="C60" s="66"/>
      <c r="D60" s="66"/>
      <c r="E60" s="66"/>
      <c r="F60" s="66"/>
      <c r="G60" s="66"/>
      <c r="H60" s="65"/>
      <c r="I60" s="65"/>
      <c r="J60" s="65"/>
      <c r="K60" s="65"/>
      <c r="L60" s="65"/>
    </row>
    <row r="61" spans="2:12">
      <c r="B61" s="65"/>
      <c r="C61" s="66"/>
      <c r="D61" s="66"/>
      <c r="E61" s="66"/>
      <c r="F61" s="66"/>
      <c r="G61" s="66"/>
      <c r="H61" s="65"/>
      <c r="I61" s="65"/>
      <c r="J61" s="65"/>
      <c r="K61" s="65"/>
      <c r="L61" s="65"/>
    </row>
    <row r="62" spans="2:12">
      <c r="B62" s="65"/>
      <c r="C62" s="66"/>
      <c r="D62" s="66"/>
      <c r="E62" s="66"/>
      <c r="F62" s="66"/>
      <c r="G62" s="66"/>
      <c r="H62" s="65"/>
      <c r="I62" s="65"/>
      <c r="J62" s="65"/>
      <c r="K62" s="65"/>
      <c r="L62" s="65"/>
    </row>
    <row r="63" spans="2:12">
      <c r="B63" s="65"/>
      <c r="C63" s="66"/>
      <c r="D63" s="66"/>
      <c r="E63" s="66"/>
      <c r="F63" s="66"/>
      <c r="G63" s="66"/>
      <c r="H63" s="65"/>
      <c r="I63" s="65"/>
      <c r="J63" s="65"/>
      <c r="K63" s="65"/>
      <c r="L63" s="65"/>
    </row>
    <row r="64" spans="2:12">
      <c r="B64" s="65"/>
      <c r="C64" s="66"/>
      <c r="D64" s="66"/>
      <c r="E64" s="66"/>
      <c r="F64" s="66"/>
      <c r="G64" s="66"/>
      <c r="H64" s="65"/>
      <c r="I64" s="65"/>
      <c r="J64" s="65"/>
      <c r="K64" s="65"/>
      <c r="L64" s="65"/>
    </row>
    <row r="65" spans="2:12">
      <c r="B65" s="65"/>
      <c r="C65" s="66"/>
      <c r="D65" s="66"/>
      <c r="E65" s="66"/>
      <c r="F65" s="66"/>
      <c r="G65" s="66"/>
      <c r="H65" s="65"/>
      <c r="I65" s="65"/>
      <c r="J65" s="65"/>
      <c r="K65" s="65"/>
      <c r="L65" s="65"/>
    </row>
    <row r="66" spans="2:12">
      <c r="B66" s="65"/>
      <c r="C66" s="66"/>
      <c r="D66" s="66"/>
      <c r="E66" s="66"/>
      <c r="F66" s="66"/>
      <c r="G66" s="66"/>
      <c r="H66" s="65"/>
      <c r="I66" s="65"/>
      <c r="J66" s="65"/>
      <c r="K66" s="65"/>
      <c r="L66" s="65"/>
    </row>
    <row r="67" spans="2:12">
      <c r="B67" s="65"/>
      <c r="C67" s="66"/>
      <c r="D67" s="66"/>
      <c r="E67" s="66"/>
      <c r="F67" s="66"/>
      <c r="G67" s="66"/>
      <c r="H67" s="65"/>
    </row>
    <row r="68" spans="2:12">
      <c r="B68" s="65"/>
      <c r="C68" s="66"/>
      <c r="D68" s="66"/>
      <c r="E68" s="66"/>
      <c r="F68" s="66"/>
      <c r="G68" s="66"/>
      <c r="H68" s="65"/>
    </row>
    <row r="69" spans="2:12">
      <c r="B69" s="65"/>
      <c r="C69" s="66"/>
      <c r="D69" s="66"/>
      <c r="E69" s="66"/>
      <c r="F69" s="66"/>
      <c r="G69" s="66"/>
      <c r="H69" s="65"/>
    </row>
    <row r="70" spans="2:12">
      <c r="B70" s="65"/>
      <c r="C70" s="66"/>
      <c r="D70" s="66"/>
      <c r="E70" s="66"/>
      <c r="F70" s="66"/>
      <c r="G70" s="66"/>
      <c r="H70" s="65"/>
    </row>
    <row r="71" spans="2:12">
      <c r="B71" s="65"/>
      <c r="C71" s="66"/>
      <c r="D71" s="66"/>
      <c r="E71" s="66"/>
      <c r="F71" s="66"/>
      <c r="G71" s="66"/>
      <c r="H71" s="65"/>
    </row>
    <row r="72" spans="2:12">
      <c r="B72" s="65"/>
      <c r="C72" s="66"/>
      <c r="D72" s="66"/>
      <c r="E72" s="66"/>
      <c r="F72" s="66"/>
      <c r="G72" s="66"/>
      <c r="H72" s="65"/>
    </row>
    <row r="73" spans="2:12">
      <c r="B73" s="65"/>
      <c r="C73" s="66"/>
      <c r="D73" s="66"/>
      <c r="E73" s="66"/>
      <c r="F73" s="66"/>
      <c r="G73" s="66"/>
      <c r="H73" s="65"/>
    </row>
    <row r="74" spans="2:12">
      <c r="B74" s="65"/>
      <c r="C74" s="66"/>
      <c r="D74" s="66"/>
      <c r="E74" s="66"/>
      <c r="F74" s="66"/>
      <c r="G74" s="66"/>
      <c r="H74" s="65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14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47" customWidth="1"/>
    <col min="2" max="2" width="17.5" style="47" customWidth="1"/>
    <col min="3" max="3" width="13.25" style="48" customWidth="1"/>
    <col min="4" max="4" width="20.25" style="48" bestFit="1" customWidth="1"/>
    <col min="5" max="6" width="13.25" style="48" customWidth="1"/>
    <col min="7" max="7" width="18.75" style="48" customWidth="1"/>
    <col min="8" max="8" width="12.375" style="47" customWidth="1"/>
    <col min="9" max="9" width="10.125" style="47" customWidth="1"/>
    <col min="10" max="16" width="9" style="47" customWidth="1"/>
    <col min="17" max="33" width="9" style="47"/>
    <col min="34" max="34" width="4.375" style="47" customWidth="1"/>
    <col min="35" max="35" width="13.875" style="47" customWidth="1"/>
    <col min="36" max="16384" width="9" style="47"/>
  </cols>
  <sheetData>
    <row r="1" spans="1:36">
      <c r="A1" s="251" t="s">
        <v>137</v>
      </c>
      <c r="B1" s="251"/>
      <c r="C1" s="255" t="s">
        <v>268</v>
      </c>
      <c r="D1" s="256"/>
      <c r="E1" s="256"/>
      <c r="F1" s="256"/>
      <c r="G1" s="257"/>
    </row>
    <row r="2" spans="1:36">
      <c r="A2" s="251" t="s">
        <v>138</v>
      </c>
      <c r="B2" s="251"/>
      <c r="C2" s="258" t="str">
        <f>'2024年'!C2:G2</f>
        <v>吉利</v>
      </c>
      <c r="D2" s="258"/>
      <c r="E2" s="258"/>
      <c r="F2" s="258"/>
      <c r="G2" s="258"/>
    </row>
    <row r="3" spans="1:36">
      <c r="A3" s="251" t="s">
        <v>139</v>
      </c>
      <c r="B3" s="251"/>
      <c r="C3" s="156" t="str">
        <f>销量!C5</f>
        <v>驾驶员座椅总成</v>
      </c>
      <c r="D3" s="156" t="str">
        <f>销量!D5</f>
        <v>驾驶员座椅总成</v>
      </c>
      <c r="E3" s="156" t="str">
        <f>销量!E5</f>
        <v>乘客单人座椅总成</v>
      </c>
      <c r="F3" s="156" t="str">
        <f>销量!F5</f>
        <v>乘客单人座椅总成</v>
      </c>
      <c r="G3" s="252" t="s">
        <v>15</v>
      </c>
    </row>
    <row r="4" spans="1:36">
      <c r="A4" s="251" t="s">
        <v>140</v>
      </c>
      <c r="B4" s="251"/>
      <c r="C4" s="156" t="str">
        <f>销量!C6</f>
        <v>68N2531-00010</v>
      </c>
      <c r="D4" s="156" t="str">
        <f>销量!D6</f>
        <v>68N2531-00020</v>
      </c>
      <c r="E4" s="156" t="str">
        <f>销量!E6</f>
        <v>71NE2531-0010</v>
      </c>
      <c r="F4" s="156" t="str">
        <f>销量!F6</f>
        <v>71NE2531-0020</v>
      </c>
      <c r="G4" s="253"/>
    </row>
    <row r="5" spans="1:36">
      <c r="A5" s="251" t="s">
        <v>141</v>
      </c>
      <c r="B5" s="251"/>
      <c r="C5" s="50"/>
      <c r="D5" s="50"/>
      <c r="E5" s="50"/>
      <c r="F5" s="206"/>
      <c r="G5" s="254"/>
      <c r="AJ5" s="47" t="s">
        <v>16</v>
      </c>
    </row>
    <row r="6" spans="1:36" ht="17.25">
      <c r="A6" s="51" t="s">
        <v>14</v>
      </c>
      <c r="B6" s="52" t="s">
        <v>142</v>
      </c>
      <c r="C6" s="21">
        <f>销量!C11</f>
        <v>8000</v>
      </c>
      <c r="D6" s="21">
        <f>销量!D11</f>
        <v>2000</v>
      </c>
      <c r="E6" s="21">
        <f>销量!E11</f>
        <v>8000</v>
      </c>
      <c r="F6" s="21">
        <f>销量!F11</f>
        <v>2000</v>
      </c>
      <c r="G6" s="53">
        <f t="shared" ref="G6:G15" si="0">SUM(C6:F6)</f>
        <v>20000</v>
      </c>
      <c r="R6" s="52" t="s">
        <v>3</v>
      </c>
      <c r="AH6" s="51" t="s">
        <v>14</v>
      </c>
      <c r="AI6" s="52" t="s">
        <v>3</v>
      </c>
      <c r="AJ6" s="47" t="s">
        <v>17</v>
      </c>
    </row>
    <row r="7" spans="1:36">
      <c r="A7" s="155">
        <v>1</v>
      </c>
      <c r="B7" s="52" t="s">
        <v>18</v>
      </c>
      <c r="C7" s="53">
        <f>C6*销量!C8</f>
        <v>18682000</v>
      </c>
      <c r="D7" s="53">
        <f>D6*销量!D8</f>
        <v>6350500</v>
      </c>
      <c r="E7" s="53">
        <f>E6*销量!E8</f>
        <v>9002000</v>
      </c>
      <c r="F7" s="53">
        <f>F6*销量!F8</f>
        <v>6350500</v>
      </c>
      <c r="G7" s="53">
        <f t="shared" si="0"/>
        <v>40385000</v>
      </c>
      <c r="H7" s="48"/>
      <c r="R7" s="52" t="s">
        <v>18</v>
      </c>
      <c r="AH7" s="51" t="s">
        <v>19</v>
      </c>
      <c r="AI7" s="52" t="s">
        <v>18</v>
      </c>
      <c r="AJ7" s="47" t="s">
        <v>17</v>
      </c>
    </row>
    <row r="8" spans="1:36">
      <c r="A8" s="155">
        <v>2</v>
      </c>
      <c r="B8" s="155" t="s">
        <v>20</v>
      </c>
      <c r="C8" s="53">
        <f>C7*(1-销量!$L$8)</f>
        <v>739807.20000000147</v>
      </c>
      <c r="D8" s="53">
        <f>D7*(1-销量!$L$8)</f>
        <v>251479.80000000051</v>
      </c>
      <c r="E8" s="53">
        <f>E7*(1-销量!$L$8)</f>
        <v>356479.20000000071</v>
      </c>
      <c r="F8" s="53">
        <f>F7*(1-销量!$L$8)</f>
        <v>251479.80000000051</v>
      </c>
      <c r="G8" s="53">
        <f t="shared" si="0"/>
        <v>1599246.0000000033</v>
      </c>
      <c r="H8" s="67"/>
      <c r="R8" s="155" t="s">
        <v>22</v>
      </c>
      <c r="AH8" s="51" t="s">
        <v>21</v>
      </c>
      <c r="AI8" s="155" t="s">
        <v>22</v>
      </c>
      <c r="AJ8" s="47" t="s">
        <v>17</v>
      </c>
    </row>
    <row r="9" spans="1:36">
      <c r="A9" s="155">
        <v>3</v>
      </c>
      <c r="B9" s="52" t="s">
        <v>23</v>
      </c>
      <c r="C9" s="53">
        <f>+C7-C8</f>
        <v>17942192.799999997</v>
      </c>
      <c r="D9" s="53">
        <f t="shared" ref="D9:E9" si="1">+D7-D8</f>
        <v>6099020.1999999993</v>
      </c>
      <c r="E9" s="53">
        <f t="shared" si="1"/>
        <v>8645520.7999999989</v>
      </c>
      <c r="F9" s="53">
        <f t="shared" ref="F9" si="2">+F7-F8</f>
        <v>6099020.1999999993</v>
      </c>
      <c r="G9" s="53">
        <f t="shared" si="0"/>
        <v>38785754</v>
      </c>
      <c r="R9" s="52" t="s">
        <v>23</v>
      </c>
      <c r="AH9" s="51" t="s">
        <v>24</v>
      </c>
      <c r="AI9" s="52" t="s">
        <v>23</v>
      </c>
      <c r="AJ9" s="47" t="s">
        <v>25</v>
      </c>
    </row>
    <row r="10" spans="1:36">
      <c r="A10" s="155">
        <v>4</v>
      </c>
      <c r="B10" s="51" t="s">
        <v>26</v>
      </c>
      <c r="C10" s="53">
        <f>C6*材料成本!G41</f>
        <v>11971578.080000002</v>
      </c>
      <c r="D10" s="53">
        <f>D6*材料成本!G42</f>
        <v>4936129.4639999997</v>
      </c>
      <c r="E10" s="53">
        <f>E6*材料成本!G43</f>
        <v>5094960.4160000002</v>
      </c>
      <c r="F10" s="53">
        <f>F6*材料成本!G44</f>
        <v>3277547.4760000003</v>
      </c>
      <c r="G10" s="53">
        <f t="shared" si="0"/>
        <v>25280215.436000001</v>
      </c>
      <c r="R10" s="51" t="s">
        <v>26</v>
      </c>
      <c r="AH10" s="51" t="s">
        <v>27</v>
      </c>
      <c r="AI10" s="51" t="s">
        <v>26</v>
      </c>
      <c r="AJ10" s="47" t="s">
        <v>28</v>
      </c>
    </row>
    <row r="11" spans="1:36">
      <c r="A11" s="155">
        <v>5</v>
      </c>
      <c r="B11" s="51" t="s">
        <v>29</v>
      </c>
      <c r="C11" s="53">
        <f>+C6*C36</f>
        <v>1050301.785410211</v>
      </c>
      <c r="D11" s="53">
        <f t="shared" ref="D11:E11" si="3">+D6*D36</f>
        <v>357025.02345827769</v>
      </c>
      <c r="E11" s="53">
        <f t="shared" si="3"/>
        <v>506092.31732484308</v>
      </c>
      <c r="F11" s="53">
        <f t="shared" ref="F11" si="4">+F6*F36</f>
        <v>357025.02345827769</v>
      </c>
      <c r="G11" s="53">
        <f t="shared" si="0"/>
        <v>2270444.1496516094</v>
      </c>
      <c r="R11" s="51" t="s">
        <v>29</v>
      </c>
      <c r="AH11" s="51" t="s">
        <v>30</v>
      </c>
      <c r="AI11" s="51" t="s">
        <v>29</v>
      </c>
    </row>
    <row r="12" spans="1:36">
      <c r="A12" s="155">
        <v>6</v>
      </c>
      <c r="B12" s="51" t="s">
        <v>31</v>
      </c>
      <c r="C12" s="53">
        <f>+C6*C37</f>
        <v>281649.63772731309</v>
      </c>
      <c r="D12" s="53">
        <f t="shared" ref="D12:E12" si="5">+D6*D37</f>
        <v>95740.07196163699</v>
      </c>
      <c r="E12" s="53">
        <f t="shared" si="5"/>
        <v>135714.0583888916</v>
      </c>
      <c r="F12" s="53">
        <f t="shared" ref="F12" si="6">+F6*F37</f>
        <v>95740.07196163699</v>
      </c>
      <c r="G12" s="53">
        <f t="shared" si="0"/>
        <v>608843.84003947873</v>
      </c>
      <c r="R12" s="51" t="s">
        <v>31</v>
      </c>
      <c r="AH12" s="51" t="s">
        <v>32</v>
      </c>
      <c r="AI12" s="51" t="s">
        <v>31</v>
      </c>
    </row>
    <row r="13" spans="1:36">
      <c r="A13" s="155">
        <v>7</v>
      </c>
      <c r="B13" s="51" t="s">
        <v>33</v>
      </c>
      <c r="C13" s="53">
        <f>+C6*C38</f>
        <v>747279.99999999988</v>
      </c>
      <c r="D13" s="53">
        <f t="shared" ref="D13:E13" si="7">+D6*D38</f>
        <v>254019.99999999994</v>
      </c>
      <c r="E13" s="53">
        <f t="shared" si="7"/>
        <v>360079.99999999994</v>
      </c>
      <c r="F13" s="53">
        <f t="shared" ref="F13" si="8">+F6*F38</f>
        <v>254019.99999999994</v>
      </c>
      <c r="G13" s="53">
        <f t="shared" si="0"/>
        <v>1615399.9999999998</v>
      </c>
      <c r="R13" s="51" t="s">
        <v>33</v>
      </c>
      <c r="AH13" s="51" t="s">
        <v>34</v>
      </c>
      <c r="AI13" s="51" t="s">
        <v>33</v>
      </c>
      <c r="AJ13" s="47" t="s">
        <v>17</v>
      </c>
    </row>
    <row r="14" spans="1:36">
      <c r="A14" s="155">
        <v>8</v>
      </c>
      <c r="B14" s="54" t="s">
        <v>35</v>
      </c>
      <c r="C14" s="53">
        <f>SUM(C11:C13)</f>
        <v>2079231.4231375242</v>
      </c>
      <c r="D14" s="53">
        <f t="shared" ref="D14:E14" si="9">SUM(D11:D13)</f>
        <v>706785.09541991469</v>
      </c>
      <c r="E14" s="53">
        <f t="shared" si="9"/>
        <v>1001886.3757137347</v>
      </c>
      <c r="F14" s="53">
        <f t="shared" ref="F14" si="10">SUM(F11:F13)</f>
        <v>706785.09541991469</v>
      </c>
      <c r="G14" s="53">
        <f t="shared" si="0"/>
        <v>4494687.989691088</v>
      </c>
      <c r="R14" s="54" t="s">
        <v>35</v>
      </c>
      <c r="AH14" s="51" t="s">
        <v>36</v>
      </c>
      <c r="AI14" s="54" t="s">
        <v>35</v>
      </c>
    </row>
    <row r="15" spans="1:36">
      <c r="A15" s="155">
        <v>9</v>
      </c>
      <c r="B15" s="54" t="s">
        <v>37</v>
      </c>
      <c r="C15" s="53">
        <f>+C9-C10-C14</f>
        <v>3891383.2968624709</v>
      </c>
      <c r="D15" s="53">
        <f t="shared" ref="D15:E15" si="11">+D9-D10-D14</f>
        <v>456105.64058008487</v>
      </c>
      <c r="E15" s="53">
        <f t="shared" si="11"/>
        <v>2548674.0082862638</v>
      </c>
      <c r="F15" s="53">
        <f t="shared" ref="F15" si="12">+F9-F10-F14</f>
        <v>2114687.6285800841</v>
      </c>
      <c r="G15" s="53">
        <f t="shared" si="0"/>
        <v>9010850.5743089039</v>
      </c>
      <c r="R15" s="54" t="s">
        <v>37</v>
      </c>
      <c r="AH15" s="51" t="s">
        <v>38</v>
      </c>
      <c r="AI15" s="54" t="s">
        <v>37</v>
      </c>
    </row>
    <row r="16" spans="1:36">
      <c r="A16" s="155">
        <v>10</v>
      </c>
      <c r="B16" s="51" t="s">
        <v>39</v>
      </c>
      <c r="C16" s="55">
        <f>+C15/C9</f>
        <v>0.21688448787945649</v>
      </c>
      <c r="D16" s="55">
        <f t="shared" ref="D16:F16" si="13">+D15/D9</f>
        <v>7.4783428423484302E-2</v>
      </c>
      <c r="E16" s="55">
        <f t="shared" si="13"/>
        <v>0.2947970477714037</v>
      </c>
      <c r="F16" s="55">
        <f t="shared" si="13"/>
        <v>0.34672579516626034</v>
      </c>
      <c r="G16" s="55">
        <f t="shared" ref="G16" si="14">+G15/G9</f>
        <v>0.23232371798957174</v>
      </c>
      <c r="R16" s="51" t="s">
        <v>39</v>
      </c>
      <c r="AH16" s="51" t="s">
        <v>40</v>
      </c>
      <c r="AI16" s="51" t="s">
        <v>39</v>
      </c>
    </row>
    <row r="17" spans="1:36">
      <c r="A17" s="155">
        <v>11</v>
      </c>
      <c r="B17" s="51" t="s">
        <v>41</v>
      </c>
      <c r="C17" s="53">
        <f>C6*C43+C18</f>
        <v>1127210</v>
      </c>
      <c r="D17" s="53">
        <f t="shared" ref="D17:E17" si="15">D6*D43+D18</f>
        <v>357402.5</v>
      </c>
      <c r="E17" s="53">
        <f t="shared" si="15"/>
        <v>691610</v>
      </c>
      <c r="F17" s="53">
        <f t="shared" ref="F17" si="16">F6*F43+F18</f>
        <v>357402.5</v>
      </c>
      <c r="G17" s="53">
        <f>SUM(C17:F17)</f>
        <v>2533625</v>
      </c>
      <c r="H17" s="67"/>
      <c r="R17" s="51" t="s">
        <v>41</v>
      </c>
      <c r="AH17" s="51" t="s">
        <v>42</v>
      </c>
      <c r="AI17" s="51" t="s">
        <v>41</v>
      </c>
    </row>
    <row r="18" spans="1:36" s="45" customFormat="1">
      <c r="A18" s="155">
        <v>12</v>
      </c>
      <c r="B18" s="56" t="s">
        <v>143</v>
      </c>
      <c r="C18" s="57">
        <f>$G$18/$G$6*C6</f>
        <v>286520</v>
      </c>
      <c r="D18" s="57">
        <f>$G$18/$G$6*D6</f>
        <v>71630</v>
      </c>
      <c r="E18" s="57">
        <f>$G$18/$G$6*E6</f>
        <v>286520</v>
      </c>
      <c r="F18" s="57">
        <f>$G$18/$G$6*F6</f>
        <v>71630</v>
      </c>
      <c r="G18" s="57">
        <f>项目投资!D26</f>
        <v>716300</v>
      </c>
      <c r="H18" s="68" t="s">
        <v>144</v>
      </c>
      <c r="I18" s="68"/>
      <c r="J18" s="68"/>
    </row>
    <row r="19" spans="1:36">
      <c r="A19" s="155">
        <v>13</v>
      </c>
      <c r="B19" s="51" t="s">
        <v>43</v>
      </c>
      <c r="C19" s="53">
        <f>C6*C44</f>
        <v>130774</v>
      </c>
      <c r="D19" s="53">
        <f t="shared" ref="D19:E19" si="17">D6*D44</f>
        <v>44453.5</v>
      </c>
      <c r="E19" s="53">
        <f t="shared" si="17"/>
        <v>63014</v>
      </c>
      <c r="F19" s="53">
        <f t="shared" ref="F19" si="18">F6*F44</f>
        <v>44453.5</v>
      </c>
      <c r="G19" s="53">
        <f>SUM(C19:F19)</f>
        <v>282695</v>
      </c>
      <c r="H19" s="45"/>
      <c r="R19" s="51" t="s">
        <v>43</v>
      </c>
      <c r="AH19" s="51" t="s">
        <v>44</v>
      </c>
      <c r="AI19" s="51" t="s">
        <v>43</v>
      </c>
      <c r="AJ19" s="47" t="s">
        <v>17</v>
      </c>
    </row>
    <row r="20" spans="1:36">
      <c r="A20" s="155">
        <v>14</v>
      </c>
      <c r="B20" s="51" t="s">
        <v>45</v>
      </c>
      <c r="C20" s="53">
        <f>C6*C45</f>
        <v>560459.99999999988</v>
      </c>
      <c r="D20" s="53">
        <f t="shared" ref="D20:E20" si="19">D6*D45</f>
        <v>190515</v>
      </c>
      <c r="E20" s="53">
        <f t="shared" si="19"/>
        <v>270060</v>
      </c>
      <c r="F20" s="53">
        <f t="shared" ref="F20" si="20">F6*F45</f>
        <v>190515</v>
      </c>
      <c r="G20" s="53">
        <f>SUM(C20:F20)</f>
        <v>1211550</v>
      </c>
      <c r="R20" s="51" t="s">
        <v>45</v>
      </c>
      <c r="AH20" s="51" t="s">
        <v>46</v>
      </c>
      <c r="AI20" s="51" t="s">
        <v>45</v>
      </c>
    </row>
    <row r="21" spans="1:36">
      <c r="A21" s="155">
        <v>15</v>
      </c>
      <c r="B21" s="51" t="s">
        <v>47</v>
      </c>
      <c r="C21" s="58">
        <f>$G$21/$G$6*C6</f>
        <v>249992</v>
      </c>
      <c r="D21" s="58">
        <f>$G$21/$G$6*D6</f>
        <v>62498</v>
      </c>
      <c r="E21" s="58">
        <f>$G$21/$G$6*E6</f>
        <v>249992</v>
      </c>
      <c r="F21" s="58">
        <f>$G$21/$G$6*F6</f>
        <v>62498</v>
      </c>
      <c r="G21" s="53">
        <f>项目投资!D27</f>
        <v>624980</v>
      </c>
      <c r="R21" s="51" t="s">
        <v>47</v>
      </c>
      <c r="AH21" s="51"/>
      <c r="AI21" s="51"/>
    </row>
    <row r="22" spans="1:36">
      <c r="A22" s="155">
        <v>16</v>
      </c>
      <c r="B22" s="51" t="s">
        <v>48</v>
      </c>
      <c r="C22" s="53">
        <f>C6*C47</f>
        <v>747280</v>
      </c>
      <c r="D22" s="53">
        <f t="shared" ref="D22:E22" si="21">D6*D47</f>
        <v>254020</v>
      </c>
      <c r="E22" s="53">
        <f t="shared" si="21"/>
        <v>360080</v>
      </c>
      <c r="F22" s="53">
        <f t="shared" ref="F22" si="22">F6*F47</f>
        <v>254020</v>
      </c>
      <c r="G22" s="53">
        <f>SUM(C22:F22)</f>
        <v>1615400</v>
      </c>
      <c r="R22" s="51" t="s">
        <v>48</v>
      </c>
      <c r="AH22" s="51" t="s">
        <v>49</v>
      </c>
      <c r="AI22" s="51" t="s">
        <v>48</v>
      </c>
    </row>
    <row r="23" spans="1:36">
      <c r="A23" s="155">
        <v>17</v>
      </c>
      <c r="B23" s="54" t="s">
        <v>50</v>
      </c>
      <c r="C23" s="58">
        <f>+C22+C21+C20+C19+C17</f>
        <v>2815716</v>
      </c>
      <c r="D23" s="58">
        <f t="shared" ref="D23:E23" si="23">+D22+D21+D20+D19+D17</f>
        <v>908889</v>
      </c>
      <c r="E23" s="58">
        <f t="shared" si="23"/>
        <v>1634756</v>
      </c>
      <c r="F23" s="58">
        <f t="shared" ref="F23" si="24">+F22+F21+F20+F19+F17</f>
        <v>908889</v>
      </c>
      <c r="G23" s="58">
        <f t="shared" ref="G23" si="25">+G22+G21+G20+G19+G17</f>
        <v>6268250</v>
      </c>
      <c r="R23" s="54" t="s">
        <v>50</v>
      </c>
      <c r="AH23" s="51" t="s">
        <v>51</v>
      </c>
      <c r="AI23" s="54" t="s">
        <v>50</v>
      </c>
    </row>
    <row r="24" spans="1:36">
      <c r="A24" s="155">
        <v>18</v>
      </c>
      <c r="B24" s="59" t="s">
        <v>52</v>
      </c>
      <c r="C24" s="58">
        <f>+C15-C23</f>
        <v>1075667.2968624709</v>
      </c>
      <c r="D24" s="58">
        <f t="shared" ref="D24:E24" si="26">+D15-D23</f>
        <v>-452783.35941991513</v>
      </c>
      <c r="E24" s="58">
        <f t="shared" si="26"/>
        <v>913918.00828626379</v>
      </c>
      <c r="F24" s="58">
        <f t="shared" ref="F24" si="27">+F15-F23</f>
        <v>1205798.6285800841</v>
      </c>
      <c r="G24" s="58">
        <f t="shared" ref="G24" si="28">+G15-G23</f>
        <v>2742600.5743089039</v>
      </c>
      <c r="I24" s="69"/>
      <c r="R24" s="51" t="s">
        <v>52</v>
      </c>
      <c r="AH24" s="51" t="s">
        <v>53</v>
      </c>
      <c r="AI24" s="51" t="s">
        <v>52</v>
      </c>
    </row>
    <row r="25" spans="1:36">
      <c r="A25" s="155">
        <v>19</v>
      </c>
      <c r="B25" s="51" t="s">
        <v>237</v>
      </c>
      <c r="C25" s="58">
        <f>IF(C24&lt;0,0,C24*0.15)</f>
        <v>161350.09452937063</v>
      </c>
      <c r="D25" s="58">
        <f>IF(D24&lt;0,0,D24*0.15)</f>
        <v>0</v>
      </c>
      <c r="E25" s="58">
        <f>IF(E24&lt;0,0,E24*0.15)</f>
        <v>137087.70124293957</v>
      </c>
      <c r="F25" s="58">
        <f>IF(F24&lt;0,0,F24*0.15)</f>
        <v>180869.7942870126</v>
      </c>
      <c r="G25" s="58">
        <f>IF(G24&lt;0,0,G24*0.15)</f>
        <v>411390.08614633558</v>
      </c>
      <c r="H25" s="65"/>
      <c r="I25" s="65"/>
      <c r="J25" s="65"/>
      <c r="R25" s="51" t="s">
        <v>54</v>
      </c>
      <c r="AH25" s="51" t="s">
        <v>55</v>
      </c>
      <c r="AI25" s="51" t="s">
        <v>54</v>
      </c>
    </row>
    <row r="26" spans="1:36">
      <c r="A26" s="155">
        <v>20</v>
      </c>
      <c r="B26" s="51" t="s">
        <v>56</v>
      </c>
      <c r="C26" s="58">
        <f t="shared" ref="C26:E26" si="29">C24-C25</f>
        <v>914317.20233310026</v>
      </c>
      <c r="D26" s="58">
        <f t="shared" si="29"/>
        <v>-452783.35941991513</v>
      </c>
      <c r="E26" s="58">
        <f t="shared" si="29"/>
        <v>776830.30704332422</v>
      </c>
      <c r="F26" s="58">
        <f t="shared" ref="F26" si="30">F24-F25</f>
        <v>1024928.8342930714</v>
      </c>
      <c r="G26" s="53">
        <f>G24-G25</f>
        <v>2331210.4881625683</v>
      </c>
      <c r="H26" s="185"/>
      <c r="I26" s="65"/>
      <c r="J26" s="65"/>
      <c r="R26" s="51" t="s">
        <v>56</v>
      </c>
      <c r="AH26" s="51" t="s">
        <v>57</v>
      </c>
      <c r="AI26" s="51" t="s">
        <v>56</v>
      </c>
    </row>
    <row r="27" spans="1:36">
      <c r="A27" s="155">
        <v>21</v>
      </c>
      <c r="B27" s="51" t="s">
        <v>60</v>
      </c>
      <c r="C27" s="128">
        <f t="shared" ref="C27:G27" si="31">C26/C7</f>
        <v>4.8941077097371818E-2</v>
      </c>
      <c r="D27" s="128">
        <f t="shared" ref="D27:F27" si="32">D26/D7</f>
        <v>-7.1298851967548246E-2</v>
      </c>
      <c r="E27" s="128">
        <f t="shared" si="32"/>
        <v>8.6295301826630103E-2</v>
      </c>
      <c r="F27" s="128">
        <f t="shared" si="32"/>
        <v>0.16139340749438177</v>
      </c>
      <c r="G27" s="128">
        <f t="shared" si="31"/>
        <v>5.7724662329146179E-2</v>
      </c>
      <c r="H27" s="182"/>
      <c r="I27" s="65"/>
      <c r="J27" s="65"/>
      <c r="R27" s="51" t="s">
        <v>60</v>
      </c>
      <c r="AH27" s="51" t="s">
        <v>59</v>
      </c>
      <c r="AI27" s="51" t="s">
        <v>60</v>
      </c>
    </row>
    <row r="28" spans="1:36">
      <c r="H28" s="65"/>
      <c r="I28" s="65"/>
      <c r="J28" s="65"/>
      <c r="R28" s="51"/>
    </row>
    <row r="29" spans="1:36">
      <c r="A29" s="47" t="s">
        <v>61</v>
      </c>
      <c r="G29" s="48" t="s">
        <v>145</v>
      </c>
      <c r="H29" s="65"/>
      <c r="I29" s="65"/>
      <c r="J29" s="65"/>
      <c r="R29" s="51"/>
      <c r="AH29" s="47" t="s">
        <v>61</v>
      </c>
    </row>
    <row r="30" spans="1:36">
      <c r="A30" s="51" t="s">
        <v>62</v>
      </c>
      <c r="B30" s="54" t="s">
        <v>63</v>
      </c>
      <c r="C30" s="58"/>
      <c r="D30" s="58"/>
      <c r="E30" s="58"/>
      <c r="F30" s="58"/>
      <c r="G30" s="58"/>
      <c r="H30" s="65"/>
      <c r="I30" s="65"/>
      <c r="J30" s="65"/>
      <c r="L30" s="65"/>
      <c r="R30" s="54" t="s">
        <v>63</v>
      </c>
      <c r="AH30" s="51" t="s">
        <v>64</v>
      </c>
      <c r="AI30" s="54" t="s">
        <v>63</v>
      </c>
    </row>
    <row r="31" spans="1:36">
      <c r="A31" s="155">
        <v>1</v>
      </c>
      <c r="B31" s="56" t="s">
        <v>65</v>
      </c>
      <c r="C31" s="61">
        <f>销量!C8</f>
        <v>2335.25</v>
      </c>
      <c r="D31" s="61">
        <f>销量!D8</f>
        <v>3175.25</v>
      </c>
      <c r="E31" s="61">
        <f>销量!E8</f>
        <v>1125.25</v>
      </c>
      <c r="F31" s="61">
        <f>销量!F8</f>
        <v>3175.25</v>
      </c>
      <c r="G31" s="58"/>
      <c r="H31" s="65"/>
      <c r="I31" s="65"/>
      <c r="J31" s="65"/>
      <c r="L31" s="65"/>
      <c r="R31" s="51" t="s">
        <v>65</v>
      </c>
      <c r="AH31" s="51" t="s">
        <v>19</v>
      </c>
      <c r="AI31" s="51" t="s">
        <v>65</v>
      </c>
    </row>
    <row r="32" spans="1:36">
      <c r="A32" s="155">
        <v>2</v>
      </c>
      <c r="B32" s="51" t="s">
        <v>146</v>
      </c>
      <c r="C32" s="53">
        <f>C9/C6</f>
        <v>2242.7740999999996</v>
      </c>
      <c r="D32" s="53">
        <f t="shared" ref="D32:E32" si="33">D9/D6</f>
        <v>3049.5100999999995</v>
      </c>
      <c r="E32" s="53">
        <f t="shared" si="33"/>
        <v>1080.6900999999998</v>
      </c>
      <c r="F32" s="53">
        <f t="shared" ref="F32" si="34">F9/F6</f>
        <v>3049.5100999999995</v>
      </c>
      <c r="G32" s="58"/>
      <c r="H32" s="65"/>
      <c r="I32" s="65"/>
      <c r="J32" s="65"/>
      <c r="K32" s="65"/>
      <c r="L32" s="65"/>
      <c r="M32" s="65"/>
      <c r="N32" s="65"/>
      <c r="AH32" s="51"/>
      <c r="AI32" s="51"/>
    </row>
    <row r="33" spans="1:35">
      <c r="A33" s="155">
        <v>3</v>
      </c>
      <c r="B33" s="56" t="s">
        <v>66</v>
      </c>
      <c r="C33" s="53">
        <f>材料成本!G41</f>
        <v>1496.4472600000001</v>
      </c>
      <c r="D33" s="53">
        <f>材料成本!G42</f>
        <v>2468.0647319999998</v>
      </c>
      <c r="E33" s="53">
        <f>材料成本!G43</f>
        <v>636.87005199999999</v>
      </c>
      <c r="F33" s="53">
        <f>材料成本!G44</f>
        <v>1638.7737380000001</v>
      </c>
      <c r="G33" s="58"/>
      <c r="I33" s="65"/>
      <c r="J33" s="65"/>
      <c r="K33" s="65"/>
      <c r="L33" s="65"/>
      <c r="M33" s="65"/>
      <c r="N33" s="65"/>
      <c r="R33" s="51" t="s">
        <v>66</v>
      </c>
      <c r="AH33" s="51" t="s">
        <v>21</v>
      </c>
      <c r="AI33" s="51" t="s">
        <v>66</v>
      </c>
    </row>
    <row r="34" spans="1:35" ht="17.25" customHeight="1">
      <c r="A34" s="155">
        <v>4</v>
      </c>
      <c r="B34" s="51" t="s">
        <v>68</v>
      </c>
      <c r="C34" s="62">
        <f>C32-C33</f>
        <v>746.32683999999949</v>
      </c>
      <c r="D34" s="62">
        <f t="shared" ref="D34:E34" si="35">D32-D33</f>
        <v>581.44536799999969</v>
      </c>
      <c r="E34" s="62">
        <f t="shared" si="35"/>
        <v>443.82004799999982</v>
      </c>
      <c r="F34" s="62">
        <f t="shared" ref="F34" si="36">F32-F33</f>
        <v>1410.7363619999994</v>
      </c>
      <c r="G34" s="58"/>
      <c r="I34" s="65"/>
      <c r="J34" s="65"/>
      <c r="K34" s="65"/>
      <c r="L34" s="65"/>
      <c r="M34" s="65"/>
      <c r="N34" s="65"/>
      <c r="R34" s="51" t="s">
        <v>68</v>
      </c>
      <c r="AH34" s="51" t="s">
        <v>67</v>
      </c>
      <c r="AI34" s="51" t="s">
        <v>68</v>
      </c>
    </row>
    <row r="35" spans="1:35">
      <c r="A35" s="51" t="s">
        <v>64</v>
      </c>
      <c r="B35" s="54" t="s">
        <v>9</v>
      </c>
      <c r="C35" s="58"/>
      <c r="D35" s="58"/>
      <c r="E35" s="58"/>
      <c r="F35" s="58"/>
      <c r="G35" s="5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54" t="s">
        <v>9</v>
      </c>
      <c r="AH35" s="51" t="s">
        <v>70</v>
      </c>
      <c r="AI35" s="54" t="s">
        <v>9</v>
      </c>
    </row>
    <row r="36" spans="1:35">
      <c r="A36" s="155">
        <v>1</v>
      </c>
      <c r="B36" s="51" t="s">
        <v>71</v>
      </c>
      <c r="C36" s="57">
        <f>'2024年'!C36</f>
        <v>131.28772317627636</v>
      </c>
      <c r="D36" s="57">
        <f>'2024年'!D36</f>
        <v>178.51251172913885</v>
      </c>
      <c r="E36" s="57">
        <f>'2024年'!E36</f>
        <v>63.261539665605383</v>
      </c>
      <c r="F36" s="57">
        <f>'2024年'!F36</f>
        <v>178.51251172913885</v>
      </c>
      <c r="G36" s="6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51" t="s">
        <v>71</v>
      </c>
      <c r="AH36" s="51" t="s">
        <v>67</v>
      </c>
      <c r="AI36" s="51" t="s">
        <v>71</v>
      </c>
    </row>
    <row r="37" spans="1:35">
      <c r="A37" s="155">
        <v>2</v>
      </c>
      <c r="B37" s="51" t="s">
        <v>72</v>
      </c>
      <c r="C37" s="57">
        <f>'2024年'!C37</f>
        <v>35.20620471591414</v>
      </c>
      <c r="D37" s="57">
        <f>'2024年'!D37</f>
        <v>47.870035980818493</v>
      </c>
      <c r="E37" s="57">
        <f>'2024年'!E37</f>
        <v>16.96425729861145</v>
      </c>
      <c r="F37" s="57">
        <f>'2024年'!F37</f>
        <v>47.870035980818493</v>
      </c>
      <c r="G37" s="6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51" t="s">
        <v>72</v>
      </c>
      <c r="AH37" s="51" t="s">
        <v>24</v>
      </c>
      <c r="AI37" s="51" t="s">
        <v>72</v>
      </c>
    </row>
    <row r="38" spans="1:35">
      <c r="A38" s="155">
        <v>3</v>
      </c>
      <c r="B38" s="51" t="s">
        <v>73</v>
      </c>
      <c r="C38" s="57">
        <f>'2024年'!C38</f>
        <v>93.409999999999982</v>
      </c>
      <c r="D38" s="57">
        <f>'2024年'!D38</f>
        <v>127.00999999999998</v>
      </c>
      <c r="E38" s="57">
        <f>'2024年'!E38</f>
        <v>45.009999999999991</v>
      </c>
      <c r="F38" s="57">
        <f>'2024年'!F38</f>
        <v>127.00999999999998</v>
      </c>
      <c r="G38" s="61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51" t="s">
        <v>73</v>
      </c>
      <c r="AH38" s="51" t="s">
        <v>30</v>
      </c>
      <c r="AI38" s="51" t="s">
        <v>73</v>
      </c>
    </row>
    <row r="39" spans="1:35">
      <c r="A39" s="51" t="s">
        <v>70</v>
      </c>
      <c r="B39" s="54" t="s">
        <v>75</v>
      </c>
      <c r="C39" s="58"/>
      <c r="D39" s="58"/>
      <c r="E39" s="58"/>
      <c r="F39" s="58"/>
      <c r="G39" s="58"/>
      <c r="R39" s="54" t="s">
        <v>75</v>
      </c>
      <c r="AH39" s="51" t="s">
        <v>74</v>
      </c>
      <c r="AI39" s="54" t="s">
        <v>75</v>
      </c>
    </row>
    <row r="40" spans="1:35">
      <c r="A40" s="155">
        <v>1</v>
      </c>
      <c r="B40" s="51" t="s">
        <v>77</v>
      </c>
      <c r="C40" s="58">
        <f>C34-C36-C37-C38</f>
        <v>486.422912107809</v>
      </c>
      <c r="D40" s="58">
        <f t="shared" ref="D40:F40" si="37">D34-D36-D37-D38</f>
        <v>228.05282029004235</v>
      </c>
      <c r="E40" s="58">
        <f t="shared" si="37"/>
        <v>318.58425103578298</v>
      </c>
      <c r="F40" s="58">
        <f t="shared" si="37"/>
        <v>1057.343814290042</v>
      </c>
      <c r="G40" s="58"/>
      <c r="R40" s="51" t="s">
        <v>77</v>
      </c>
      <c r="AH40" s="51" t="s">
        <v>19</v>
      </c>
      <c r="AI40" s="51" t="s">
        <v>77</v>
      </c>
    </row>
    <row r="41" spans="1:35">
      <c r="A41" s="155">
        <v>2</v>
      </c>
      <c r="B41" s="51" t="s">
        <v>78</v>
      </c>
      <c r="C41" s="58"/>
      <c r="D41" s="58"/>
      <c r="E41" s="58"/>
      <c r="F41" s="58"/>
      <c r="G41" s="58"/>
      <c r="R41" s="51" t="s">
        <v>78</v>
      </c>
      <c r="AH41" s="51" t="s">
        <v>21</v>
      </c>
      <c r="AI41" s="51" t="s">
        <v>78</v>
      </c>
    </row>
    <row r="42" spans="1:35">
      <c r="A42" s="51" t="s">
        <v>74</v>
      </c>
      <c r="B42" s="54" t="s">
        <v>80</v>
      </c>
      <c r="C42" s="58"/>
      <c r="D42" s="58"/>
      <c r="E42" s="58"/>
      <c r="F42" s="58"/>
      <c r="G42" s="58"/>
      <c r="R42" s="54" t="s">
        <v>80</v>
      </c>
      <c r="AH42" s="51" t="s">
        <v>79</v>
      </c>
      <c r="AI42" s="54" t="s">
        <v>80</v>
      </c>
    </row>
    <row r="43" spans="1:35">
      <c r="A43" s="155">
        <v>1</v>
      </c>
      <c r="B43" s="59" t="s">
        <v>81</v>
      </c>
      <c r="C43" s="57">
        <f>'2024年'!C43</f>
        <v>105.08624999999999</v>
      </c>
      <c r="D43" s="57">
        <f>'2024年'!D43</f>
        <v>142.88624999999999</v>
      </c>
      <c r="E43" s="57">
        <f>'2024年'!E43</f>
        <v>50.636249999999997</v>
      </c>
      <c r="F43" s="57">
        <f>'2024年'!F43</f>
        <v>142.88624999999999</v>
      </c>
      <c r="G43" s="58"/>
      <c r="R43" s="51" t="s">
        <v>81</v>
      </c>
      <c r="AH43" s="51" t="s">
        <v>19</v>
      </c>
      <c r="AI43" s="51" t="s">
        <v>81</v>
      </c>
    </row>
    <row r="44" spans="1:35">
      <c r="A44" s="155">
        <v>2</v>
      </c>
      <c r="B44" s="59" t="s">
        <v>82</v>
      </c>
      <c r="C44" s="57">
        <f>'2024年'!C44</f>
        <v>16.34675</v>
      </c>
      <c r="D44" s="57">
        <f>'2024年'!D44</f>
        <v>22.226749999999999</v>
      </c>
      <c r="E44" s="57">
        <f>'2024年'!E44</f>
        <v>7.8767500000000004</v>
      </c>
      <c r="F44" s="57">
        <f>'2024年'!F44</f>
        <v>22.226749999999999</v>
      </c>
      <c r="G44" s="58"/>
      <c r="R44" s="51" t="s">
        <v>82</v>
      </c>
      <c r="AH44" s="51" t="s">
        <v>21</v>
      </c>
      <c r="AI44" s="51" t="s">
        <v>82</v>
      </c>
    </row>
    <row r="45" spans="1:35">
      <c r="A45" s="155">
        <v>3</v>
      </c>
      <c r="B45" s="59" t="s">
        <v>83</v>
      </c>
      <c r="C45" s="57">
        <f>'2024年'!C45</f>
        <v>70.05749999999999</v>
      </c>
      <c r="D45" s="57">
        <f>'2024年'!D45</f>
        <v>95.257499999999993</v>
      </c>
      <c r="E45" s="57">
        <f>'2024年'!E45</f>
        <v>33.7575</v>
      </c>
      <c r="F45" s="57">
        <f>'2024年'!F45</f>
        <v>95.257499999999993</v>
      </c>
      <c r="G45" s="58"/>
      <c r="R45" s="51" t="s">
        <v>83</v>
      </c>
      <c r="AH45" s="51" t="s">
        <v>67</v>
      </c>
      <c r="AI45" s="51" t="s">
        <v>83</v>
      </c>
    </row>
    <row r="46" spans="1:35" s="46" customFormat="1">
      <c r="A46" s="155">
        <v>4</v>
      </c>
      <c r="B46" s="59" t="s">
        <v>84</v>
      </c>
      <c r="C46" s="63">
        <f>C21/C6</f>
        <v>31.248999999999999</v>
      </c>
      <c r="D46" s="63">
        <f t="shared" ref="D46:F46" si="38">D21/D6</f>
        <v>31.248999999999999</v>
      </c>
      <c r="E46" s="63">
        <f t="shared" si="38"/>
        <v>31.248999999999999</v>
      </c>
      <c r="F46" s="63">
        <f t="shared" si="38"/>
        <v>31.248999999999999</v>
      </c>
      <c r="G46" s="63"/>
      <c r="R46" s="59" t="s">
        <v>86</v>
      </c>
      <c r="AH46" s="59" t="s">
        <v>27</v>
      </c>
      <c r="AI46" s="59" t="s">
        <v>86</v>
      </c>
    </row>
    <row r="47" spans="1:35" s="46" customFormat="1">
      <c r="A47" s="155">
        <v>5</v>
      </c>
      <c r="B47" s="59" t="s">
        <v>86</v>
      </c>
      <c r="C47" s="63">
        <f>'2024年'!C47</f>
        <v>93.41</v>
      </c>
      <c r="D47" s="63">
        <f>'2024年'!D47</f>
        <v>127.01</v>
      </c>
      <c r="E47" s="63">
        <f>'2024年'!E47</f>
        <v>45.01</v>
      </c>
      <c r="F47" s="63">
        <f>'2024年'!F47</f>
        <v>127.01</v>
      </c>
      <c r="G47" s="63"/>
      <c r="R47" s="59" t="s">
        <v>86</v>
      </c>
      <c r="AH47" s="59" t="s">
        <v>27</v>
      </c>
      <c r="AI47" s="59" t="s">
        <v>86</v>
      </c>
    </row>
    <row r="48" spans="1:35">
      <c r="A48" s="51" t="s">
        <v>79</v>
      </c>
      <c r="B48" s="54" t="s">
        <v>97</v>
      </c>
      <c r="C48" s="58">
        <f>C40-C43-C44-C45-C47-C46</f>
        <v>170.27341210780901</v>
      </c>
      <c r="D48" s="58">
        <f t="shared" ref="D48:F48" si="39">D40-D43-D44-D45-D47-D46</f>
        <v>-190.57667970995763</v>
      </c>
      <c r="E48" s="58">
        <f t="shared" si="39"/>
        <v>150.05475103578297</v>
      </c>
      <c r="F48" s="58">
        <f t="shared" si="39"/>
        <v>638.71431429004201</v>
      </c>
      <c r="G48" s="58"/>
      <c r="R48" s="54" t="s">
        <v>97</v>
      </c>
      <c r="AH48" s="51" t="s">
        <v>96</v>
      </c>
      <c r="AI48" s="54" t="s">
        <v>97</v>
      </c>
    </row>
    <row r="51" spans="2:12">
      <c r="C51" s="64"/>
      <c r="D51" s="64"/>
      <c r="E51" s="64"/>
      <c r="F51" s="64"/>
    </row>
    <row r="54" spans="2:12">
      <c r="B54" s="65"/>
      <c r="C54" s="66"/>
      <c r="D54" s="66"/>
      <c r="E54" s="66"/>
      <c r="F54" s="66"/>
      <c r="G54" s="66"/>
      <c r="H54" s="65"/>
      <c r="I54" s="65"/>
      <c r="J54" s="65"/>
      <c r="K54" s="65"/>
      <c r="L54" s="65"/>
    </row>
    <row r="55" spans="2:12">
      <c r="B55" s="65"/>
      <c r="C55" s="66"/>
      <c r="D55" s="66"/>
      <c r="E55" s="66"/>
      <c r="F55" s="66"/>
      <c r="G55" s="66"/>
      <c r="H55" s="65"/>
      <c r="I55" s="65"/>
      <c r="J55" s="65"/>
      <c r="K55" s="65"/>
      <c r="L55" s="65"/>
    </row>
    <row r="56" spans="2:12">
      <c r="B56" s="65"/>
      <c r="C56" s="66"/>
      <c r="D56" s="66"/>
      <c r="E56" s="66"/>
      <c r="F56" s="66"/>
      <c r="G56" s="66"/>
      <c r="H56" s="65"/>
      <c r="I56" s="65"/>
      <c r="J56" s="65"/>
      <c r="K56" s="65"/>
      <c r="L56" s="65"/>
    </row>
    <row r="57" spans="2:12">
      <c r="B57" s="65"/>
      <c r="C57" s="66"/>
      <c r="D57" s="66"/>
      <c r="E57" s="66"/>
      <c r="F57" s="66"/>
      <c r="G57" s="66"/>
      <c r="H57" s="65"/>
      <c r="I57" s="65"/>
      <c r="J57" s="65"/>
      <c r="K57" s="65"/>
      <c r="L57" s="65"/>
    </row>
    <row r="58" spans="2:12">
      <c r="B58" s="65"/>
      <c r="C58" s="66"/>
      <c r="D58" s="66"/>
      <c r="E58" s="66"/>
      <c r="F58" s="66"/>
      <c r="G58" s="66"/>
      <c r="H58" s="65"/>
      <c r="I58" s="65"/>
      <c r="J58" s="65"/>
      <c r="K58" s="65"/>
      <c r="L58" s="65"/>
    </row>
    <row r="59" spans="2:12">
      <c r="B59" s="65"/>
      <c r="C59" s="66"/>
      <c r="D59" s="66"/>
      <c r="E59" s="66"/>
      <c r="F59" s="66"/>
      <c r="G59" s="66"/>
      <c r="H59" s="65"/>
      <c r="I59" s="65"/>
      <c r="J59" s="65"/>
      <c r="K59" s="65"/>
      <c r="L59" s="65"/>
    </row>
    <row r="60" spans="2:12">
      <c r="B60" s="65"/>
      <c r="C60" s="66"/>
      <c r="D60" s="66"/>
      <c r="E60" s="66"/>
      <c r="F60" s="66"/>
      <c r="G60" s="66"/>
      <c r="H60" s="65"/>
      <c r="I60" s="65"/>
      <c r="J60" s="65"/>
      <c r="K60" s="65"/>
      <c r="L60" s="65"/>
    </row>
    <row r="61" spans="2:12">
      <c r="B61" s="65"/>
      <c r="C61" s="66"/>
      <c r="D61" s="66"/>
      <c r="E61" s="66"/>
      <c r="F61" s="66"/>
      <c r="G61" s="66"/>
      <c r="H61" s="65"/>
      <c r="I61" s="65"/>
      <c r="J61" s="65"/>
      <c r="K61" s="65"/>
      <c r="L61" s="65"/>
    </row>
    <row r="62" spans="2:12">
      <c r="B62" s="65"/>
      <c r="C62" s="66"/>
      <c r="D62" s="66"/>
      <c r="E62" s="66"/>
      <c r="F62" s="66"/>
      <c r="G62" s="66"/>
      <c r="H62" s="65"/>
      <c r="I62" s="65"/>
      <c r="J62" s="65"/>
      <c r="K62" s="65"/>
      <c r="L62" s="65"/>
    </row>
    <row r="63" spans="2:12">
      <c r="B63" s="65"/>
      <c r="C63" s="66"/>
      <c r="D63" s="66"/>
      <c r="E63" s="66"/>
      <c r="F63" s="66"/>
      <c r="G63" s="66"/>
      <c r="H63" s="65"/>
      <c r="I63" s="65"/>
      <c r="J63" s="65"/>
      <c r="K63" s="65"/>
      <c r="L63" s="65"/>
    </row>
    <row r="64" spans="2:12">
      <c r="B64" s="65"/>
      <c r="C64" s="66"/>
      <c r="D64" s="66"/>
      <c r="E64" s="66"/>
      <c r="F64" s="66"/>
      <c r="G64" s="66"/>
      <c r="H64" s="65"/>
      <c r="I64" s="65"/>
      <c r="J64" s="65"/>
      <c r="K64" s="65"/>
      <c r="L64" s="65"/>
    </row>
    <row r="65" spans="2:12">
      <c r="B65" s="65"/>
      <c r="C65" s="66"/>
      <c r="D65" s="66"/>
      <c r="E65" s="66"/>
      <c r="F65" s="66"/>
      <c r="G65" s="66"/>
      <c r="H65" s="65"/>
      <c r="I65" s="65"/>
      <c r="J65" s="65"/>
      <c r="K65" s="65"/>
      <c r="L65" s="65"/>
    </row>
    <row r="66" spans="2:12">
      <c r="B66" s="65"/>
      <c r="C66" s="66"/>
      <c r="D66" s="66"/>
      <c r="E66" s="66"/>
      <c r="F66" s="66"/>
      <c r="G66" s="66"/>
      <c r="H66" s="65"/>
      <c r="I66" s="65"/>
      <c r="J66" s="65"/>
      <c r="K66" s="65"/>
      <c r="L66" s="65"/>
    </row>
    <row r="67" spans="2:12">
      <c r="B67" s="65"/>
      <c r="C67" s="66"/>
      <c r="D67" s="66"/>
      <c r="E67" s="66"/>
      <c r="F67" s="66"/>
      <c r="G67" s="66"/>
      <c r="H67" s="65"/>
    </row>
    <row r="68" spans="2:12">
      <c r="B68" s="65"/>
      <c r="C68" s="66"/>
      <c r="D68" s="66"/>
      <c r="E68" s="66"/>
      <c r="F68" s="66"/>
      <c r="G68" s="66"/>
      <c r="H68" s="65"/>
    </row>
    <row r="69" spans="2:12">
      <c r="B69" s="65"/>
      <c r="C69" s="66"/>
      <c r="D69" s="66"/>
      <c r="E69" s="66"/>
      <c r="F69" s="66"/>
      <c r="G69" s="66"/>
      <c r="H69" s="65"/>
    </row>
    <row r="70" spans="2:12">
      <c r="B70" s="65"/>
      <c r="C70" s="66"/>
      <c r="D70" s="66"/>
      <c r="E70" s="66"/>
      <c r="F70" s="66"/>
      <c r="G70" s="66"/>
      <c r="H70" s="65"/>
    </row>
    <row r="71" spans="2:12">
      <c r="B71" s="65"/>
      <c r="C71" s="66"/>
      <c r="D71" s="66"/>
      <c r="E71" s="66"/>
      <c r="F71" s="66"/>
      <c r="G71" s="66"/>
      <c r="H71" s="65"/>
    </row>
    <row r="72" spans="2:12">
      <c r="B72" s="65"/>
      <c r="C72" s="66"/>
      <c r="D72" s="66"/>
      <c r="E72" s="66"/>
      <c r="F72" s="66"/>
      <c r="G72" s="66"/>
      <c r="H72" s="65"/>
    </row>
    <row r="73" spans="2:12">
      <c r="B73" s="65"/>
      <c r="C73" s="66"/>
      <c r="D73" s="66"/>
      <c r="E73" s="66"/>
      <c r="F73" s="66"/>
      <c r="G73" s="66"/>
      <c r="H73" s="65"/>
    </row>
    <row r="74" spans="2:12">
      <c r="B74" s="65"/>
      <c r="C74" s="66"/>
      <c r="D74" s="66"/>
      <c r="E74" s="66"/>
      <c r="F74" s="66"/>
      <c r="G74" s="66"/>
      <c r="H74" s="65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selection activeCell="G25" sqref="G25:G26"/>
    </sheetView>
  </sheetViews>
  <sheetFormatPr defaultColWidth="9" defaultRowHeight="16.5"/>
  <cols>
    <col min="1" max="1" width="5.125" style="47" customWidth="1"/>
    <col min="2" max="2" width="17.5" style="47" customWidth="1"/>
    <col min="3" max="3" width="13.25" style="48" customWidth="1"/>
    <col min="4" max="4" width="20.25" style="48" bestFit="1" customWidth="1"/>
    <col min="5" max="6" width="13.25" style="48" customWidth="1"/>
    <col min="7" max="7" width="18.75" style="48" customWidth="1"/>
    <col min="8" max="8" width="12.375" style="47" customWidth="1"/>
    <col min="9" max="9" width="10.125" style="47" customWidth="1"/>
    <col min="10" max="16" width="9" style="47" customWidth="1"/>
    <col min="17" max="33" width="9" style="47"/>
    <col min="34" max="34" width="4.375" style="47" customWidth="1"/>
    <col min="35" max="35" width="13.875" style="47" customWidth="1"/>
    <col min="36" max="16384" width="9" style="47"/>
  </cols>
  <sheetData>
    <row r="1" spans="1:36">
      <c r="A1" s="251" t="s">
        <v>137</v>
      </c>
      <c r="B1" s="251"/>
      <c r="C1" s="255" t="s">
        <v>267</v>
      </c>
      <c r="D1" s="256"/>
      <c r="E1" s="256"/>
      <c r="F1" s="256"/>
      <c r="G1" s="257"/>
    </row>
    <row r="2" spans="1:36">
      <c r="A2" s="251" t="s">
        <v>138</v>
      </c>
      <c r="B2" s="251"/>
      <c r="C2" s="258" t="str">
        <f>'2024年'!C2:G2</f>
        <v>吉利</v>
      </c>
      <c r="D2" s="258"/>
      <c r="E2" s="258"/>
      <c r="F2" s="258"/>
      <c r="G2" s="258"/>
    </row>
    <row r="3" spans="1:36">
      <c r="A3" s="251" t="s">
        <v>139</v>
      </c>
      <c r="B3" s="251"/>
      <c r="C3" s="156" t="str">
        <f>销量!C5</f>
        <v>驾驶员座椅总成</v>
      </c>
      <c r="D3" s="156" t="str">
        <f>销量!D5</f>
        <v>驾驶员座椅总成</v>
      </c>
      <c r="E3" s="156" t="str">
        <f>销量!E5</f>
        <v>乘客单人座椅总成</v>
      </c>
      <c r="F3" s="156" t="str">
        <f>销量!F5</f>
        <v>乘客单人座椅总成</v>
      </c>
      <c r="G3" s="252" t="s">
        <v>15</v>
      </c>
    </row>
    <row r="4" spans="1:36">
      <c r="A4" s="251" t="s">
        <v>140</v>
      </c>
      <c r="B4" s="251"/>
      <c r="C4" s="156" t="str">
        <f>销量!C6</f>
        <v>68N2531-00010</v>
      </c>
      <c r="D4" s="156" t="str">
        <f>销量!D6</f>
        <v>68N2531-00020</v>
      </c>
      <c r="E4" s="156" t="str">
        <f>销量!E6</f>
        <v>71NE2531-0010</v>
      </c>
      <c r="F4" s="156" t="str">
        <f>销量!F6</f>
        <v>71NE2531-0020</v>
      </c>
      <c r="G4" s="253"/>
    </row>
    <row r="5" spans="1:36">
      <c r="A5" s="251" t="s">
        <v>141</v>
      </c>
      <c r="B5" s="251"/>
      <c r="C5" s="50"/>
      <c r="D5" s="50"/>
      <c r="E5" s="50"/>
      <c r="F5" s="206"/>
      <c r="G5" s="254"/>
      <c r="AJ5" s="47" t="s">
        <v>16</v>
      </c>
    </row>
    <row r="6" spans="1:36" ht="17.25">
      <c r="A6" s="51" t="s">
        <v>14</v>
      </c>
      <c r="B6" s="52" t="s">
        <v>142</v>
      </c>
      <c r="C6" s="21">
        <f>销量!C12</f>
        <v>12000</v>
      </c>
      <c r="D6" s="21">
        <f>销量!D12</f>
        <v>3000</v>
      </c>
      <c r="E6" s="21">
        <f>销量!E12</f>
        <v>12000</v>
      </c>
      <c r="F6" s="21">
        <f>销量!F12</f>
        <v>3000</v>
      </c>
      <c r="G6" s="53">
        <f t="shared" ref="G6:G15" si="0">SUM(C6:F6)</f>
        <v>30000</v>
      </c>
      <c r="R6" s="52" t="s">
        <v>3</v>
      </c>
      <c r="AH6" s="51" t="s">
        <v>14</v>
      </c>
      <c r="AI6" s="52" t="s">
        <v>3</v>
      </c>
      <c r="AJ6" s="47" t="s">
        <v>17</v>
      </c>
    </row>
    <row r="7" spans="1:36">
      <c r="A7" s="205">
        <v>1</v>
      </c>
      <c r="B7" s="52" t="s">
        <v>18</v>
      </c>
      <c r="C7" s="53">
        <f>C6*销量!C8</f>
        <v>28023000</v>
      </c>
      <c r="D7" s="53">
        <f>D6*销量!D8</f>
        <v>9525750</v>
      </c>
      <c r="E7" s="53">
        <f>E6*销量!E8</f>
        <v>13503000</v>
      </c>
      <c r="F7" s="53">
        <f>F6*销量!F8</f>
        <v>9525750</v>
      </c>
      <c r="G7" s="53">
        <f t="shared" si="0"/>
        <v>60577500</v>
      </c>
      <c r="H7" s="48"/>
      <c r="R7" s="52" t="s">
        <v>18</v>
      </c>
      <c r="AH7" s="51" t="s">
        <v>19</v>
      </c>
      <c r="AI7" s="52" t="s">
        <v>18</v>
      </c>
      <c r="AJ7" s="47" t="s">
        <v>17</v>
      </c>
    </row>
    <row r="8" spans="1:36">
      <c r="A8" s="205">
        <v>2</v>
      </c>
      <c r="B8" s="205" t="s">
        <v>20</v>
      </c>
      <c r="C8" s="53">
        <f>C7*(1-销量!$L$9)</f>
        <v>1647976.5840000024</v>
      </c>
      <c r="D8" s="53">
        <f>D7*(1-销量!$L$8)</f>
        <v>377219.70000000077</v>
      </c>
      <c r="E8" s="53">
        <f>E7*(1-销量!$L$8)</f>
        <v>534718.80000000109</v>
      </c>
      <c r="F8" s="53">
        <f>F7*(1-销量!$L$8)</f>
        <v>377219.70000000077</v>
      </c>
      <c r="G8" s="53">
        <f t="shared" si="0"/>
        <v>2937134.7840000051</v>
      </c>
      <c r="H8" s="67"/>
      <c r="R8" s="205" t="s">
        <v>22</v>
      </c>
      <c r="AH8" s="51" t="s">
        <v>21</v>
      </c>
      <c r="AI8" s="205" t="s">
        <v>22</v>
      </c>
      <c r="AJ8" s="47" t="s">
        <v>17</v>
      </c>
    </row>
    <row r="9" spans="1:36">
      <c r="A9" s="205">
        <v>3</v>
      </c>
      <c r="B9" s="52" t="s">
        <v>23</v>
      </c>
      <c r="C9" s="53">
        <f>+C7-C8</f>
        <v>26375023.415999997</v>
      </c>
      <c r="D9" s="53">
        <f t="shared" ref="D9:F9" si="1">+D7-D8</f>
        <v>9148530.2999999989</v>
      </c>
      <c r="E9" s="53">
        <f t="shared" si="1"/>
        <v>12968281.199999999</v>
      </c>
      <c r="F9" s="53">
        <f t="shared" si="1"/>
        <v>9148530.2999999989</v>
      </c>
      <c r="G9" s="53">
        <f t="shared" si="0"/>
        <v>57640365.215999991</v>
      </c>
      <c r="R9" s="52" t="s">
        <v>23</v>
      </c>
      <c r="AH9" s="51" t="s">
        <v>24</v>
      </c>
      <c r="AI9" s="52" t="s">
        <v>23</v>
      </c>
      <c r="AJ9" s="47" t="s">
        <v>25</v>
      </c>
    </row>
    <row r="10" spans="1:36">
      <c r="A10" s="205">
        <v>4</v>
      </c>
      <c r="B10" s="51" t="s">
        <v>26</v>
      </c>
      <c r="C10" s="53">
        <f>C6*材料成本!H41</f>
        <v>17598219.777600002</v>
      </c>
      <c r="D10" s="53">
        <f>D6*材料成本!H42</f>
        <v>7256110.3120799996</v>
      </c>
      <c r="E10" s="53">
        <f>E6*材料成本!H43</f>
        <v>7489591.81152</v>
      </c>
      <c r="F10" s="53">
        <f>F6*材料成本!H44</f>
        <v>4817994.7897200007</v>
      </c>
      <c r="G10" s="53">
        <f t="shared" si="0"/>
        <v>37161916.690920003</v>
      </c>
      <c r="R10" s="51" t="s">
        <v>26</v>
      </c>
      <c r="AH10" s="51" t="s">
        <v>27</v>
      </c>
      <c r="AI10" s="51" t="s">
        <v>26</v>
      </c>
      <c r="AJ10" s="47" t="s">
        <v>28</v>
      </c>
    </row>
    <row r="11" spans="1:36">
      <c r="A11" s="205">
        <v>5</v>
      </c>
      <c r="B11" s="51" t="s">
        <v>29</v>
      </c>
      <c r="C11" s="53">
        <f>+C6*C36</f>
        <v>1575452.6781153162</v>
      </c>
      <c r="D11" s="53">
        <f t="shared" ref="D11:F11" si="2">+D6*D36</f>
        <v>535537.53518741659</v>
      </c>
      <c r="E11" s="53">
        <f t="shared" si="2"/>
        <v>759138.47598726465</v>
      </c>
      <c r="F11" s="53">
        <f t="shared" si="2"/>
        <v>535537.53518741659</v>
      </c>
      <c r="G11" s="53">
        <f t="shared" si="0"/>
        <v>3405666.224477414</v>
      </c>
      <c r="R11" s="51" t="s">
        <v>29</v>
      </c>
      <c r="AH11" s="51" t="s">
        <v>30</v>
      </c>
      <c r="AI11" s="51" t="s">
        <v>29</v>
      </c>
    </row>
    <row r="12" spans="1:36">
      <c r="A12" s="205">
        <v>6</v>
      </c>
      <c r="B12" s="51" t="s">
        <v>31</v>
      </c>
      <c r="C12" s="53">
        <f>+C6*C37</f>
        <v>422474.4565909697</v>
      </c>
      <c r="D12" s="53">
        <f t="shared" ref="D12:F12" si="3">+D6*D37</f>
        <v>143610.10794245548</v>
      </c>
      <c r="E12" s="53">
        <f t="shared" si="3"/>
        <v>203571.08758333742</v>
      </c>
      <c r="F12" s="53">
        <f t="shared" si="3"/>
        <v>143610.10794245548</v>
      </c>
      <c r="G12" s="53">
        <f t="shared" si="0"/>
        <v>913265.76005921804</v>
      </c>
      <c r="R12" s="51" t="s">
        <v>31</v>
      </c>
      <c r="AH12" s="51" t="s">
        <v>32</v>
      </c>
      <c r="AI12" s="51" t="s">
        <v>31</v>
      </c>
    </row>
    <row r="13" spans="1:36">
      <c r="A13" s="205">
        <v>7</v>
      </c>
      <c r="B13" s="51" t="s">
        <v>33</v>
      </c>
      <c r="C13" s="53">
        <f>+C6*C38</f>
        <v>1120919.9999999998</v>
      </c>
      <c r="D13" s="53">
        <f t="shared" ref="D13:F13" si="4">+D6*D38</f>
        <v>381029.99999999994</v>
      </c>
      <c r="E13" s="53">
        <f t="shared" si="4"/>
        <v>540119.99999999988</v>
      </c>
      <c r="F13" s="53">
        <f t="shared" si="4"/>
        <v>381029.99999999994</v>
      </c>
      <c r="G13" s="53">
        <f t="shared" si="0"/>
        <v>2423099.9999999995</v>
      </c>
      <c r="R13" s="51" t="s">
        <v>33</v>
      </c>
      <c r="AH13" s="51" t="s">
        <v>34</v>
      </c>
      <c r="AI13" s="51" t="s">
        <v>33</v>
      </c>
      <c r="AJ13" s="47" t="s">
        <v>17</v>
      </c>
    </row>
    <row r="14" spans="1:36">
      <c r="A14" s="205">
        <v>8</v>
      </c>
      <c r="B14" s="54" t="s">
        <v>35</v>
      </c>
      <c r="C14" s="53">
        <f>SUM(C11:C13)</f>
        <v>3118847.1347062858</v>
      </c>
      <c r="D14" s="53">
        <f t="shared" ref="D14:F14" si="5">SUM(D11:D13)</f>
        <v>1060177.6431298719</v>
      </c>
      <c r="E14" s="53">
        <f t="shared" si="5"/>
        <v>1502829.5635706019</v>
      </c>
      <c r="F14" s="53">
        <f t="shared" si="5"/>
        <v>1060177.6431298719</v>
      </c>
      <c r="G14" s="53">
        <f t="shared" si="0"/>
        <v>6742031.984536632</v>
      </c>
      <c r="R14" s="54" t="s">
        <v>35</v>
      </c>
      <c r="AH14" s="51" t="s">
        <v>36</v>
      </c>
      <c r="AI14" s="54" t="s">
        <v>35</v>
      </c>
    </row>
    <row r="15" spans="1:36">
      <c r="A15" s="205">
        <v>9</v>
      </c>
      <c r="B15" s="54" t="s">
        <v>37</v>
      </c>
      <c r="C15" s="53">
        <f>+C9-C10-C14</f>
        <v>5657956.5036937101</v>
      </c>
      <c r="D15" s="53">
        <f t="shared" ref="D15:F15" si="6">+D9-D10-D14</f>
        <v>832242.34479012736</v>
      </c>
      <c r="E15" s="53">
        <f t="shared" si="6"/>
        <v>3975859.8249093974</v>
      </c>
      <c r="F15" s="53">
        <f t="shared" si="6"/>
        <v>3270357.867150126</v>
      </c>
      <c r="G15" s="53">
        <f t="shared" si="0"/>
        <v>13736416.540543361</v>
      </c>
      <c r="R15" s="54" t="s">
        <v>37</v>
      </c>
      <c r="AH15" s="51" t="s">
        <v>38</v>
      </c>
      <c r="AI15" s="54" t="s">
        <v>37</v>
      </c>
    </row>
    <row r="16" spans="1:36">
      <c r="A16" s="205">
        <v>10</v>
      </c>
      <c r="B16" s="51" t="s">
        <v>39</v>
      </c>
      <c r="C16" s="55">
        <f>+C15/C9</f>
        <v>0.21451948741252677</v>
      </c>
      <c r="D16" s="55">
        <f t="shared" ref="D16:G16" si="7">+D15/D9</f>
        <v>9.0970059397423378E-2</v>
      </c>
      <c r="E16" s="55">
        <f t="shared" si="7"/>
        <v>0.30658340635838444</v>
      </c>
      <c r="F16" s="55">
        <f t="shared" si="7"/>
        <v>0.35747357880534392</v>
      </c>
      <c r="G16" s="55">
        <f t="shared" si="7"/>
        <v>0.23831244803997814</v>
      </c>
      <c r="R16" s="51" t="s">
        <v>39</v>
      </c>
      <c r="AH16" s="51" t="s">
        <v>40</v>
      </c>
      <c r="AI16" s="51" t="s">
        <v>39</v>
      </c>
    </row>
    <row r="17" spans="1:36">
      <c r="A17" s="205">
        <v>11</v>
      </c>
      <c r="B17" s="51" t="s">
        <v>41</v>
      </c>
      <c r="C17" s="53">
        <f>C6*C43+C18</f>
        <v>1547555</v>
      </c>
      <c r="D17" s="53">
        <f t="shared" ref="D17:E17" si="8">D6*D43+D18</f>
        <v>500288.74999999994</v>
      </c>
      <c r="E17" s="53">
        <f t="shared" si="8"/>
        <v>894155</v>
      </c>
      <c r="F17" s="53">
        <f t="shared" ref="F17" si="9">F6*F43+F18</f>
        <v>500288.74999999994</v>
      </c>
      <c r="G17" s="53">
        <f>SUM(C17:F17)</f>
        <v>3442287.5</v>
      </c>
      <c r="H17" s="67"/>
      <c r="R17" s="51" t="s">
        <v>41</v>
      </c>
      <c r="AH17" s="51" t="s">
        <v>42</v>
      </c>
      <c r="AI17" s="51" t="s">
        <v>41</v>
      </c>
    </row>
    <row r="18" spans="1:36" s="45" customFormat="1">
      <c r="A18" s="205">
        <v>12</v>
      </c>
      <c r="B18" s="56" t="s">
        <v>143</v>
      </c>
      <c r="C18" s="57">
        <f>$G$18/$G$6*C6</f>
        <v>286520</v>
      </c>
      <c r="D18" s="57">
        <f>$G$18/$G$6*D6</f>
        <v>71630</v>
      </c>
      <c r="E18" s="57">
        <f>$G$18/$G$6*E6</f>
        <v>286520</v>
      </c>
      <c r="F18" s="57">
        <f>$G$18/$G$6*F6</f>
        <v>71630</v>
      </c>
      <c r="G18" s="57">
        <f>项目投资!D26</f>
        <v>716300</v>
      </c>
      <c r="H18" s="68" t="s">
        <v>144</v>
      </c>
      <c r="I18" s="68"/>
      <c r="J18" s="68"/>
    </row>
    <row r="19" spans="1:36">
      <c r="A19" s="205">
        <v>13</v>
      </c>
      <c r="B19" s="51" t="s">
        <v>43</v>
      </c>
      <c r="C19" s="53">
        <f>C6*C44</f>
        <v>196161</v>
      </c>
      <c r="D19" s="53">
        <f t="shared" ref="D19:E19" si="10">D6*D44</f>
        <v>66680.25</v>
      </c>
      <c r="E19" s="53">
        <f t="shared" si="10"/>
        <v>94521</v>
      </c>
      <c r="F19" s="53">
        <f t="shared" ref="F19" si="11">F6*F44</f>
        <v>66680.25</v>
      </c>
      <c r="G19" s="53">
        <f>SUM(C19:F19)</f>
        <v>424042.5</v>
      </c>
      <c r="H19" s="45"/>
      <c r="R19" s="51" t="s">
        <v>43</v>
      </c>
      <c r="AH19" s="51" t="s">
        <v>44</v>
      </c>
      <c r="AI19" s="51" t="s">
        <v>43</v>
      </c>
      <c r="AJ19" s="47" t="s">
        <v>17</v>
      </c>
    </row>
    <row r="20" spans="1:36">
      <c r="A20" s="205">
        <v>14</v>
      </c>
      <c r="B20" s="51" t="s">
        <v>45</v>
      </c>
      <c r="C20" s="53">
        <f>C6*C45</f>
        <v>840689.99999999988</v>
      </c>
      <c r="D20" s="53">
        <f t="shared" ref="D20:E20" si="12">D6*D45</f>
        <v>285772.5</v>
      </c>
      <c r="E20" s="53">
        <f t="shared" si="12"/>
        <v>405090</v>
      </c>
      <c r="F20" s="53">
        <f t="shared" ref="F20" si="13">F6*F45</f>
        <v>285772.5</v>
      </c>
      <c r="G20" s="53">
        <f>SUM(C20:F20)</f>
        <v>1817325</v>
      </c>
      <c r="R20" s="51" t="s">
        <v>45</v>
      </c>
      <c r="AH20" s="51" t="s">
        <v>46</v>
      </c>
      <c r="AI20" s="51" t="s">
        <v>45</v>
      </c>
    </row>
    <row r="21" spans="1:36">
      <c r="A21" s="205">
        <v>15</v>
      </c>
      <c r="B21" s="51" t="s">
        <v>47</v>
      </c>
      <c r="C21" s="58">
        <f>$G$21/$G$6*C6</f>
        <v>249992.00000000003</v>
      </c>
      <c r="D21" s="58">
        <f>$G$21/$G$6*D6</f>
        <v>62498.000000000007</v>
      </c>
      <c r="E21" s="58">
        <f>$G$21/$G$6*E6</f>
        <v>249992.00000000003</v>
      </c>
      <c r="F21" s="58">
        <f>$G$21/$G$6*F6</f>
        <v>62498.000000000007</v>
      </c>
      <c r="G21" s="53">
        <f>项目投资!D27</f>
        <v>624980</v>
      </c>
      <c r="R21" s="51" t="s">
        <v>47</v>
      </c>
      <c r="AH21" s="51"/>
      <c r="AI21" s="51"/>
    </row>
    <row r="22" spans="1:36">
      <c r="A22" s="205">
        <v>16</v>
      </c>
      <c r="B22" s="51" t="s">
        <v>48</v>
      </c>
      <c r="C22" s="53">
        <f>C6*C47</f>
        <v>1120920</v>
      </c>
      <c r="D22" s="53">
        <f t="shared" ref="D22:F22" si="14">D6*D47</f>
        <v>381030</v>
      </c>
      <c r="E22" s="53">
        <f t="shared" si="14"/>
        <v>540120</v>
      </c>
      <c r="F22" s="53">
        <f t="shared" si="14"/>
        <v>381030</v>
      </c>
      <c r="G22" s="53">
        <f>SUM(C22:F22)</f>
        <v>2423100</v>
      </c>
      <c r="R22" s="51" t="s">
        <v>48</v>
      </c>
      <c r="AH22" s="51" t="s">
        <v>49</v>
      </c>
      <c r="AI22" s="51" t="s">
        <v>48</v>
      </c>
    </row>
    <row r="23" spans="1:36">
      <c r="A23" s="205">
        <v>17</v>
      </c>
      <c r="B23" s="54" t="s">
        <v>50</v>
      </c>
      <c r="C23" s="58">
        <f>+C22+C21+C20+C19+C17</f>
        <v>3955318</v>
      </c>
      <c r="D23" s="58">
        <f t="shared" ref="D23:F23" si="15">+D22+D21+D20+D19+D17</f>
        <v>1296269.5</v>
      </c>
      <c r="E23" s="58">
        <f t="shared" si="15"/>
        <v>2183878</v>
      </c>
      <c r="F23" s="58">
        <f t="shared" si="15"/>
        <v>1296269.5</v>
      </c>
      <c r="G23" s="58">
        <f t="shared" ref="G23" si="16">+G22+G21+G20+G19+G17</f>
        <v>8731735</v>
      </c>
      <c r="R23" s="54" t="s">
        <v>50</v>
      </c>
      <c r="AH23" s="51" t="s">
        <v>51</v>
      </c>
      <c r="AI23" s="54" t="s">
        <v>50</v>
      </c>
    </row>
    <row r="24" spans="1:36">
      <c r="A24" s="205">
        <v>18</v>
      </c>
      <c r="B24" s="59" t="s">
        <v>52</v>
      </c>
      <c r="C24" s="58">
        <f>+C15-C23</f>
        <v>1702638.5036937101</v>
      </c>
      <c r="D24" s="58">
        <f t="shared" ref="D24:F24" si="17">+D15-D23</f>
        <v>-464027.15520987264</v>
      </c>
      <c r="E24" s="58">
        <f t="shared" si="17"/>
        <v>1791981.8249093974</v>
      </c>
      <c r="F24" s="58">
        <f t="shared" si="17"/>
        <v>1974088.367150126</v>
      </c>
      <c r="G24" s="58">
        <f t="shared" ref="G24" si="18">+G15-G23</f>
        <v>5004681.5405433606</v>
      </c>
      <c r="I24" s="69"/>
      <c r="R24" s="51" t="s">
        <v>52</v>
      </c>
      <c r="AH24" s="51" t="s">
        <v>53</v>
      </c>
      <c r="AI24" s="51" t="s">
        <v>52</v>
      </c>
    </row>
    <row r="25" spans="1:36">
      <c r="A25" s="205">
        <v>19</v>
      </c>
      <c r="B25" s="51" t="s">
        <v>237</v>
      </c>
      <c r="C25" s="58">
        <f>IF(C24&lt;0,0,C24*0.15)</f>
        <v>255395.77555405651</v>
      </c>
      <c r="D25" s="58">
        <f>IF(D24&lt;0,0,D24*0.15)</f>
        <v>0</v>
      </c>
      <c r="E25" s="58">
        <f>IF(E24&lt;0,0,E24*0.15)</f>
        <v>268797.27373640961</v>
      </c>
      <c r="F25" s="58">
        <f>IF(F24&lt;0,0,F24*0.15)</f>
        <v>296113.25507251889</v>
      </c>
      <c r="G25" s="58">
        <f>IF(G24&lt;0,0,G24*0.15)</f>
        <v>750702.23108150403</v>
      </c>
      <c r="H25" s="65"/>
      <c r="I25" s="65"/>
      <c r="J25" s="65"/>
      <c r="R25" s="51" t="s">
        <v>54</v>
      </c>
      <c r="AH25" s="51" t="s">
        <v>55</v>
      </c>
      <c r="AI25" s="51" t="s">
        <v>54</v>
      </c>
    </row>
    <row r="26" spans="1:36">
      <c r="A26" s="205">
        <v>20</v>
      </c>
      <c r="B26" s="51" t="s">
        <v>56</v>
      </c>
      <c r="C26" s="58">
        <f t="shared" ref="C26:F26" si="19">C24-C25</f>
        <v>1447242.7281396536</v>
      </c>
      <c r="D26" s="58">
        <f t="shared" si="19"/>
        <v>-464027.15520987264</v>
      </c>
      <c r="E26" s="58">
        <f t="shared" si="19"/>
        <v>1523184.5511729878</v>
      </c>
      <c r="F26" s="58">
        <f t="shared" si="19"/>
        <v>1677975.1120776071</v>
      </c>
      <c r="G26" s="53">
        <f>G24-G25</f>
        <v>4253979.3094618563</v>
      </c>
      <c r="H26" s="185"/>
      <c r="I26" s="65"/>
      <c r="J26" s="65"/>
      <c r="R26" s="51" t="s">
        <v>56</v>
      </c>
      <c r="AH26" s="51" t="s">
        <v>57</v>
      </c>
      <c r="AI26" s="51" t="s">
        <v>56</v>
      </c>
    </row>
    <row r="27" spans="1:36">
      <c r="A27" s="205">
        <v>21</v>
      </c>
      <c r="B27" s="51" t="s">
        <v>60</v>
      </c>
      <c r="C27" s="128">
        <f t="shared" ref="C27:G27" si="20">C26/C7</f>
        <v>5.1644817761826126E-2</v>
      </c>
      <c r="D27" s="128">
        <f t="shared" si="20"/>
        <v>-4.8712926038356315E-2</v>
      </c>
      <c r="E27" s="128">
        <f t="shared" si="20"/>
        <v>0.1128034178458852</v>
      </c>
      <c r="F27" s="128">
        <f t="shared" si="20"/>
        <v>0.17615149590085893</v>
      </c>
      <c r="G27" s="128">
        <f t="shared" si="20"/>
        <v>7.0223751549038108E-2</v>
      </c>
      <c r="H27" s="182"/>
      <c r="I27" s="65"/>
      <c r="J27" s="65"/>
      <c r="R27" s="51" t="s">
        <v>60</v>
      </c>
      <c r="AH27" s="51" t="s">
        <v>59</v>
      </c>
      <c r="AI27" s="51" t="s">
        <v>60</v>
      </c>
    </row>
    <row r="28" spans="1:36">
      <c r="H28" s="65"/>
      <c r="I28" s="65"/>
      <c r="J28" s="65"/>
      <c r="R28" s="51"/>
    </row>
    <row r="29" spans="1:36">
      <c r="A29" s="47" t="s">
        <v>61</v>
      </c>
      <c r="G29" s="48" t="s">
        <v>145</v>
      </c>
      <c r="H29" s="65"/>
      <c r="I29" s="65"/>
      <c r="J29" s="65"/>
      <c r="R29" s="51"/>
      <c r="AH29" s="47" t="s">
        <v>61</v>
      </c>
    </row>
    <row r="30" spans="1:36">
      <c r="A30" s="51" t="s">
        <v>62</v>
      </c>
      <c r="B30" s="54" t="s">
        <v>63</v>
      </c>
      <c r="C30" s="58"/>
      <c r="D30" s="58"/>
      <c r="E30" s="58"/>
      <c r="F30" s="58"/>
      <c r="G30" s="58"/>
      <c r="H30" s="65"/>
      <c r="I30" s="65"/>
      <c r="J30" s="65"/>
      <c r="L30" s="65"/>
      <c r="R30" s="54" t="s">
        <v>63</v>
      </c>
      <c r="AH30" s="51" t="s">
        <v>64</v>
      </c>
      <c r="AI30" s="54" t="s">
        <v>63</v>
      </c>
    </row>
    <row r="31" spans="1:36">
      <c r="A31" s="205">
        <v>1</v>
      </c>
      <c r="B31" s="56" t="s">
        <v>65</v>
      </c>
      <c r="C31" s="61">
        <f>销量!C8</f>
        <v>2335.25</v>
      </c>
      <c r="D31" s="61">
        <f>销量!D8</f>
        <v>3175.25</v>
      </c>
      <c r="E31" s="61">
        <f>销量!E8</f>
        <v>1125.25</v>
      </c>
      <c r="F31" s="61">
        <f>销量!F8</f>
        <v>3175.25</v>
      </c>
      <c r="G31" s="58"/>
      <c r="H31" s="65"/>
      <c r="I31" s="65"/>
      <c r="J31" s="65"/>
      <c r="L31" s="65"/>
      <c r="R31" s="51" t="s">
        <v>65</v>
      </c>
      <c r="AH31" s="51" t="s">
        <v>19</v>
      </c>
      <c r="AI31" s="51" t="s">
        <v>65</v>
      </c>
    </row>
    <row r="32" spans="1:36">
      <c r="A32" s="205">
        <v>2</v>
      </c>
      <c r="B32" s="51" t="s">
        <v>146</v>
      </c>
      <c r="C32" s="53">
        <f>C9/C6</f>
        <v>2197.9186179999997</v>
      </c>
      <c r="D32" s="53">
        <f t="shared" ref="D32:E32" si="21">D9/D6</f>
        <v>3049.5100999999995</v>
      </c>
      <c r="E32" s="53">
        <f t="shared" si="21"/>
        <v>1080.6901</v>
      </c>
      <c r="F32" s="53">
        <f t="shared" ref="F32" si="22">F9/F6</f>
        <v>3049.5100999999995</v>
      </c>
      <c r="G32" s="58"/>
      <c r="H32" s="65"/>
      <c r="I32" s="65"/>
      <c r="J32" s="65"/>
      <c r="K32" s="65"/>
      <c r="L32" s="65"/>
      <c r="M32" s="65"/>
      <c r="N32" s="65"/>
      <c r="AH32" s="51"/>
      <c r="AI32" s="51"/>
    </row>
    <row r="33" spans="1:35">
      <c r="A33" s="205">
        <v>3</v>
      </c>
      <c r="B33" s="56" t="s">
        <v>66</v>
      </c>
      <c r="C33" s="53">
        <f>材料成本!H41</f>
        <v>1466.5183148000001</v>
      </c>
      <c r="D33" s="53">
        <f>材料成本!H42</f>
        <v>2418.70343736</v>
      </c>
      <c r="E33" s="53">
        <f>材料成本!H43</f>
        <v>624.13265095999998</v>
      </c>
      <c r="F33" s="53">
        <f>材料成本!H44</f>
        <v>1605.9982632400001</v>
      </c>
      <c r="G33" s="58"/>
      <c r="I33" s="65"/>
      <c r="J33" s="65"/>
      <c r="K33" s="65"/>
      <c r="L33" s="65"/>
      <c r="M33" s="65"/>
      <c r="N33" s="65"/>
      <c r="R33" s="51" t="s">
        <v>66</v>
      </c>
      <c r="AH33" s="51" t="s">
        <v>21</v>
      </c>
      <c r="AI33" s="51" t="s">
        <v>66</v>
      </c>
    </row>
    <row r="34" spans="1:35" ht="17.25" customHeight="1">
      <c r="A34" s="205">
        <v>4</v>
      </c>
      <c r="B34" s="51" t="s">
        <v>68</v>
      </c>
      <c r="C34" s="62">
        <f>C32-C33</f>
        <v>731.4003031999996</v>
      </c>
      <c r="D34" s="62">
        <f t="shared" ref="D34:E34" si="23">D32-D33</f>
        <v>630.80666263999956</v>
      </c>
      <c r="E34" s="62">
        <f t="shared" si="23"/>
        <v>456.55744904000005</v>
      </c>
      <c r="F34" s="62">
        <f t="shared" ref="F34" si="24">F32-F33</f>
        <v>1443.5118367599994</v>
      </c>
      <c r="G34" s="58"/>
      <c r="I34" s="65"/>
      <c r="J34" s="65"/>
      <c r="K34" s="65"/>
      <c r="L34" s="65"/>
      <c r="M34" s="65"/>
      <c r="N34" s="65"/>
      <c r="R34" s="51" t="s">
        <v>68</v>
      </c>
      <c r="AH34" s="51" t="s">
        <v>67</v>
      </c>
      <c r="AI34" s="51" t="s">
        <v>68</v>
      </c>
    </row>
    <row r="35" spans="1:35">
      <c r="A35" s="51" t="s">
        <v>64</v>
      </c>
      <c r="B35" s="54" t="s">
        <v>9</v>
      </c>
      <c r="C35" s="58"/>
      <c r="D35" s="58"/>
      <c r="E35" s="58"/>
      <c r="F35" s="58"/>
      <c r="G35" s="5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54" t="s">
        <v>9</v>
      </c>
      <c r="AH35" s="51" t="s">
        <v>70</v>
      </c>
      <c r="AI35" s="54" t="s">
        <v>9</v>
      </c>
    </row>
    <row r="36" spans="1:35">
      <c r="A36" s="205">
        <v>1</v>
      </c>
      <c r="B36" s="51" t="s">
        <v>71</v>
      </c>
      <c r="C36" s="57">
        <f>'2024年'!C36</f>
        <v>131.28772317627636</v>
      </c>
      <c r="D36" s="57">
        <f>'2024年'!D36</f>
        <v>178.51251172913885</v>
      </c>
      <c r="E36" s="57">
        <f>'2024年'!E36</f>
        <v>63.261539665605383</v>
      </c>
      <c r="F36" s="57">
        <f>'2024年'!F36</f>
        <v>178.51251172913885</v>
      </c>
      <c r="G36" s="6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51" t="s">
        <v>71</v>
      </c>
      <c r="AH36" s="51" t="s">
        <v>67</v>
      </c>
      <c r="AI36" s="51" t="s">
        <v>71</v>
      </c>
    </row>
    <row r="37" spans="1:35">
      <c r="A37" s="205">
        <v>2</v>
      </c>
      <c r="B37" s="51" t="s">
        <v>72</v>
      </c>
      <c r="C37" s="57">
        <f>'2024年'!C37</f>
        <v>35.20620471591414</v>
      </c>
      <c r="D37" s="57">
        <f>'2024年'!D37</f>
        <v>47.870035980818493</v>
      </c>
      <c r="E37" s="57">
        <f>'2024年'!E37</f>
        <v>16.96425729861145</v>
      </c>
      <c r="F37" s="57">
        <f>'2024年'!F37</f>
        <v>47.870035980818493</v>
      </c>
      <c r="G37" s="6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51" t="s">
        <v>72</v>
      </c>
      <c r="AH37" s="51" t="s">
        <v>24</v>
      </c>
      <c r="AI37" s="51" t="s">
        <v>72</v>
      </c>
    </row>
    <row r="38" spans="1:35">
      <c r="A38" s="205">
        <v>3</v>
      </c>
      <c r="B38" s="51" t="s">
        <v>73</v>
      </c>
      <c r="C38" s="57">
        <f>'2024年'!C38</f>
        <v>93.409999999999982</v>
      </c>
      <c r="D38" s="57">
        <f>'2024年'!D38</f>
        <v>127.00999999999998</v>
      </c>
      <c r="E38" s="57">
        <f>'2024年'!E38</f>
        <v>45.009999999999991</v>
      </c>
      <c r="F38" s="57">
        <f>'2024年'!F38</f>
        <v>127.00999999999998</v>
      </c>
      <c r="G38" s="61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51" t="s">
        <v>73</v>
      </c>
      <c r="AH38" s="51" t="s">
        <v>30</v>
      </c>
      <c r="AI38" s="51" t="s">
        <v>73</v>
      </c>
    </row>
    <row r="39" spans="1:35">
      <c r="A39" s="51" t="s">
        <v>70</v>
      </c>
      <c r="B39" s="54" t="s">
        <v>75</v>
      </c>
      <c r="C39" s="58"/>
      <c r="D39" s="58"/>
      <c r="E39" s="58"/>
      <c r="F39" s="58"/>
      <c r="G39" s="58"/>
      <c r="R39" s="54" t="s">
        <v>75</v>
      </c>
      <c r="AH39" s="51" t="s">
        <v>74</v>
      </c>
      <c r="AI39" s="54" t="s">
        <v>75</v>
      </c>
    </row>
    <row r="40" spans="1:35">
      <c r="A40" s="205">
        <v>1</v>
      </c>
      <c r="B40" s="51" t="s">
        <v>77</v>
      </c>
      <c r="C40" s="58">
        <f>C34-C36-C37-C38</f>
        <v>471.4963753078091</v>
      </c>
      <c r="D40" s="58">
        <f t="shared" ref="D40:E40" si="25">D34-D36-D37-D38</f>
        <v>277.41411493004222</v>
      </c>
      <c r="E40" s="58">
        <f t="shared" si="25"/>
        <v>331.32165207578322</v>
      </c>
      <c r="F40" s="58">
        <f t="shared" ref="F40" si="26">F34-F36-F37-F38</f>
        <v>1090.119289050042</v>
      </c>
      <c r="G40" s="58"/>
      <c r="R40" s="51" t="s">
        <v>77</v>
      </c>
      <c r="AH40" s="51" t="s">
        <v>19</v>
      </c>
      <c r="AI40" s="51" t="s">
        <v>77</v>
      </c>
    </row>
    <row r="41" spans="1:35">
      <c r="A41" s="205">
        <v>2</v>
      </c>
      <c r="B41" s="51" t="s">
        <v>78</v>
      </c>
      <c r="C41" s="58"/>
      <c r="D41" s="58"/>
      <c r="E41" s="58"/>
      <c r="F41" s="58"/>
      <c r="G41" s="58"/>
      <c r="R41" s="51" t="s">
        <v>78</v>
      </c>
      <c r="AH41" s="51" t="s">
        <v>21</v>
      </c>
      <c r="AI41" s="51" t="s">
        <v>78</v>
      </c>
    </row>
    <row r="42" spans="1:35">
      <c r="A42" s="51" t="s">
        <v>74</v>
      </c>
      <c r="B42" s="54" t="s">
        <v>80</v>
      </c>
      <c r="C42" s="58"/>
      <c r="D42" s="58"/>
      <c r="E42" s="58"/>
      <c r="F42" s="58"/>
      <c r="G42" s="58"/>
      <c r="R42" s="54" t="s">
        <v>80</v>
      </c>
      <c r="AH42" s="51" t="s">
        <v>79</v>
      </c>
      <c r="AI42" s="54" t="s">
        <v>80</v>
      </c>
    </row>
    <row r="43" spans="1:35">
      <c r="A43" s="205">
        <v>1</v>
      </c>
      <c r="B43" s="59" t="s">
        <v>81</v>
      </c>
      <c r="C43" s="57">
        <f>'2024年'!C43</f>
        <v>105.08624999999999</v>
      </c>
      <c r="D43" s="57">
        <f>'2024年'!D43</f>
        <v>142.88624999999999</v>
      </c>
      <c r="E43" s="57">
        <f>'2024年'!E43</f>
        <v>50.636249999999997</v>
      </c>
      <c r="F43" s="57">
        <f>'2024年'!F43</f>
        <v>142.88624999999999</v>
      </c>
      <c r="G43" s="58"/>
      <c r="R43" s="51" t="s">
        <v>81</v>
      </c>
      <c r="AH43" s="51" t="s">
        <v>19</v>
      </c>
      <c r="AI43" s="51" t="s">
        <v>81</v>
      </c>
    </row>
    <row r="44" spans="1:35">
      <c r="A44" s="205">
        <v>2</v>
      </c>
      <c r="B44" s="59" t="s">
        <v>82</v>
      </c>
      <c r="C44" s="57">
        <f>'2024年'!C44</f>
        <v>16.34675</v>
      </c>
      <c r="D44" s="57">
        <f>'2024年'!D44</f>
        <v>22.226749999999999</v>
      </c>
      <c r="E44" s="57">
        <f>'2024年'!E44</f>
        <v>7.8767500000000004</v>
      </c>
      <c r="F44" s="57">
        <f>'2024年'!F44</f>
        <v>22.226749999999999</v>
      </c>
      <c r="G44" s="58"/>
      <c r="R44" s="51" t="s">
        <v>82</v>
      </c>
      <c r="AH44" s="51" t="s">
        <v>21</v>
      </c>
      <c r="AI44" s="51" t="s">
        <v>82</v>
      </c>
    </row>
    <row r="45" spans="1:35">
      <c r="A45" s="205">
        <v>3</v>
      </c>
      <c r="B45" s="59" t="s">
        <v>83</v>
      </c>
      <c r="C45" s="57">
        <f>'2024年'!C45</f>
        <v>70.05749999999999</v>
      </c>
      <c r="D45" s="57">
        <f>'2024年'!D45</f>
        <v>95.257499999999993</v>
      </c>
      <c r="E45" s="57">
        <f>'2024年'!E45</f>
        <v>33.7575</v>
      </c>
      <c r="F45" s="57">
        <f>'2024年'!F45</f>
        <v>95.257499999999993</v>
      </c>
      <c r="G45" s="58"/>
      <c r="R45" s="51" t="s">
        <v>83</v>
      </c>
      <c r="AH45" s="51" t="s">
        <v>67</v>
      </c>
      <c r="AI45" s="51" t="s">
        <v>83</v>
      </c>
    </row>
    <row r="46" spans="1:35" s="46" customFormat="1">
      <c r="A46" s="205">
        <v>4</v>
      </c>
      <c r="B46" s="59" t="s">
        <v>84</v>
      </c>
      <c r="C46" s="63">
        <f>C21/C6</f>
        <v>20.832666666666668</v>
      </c>
      <c r="D46" s="63">
        <f t="shared" ref="D46:E46" si="27">D21/D6</f>
        <v>20.832666666666668</v>
      </c>
      <c r="E46" s="63">
        <f t="shared" si="27"/>
        <v>20.832666666666668</v>
      </c>
      <c r="F46" s="63">
        <f t="shared" ref="F46" si="28">F21/F6</f>
        <v>20.832666666666668</v>
      </c>
      <c r="G46" s="63"/>
      <c r="R46" s="59" t="s">
        <v>86</v>
      </c>
      <c r="AH46" s="59" t="s">
        <v>27</v>
      </c>
      <c r="AI46" s="59" t="s">
        <v>86</v>
      </c>
    </row>
    <row r="47" spans="1:35" s="46" customFormat="1">
      <c r="A47" s="205">
        <v>5</v>
      </c>
      <c r="B47" s="59" t="s">
        <v>86</v>
      </c>
      <c r="C47" s="63">
        <f>'2024年'!C47</f>
        <v>93.41</v>
      </c>
      <c r="D47" s="63">
        <f>'2024年'!D47</f>
        <v>127.01</v>
      </c>
      <c r="E47" s="63">
        <f>'2024年'!E47</f>
        <v>45.01</v>
      </c>
      <c r="F47" s="63">
        <f>'2024年'!F47</f>
        <v>127.01</v>
      </c>
      <c r="G47" s="63"/>
      <c r="R47" s="59" t="s">
        <v>86</v>
      </c>
      <c r="AH47" s="59" t="s">
        <v>27</v>
      </c>
      <c r="AI47" s="59" t="s">
        <v>86</v>
      </c>
    </row>
    <row r="48" spans="1:35">
      <c r="A48" s="51" t="s">
        <v>79</v>
      </c>
      <c r="B48" s="54" t="s">
        <v>97</v>
      </c>
      <c r="C48" s="58">
        <f>C40-C43-C44-C45-C47-C46</f>
        <v>165.76320864114246</v>
      </c>
      <c r="D48" s="58">
        <f t="shared" ref="D48:E48" si="29">D40-D43-D44-D45-D47-D46</f>
        <v>-130.79905173662445</v>
      </c>
      <c r="E48" s="58">
        <f t="shared" si="29"/>
        <v>173.20848540911652</v>
      </c>
      <c r="F48" s="58">
        <f t="shared" ref="F48" si="30">F40-F43-F44-F45-F47-F46</f>
        <v>681.9061223833753</v>
      </c>
      <c r="G48" s="58"/>
      <c r="R48" s="54" t="s">
        <v>97</v>
      </c>
      <c r="AH48" s="51" t="s">
        <v>96</v>
      </c>
      <c r="AI48" s="54" t="s">
        <v>97</v>
      </c>
    </row>
    <row r="51" spans="2:12">
      <c r="C51" s="64"/>
      <c r="D51" s="64"/>
      <c r="E51" s="64"/>
      <c r="F51" s="64"/>
    </row>
    <row r="54" spans="2:12">
      <c r="B54" s="65"/>
      <c r="C54" s="66"/>
      <c r="D54" s="66"/>
      <c r="E54" s="66"/>
      <c r="F54" s="66"/>
      <c r="G54" s="66"/>
      <c r="H54" s="65"/>
      <c r="I54" s="65"/>
      <c r="J54" s="65"/>
      <c r="K54" s="65"/>
      <c r="L54" s="65"/>
    </row>
    <row r="55" spans="2:12">
      <c r="B55" s="65"/>
      <c r="C55" s="66"/>
      <c r="D55" s="66"/>
      <c r="E55" s="66"/>
      <c r="F55" s="66"/>
      <c r="G55" s="66"/>
      <c r="H55" s="65"/>
      <c r="I55" s="65"/>
      <c r="J55" s="65"/>
      <c r="K55" s="65"/>
      <c r="L55" s="65"/>
    </row>
    <row r="56" spans="2:12">
      <c r="B56" s="65"/>
      <c r="C56" s="66"/>
      <c r="D56" s="66"/>
      <c r="E56" s="66"/>
      <c r="F56" s="66"/>
      <c r="G56" s="66"/>
      <c r="H56" s="65"/>
      <c r="I56" s="65"/>
      <c r="J56" s="65"/>
      <c r="K56" s="65"/>
      <c r="L56" s="65"/>
    </row>
    <row r="57" spans="2:12">
      <c r="B57" s="65"/>
      <c r="C57" s="66"/>
      <c r="D57" s="66"/>
      <c r="E57" s="66"/>
      <c r="F57" s="66"/>
      <c r="G57" s="66"/>
      <c r="H57" s="65"/>
      <c r="I57" s="65"/>
      <c r="J57" s="65"/>
      <c r="K57" s="65"/>
      <c r="L57" s="65"/>
    </row>
    <row r="58" spans="2:12">
      <c r="B58" s="65"/>
      <c r="C58" s="66"/>
      <c r="D58" s="66"/>
      <c r="E58" s="66"/>
      <c r="F58" s="66"/>
      <c r="G58" s="66"/>
      <c r="H58" s="65"/>
      <c r="I58" s="65"/>
      <c r="J58" s="65"/>
      <c r="K58" s="65"/>
      <c r="L58" s="65"/>
    </row>
    <row r="59" spans="2:12">
      <c r="B59" s="65"/>
      <c r="C59" s="66"/>
      <c r="D59" s="66"/>
      <c r="E59" s="66"/>
      <c r="F59" s="66"/>
      <c r="G59" s="66"/>
      <c r="H59" s="65"/>
      <c r="I59" s="65"/>
      <c r="J59" s="65"/>
      <c r="K59" s="65"/>
      <c r="L59" s="65"/>
    </row>
    <row r="60" spans="2:12">
      <c r="B60" s="65"/>
      <c r="C60" s="66"/>
      <c r="D60" s="66"/>
      <c r="E60" s="66"/>
      <c r="F60" s="66"/>
      <c r="G60" s="66"/>
      <c r="H60" s="65"/>
      <c r="I60" s="65"/>
      <c r="J60" s="65"/>
      <c r="K60" s="65"/>
      <c r="L60" s="65"/>
    </row>
    <row r="61" spans="2:12">
      <c r="B61" s="65"/>
      <c r="C61" s="66"/>
      <c r="D61" s="66"/>
      <c r="E61" s="66"/>
      <c r="F61" s="66"/>
      <c r="G61" s="66"/>
      <c r="H61" s="65"/>
      <c r="I61" s="65"/>
      <c r="J61" s="65"/>
      <c r="K61" s="65"/>
      <c r="L61" s="65"/>
    </row>
    <row r="62" spans="2:12">
      <c r="B62" s="65"/>
      <c r="C62" s="66"/>
      <c r="D62" s="66"/>
      <c r="E62" s="66"/>
      <c r="F62" s="66"/>
      <c r="G62" s="66"/>
      <c r="H62" s="65"/>
      <c r="I62" s="65"/>
      <c r="J62" s="65"/>
      <c r="K62" s="65"/>
      <c r="L62" s="65"/>
    </row>
    <row r="63" spans="2:12">
      <c r="B63" s="65"/>
      <c r="C63" s="66"/>
      <c r="D63" s="66"/>
      <c r="E63" s="66"/>
      <c r="F63" s="66"/>
      <c r="G63" s="66"/>
      <c r="H63" s="65"/>
      <c r="I63" s="65"/>
      <c r="J63" s="65"/>
      <c r="K63" s="65"/>
      <c r="L63" s="65"/>
    </row>
    <row r="64" spans="2:12">
      <c r="B64" s="65"/>
      <c r="C64" s="66"/>
      <c r="D64" s="66"/>
      <c r="E64" s="66"/>
      <c r="F64" s="66"/>
      <c r="G64" s="66"/>
      <c r="H64" s="65"/>
      <c r="I64" s="65"/>
      <c r="J64" s="65"/>
      <c r="K64" s="65"/>
      <c r="L64" s="65"/>
    </row>
    <row r="65" spans="2:12">
      <c r="B65" s="65"/>
      <c r="C65" s="66"/>
      <c r="D65" s="66"/>
      <c r="E65" s="66"/>
      <c r="F65" s="66"/>
      <c r="G65" s="66"/>
      <c r="H65" s="65"/>
      <c r="I65" s="65"/>
      <c r="J65" s="65"/>
      <c r="K65" s="65"/>
      <c r="L65" s="65"/>
    </row>
    <row r="66" spans="2:12">
      <c r="B66" s="65"/>
      <c r="C66" s="66"/>
      <c r="D66" s="66"/>
      <c r="E66" s="66"/>
      <c r="F66" s="66"/>
      <c r="G66" s="66"/>
      <c r="H66" s="65"/>
      <c r="I66" s="65"/>
      <c r="J66" s="65"/>
      <c r="K66" s="65"/>
      <c r="L66" s="65"/>
    </row>
    <row r="67" spans="2:12">
      <c r="B67" s="65"/>
      <c r="C67" s="66"/>
      <c r="D67" s="66"/>
      <c r="E67" s="66"/>
      <c r="F67" s="66"/>
      <c r="G67" s="66"/>
      <c r="H67" s="65"/>
    </row>
    <row r="68" spans="2:12">
      <c r="B68" s="65"/>
      <c r="C68" s="66"/>
      <c r="D68" s="66"/>
      <c r="E68" s="66"/>
      <c r="F68" s="66"/>
      <c r="G68" s="66"/>
      <c r="H68" s="65"/>
    </row>
    <row r="69" spans="2:12">
      <c r="B69" s="65"/>
      <c r="C69" s="66"/>
      <c r="D69" s="66"/>
      <c r="E69" s="66"/>
      <c r="F69" s="66"/>
      <c r="G69" s="66"/>
      <c r="H69" s="65"/>
    </row>
    <row r="70" spans="2:12">
      <c r="B70" s="65"/>
      <c r="C70" s="66"/>
      <c r="D70" s="66"/>
      <c r="E70" s="66"/>
      <c r="F70" s="66"/>
      <c r="G70" s="66"/>
      <c r="H70" s="65"/>
    </row>
    <row r="71" spans="2:12">
      <c r="B71" s="65"/>
      <c r="C71" s="66"/>
      <c r="D71" s="66"/>
      <c r="E71" s="66"/>
      <c r="F71" s="66"/>
      <c r="G71" s="66"/>
      <c r="H71" s="65"/>
    </row>
    <row r="72" spans="2:12">
      <c r="B72" s="65"/>
      <c r="C72" s="66"/>
      <c r="D72" s="66"/>
      <c r="E72" s="66"/>
      <c r="F72" s="66"/>
      <c r="G72" s="66"/>
      <c r="H72" s="65"/>
    </row>
    <row r="73" spans="2:12">
      <c r="B73" s="65"/>
      <c r="C73" s="66"/>
      <c r="D73" s="66"/>
      <c r="E73" s="66"/>
      <c r="F73" s="66"/>
      <c r="G73" s="66"/>
      <c r="H73" s="65"/>
    </row>
    <row r="74" spans="2:12">
      <c r="B74" s="65"/>
      <c r="C74" s="66"/>
      <c r="D74" s="66"/>
      <c r="E74" s="66"/>
      <c r="F74" s="66"/>
      <c r="G74" s="66"/>
      <c r="H74" s="65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selection activeCell="H29" sqref="H29"/>
    </sheetView>
  </sheetViews>
  <sheetFormatPr defaultColWidth="9" defaultRowHeight="16.5"/>
  <cols>
    <col min="1" max="1" width="5.125" style="47" customWidth="1"/>
    <col min="2" max="2" width="17.5" style="47" customWidth="1"/>
    <col min="3" max="3" width="13.25" style="48" customWidth="1"/>
    <col min="4" max="4" width="20.25" style="48" bestFit="1" customWidth="1"/>
    <col min="5" max="6" width="13.25" style="48" customWidth="1"/>
    <col min="7" max="7" width="18.75" style="48" customWidth="1"/>
    <col min="8" max="8" width="12.375" style="47" customWidth="1"/>
    <col min="9" max="9" width="10.125" style="47" customWidth="1"/>
    <col min="10" max="16" width="9" style="47" customWidth="1"/>
    <col min="17" max="33" width="9" style="47"/>
    <col min="34" max="34" width="4.375" style="47" customWidth="1"/>
    <col min="35" max="35" width="13.875" style="47" customWidth="1"/>
    <col min="36" max="16384" width="9" style="47"/>
  </cols>
  <sheetData>
    <row r="1" spans="1:36">
      <c r="A1" s="251" t="s">
        <v>137</v>
      </c>
      <c r="B1" s="251"/>
      <c r="C1" s="255" t="s">
        <v>265</v>
      </c>
      <c r="D1" s="256"/>
      <c r="E1" s="256"/>
      <c r="F1" s="256"/>
      <c r="G1" s="257"/>
    </row>
    <row r="2" spans="1:36">
      <c r="A2" s="251" t="s">
        <v>138</v>
      </c>
      <c r="B2" s="251"/>
      <c r="C2" s="258" t="str">
        <f>'2024年'!C2:G2</f>
        <v>吉利</v>
      </c>
      <c r="D2" s="258"/>
      <c r="E2" s="258"/>
      <c r="F2" s="258"/>
      <c r="G2" s="258"/>
    </row>
    <row r="3" spans="1:36">
      <c r="A3" s="251" t="s">
        <v>139</v>
      </c>
      <c r="B3" s="251"/>
      <c r="C3" s="156" t="str">
        <f>销量!C5</f>
        <v>驾驶员座椅总成</v>
      </c>
      <c r="D3" s="156" t="str">
        <f>销量!D5</f>
        <v>驾驶员座椅总成</v>
      </c>
      <c r="E3" s="156" t="str">
        <f>销量!E5</f>
        <v>乘客单人座椅总成</v>
      </c>
      <c r="F3" s="156" t="str">
        <f>销量!F5</f>
        <v>乘客单人座椅总成</v>
      </c>
      <c r="G3" s="252" t="s">
        <v>15</v>
      </c>
    </row>
    <row r="4" spans="1:36">
      <c r="A4" s="251" t="s">
        <v>140</v>
      </c>
      <c r="B4" s="251"/>
      <c r="C4" s="156" t="str">
        <f>销量!C6</f>
        <v>68N2531-00010</v>
      </c>
      <c r="D4" s="156" t="str">
        <f>销量!D6</f>
        <v>68N2531-00020</v>
      </c>
      <c r="E4" s="156" t="str">
        <f>销量!E6</f>
        <v>71NE2531-0010</v>
      </c>
      <c r="F4" s="156" t="str">
        <f>销量!F6</f>
        <v>71NE2531-0020</v>
      </c>
      <c r="G4" s="253"/>
    </row>
    <row r="5" spans="1:36">
      <c r="A5" s="251" t="s">
        <v>141</v>
      </c>
      <c r="B5" s="251"/>
      <c r="C5" s="50"/>
      <c r="D5" s="50"/>
      <c r="E5" s="50"/>
      <c r="F5" s="206"/>
      <c r="G5" s="254"/>
      <c r="AJ5" s="47" t="s">
        <v>16</v>
      </c>
    </row>
    <row r="6" spans="1:36" ht="17.25">
      <c r="A6" s="51" t="s">
        <v>14</v>
      </c>
      <c r="B6" s="52" t="s">
        <v>142</v>
      </c>
      <c r="C6" s="21">
        <f>销量!C13</f>
        <v>16000</v>
      </c>
      <c r="D6" s="21">
        <f>销量!D13</f>
        <v>4000</v>
      </c>
      <c r="E6" s="21">
        <f>销量!E13</f>
        <v>16000</v>
      </c>
      <c r="F6" s="21">
        <f>销量!F13</f>
        <v>4000</v>
      </c>
      <c r="G6" s="53">
        <f t="shared" ref="G6:G15" si="0">SUM(C6:F6)</f>
        <v>40000</v>
      </c>
      <c r="R6" s="52" t="s">
        <v>3</v>
      </c>
      <c r="AH6" s="51" t="s">
        <v>14</v>
      </c>
      <c r="AI6" s="52" t="s">
        <v>3</v>
      </c>
      <c r="AJ6" s="47" t="s">
        <v>17</v>
      </c>
    </row>
    <row r="7" spans="1:36">
      <c r="A7" s="205">
        <v>1</v>
      </c>
      <c r="B7" s="52" t="s">
        <v>18</v>
      </c>
      <c r="C7" s="53">
        <f>C6*销量!C8</f>
        <v>37364000</v>
      </c>
      <c r="D7" s="53">
        <f>D6*销量!D8</f>
        <v>12701000</v>
      </c>
      <c r="E7" s="53">
        <f>E6*销量!E8</f>
        <v>18004000</v>
      </c>
      <c r="F7" s="53">
        <f>F6*销量!F8</f>
        <v>12701000</v>
      </c>
      <c r="G7" s="53">
        <f t="shared" si="0"/>
        <v>80770000</v>
      </c>
      <c r="H7" s="48"/>
      <c r="R7" s="52" t="s">
        <v>18</v>
      </c>
      <c r="AH7" s="51" t="s">
        <v>19</v>
      </c>
      <c r="AI7" s="52" t="s">
        <v>18</v>
      </c>
      <c r="AJ7" s="47" t="s">
        <v>17</v>
      </c>
    </row>
    <row r="8" spans="1:36">
      <c r="A8" s="205">
        <v>2</v>
      </c>
      <c r="B8" s="205" t="s">
        <v>20</v>
      </c>
      <c r="C8" s="53">
        <f>C7*(1-销量!$L$10)</f>
        <v>2900636.0697600045</v>
      </c>
      <c r="D8" s="53">
        <f>D7*(1-销量!$L$8)</f>
        <v>502959.60000000102</v>
      </c>
      <c r="E8" s="53">
        <f>E7*(1-销量!$L$8)</f>
        <v>712958.40000000142</v>
      </c>
      <c r="F8" s="53">
        <f>F7*(1-销量!$L$8)</f>
        <v>502959.60000000102</v>
      </c>
      <c r="G8" s="53">
        <f t="shared" si="0"/>
        <v>4619513.6697600074</v>
      </c>
      <c r="H8" s="67"/>
      <c r="R8" s="205" t="s">
        <v>22</v>
      </c>
      <c r="AH8" s="51" t="s">
        <v>21</v>
      </c>
      <c r="AI8" s="205" t="s">
        <v>22</v>
      </c>
      <c r="AJ8" s="47" t="s">
        <v>17</v>
      </c>
    </row>
    <row r="9" spans="1:36">
      <c r="A9" s="205">
        <v>3</v>
      </c>
      <c r="B9" s="52" t="s">
        <v>23</v>
      </c>
      <c r="C9" s="53">
        <f>+C7-C8</f>
        <v>34463363.930239998</v>
      </c>
      <c r="D9" s="53">
        <f t="shared" ref="D9:E9" si="1">+D7-D8</f>
        <v>12198040.399999999</v>
      </c>
      <c r="E9" s="53">
        <f t="shared" si="1"/>
        <v>17291041.599999998</v>
      </c>
      <c r="F9" s="53">
        <f t="shared" ref="F9" si="2">+F7-F8</f>
        <v>12198040.399999999</v>
      </c>
      <c r="G9" s="53">
        <f t="shared" si="0"/>
        <v>76150486.330239981</v>
      </c>
      <c r="R9" s="52" t="s">
        <v>23</v>
      </c>
      <c r="AH9" s="51" t="s">
        <v>24</v>
      </c>
      <c r="AI9" s="52" t="s">
        <v>23</v>
      </c>
      <c r="AJ9" s="47" t="s">
        <v>25</v>
      </c>
    </row>
    <row r="10" spans="1:36">
      <c r="A10" s="205">
        <v>4</v>
      </c>
      <c r="B10" s="51" t="s">
        <v>26</v>
      </c>
      <c r="C10" s="53">
        <f>C6*材料成本!I41</f>
        <v>22995007.176064003</v>
      </c>
      <c r="D10" s="53">
        <f>D6*材料成本!I42</f>
        <v>9481317.4744511992</v>
      </c>
      <c r="E10" s="53">
        <f>E6*材料成本!I43</f>
        <v>9786399.9670527987</v>
      </c>
      <c r="F10" s="53">
        <f>F6*材料成本!I44</f>
        <v>6295513.1919008009</v>
      </c>
      <c r="G10" s="53">
        <f t="shared" si="0"/>
        <v>48558237.809468806</v>
      </c>
      <c r="R10" s="51" t="s">
        <v>26</v>
      </c>
      <c r="AH10" s="51" t="s">
        <v>27</v>
      </c>
      <c r="AI10" s="51" t="s">
        <v>26</v>
      </c>
      <c r="AJ10" s="47" t="s">
        <v>28</v>
      </c>
    </row>
    <row r="11" spans="1:36">
      <c r="A11" s="205">
        <v>5</v>
      </c>
      <c r="B11" s="51" t="s">
        <v>29</v>
      </c>
      <c r="C11" s="53">
        <f>+C6*C36</f>
        <v>2100603.5708204219</v>
      </c>
      <c r="D11" s="53">
        <f t="shared" ref="D11:E11" si="3">+D6*D36</f>
        <v>714050.04691655538</v>
      </c>
      <c r="E11" s="53">
        <f t="shared" si="3"/>
        <v>1012184.6346496862</v>
      </c>
      <c r="F11" s="53">
        <f t="shared" ref="F11" si="4">+F6*F36</f>
        <v>714050.04691655538</v>
      </c>
      <c r="G11" s="53">
        <f t="shared" si="0"/>
        <v>4540888.2993032187</v>
      </c>
      <c r="R11" s="51" t="s">
        <v>29</v>
      </c>
      <c r="AH11" s="51" t="s">
        <v>30</v>
      </c>
      <c r="AI11" s="51" t="s">
        <v>29</v>
      </c>
    </row>
    <row r="12" spans="1:36">
      <c r="A12" s="205">
        <v>6</v>
      </c>
      <c r="B12" s="51" t="s">
        <v>31</v>
      </c>
      <c r="C12" s="53">
        <f>+C6*C37</f>
        <v>563299.27545462619</v>
      </c>
      <c r="D12" s="53">
        <f t="shared" ref="D12:E12" si="5">+D6*D37</f>
        <v>191480.14392327398</v>
      </c>
      <c r="E12" s="53">
        <f t="shared" si="5"/>
        <v>271428.1167777832</v>
      </c>
      <c r="F12" s="53">
        <f t="shared" ref="F12" si="6">+F6*F37</f>
        <v>191480.14392327398</v>
      </c>
      <c r="G12" s="53">
        <f t="shared" si="0"/>
        <v>1217687.6800789575</v>
      </c>
      <c r="R12" s="51" t="s">
        <v>31</v>
      </c>
      <c r="AH12" s="51" t="s">
        <v>32</v>
      </c>
      <c r="AI12" s="51" t="s">
        <v>31</v>
      </c>
    </row>
    <row r="13" spans="1:36">
      <c r="A13" s="205">
        <v>7</v>
      </c>
      <c r="B13" s="51" t="s">
        <v>33</v>
      </c>
      <c r="C13" s="53">
        <f>+C6*C38</f>
        <v>1494559.9999999998</v>
      </c>
      <c r="D13" s="53">
        <f t="shared" ref="D13:E13" si="7">+D6*D38</f>
        <v>508039.99999999988</v>
      </c>
      <c r="E13" s="53">
        <f t="shared" si="7"/>
        <v>720159.99999999988</v>
      </c>
      <c r="F13" s="53">
        <f t="shared" ref="F13" si="8">+F6*F38</f>
        <v>508039.99999999988</v>
      </c>
      <c r="G13" s="53">
        <f t="shared" si="0"/>
        <v>3230799.9999999995</v>
      </c>
      <c r="R13" s="51" t="s">
        <v>33</v>
      </c>
      <c r="AH13" s="51" t="s">
        <v>34</v>
      </c>
      <c r="AI13" s="51" t="s">
        <v>33</v>
      </c>
      <c r="AJ13" s="47" t="s">
        <v>17</v>
      </c>
    </row>
    <row r="14" spans="1:36">
      <c r="A14" s="205">
        <v>8</v>
      </c>
      <c r="B14" s="54" t="s">
        <v>35</v>
      </c>
      <c r="C14" s="53">
        <f>SUM(C11:C13)</f>
        <v>4158462.8462750483</v>
      </c>
      <c r="D14" s="53">
        <f t="shared" ref="D14:E14" si="9">SUM(D11:D13)</f>
        <v>1413570.1908398294</v>
      </c>
      <c r="E14" s="53">
        <f t="shared" si="9"/>
        <v>2003772.7514274693</v>
      </c>
      <c r="F14" s="53">
        <f t="shared" ref="F14" si="10">SUM(F11:F13)</f>
        <v>1413570.1908398294</v>
      </c>
      <c r="G14" s="53">
        <f t="shared" si="0"/>
        <v>8989375.979382176</v>
      </c>
      <c r="R14" s="54" t="s">
        <v>35</v>
      </c>
      <c r="AH14" s="51" t="s">
        <v>36</v>
      </c>
      <c r="AI14" s="54" t="s">
        <v>35</v>
      </c>
    </row>
    <row r="15" spans="1:36">
      <c r="A15" s="205">
        <v>9</v>
      </c>
      <c r="B15" s="54" t="s">
        <v>37</v>
      </c>
      <c r="C15" s="53">
        <f>+C9-C10-C14</f>
        <v>7309893.9079009462</v>
      </c>
      <c r="D15" s="53">
        <f t="shared" ref="D15:E15" si="11">+D9-D10-D14</f>
        <v>1303152.7347089699</v>
      </c>
      <c r="E15" s="53">
        <f t="shared" si="11"/>
        <v>5500868.8815197293</v>
      </c>
      <c r="F15" s="53">
        <f t="shared" ref="F15" si="12">+F9-F10-F14</f>
        <v>4488957.0172593687</v>
      </c>
      <c r="G15" s="53">
        <f t="shared" si="0"/>
        <v>18602872.541389015</v>
      </c>
      <c r="R15" s="54" t="s">
        <v>37</v>
      </c>
      <c r="AH15" s="51" t="s">
        <v>38</v>
      </c>
      <c r="AI15" s="54" t="s">
        <v>37</v>
      </c>
    </row>
    <row r="16" spans="1:36">
      <c r="A16" s="205">
        <v>10</v>
      </c>
      <c r="B16" s="51" t="s">
        <v>39</v>
      </c>
      <c r="C16" s="55">
        <f>+C15/C9</f>
        <v>0.21210622162994525</v>
      </c>
      <c r="D16" s="55">
        <f t="shared" ref="D16:G16" si="13">+D15/D9</f>
        <v>0.10683295775188366</v>
      </c>
      <c r="E16" s="55">
        <f t="shared" si="13"/>
        <v>0.31813403777362548</v>
      </c>
      <c r="F16" s="55">
        <f t="shared" si="13"/>
        <v>0.36800640677164581</v>
      </c>
      <c r="G16" s="55">
        <f t="shared" si="13"/>
        <v>0.24429092232864258</v>
      </c>
      <c r="R16" s="51" t="s">
        <v>39</v>
      </c>
      <c r="AH16" s="51" t="s">
        <v>40</v>
      </c>
      <c r="AI16" s="51" t="s">
        <v>39</v>
      </c>
    </row>
    <row r="17" spans="1:36">
      <c r="A17" s="205">
        <v>11</v>
      </c>
      <c r="B17" s="51" t="s">
        <v>41</v>
      </c>
      <c r="C17" s="53">
        <f>C6*C43+C18</f>
        <v>1967899.9999999998</v>
      </c>
      <c r="D17" s="53">
        <f t="shared" ref="D17:E17" si="14">D6*D43+D18</f>
        <v>643175</v>
      </c>
      <c r="E17" s="53">
        <f t="shared" si="14"/>
        <v>1096700</v>
      </c>
      <c r="F17" s="53">
        <f t="shared" ref="F17" si="15">F6*F43+F18</f>
        <v>643175</v>
      </c>
      <c r="G17" s="53">
        <f>SUM(C17:F17)</f>
        <v>4350950</v>
      </c>
      <c r="H17" s="67"/>
      <c r="R17" s="51" t="s">
        <v>41</v>
      </c>
      <c r="AH17" s="51" t="s">
        <v>42</v>
      </c>
      <c r="AI17" s="51" t="s">
        <v>41</v>
      </c>
    </row>
    <row r="18" spans="1:36" s="45" customFormat="1">
      <c r="A18" s="205">
        <v>12</v>
      </c>
      <c r="B18" s="56" t="s">
        <v>143</v>
      </c>
      <c r="C18" s="57">
        <f>$G$18/$G$6*C6</f>
        <v>286520</v>
      </c>
      <c r="D18" s="57">
        <f>$G$18/$G$6*D6</f>
        <v>71630</v>
      </c>
      <c r="E18" s="57">
        <f>$G$18/$G$6*E6</f>
        <v>286520</v>
      </c>
      <c r="F18" s="57">
        <f>$G$18/$G$6*F6</f>
        <v>71630</v>
      </c>
      <c r="G18" s="57">
        <f>项目投资!D26</f>
        <v>716300</v>
      </c>
      <c r="H18" s="68" t="s">
        <v>144</v>
      </c>
      <c r="I18" s="68"/>
      <c r="J18" s="68"/>
    </row>
    <row r="19" spans="1:36">
      <c r="A19" s="205">
        <v>13</v>
      </c>
      <c r="B19" s="51" t="s">
        <v>43</v>
      </c>
      <c r="C19" s="53">
        <f>C6*C44</f>
        <v>261548</v>
      </c>
      <c r="D19" s="53">
        <f t="shared" ref="D19:E19" si="16">D6*D44</f>
        <v>88907</v>
      </c>
      <c r="E19" s="53">
        <f t="shared" si="16"/>
        <v>126028</v>
      </c>
      <c r="F19" s="53">
        <f t="shared" ref="F19" si="17">F6*F44</f>
        <v>88907</v>
      </c>
      <c r="G19" s="53">
        <f>SUM(C19:F19)</f>
        <v>565390</v>
      </c>
      <c r="H19" s="45"/>
      <c r="R19" s="51" t="s">
        <v>43</v>
      </c>
      <c r="AH19" s="51" t="s">
        <v>44</v>
      </c>
      <c r="AI19" s="51" t="s">
        <v>43</v>
      </c>
      <c r="AJ19" s="47" t="s">
        <v>17</v>
      </c>
    </row>
    <row r="20" spans="1:36">
      <c r="A20" s="205">
        <v>14</v>
      </c>
      <c r="B20" s="51" t="s">
        <v>45</v>
      </c>
      <c r="C20" s="53">
        <f>C6*C45</f>
        <v>1120919.9999999998</v>
      </c>
      <c r="D20" s="53">
        <f t="shared" ref="D20:E20" si="18">D6*D45</f>
        <v>381030</v>
      </c>
      <c r="E20" s="53">
        <f t="shared" si="18"/>
        <v>540120</v>
      </c>
      <c r="F20" s="53">
        <f t="shared" ref="F20" si="19">F6*F45</f>
        <v>381030</v>
      </c>
      <c r="G20" s="53">
        <f>SUM(C20:F20)</f>
        <v>2423100</v>
      </c>
      <c r="R20" s="51" t="s">
        <v>45</v>
      </c>
      <c r="AH20" s="51" t="s">
        <v>46</v>
      </c>
      <c r="AI20" s="51" t="s">
        <v>45</v>
      </c>
    </row>
    <row r="21" spans="1:36">
      <c r="A21" s="205">
        <v>15</v>
      </c>
      <c r="B21" s="51" t="s">
        <v>47</v>
      </c>
      <c r="C21" s="58">
        <f>$G$21/$G$6*C6</f>
        <v>249992</v>
      </c>
      <c r="D21" s="58">
        <f>$G$21/$G$6*D6</f>
        <v>62498</v>
      </c>
      <c r="E21" s="58">
        <f>$G$21/$G$6*E6</f>
        <v>249992</v>
      </c>
      <c r="F21" s="58">
        <f>$G$21/$G$6*F6</f>
        <v>62498</v>
      </c>
      <c r="G21" s="53">
        <f>项目投资!D27</f>
        <v>624980</v>
      </c>
      <c r="R21" s="51" t="s">
        <v>47</v>
      </c>
      <c r="AH21" s="51"/>
      <c r="AI21" s="51"/>
    </row>
    <row r="22" spans="1:36">
      <c r="A22" s="205">
        <v>16</v>
      </c>
      <c r="B22" s="51" t="s">
        <v>48</v>
      </c>
      <c r="C22" s="53">
        <f>C6*C47</f>
        <v>1494560</v>
      </c>
      <c r="D22" s="53">
        <f t="shared" ref="D22:E22" si="20">D6*D47</f>
        <v>508040</v>
      </c>
      <c r="E22" s="53">
        <f t="shared" si="20"/>
        <v>720160</v>
      </c>
      <c r="F22" s="53">
        <f t="shared" ref="F22" si="21">F6*F47</f>
        <v>508040</v>
      </c>
      <c r="G22" s="53">
        <f>SUM(C22:F22)</f>
        <v>3230800</v>
      </c>
      <c r="R22" s="51" t="s">
        <v>48</v>
      </c>
      <c r="AH22" s="51" t="s">
        <v>49</v>
      </c>
      <c r="AI22" s="51" t="s">
        <v>48</v>
      </c>
    </row>
    <row r="23" spans="1:36">
      <c r="A23" s="205">
        <v>17</v>
      </c>
      <c r="B23" s="54" t="s">
        <v>50</v>
      </c>
      <c r="C23" s="58">
        <f>+C22+C21+C20+C19+C17</f>
        <v>5094920</v>
      </c>
      <c r="D23" s="58">
        <f t="shared" ref="D23:E23" si="22">+D22+D21+D20+D19+D17</f>
        <v>1683650</v>
      </c>
      <c r="E23" s="58">
        <f t="shared" si="22"/>
        <v>2733000</v>
      </c>
      <c r="F23" s="58">
        <f t="shared" ref="F23" si="23">+F22+F21+F20+F19+F17</f>
        <v>1683650</v>
      </c>
      <c r="G23" s="58">
        <f t="shared" ref="G23" si="24">+G22+G21+G20+G19+G17</f>
        <v>11195220</v>
      </c>
      <c r="R23" s="54" t="s">
        <v>50</v>
      </c>
      <c r="AH23" s="51" t="s">
        <v>51</v>
      </c>
      <c r="AI23" s="54" t="s">
        <v>50</v>
      </c>
    </row>
    <row r="24" spans="1:36">
      <c r="A24" s="205">
        <v>18</v>
      </c>
      <c r="B24" s="59" t="s">
        <v>52</v>
      </c>
      <c r="C24" s="58">
        <f>+C15-C23</f>
        <v>2214973.9079009462</v>
      </c>
      <c r="D24" s="58">
        <f t="shared" ref="D24:E24" si="25">+D15-D23</f>
        <v>-380497.26529103005</v>
      </c>
      <c r="E24" s="58">
        <f t="shared" si="25"/>
        <v>2767868.8815197293</v>
      </c>
      <c r="F24" s="58">
        <f t="shared" ref="F24" si="26">+F15-F23</f>
        <v>2805307.0172593687</v>
      </c>
      <c r="G24" s="58">
        <f t="shared" ref="G24" si="27">+G15-G23</f>
        <v>7407652.5413890146</v>
      </c>
      <c r="I24" s="69"/>
      <c r="R24" s="51" t="s">
        <v>52</v>
      </c>
      <c r="AH24" s="51" t="s">
        <v>53</v>
      </c>
      <c r="AI24" s="51" t="s">
        <v>52</v>
      </c>
    </row>
    <row r="25" spans="1:36">
      <c r="A25" s="205">
        <v>19</v>
      </c>
      <c r="B25" s="51" t="s">
        <v>237</v>
      </c>
      <c r="C25" s="58">
        <f>IF(C24&lt;0,0,C24*0.15)</f>
        <v>332246.08618514193</v>
      </c>
      <c r="D25" s="58">
        <f>IF(D24&lt;0,0,D24*0.15)</f>
        <v>0</v>
      </c>
      <c r="E25" s="58">
        <f>IF(E24&lt;0,0,E24*0.15)</f>
        <v>415180.33222795936</v>
      </c>
      <c r="F25" s="58">
        <f>IF(F24&lt;0,0,F24*0.15)</f>
        <v>420796.05258890527</v>
      </c>
      <c r="G25" s="58">
        <f>IF(G24&lt;0,0,G24*0.15)</f>
        <v>1111147.881208352</v>
      </c>
      <c r="H25" s="65"/>
      <c r="I25" s="65"/>
      <c r="J25" s="65"/>
      <c r="R25" s="51" t="s">
        <v>54</v>
      </c>
      <c r="AH25" s="51" t="s">
        <v>55</v>
      </c>
      <c r="AI25" s="51" t="s">
        <v>54</v>
      </c>
    </row>
    <row r="26" spans="1:36">
      <c r="A26" s="205">
        <v>20</v>
      </c>
      <c r="B26" s="51" t="s">
        <v>56</v>
      </c>
      <c r="C26" s="58">
        <f t="shared" ref="C26:E26" si="28">C24-C25</f>
        <v>1882727.8217158043</v>
      </c>
      <c r="D26" s="58">
        <f t="shared" si="28"/>
        <v>-380497.26529103005</v>
      </c>
      <c r="E26" s="58">
        <f t="shared" si="28"/>
        <v>2352688.54929177</v>
      </c>
      <c r="F26" s="58">
        <f t="shared" ref="F26" si="29">F24-F25</f>
        <v>2384510.9646704635</v>
      </c>
      <c r="G26" s="53">
        <f>G24-G25</f>
        <v>6296504.6601806628</v>
      </c>
      <c r="H26" s="185"/>
      <c r="I26" s="65"/>
      <c r="J26" s="65"/>
      <c r="R26" s="51" t="s">
        <v>56</v>
      </c>
      <c r="AH26" s="51" t="s">
        <v>57</v>
      </c>
      <c r="AI26" s="51" t="s">
        <v>56</v>
      </c>
    </row>
    <row r="27" spans="1:36">
      <c r="A27" s="205">
        <v>21</v>
      </c>
      <c r="B27" s="51" t="s">
        <v>60</v>
      </c>
      <c r="C27" s="128">
        <f t="shared" ref="C27:G27" si="30">C26/C7</f>
        <v>5.0388818694888239E-2</v>
      </c>
      <c r="D27" s="128">
        <f t="shared" si="30"/>
        <v>-2.9958055687822224E-2</v>
      </c>
      <c r="E27" s="128">
        <f t="shared" si="30"/>
        <v>0.13067588032058264</v>
      </c>
      <c r="F27" s="128">
        <f t="shared" si="30"/>
        <v>0.18774198603814374</v>
      </c>
      <c r="G27" s="128">
        <f t="shared" si="30"/>
        <v>7.7955981926218429E-2</v>
      </c>
      <c r="H27" s="182"/>
      <c r="I27" s="65"/>
      <c r="J27" s="65"/>
      <c r="R27" s="51" t="s">
        <v>60</v>
      </c>
      <c r="AH27" s="51" t="s">
        <v>59</v>
      </c>
      <c r="AI27" s="51" t="s">
        <v>60</v>
      </c>
    </row>
    <row r="28" spans="1:36">
      <c r="H28" s="65"/>
      <c r="I28" s="65"/>
      <c r="J28" s="65"/>
      <c r="R28" s="51"/>
    </row>
    <row r="29" spans="1:36">
      <c r="A29" s="47" t="s">
        <v>61</v>
      </c>
      <c r="G29" s="48" t="s">
        <v>145</v>
      </c>
      <c r="H29" s="65"/>
      <c r="I29" s="65"/>
      <c r="J29" s="65"/>
      <c r="R29" s="51"/>
      <c r="AH29" s="47" t="s">
        <v>61</v>
      </c>
    </row>
    <row r="30" spans="1:36">
      <c r="A30" s="51" t="s">
        <v>62</v>
      </c>
      <c r="B30" s="54" t="s">
        <v>63</v>
      </c>
      <c r="C30" s="58"/>
      <c r="D30" s="58"/>
      <c r="E30" s="58"/>
      <c r="F30" s="58"/>
      <c r="G30" s="58"/>
      <c r="H30" s="65"/>
      <c r="I30" s="65"/>
      <c r="J30" s="65"/>
      <c r="L30" s="65"/>
      <c r="R30" s="54" t="s">
        <v>63</v>
      </c>
      <c r="AH30" s="51" t="s">
        <v>64</v>
      </c>
      <c r="AI30" s="54" t="s">
        <v>63</v>
      </c>
    </row>
    <row r="31" spans="1:36">
      <c r="A31" s="205">
        <v>1</v>
      </c>
      <c r="B31" s="56" t="s">
        <v>65</v>
      </c>
      <c r="C31" s="61">
        <f>销量!C8</f>
        <v>2335.25</v>
      </c>
      <c r="D31" s="61">
        <f>销量!D8</f>
        <v>3175.25</v>
      </c>
      <c r="E31" s="61">
        <f>销量!E8</f>
        <v>1125.25</v>
      </c>
      <c r="F31" s="61">
        <f>销量!F8</f>
        <v>3175.25</v>
      </c>
      <c r="G31" s="58"/>
      <c r="H31" s="65"/>
      <c r="I31" s="65"/>
      <c r="J31" s="65"/>
      <c r="L31" s="65"/>
      <c r="R31" s="51" t="s">
        <v>65</v>
      </c>
      <c r="AH31" s="51" t="s">
        <v>19</v>
      </c>
      <c r="AI31" s="51" t="s">
        <v>65</v>
      </c>
    </row>
    <row r="32" spans="1:36">
      <c r="A32" s="205">
        <v>2</v>
      </c>
      <c r="B32" s="51" t="s">
        <v>146</v>
      </c>
      <c r="C32" s="53">
        <f>C9/C6</f>
        <v>2153.9602456399998</v>
      </c>
      <c r="D32" s="53">
        <f t="shared" ref="D32:E32" si="31">D9/D6</f>
        <v>3049.5100999999995</v>
      </c>
      <c r="E32" s="53">
        <f t="shared" si="31"/>
        <v>1080.6900999999998</v>
      </c>
      <c r="F32" s="53">
        <f t="shared" ref="F32" si="32">F9/F6</f>
        <v>3049.5100999999995</v>
      </c>
      <c r="G32" s="58"/>
      <c r="H32" s="65"/>
      <c r="I32" s="65"/>
      <c r="J32" s="65"/>
      <c r="K32" s="65"/>
      <c r="L32" s="65"/>
      <c r="M32" s="65"/>
      <c r="N32" s="65"/>
      <c r="AH32" s="51"/>
      <c r="AI32" s="51"/>
    </row>
    <row r="33" spans="1:35">
      <c r="A33" s="205">
        <v>3</v>
      </c>
      <c r="B33" s="56" t="s">
        <v>66</v>
      </c>
      <c r="C33" s="53">
        <f>材料成本!I41</f>
        <v>1437.1879485040001</v>
      </c>
      <c r="D33" s="53">
        <f>材料成本!I42</f>
        <v>2370.3293686128</v>
      </c>
      <c r="E33" s="53">
        <f>材料成本!I43</f>
        <v>611.64999794079995</v>
      </c>
      <c r="F33" s="53">
        <f>材料成本!I44</f>
        <v>1573.8782979752002</v>
      </c>
      <c r="G33" s="58"/>
      <c r="I33" s="65"/>
      <c r="J33" s="65"/>
      <c r="K33" s="65"/>
      <c r="L33" s="65"/>
      <c r="M33" s="65"/>
      <c r="N33" s="65"/>
      <c r="R33" s="51" t="s">
        <v>66</v>
      </c>
      <c r="AH33" s="51" t="s">
        <v>21</v>
      </c>
      <c r="AI33" s="51" t="s">
        <v>66</v>
      </c>
    </row>
    <row r="34" spans="1:35" ht="17.25" customHeight="1">
      <c r="A34" s="205">
        <v>4</v>
      </c>
      <c r="B34" s="51" t="s">
        <v>68</v>
      </c>
      <c r="C34" s="62">
        <f>C32-C33</f>
        <v>716.77229713599968</v>
      </c>
      <c r="D34" s="62">
        <f t="shared" ref="D34:E34" si="33">D32-D33</f>
        <v>679.18073138719956</v>
      </c>
      <c r="E34" s="62">
        <f t="shared" si="33"/>
        <v>469.04010205919985</v>
      </c>
      <c r="F34" s="62">
        <f t="shared" ref="F34" si="34">F32-F33</f>
        <v>1475.6318020247993</v>
      </c>
      <c r="G34" s="58"/>
      <c r="I34" s="65"/>
      <c r="J34" s="65"/>
      <c r="K34" s="65"/>
      <c r="L34" s="65"/>
      <c r="M34" s="65"/>
      <c r="N34" s="65"/>
      <c r="R34" s="51" t="s">
        <v>68</v>
      </c>
      <c r="AH34" s="51" t="s">
        <v>67</v>
      </c>
      <c r="AI34" s="51" t="s">
        <v>68</v>
      </c>
    </row>
    <row r="35" spans="1:35">
      <c r="A35" s="51" t="s">
        <v>64</v>
      </c>
      <c r="B35" s="54" t="s">
        <v>9</v>
      </c>
      <c r="C35" s="58"/>
      <c r="D35" s="58"/>
      <c r="E35" s="58"/>
      <c r="F35" s="58"/>
      <c r="G35" s="5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54" t="s">
        <v>9</v>
      </c>
      <c r="AH35" s="51" t="s">
        <v>70</v>
      </c>
      <c r="AI35" s="54" t="s">
        <v>9</v>
      </c>
    </row>
    <row r="36" spans="1:35">
      <c r="A36" s="205">
        <v>1</v>
      </c>
      <c r="B36" s="51" t="s">
        <v>71</v>
      </c>
      <c r="C36" s="57">
        <f>'2024年'!C36</f>
        <v>131.28772317627636</v>
      </c>
      <c r="D36" s="57">
        <f>'2024年'!D36</f>
        <v>178.51251172913885</v>
      </c>
      <c r="E36" s="57">
        <f>'2024年'!E36</f>
        <v>63.261539665605383</v>
      </c>
      <c r="F36" s="57">
        <f>'2024年'!F36</f>
        <v>178.51251172913885</v>
      </c>
      <c r="G36" s="6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51" t="s">
        <v>71</v>
      </c>
      <c r="AH36" s="51" t="s">
        <v>67</v>
      </c>
      <c r="AI36" s="51" t="s">
        <v>71</v>
      </c>
    </row>
    <row r="37" spans="1:35">
      <c r="A37" s="205">
        <v>2</v>
      </c>
      <c r="B37" s="51" t="s">
        <v>72</v>
      </c>
      <c r="C37" s="57">
        <f>'2024年'!C37</f>
        <v>35.20620471591414</v>
      </c>
      <c r="D37" s="57">
        <f>'2024年'!D37</f>
        <v>47.870035980818493</v>
      </c>
      <c r="E37" s="57">
        <f>'2024年'!E37</f>
        <v>16.96425729861145</v>
      </c>
      <c r="F37" s="57">
        <f>'2024年'!F37</f>
        <v>47.870035980818493</v>
      </c>
      <c r="G37" s="6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51" t="s">
        <v>72</v>
      </c>
      <c r="AH37" s="51" t="s">
        <v>24</v>
      </c>
      <c r="AI37" s="51" t="s">
        <v>72</v>
      </c>
    </row>
    <row r="38" spans="1:35">
      <c r="A38" s="205">
        <v>3</v>
      </c>
      <c r="B38" s="51" t="s">
        <v>73</v>
      </c>
      <c r="C38" s="57">
        <f>'2024年'!C38</f>
        <v>93.409999999999982</v>
      </c>
      <c r="D38" s="57">
        <f>'2024年'!D38</f>
        <v>127.00999999999998</v>
      </c>
      <c r="E38" s="57">
        <f>'2024年'!E38</f>
        <v>45.009999999999991</v>
      </c>
      <c r="F38" s="57">
        <f>'2024年'!F38</f>
        <v>127.00999999999998</v>
      </c>
      <c r="G38" s="61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51" t="s">
        <v>73</v>
      </c>
      <c r="AH38" s="51" t="s">
        <v>30</v>
      </c>
      <c r="AI38" s="51" t="s">
        <v>73</v>
      </c>
    </row>
    <row r="39" spans="1:35">
      <c r="A39" s="51" t="s">
        <v>70</v>
      </c>
      <c r="B39" s="54" t="s">
        <v>75</v>
      </c>
      <c r="C39" s="58"/>
      <c r="D39" s="58"/>
      <c r="E39" s="58"/>
      <c r="F39" s="58"/>
      <c r="G39" s="58"/>
      <c r="R39" s="54" t="s">
        <v>75</v>
      </c>
      <c r="AH39" s="51" t="s">
        <v>74</v>
      </c>
      <c r="AI39" s="54" t="s">
        <v>75</v>
      </c>
    </row>
    <row r="40" spans="1:35">
      <c r="A40" s="205">
        <v>1</v>
      </c>
      <c r="B40" s="51" t="s">
        <v>77</v>
      </c>
      <c r="C40" s="58">
        <f>C34-C36-C37-C38</f>
        <v>456.86836924380918</v>
      </c>
      <c r="D40" s="58">
        <f t="shared" ref="D40:F40" si="35">D34-D36-D37-D38</f>
        <v>325.78818367724222</v>
      </c>
      <c r="E40" s="58">
        <f t="shared" si="35"/>
        <v>343.80430509498302</v>
      </c>
      <c r="F40" s="58">
        <f t="shared" si="35"/>
        <v>1122.2392543148419</v>
      </c>
      <c r="G40" s="58"/>
      <c r="R40" s="51" t="s">
        <v>77</v>
      </c>
      <c r="AH40" s="51" t="s">
        <v>19</v>
      </c>
      <c r="AI40" s="51" t="s">
        <v>77</v>
      </c>
    </row>
    <row r="41" spans="1:35">
      <c r="A41" s="205">
        <v>2</v>
      </c>
      <c r="B41" s="51" t="s">
        <v>78</v>
      </c>
      <c r="C41" s="58"/>
      <c r="D41" s="58"/>
      <c r="E41" s="58"/>
      <c r="F41" s="58"/>
      <c r="G41" s="58"/>
      <c r="R41" s="51" t="s">
        <v>78</v>
      </c>
      <c r="AH41" s="51" t="s">
        <v>21</v>
      </c>
      <c r="AI41" s="51" t="s">
        <v>78</v>
      </c>
    </row>
    <row r="42" spans="1:35">
      <c r="A42" s="51" t="s">
        <v>74</v>
      </c>
      <c r="B42" s="54" t="s">
        <v>80</v>
      </c>
      <c r="C42" s="58"/>
      <c r="D42" s="58"/>
      <c r="E42" s="58"/>
      <c r="F42" s="58"/>
      <c r="G42" s="58"/>
      <c r="R42" s="54" t="s">
        <v>80</v>
      </c>
      <c r="AH42" s="51" t="s">
        <v>79</v>
      </c>
      <c r="AI42" s="54" t="s">
        <v>80</v>
      </c>
    </row>
    <row r="43" spans="1:35">
      <c r="A43" s="205">
        <v>1</v>
      </c>
      <c r="B43" s="59" t="s">
        <v>81</v>
      </c>
      <c r="C43" s="57">
        <f>'2024年'!C43</f>
        <v>105.08624999999999</v>
      </c>
      <c r="D43" s="57">
        <f>'2024年'!D43</f>
        <v>142.88624999999999</v>
      </c>
      <c r="E43" s="57">
        <f>'2024年'!E43</f>
        <v>50.636249999999997</v>
      </c>
      <c r="F43" s="57">
        <f>'2024年'!F43</f>
        <v>142.88624999999999</v>
      </c>
      <c r="G43" s="58"/>
      <c r="R43" s="51" t="s">
        <v>81</v>
      </c>
      <c r="AH43" s="51" t="s">
        <v>19</v>
      </c>
      <c r="AI43" s="51" t="s">
        <v>81</v>
      </c>
    </row>
    <row r="44" spans="1:35">
      <c r="A44" s="205">
        <v>2</v>
      </c>
      <c r="B44" s="59" t="s">
        <v>82</v>
      </c>
      <c r="C44" s="57">
        <f>'2024年'!C44</f>
        <v>16.34675</v>
      </c>
      <c r="D44" s="57">
        <f>'2024年'!D44</f>
        <v>22.226749999999999</v>
      </c>
      <c r="E44" s="57">
        <f>'2024年'!E44</f>
        <v>7.8767500000000004</v>
      </c>
      <c r="F44" s="57">
        <f>'2024年'!F44</f>
        <v>22.226749999999999</v>
      </c>
      <c r="G44" s="58"/>
      <c r="R44" s="51" t="s">
        <v>82</v>
      </c>
      <c r="AH44" s="51" t="s">
        <v>21</v>
      </c>
      <c r="AI44" s="51" t="s">
        <v>82</v>
      </c>
    </row>
    <row r="45" spans="1:35">
      <c r="A45" s="205">
        <v>3</v>
      </c>
      <c r="B45" s="59" t="s">
        <v>83</v>
      </c>
      <c r="C45" s="57">
        <f>'2024年'!C45</f>
        <v>70.05749999999999</v>
      </c>
      <c r="D45" s="57">
        <f>'2024年'!D45</f>
        <v>95.257499999999993</v>
      </c>
      <c r="E45" s="57">
        <f>'2024年'!E45</f>
        <v>33.7575</v>
      </c>
      <c r="F45" s="57">
        <f>'2024年'!F45</f>
        <v>95.257499999999993</v>
      </c>
      <c r="G45" s="58"/>
      <c r="R45" s="51" t="s">
        <v>83</v>
      </c>
      <c r="AH45" s="51" t="s">
        <v>67</v>
      </c>
      <c r="AI45" s="51" t="s">
        <v>83</v>
      </c>
    </row>
    <row r="46" spans="1:35" s="46" customFormat="1">
      <c r="A46" s="205">
        <v>4</v>
      </c>
      <c r="B46" s="59" t="s">
        <v>84</v>
      </c>
      <c r="C46" s="63">
        <f>C21/C6</f>
        <v>15.624499999999999</v>
      </c>
      <c r="D46" s="63">
        <f t="shared" ref="D46:E46" si="36">D21/D6</f>
        <v>15.624499999999999</v>
      </c>
      <c r="E46" s="63">
        <f t="shared" si="36"/>
        <v>15.624499999999999</v>
      </c>
      <c r="F46" s="63">
        <f t="shared" ref="F46" si="37">F21/F6</f>
        <v>15.624499999999999</v>
      </c>
      <c r="G46" s="63"/>
      <c r="R46" s="59" t="s">
        <v>86</v>
      </c>
      <c r="AH46" s="59" t="s">
        <v>27</v>
      </c>
      <c r="AI46" s="59" t="s">
        <v>86</v>
      </c>
    </row>
    <row r="47" spans="1:35" s="46" customFormat="1">
      <c r="A47" s="205">
        <v>5</v>
      </c>
      <c r="B47" s="59" t="s">
        <v>86</v>
      </c>
      <c r="C47" s="63">
        <f>'2024年'!C47</f>
        <v>93.41</v>
      </c>
      <c r="D47" s="63">
        <f>'2024年'!D47</f>
        <v>127.01</v>
      </c>
      <c r="E47" s="63">
        <f>'2024年'!E47</f>
        <v>45.01</v>
      </c>
      <c r="F47" s="63">
        <f>'2024年'!F47</f>
        <v>127.01</v>
      </c>
      <c r="G47" s="63"/>
      <c r="R47" s="59" t="s">
        <v>86</v>
      </c>
      <c r="AH47" s="59" t="s">
        <v>27</v>
      </c>
      <c r="AI47" s="59" t="s">
        <v>86</v>
      </c>
    </row>
    <row r="48" spans="1:35">
      <c r="A48" s="51" t="s">
        <v>79</v>
      </c>
      <c r="B48" s="54" t="s">
        <v>97</v>
      </c>
      <c r="C48" s="58">
        <f>C40-C43-C44-C45-C47-C46</f>
        <v>156.34336924380918</v>
      </c>
      <c r="D48" s="58">
        <f t="shared" ref="D48:E48" si="38">D40-D43-D44-D45-D47-D46</f>
        <v>-77.216816322757779</v>
      </c>
      <c r="E48" s="58">
        <f t="shared" si="38"/>
        <v>190.89930509498299</v>
      </c>
      <c r="F48" s="58">
        <f t="shared" ref="F48" si="39">F40-F43-F44-F45-F47-F46</f>
        <v>719.23425431484191</v>
      </c>
      <c r="G48" s="58"/>
      <c r="R48" s="54" t="s">
        <v>97</v>
      </c>
      <c r="AH48" s="51" t="s">
        <v>96</v>
      </c>
      <c r="AI48" s="54" t="s">
        <v>97</v>
      </c>
    </row>
    <row r="51" spans="2:12">
      <c r="C51" s="64"/>
      <c r="D51" s="64"/>
      <c r="E51" s="64"/>
      <c r="F51" s="64"/>
    </row>
    <row r="54" spans="2:12">
      <c r="B54" s="65"/>
      <c r="C54" s="66"/>
      <c r="D54" s="66"/>
      <c r="E54" s="66"/>
      <c r="F54" s="66"/>
      <c r="G54" s="66"/>
      <c r="H54" s="65"/>
      <c r="I54" s="65"/>
      <c r="J54" s="65"/>
      <c r="K54" s="65"/>
      <c r="L54" s="65"/>
    </row>
    <row r="55" spans="2:12">
      <c r="B55" s="65"/>
      <c r="C55" s="66"/>
      <c r="D55" s="66"/>
      <c r="E55" s="66"/>
      <c r="F55" s="66"/>
      <c r="G55" s="66"/>
      <c r="H55" s="65"/>
      <c r="I55" s="65"/>
      <c r="J55" s="65"/>
      <c r="K55" s="65"/>
      <c r="L55" s="65"/>
    </row>
    <row r="56" spans="2:12">
      <c r="B56" s="65"/>
      <c r="C56" s="66"/>
      <c r="D56" s="66"/>
      <c r="E56" s="66"/>
      <c r="F56" s="66"/>
      <c r="G56" s="66"/>
      <c r="H56" s="65"/>
      <c r="I56" s="65"/>
      <c r="J56" s="65"/>
      <c r="K56" s="65"/>
      <c r="L56" s="65"/>
    </row>
    <row r="57" spans="2:12">
      <c r="B57" s="65"/>
      <c r="C57" s="66"/>
      <c r="D57" s="66"/>
      <c r="E57" s="66"/>
      <c r="F57" s="66"/>
      <c r="G57" s="66"/>
      <c r="H57" s="65"/>
      <c r="I57" s="65"/>
      <c r="J57" s="65"/>
      <c r="K57" s="65"/>
      <c r="L57" s="65"/>
    </row>
    <row r="58" spans="2:12">
      <c r="B58" s="65"/>
      <c r="C58" s="66"/>
      <c r="D58" s="66"/>
      <c r="E58" s="66"/>
      <c r="F58" s="66"/>
      <c r="G58" s="66"/>
      <c r="H58" s="65"/>
      <c r="I58" s="65"/>
      <c r="J58" s="65"/>
      <c r="K58" s="65"/>
      <c r="L58" s="65"/>
    </row>
    <row r="59" spans="2:12">
      <c r="B59" s="65"/>
      <c r="C59" s="66"/>
      <c r="D59" s="66"/>
      <c r="E59" s="66"/>
      <c r="F59" s="66"/>
      <c r="G59" s="66"/>
      <c r="H59" s="65"/>
      <c r="I59" s="65"/>
      <c r="J59" s="65"/>
      <c r="K59" s="65"/>
      <c r="L59" s="65"/>
    </row>
    <row r="60" spans="2:12">
      <c r="B60" s="65"/>
      <c r="C60" s="66"/>
      <c r="D60" s="66"/>
      <c r="E60" s="66"/>
      <c r="F60" s="66"/>
      <c r="G60" s="66"/>
      <c r="H60" s="65"/>
      <c r="I60" s="65"/>
      <c r="J60" s="65"/>
      <c r="K60" s="65"/>
      <c r="L60" s="65"/>
    </row>
    <row r="61" spans="2:12">
      <c r="B61" s="65"/>
      <c r="C61" s="66"/>
      <c r="D61" s="66"/>
      <c r="E61" s="66"/>
      <c r="F61" s="66"/>
      <c r="G61" s="66"/>
      <c r="H61" s="65"/>
      <c r="I61" s="65"/>
      <c r="J61" s="65"/>
      <c r="K61" s="65"/>
      <c r="L61" s="65"/>
    </row>
    <row r="62" spans="2:12">
      <c r="B62" s="65"/>
      <c r="C62" s="66"/>
      <c r="D62" s="66"/>
      <c r="E62" s="66"/>
      <c r="F62" s="66"/>
      <c r="G62" s="66"/>
      <c r="H62" s="65"/>
      <c r="I62" s="65"/>
      <c r="J62" s="65"/>
      <c r="K62" s="65"/>
      <c r="L62" s="65"/>
    </row>
    <row r="63" spans="2:12">
      <c r="B63" s="65"/>
      <c r="C63" s="66"/>
      <c r="D63" s="66"/>
      <c r="E63" s="66"/>
      <c r="F63" s="66"/>
      <c r="G63" s="66"/>
      <c r="H63" s="65"/>
      <c r="I63" s="65"/>
      <c r="J63" s="65"/>
      <c r="K63" s="65"/>
      <c r="L63" s="65"/>
    </row>
    <row r="64" spans="2:12">
      <c r="B64" s="65"/>
      <c r="C64" s="66"/>
      <c r="D64" s="66"/>
      <c r="E64" s="66"/>
      <c r="F64" s="66"/>
      <c r="G64" s="66"/>
      <c r="H64" s="65"/>
      <c r="I64" s="65"/>
      <c r="J64" s="65"/>
      <c r="K64" s="65"/>
      <c r="L64" s="65"/>
    </row>
    <row r="65" spans="2:12">
      <c r="B65" s="65"/>
      <c r="C65" s="66"/>
      <c r="D65" s="66"/>
      <c r="E65" s="66"/>
      <c r="F65" s="66"/>
      <c r="G65" s="66"/>
      <c r="H65" s="65"/>
      <c r="I65" s="65"/>
      <c r="J65" s="65"/>
      <c r="K65" s="65"/>
      <c r="L65" s="65"/>
    </row>
    <row r="66" spans="2:12">
      <c r="B66" s="65"/>
      <c r="C66" s="66"/>
      <c r="D66" s="66"/>
      <c r="E66" s="66"/>
      <c r="F66" s="66"/>
      <c r="G66" s="66"/>
      <c r="H66" s="65"/>
      <c r="I66" s="65"/>
      <c r="J66" s="65"/>
      <c r="K66" s="65"/>
      <c r="L66" s="65"/>
    </row>
    <row r="67" spans="2:12">
      <c r="B67" s="65"/>
      <c r="C67" s="66"/>
      <c r="D67" s="66"/>
      <c r="E67" s="66"/>
      <c r="F67" s="66"/>
      <c r="G67" s="66"/>
      <c r="H67" s="65"/>
    </row>
    <row r="68" spans="2:12">
      <c r="B68" s="65"/>
      <c r="C68" s="66"/>
      <c r="D68" s="66"/>
      <c r="E68" s="66"/>
      <c r="F68" s="66"/>
      <c r="G68" s="66"/>
      <c r="H68" s="65"/>
    </row>
    <row r="69" spans="2:12">
      <c r="B69" s="65"/>
      <c r="C69" s="66"/>
      <c r="D69" s="66"/>
      <c r="E69" s="66"/>
      <c r="F69" s="66"/>
      <c r="G69" s="66"/>
      <c r="H69" s="65"/>
    </row>
    <row r="70" spans="2:12">
      <c r="B70" s="65"/>
      <c r="C70" s="66"/>
      <c r="D70" s="66"/>
      <c r="E70" s="66"/>
      <c r="F70" s="66"/>
      <c r="G70" s="66"/>
      <c r="H70" s="65"/>
    </row>
    <row r="71" spans="2:12">
      <c r="B71" s="65"/>
      <c r="C71" s="66"/>
      <c r="D71" s="66"/>
      <c r="E71" s="66"/>
      <c r="F71" s="66"/>
      <c r="G71" s="66"/>
      <c r="H71" s="65"/>
    </row>
    <row r="72" spans="2:12">
      <c r="B72" s="65"/>
      <c r="C72" s="66"/>
      <c r="D72" s="66"/>
      <c r="E72" s="66"/>
      <c r="F72" s="66"/>
      <c r="G72" s="66"/>
      <c r="H72" s="65"/>
    </row>
    <row r="73" spans="2:12">
      <c r="B73" s="65"/>
      <c r="C73" s="66"/>
      <c r="D73" s="66"/>
      <c r="E73" s="66"/>
      <c r="F73" s="66"/>
      <c r="G73" s="66"/>
      <c r="H73" s="65"/>
    </row>
    <row r="74" spans="2:12">
      <c r="B74" s="65"/>
      <c r="C74" s="66"/>
      <c r="D74" s="66"/>
      <c r="E74" s="66"/>
      <c r="F74" s="66"/>
      <c r="G74" s="66"/>
      <c r="H74" s="65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xSplit="6" ySplit="2" topLeftCell="G18" activePane="bottomRight" state="frozen"/>
      <selection pane="topRight"/>
      <selection pane="bottomLeft"/>
      <selection pane="bottomRight" activeCell="F22" sqref="F22"/>
    </sheetView>
  </sheetViews>
  <sheetFormatPr defaultColWidth="9" defaultRowHeight="13.5"/>
  <cols>
    <col min="1" max="1" width="20.625" customWidth="1"/>
    <col min="2" max="2" width="14.25" style="25" customWidth="1"/>
    <col min="3" max="3" width="13.125" customWidth="1"/>
    <col min="4" max="6" width="14.5" customWidth="1"/>
    <col min="7" max="7" width="19.375" bestFit="1" customWidth="1"/>
    <col min="8" max="8" width="17.125" customWidth="1"/>
    <col min="9" max="9" width="15.625" customWidth="1"/>
    <col min="10" max="10" width="14.75" customWidth="1"/>
  </cols>
  <sheetData>
    <row r="1" spans="1:13" ht="20.25">
      <c r="A1" s="269" t="s">
        <v>147</v>
      </c>
      <c r="B1" s="269"/>
      <c r="C1" s="269"/>
      <c r="E1" s="270" t="s">
        <v>250</v>
      </c>
      <c r="F1" s="271"/>
      <c r="G1" s="271"/>
      <c r="H1" s="272"/>
      <c r="J1" s="243"/>
      <c r="K1" s="243"/>
      <c r="L1" s="243"/>
      <c r="M1" s="243"/>
    </row>
    <row r="2" spans="1:13" ht="23.45" customHeight="1">
      <c r="A2" s="26" t="s">
        <v>1</v>
      </c>
      <c r="B2" s="27" t="s">
        <v>148</v>
      </c>
      <c r="C2" s="28" t="s">
        <v>149</v>
      </c>
      <c r="E2" s="1" t="s">
        <v>150</v>
      </c>
      <c r="F2" s="1" t="s">
        <v>1</v>
      </c>
      <c r="G2" s="29" t="s">
        <v>151</v>
      </c>
      <c r="H2" s="1" t="s">
        <v>149</v>
      </c>
      <c r="J2" s="198"/>
      <c r="K2" s="198"/>
      <c r="L2" s="199"/>
      <c r="M2" s="200"/>
    </row>
    <row r="3" spans="1:13" ht="15.75" customHeight="1">
      <c r="A3" s="30" t="s">
        <v>152</v>
      </c>
      <c r="B3" s="31"/>
      <c r="C3" s="32"/>
      <c r="E3" s="263" t="s">
        <v>153</v>
      </c>
      <c r="F3" s="2" t="s">
        <v>154</v>
      </c>
      <c r="G3" s="33"/>
      <c r="H3" s="2"/>
      <c r="J3" s="201"/>
    </row>
    <row r="4" spans="1:13" ht="15.75" customHeight="1">
      <c r="A4" s="30" t="s">
        <v>155</v>
      </c>
      <c r="B4" s="31"/>
      <c r="C4" s="34"/>
      <c r="E4" s="264"/>
      <c r="F4" s="2" t="s">
        <v>156</v>
      </c>
      <c r="G4" s="33"/>
      <c r="H4" s="2"/>
      <c r="J4" s="201"/>
    </row>
    <row r="5" spans="1:13" ht="15.75" customHeight="1">
      <c r="A5" s="30" t="s">
        <v>157</v>
      </c>
      <c r="B5" s="35">
        <f>SUM(G3:G4)</f>
        <v>0</v>
      </c>
      <c r="C5" s="32"/>
      <c r="E5" s="265" t="s">
        <v>158</v>
      </c>
      <c r="F5" s="36" t="s">
        <v>159</v>
      </c>
      <c r="G5" s="169"/>
      <c r="H5" s="183"/>
      <c r="J5" s="201"/>
    </row>
    <row r="6" spans="1:13" ht="15.75" customHeight="1">
      <c r="A6" s="30" t="s">
        <v>160</v>
      </c>
      <c r="B6" s="31"/>
      <c r="C6" s="32"/>
      <c r="E6" s="266"/>
      <c r="F6" s="36" t="s">
        <v>161</v>
      </c>
      <c r="G6" s="169"/>
      <c r="H6" s="183"/>
      <c r="J6" s="201"/>
    </row>
    <row r="7" spans="1:13" ht="15.75" customHeight="1">
      <c r="A7" s="37" t="s">
        <v>162</v>
      </c>
      <c r="B7" s="35">
        <f>SUM(B3:B6)</f>
        <v>0</v>
      </c>
      <c r="C7" s="32"/>
      <c r="E7" s="266"/>
      <c r="F7" s="204" t="s">
        <v>163</v>
      </c>
      <c r="G7" s="169"/>
      <c r="H7" s="183"/>
      <c r="J7" s="201"/>
    </row>
    <row r="8" spans="1:13" ht="15.75" customHeight="1">
      <c r="A8" s="38" t="s">
        <v>164</v>
      </c>
      <c r="B8" s="35">
        <f>SUM(G5:G12)</f>
        <v>754</v>
      </c>
      <c r="C8" s="39"/>
      <c r="E8" s="266"/>
      <c r="F8" s="36" t="s">
        <v>165</v>
      </c>
      <c r="G8" s="169"/>
      <c r="H8" s="242"/>
      <c r="J8" s="201"/>
    </row>
    <row r="9" spans="1:13" ht="15.75" customHeight="1">
      <c r="A9" s="30" t="s">
        <v>166</v>
      </c>
      <c r="B9" s="35">
        <f>SUM(G13:G21)</f>
        <v>624.98</v>
      </c>
      <c r="C9" s="32"/>
      <c r="E9" s="266"/>
      <c r="F9" s="2" t="s">
        <v>167</v>
      </c>
      <c r="G9" s="169"/>
      <c r="H9" s="40"/>
      <c r="J9" s="202"/>
    </row>
    <row r="10" spans="1:13" ht="15.75" customHeight="1">
      <c r="A10" s="34" t="s">
        <v>15</v>
      </c>
      <c r="B10" s="35">
        <f>B7+B8+B9</f>
        <v>1378.98</v>
      </c>
      <c r="C10" s="32"/>
      <c r="E10" s="266"/>
      <c r="F10" s="204" t="s">
        <v>168</v>
      </c>
      <c r="G10" s="170"/>
      <c r="H10" s="40"/>
      <c r="J10" s="201"/>
    </row>
    <row r="11" spans="1:13" ht="15.75" customHeight="1">
      <c r="E11" s="266"/>
      <c r="F11" s="204" t="s">
        <v>169</v>
      </c>
      <c r="G11" s="170"/>
      <c r="H11" s="40"/>
      <c r="J11" s="201"/>
    </row>
    <row r="12" spans="1:13" ht="15.75" customHeight="1">
      <c r="E12" s="267"/>
      <c r="F12" s="2" t="s">
        <v>170</v>
      </c>
      <c r="G12" s="169">
        <f>604+150</f>
        <v>754</v>
      </c>
      <c r="H12" s="40"/>
      <c r="J12" s="202"/>
    </row>
    <row r="13" spans="1:13" ht="15.75" customHeight="1">
      <c r="E13" s="263" t="s">
        <v>47</v>
      </c>
      <c r="F13" s="2" t="s">
        <v>171</v>
      </c>
      <c r="G13" s="169">
        <v>420.08</v>
      </c>
      <c r="H13" s="40"/>
      <c r="J13" s="203"/>
    </row>
    <row r="14" spans="1:13" ht="15.75" customHeight="1">
      <c r="E14" s="264"/>
      <c r="F14" s="2" t="s">
        <v>172</v>
      </c>
      <c r="G14" s="169">
        <v>6.6</v>
      </c>
      <c r="H14" s="2"/>
      <c r="J14" s="201"/>
    </row>
    <row r="15" spans="1:13" ht="15.75" customHeight="1">
      <c r="E15" s="264"/>
      <c r="F15" s="2" t="s">
        <v>173</v>
      </c>
      <c r="G15" s="169"/>
      <c r="H15" s="2"/>
      <c r="J15" s="201"/>
    </row>
    <row r="16" spans="1:13" ht="15.75" customHeight="1">
      <c r="E16" s="264"/>
      <c r="F16" s="2" t="s">
        <v>174</v>
      </c>
      <c r="G16" s="169">
        <v>0.5</v>
      </c>
      <c r="H16" s="2"/>
      <c r="J16" s="201"/>
    </row>
    <row r="17" spans="1:10" ht="15.75" customHeight="1">
      <c r="E17" s="264"/>
      <c r="F17" s="2" t="s">
        <v>175</v>
      </c>
      <c r="G17" s="169">
        <v>6</v>
      </c>
      <c r="H17" s="184"/>
      <c r="J17" s="201"/>
    </row>
    <row r="18" spans="1:10" ht="15.75" customHeight="1">
      <c r="E18" s="264"/>
      <c r="F18" s="2" t="s">
        <v>176</v>
      </c>
      <c r="G18" s="169">
        <v>9</v>
      </c>
      <c r="H18" s="2"/>
      <c r="J18" s="201"/>
    </row>
    <row r="19" spans="1:10" ht="15.75" customHeight="1">
      <c r="E19" s="264"/>
      <c r="F19" s="2" t="s">
        <v>177</v>
      </c>
      <c r="G19" s="169">
        <f>161.8+21</f>
        <v>182.8</v>
      </c>
      <c r="H19" s="2"/>
      <c r="J19" s="201"/>
    </row>
    <row r="20" spans="1:10" ht="15.75" customHeight="1">
      <c r="E20" s="264"/>
      <c r="F20" s="2" t="s">
        <v>178</v>
      </c>
      <c r="G20" s="169"/>
      <c r="H20" s="2"/>
      <c r="J20" s="201"/>
    </row>
    <row r="21" spans="1:10" ht="15.75" customHeight="1">
      <c r="E21" s="268"/>
      <c r="F21" s="2" t="s">
        <v>125</v>
      </c>
      <c r="G21" s="169"/>
      <c r="H21" s="2"/>
      <c r="J21" s="201"/>
    </row>
    <row r="22" spans="1:10" ht="15.75" customHeight="1">
      <c r="E22" s="1" t="s">
        <v>15</v>
      </c>
      <c r="F22" s="2"/>
      <c r="G22" s="29">
        <f>SUM(G3:G21)</f>
        <v>1378.9799999999998</v>
      </c>
      <c r="H22" s="2"/>
      <c r="J22" s="201"/>
    </row>
    <row r="23" spans="1:10" ht="42.75" customHeight="1">
      <c r="B23" s="241" t="s">
        <v>351</v>
      </c>
      <c r="E23" s="259" t="s">
        <v>179</v>
      </c>
      <c r="F23" s="259"/>
      <c r="G23" s="259"/>
      <c r="H23" s="259"/>
    </row>
    <row r="25" spans="1:10" ht="17.25">
      <c r="A25" s="17" t="s">
        <v>1</v>
      </c>
      <c r="B25" s="17" t="s">
        <v>148</v>
      </c>
      <c r="C25" s="17" t="s">
        <v>180</v>
      </c>
      <c r="D25" s="171" t="s">
        <v>343</v>
      </c>
      <c r="E25" s="235" t="s">
        <v>181</v>
      </c>
      <c r="F25" s="235" t="s">
        <v>231</v>
      </c>
      <c r="G25" s="235" t="s">
        <v>273</v>
      </c>
      <c r="H25" s="235" t="s">
        <v>274</v>
      </c>
      <c r="I25" s="20" t="s">
        <v>15</v>
      </c>
      <c r="J25" s="43" t="s">
        <v>182</v>
      </c>
    </row>
    <row r="26" spans="1:10" ht="16.5">
      <c r="A26" s="41" t="s">
        <v>143</v>
      </c>
      <c r="B26" s="319">
        <f>(B5+B8)*10000/2</f>
        <v>3770000</v>
      </c>
      <c r="C26" s="42">
        <v>0.05</v>
      </c>
      <c r="D26" s="11">
        <f>B26*(1-C26)/5</f>
        <v>716300</v>
      </c>
      <c r="E26" s="11">
        <f t="shared" ref="E26:F27" si="0">D26</f>
        <v>716300</v>
      </c>
      <c r="F26" s="11">
        <f t="shared" si="0"/>
        <v>716300</v>
      </c>
      <c r="G26" s="11">
        <f>F26</f>
        <v>716300</v>
      </c>
      <c r="H26" s="11">
        <f>G26</f>
        <v>716300</v>
      </c>
      <c r="I26" s="11">
        <f>SUM(D26:H26)</f>
        <v>3581500</v>
      </c>
      <c r="J26" s="11">
        <f>B26*0.05</f>
        <v>188500</v>
      </c>
    </row>
    <row r="27" spans="1:10" ht="16.5">
      <c r="A27" s="41" t="s">
        <v>183</v>
      </c>
      <c r="B27" s="319">
        <f>B9*10000/2</f>
        <v>3124900</v>
      </c>
      <c r="C27" s="11"/>
      <c r="D27" s="11">
        <f>B27/5</f>
        <v>624980</v>
      </c>
      <c r="E27" s="11">
        <f t="shared" si="0"/>
        <v>624980</v>
      </c>
      <c r="F27" s="11">
        <f t="shared" si="0"/>
        <v>624980</v>
      </c>
      <c r="G27" s="11">
        <f>F27</f>
        <v>624980</v>
      </c>
      <c r="H27" s="11">
        <f>G27</f>
        <v>624980</v>
      </c>
      <c r="I27" s="11">
        <f>SUM(D27:H27)</f>
        <v>3124900</v>
      </c>
      <c r="J27" s="11"/>
    </row>
    <row r="28" spans="1:10" ht="16.5">
      <c r="A28" s="260" t="s">
        <v>105</v>
      </c>
      <c r="B28" s="261"/>
      <c r="C28" s="262"/>
      <c r="D28" s="11">
        <f>SUM(D26:D27)</f>
        <v>1341280</v>
      </c>
      <c r="E28" s="11">
        <f t="shared" ref="E28:H28" si="1">SUM(E26:E27)</f>
        <v>1341280</v>
      </c>
      <c r="F28" s="11">
        <f t="shared" si="1"/>
        <v>1341280</v>
      </c>
      <c r="G28" s="11">
        <f t="shared" si="1"/>
        <v>1341280</v>
      </c>
      <c r="H28" s="11">
        <f t="shared" si="1"/>
        <v>1341280</v>
      </c>
      <c r="I28" s="44"/>
      <c r="J28" s="44"/>
    </row>
    <row r="41" spans="2:2" ht="37.5" customHeight="1">
      <c r="B41"/>
    </row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5</vt:i4>
      </vt:variant>
    </vt:vector>
  </HeadingPairs>
  <TitlesOfParts>
    <vt:vector size="20" baseType="lpstr">
      <vt:lpstr>假设条件</vt:lpstr>
      <vt:lpstr>损益表</vt:lpstr>
      <vt:lpstr>现金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  <vt:lpstr>附加值</vt:lpstr>
      <vt:lpstr>成本（增减件）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2022-07-11T03:10:21Z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