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Sheet3" sheetId="3" r:id="rId1"/>
    <sheet name="Sheet2" sheetId="2" r:id="rId2"/>
    <sheet name="Sheet1" sheetId="4" r:id="rId3"/>
    <sheet name="Sheet4" sheetId="1" r:id="rId4"/>
  </sheets>
  <calcPr calcId="144525"/>
</workbook>
</file>

<file path=xl/comments1.xml><?xml version="1.0" encoding="utf-8"?>
<comments xmlns="http://schemas.openxmlformats.org/spreadsheetml/2006/main">
  <authors>
    <author>风雷</author>
    <author>田健</author>
    <author>作者</author>
  </authors>
  <commentList>
    <comment ref="H1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汇铭注塑模具不带热流道</t>
        </r>
      </text>
    </comment>
    <comment ref="N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1" authorId="1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  <comment ref="T3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图纸PA6</t>
        </r>
      </text>
    </comment>
    <comment ref="AG5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含税0.3元/件，模摊含税0.18元/件，不含模摊未税0.2655元/件</t>
        </r>
      </text>
    </comment>
    <comment ref="AC6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0.1元不带票，王恩旺
提供依据证明价格真实</t>
        </r>
      </text>
    </comment>
    <comment ref="I9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偶尔要1个，堵住一遍生产
色粉未税13元/包，配25kg材料</t>
        </r>
      </text>
    </comment>
    <comment ref="D17" authorId="2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含税0.3元/件，模摊含税0.18元/件，不含模摊未税0.2655元/件</t>
        </r>
      </text>
    </comment>
  </commentList>
</comments>
</file>

<file path=xl/comments2.xml><?xml version="1.0" encoding="utf-8"?>
<comments xmlns="http://schemas.openxmlformats.org/spreadsheetml/2006/main">
  <authors>
    <author>风雷</author>
    <author>田健</author>
  </authors>
  <commentList>
    <comment ref="H1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汇铭注塑模具不带热流道</t>
        </r>
      </text>
    </comment>
    <comment ref="N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1" authorId="1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  <comment ref="AF5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含税0.3元/件，模摊含税0.18元/件，不含模摊未税0.1062元/件</t>
        </r>
      </text>
    </comment>
    <comment ref="AC6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0.1元不带票，王恩旺
提供依据证明价格真实</t>
        </r>
      </text>
    </comment>
    <comment ref="I9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偶尔要1个，堵住一遍生产
色粉未税13元/包，配25kg材料</t>
        </r>
      </text>
    </comment>
  </commentList>
</comments>
</file>

<file path=xl/comments3.xml><?xml version="1.0" encoding="utf-8"?>
<comments xmlns="http://schemas.openxmlformats.org/spreadsheetml/2006/main">
  <authors>
    <author>田健</author>
    <author>风雷</author>
  </authors>
  <commentList>
    <comment ref="N1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1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1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1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1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  <comment ref="AF5" authorId="1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含税0.3元/件，模摊含税0.18元/件，不含模摊未税0.1062元/件</t>
        </r>
      </text>
    </comment>
    <comment ref="N14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14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14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14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14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15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15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  <comment ref="AF18" authorId="1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含税0.3元/件，模摊含税0.18元/件，不含模摊未税0.1062元/件</t>
        </r>
      </text>
    </comment>
  </commentList>
</comments>
</file>

<file path=xl/comments4.xml><?xml version="1.0" encoding="utf-8"?>
<comments xmlns="http://schemas.openxmlformats.org/spreadsheetml/2006/main">
  <authors>
    <author>风雷</author>
    <author>田健</author>
  </authors>
  <commentList>
    <comment ref="H1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汇铭注塑模具不带热流道</t>
        </r>
      </text>
    </comment>
    <comment ref="N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1" authorId="1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1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2" authorId="1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  <comment ref="AF5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含税0.3元/件，模摊含税0.18元/件，不含模摊未税0.1062元/件</t>
        </r>
      </text>
    </comment>
    <comment ref="AC6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0.1元不带票，王恩旺</t>
        </r>
      </text>
    </comment>
    <comment ref="I9" authorId="0">
      <text>
        <r>
          <rPr>
            <b/>
            <sz val="9"/>
            <rFont val="宋体"/>
            <charset val="134"/>
          </rPr>
          <t>风雷:</t>
        </r>
        <r>
          <rPr>
            <sz val="9"/>
            <rFont val="宋体"/>
            <charset val="134"/>
          </rPr>
          <t xml:space="preserve">
偶尔要1个，堵住一遍生产
色粉未税13元/包，配25kg材料</t>
        </r>
      </text>
    </comment>
  </commentList>
</comments>
</file>

<file path=xl/sharedStrings.xml><?xml version="1.0" encoding="utf-8"?>
<sst xmlns="http://schemas.openxmlformats.org/spreadsheetml/2006/main" count="527" uniqueCount="102">
  <si>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</si>
  <si>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</si>
  <si>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</si>
  <si>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</si>
  <si>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</si>
  <si>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</si>
  <si>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</si>
  <si>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</si>
  <si>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</si>
  <si>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原料单价</t>
  </si>
  <si>
    <t>烘料时间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</si>
  <si>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</si>
  <si>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</si>
  <si>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</si>
  <si>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</si>
  <si>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</si>
  <si>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</si>
  <si>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</si>
  <si>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</si>
  <si>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</si>
  <si>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</si>
  <si>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</si>
  <si>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</si>
  <si>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</si>
  <si>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</si>
  <si>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</si>
  <si>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</si>
  <si>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</si>
  <si>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</si>
  <si>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 xml:space="preserve">核算价格 </t>
  </si>
  <si>
    <t>汇铭接受最低价格</t>
  </si>
  <si>
    <t>采购价格</t>
  </si>
  <si>
    <t>核对采购价格</t>
  </si>
  <si>
    <t>差额</t>
  </si>
  <si>
    <t>供应商</t>
  </si>
  <si>
    <t>原材料倍数</t>
  </si>
  <si>
    <t>初始核价</t>
  </si>
  <si>
    <t>差额率</t>
  </si>
  <si>
    <t>差异分析</t>
  </si>
  <si>
    <t>烘料</t>
  </si>
  <si>
    <t>机台</t>
  </si>
  <si>
    <t>轩德6项目</t>
  </si>
  <si>
    <t>SHT0000493</t>
  </si>
  <si>
    <t>H4681010091A0</t>
  </si>
  <si>
    <t>安全带外部罩壳</t>
  </si>
  <si>
    <t>120T</t>
  </si>
  <si>
    <t>PA6+GF30</t>
  </si>
  <si>
    <t>汇铭</t>
  </si>
  <si>
    <t>图纸：PA6材质，汇铭：PA66-G30材质，河北：PA6-G30，以河北工厂为准。</t>
  </si>
  <si>
    <t>SHT0001882</t>
  </si>
  <si>
    <t>SQX3000-6805463</t>
  </si>
  <si>
    <t>上尼龙固定块</t>
  </si>
  <si>
    <t>200T</t>
  </si>
  <si>
    <t>PA66+GF30</t>
  </si>
  <si>
    <t>BCL0010010</t>
  </si>
  <si>
    <t>四管夹</t>
  </si>
  <si>
    <t>增韧PA66</t>
  </si>
  <si>
    <t>材料：PA66→增韧PA66，周期：25→35，电费：0.76→0.8</t>
  </si>
  <si>
    <t>SHT0001876</t>
  </si>
  <si>
    <t>SQX3000-6805455</t>
  </si>
  <si>
    <t>旋转块（带镶件）</t>
  </si>
  <si>
    <t>云天化POM-m90</t>
  </si>
  <si>
    <t>SHT0001879</t>
  </si>
  <si>
    <t>SQX3000-6805458</t>
  </si>
  <si>
    <t>导向盒体</t>
  </si>
  <si>
    <t>238T</t>
  </si>
  <si>
    <t xml:space="preserve">PA66-GF30 1份
增韧PA66 10份
</t>
  </si>
  <si>
    <t>初始核价：未加电费、人工、损耗</t>
  </si>
  <si>
    <t>汕德卡</t>
  </si>
  <si>
    <t>SHT0012148</t>
  </si>
  <si>
    <t>后轴固定塑料件</t>
  </si>
  <si>
    <t>重汽1.0</t>
  </si>
  <si>
    <t>SHT0012433</t>
  </si>
  <si>
    <t>副驾驶员调角器手柄</t>
  </si>
  <si>
    <t>128T</t>
  </si>
  <si>
    <t>大庆 ABS 750A</t>
  </si>
  <si>
    <t>SHT0000175</t>
  </si>
  <si>
    <t>SQDZ 6800 002</t>
  </si>
  <si>
    <t>调角器主边罩壳</t>
  </si>
  <si>
    <t>PP-T10</t>
  </si>
  <si>
    <t>SHT0000176</t>
  </si>
  <si>
    <t>SQDZ 6900 002</t>
  </si>
  <si>
    <t>调角器副边罩壳</t>
  </si>
  <si>
    <t>SHT0000162</t>
  </si>
  <si>
    <t>GRC101-00.012</t>
  </si>
  <si>
    <t>调角器罩壳固定扣</t>
  </si>
  <si>
    <t>QAD号</t>
  </si>
  <si>
    <t>物料名称</t>
  </si>
  <si>
    <t>初始差额</t>
  </si>
  <si>
    <t>最终核价</t>
  </si>
  <si>
    <t>最终差额</t>
  </si>
  <si>
    <t>汇铭差额</t>
  </si>
  <si>
    <t>河北1-6月使用量</t>
  </si>
  <si>
    <t>预计半年降本</t>
  </si>
  <si>
    <t>总计</t>
  </si>
  <si>
    <t>250T</t>
  </si>
  <si>
    <t>PA6+GF35</t>
  </si>
  <si>
    <t>PA66</t>
  </si>
  <si>
    <t>POM</t>
  </si>
  <si>
    <t>PA66-GF10</t>
  </si>
  <si>
    <t>ABS</t>
  </si>
  <si>
    <t>PP</t>
  </si>
</sst>
</file>

<file path=xl/styles.xml><?xml version="1.0" encoding="utf-8"?>
<styleSheet xmlns="http://schemas.openxmlformats.org/spreadsheetml/2006/main">
  <numFmts count="1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0_);[Red]\(0.000000\)"/>
    <numFmt numFmtId="43" formatCode="_ * #,##0.00_ ;_ * \-#,##0.00_ ;_ * &quot;-&quot;??_ ;_ @_ "/>
    <numFmt numFmtId="177" formatCode="0.00000_);[Red]\(0.00000\)"/>
    <numFmt numFmtId="178" formatCode="0_ "/>
    <numFmt numFmtId="179" formatCode="0.00_ "/>
    <numFmt numFmtId="180" formatCode="#\ ?/?"/>
    <numFmt numFmtId="181" formatCode="0.0000_);[Red]\(0.0000\)"/>
    <numFmt numFmtId="182" formatCode="0_);[Red]\(0\)"/>
    <numFmt numFmtId="183" formatCode="#,##0.00000_ "/>
    <numFmt numFmtId="184" formatCode="#,##0.0000_ "/>
    <numFmt numFmtId="185" formatCode="0.00000_ "/>
    <numFmt numFmtId="186" formatCode="0.000_);[Red]\(0.000\)"/>
    <numFmt numFmtId="187" formatCode="0.00_);[Red]\(0.00\)"/>
    <numFmt numFmtId="188" formatCode="#,##0.00_ "/>
    <numFmt numFmtId="189" formatCode="_ * #,##0.0000_ ;_ * \-#,##0.0000_ ;_ * &quot;-&quot;??_ ;_ @_ "/>
    <numFmt numFmtId="190" formatCode="0.0000_ "/>
  </numFmts>
  <fonts count="3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.5"/>
      <color rgb="FF666666"/>
      <name val="Helvetica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7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12" borderId="14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1" fillId="30" borderId="2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34" fillId="34" borderId="2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7" fillId="0" borderId="7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1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/>
    </xf>
    <xf numFmtId="178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/>
    </xf>
    <xf numFmtId="178" fontId="1" fillId="2" borderId="4" xfId="55" applyNumberFormat="1" applyFont="1" applyFill="1" applyBorder="1" applyAlignment="1">
      <alignment horizontal="center" vertical="center" wrapText="1"/>
    </xf>
    <xf numFmtId="177" fontId="1" fillId="2" borderId="4" xfId="55" applyNumberFormat="1" applyFont="1" applyFill="1" applyBorder="1" applyAlignment="1">
      <alignment horizontal="center" vertical="center" wrapText="1"/>
    </xf>
    <xf numFmtId="0" fontId="3" fillId="0" borderId="5" xfId="55" applyFont="1" applyFill="1" applyBorder="1" applyAlignment="1">
      <alignment horizontal="center" vertical="center" wrapText="1"/>
    </xf>
    <xf numFmtId="180" fontId="2" fillId="0" borderId="6" xfId="55" applyNumberFormat="1" applyFont="1" applyFill="1" applyBorder="1" applyAlignment="1">
      <alignment horizontal="center" vertical="center"/>
    </xf>
    <xf numFmtId="180" fontId="4" fillId="0" borderId="7" xfId="55" applyNumberFormat="1" applyFont="1" applyFill="1" applyBorder="1" applyAlignment="1">
      <alignment horizontal="center" vertical="center" wrapText="1"/>
    </xf>
    <xf numFmtId="0" fontId="4" fillId="0" borderId="7" xfId="55" applyNumberFormat="1" applyFont="1" applyFill="1" applyBorder="1" applyAlignment="1">
      <alignment horizontal="center" vertical="center" wrapText="1"/>
    </xf>
    <xf numFmtId="0" fontId="3" fillId="0" borderId="7" xfId="55" applyFont="1" applyFill="1" applyBorder="1" applyAlignment="1">
      <alignment horizontal="center" vertical="center" wrapText="1"/>
    </xf>
    <xf numFmtId="178" fontId="3" fillId="0" borderId="7" xfId="55" applyNumberFormat="1" applyFont="1" applyFill="1" applyBorder="1" applyAlignment="1">
      <alignment horizontal="center" vertical="center" wrapText="1"/>
    </xf>
    <xf numFmtId="177" fontId="3" fillId="0" borderId="7" xfId="55" applyNumberFormat="1" applyFont="1" applyFill="1" applyBorder="1" applyAlignment="1">
      <alignment horizontal="center" vertical="center" wrapText="1"/>
    </xf>
    <xf numFmtId="0" fontId="3" fillId="0" borderId="0" xfId="55" applyFont="1" applyFill="1" applyAlignment="1">
      <alignment horizontal="center" vertical="center" wrapText="1"/>
    </xf>
    <xf numFmtId="181" fontId="3" fillId="0" borderId="7" xfId="55" applyNumberFormat="1" applyFont="1" applyFill="1" applyBorder="1" applyAlignment="1">
      <alignment horizontal="center" vertical="center" wrapText="1"/>
    </xf>
    <xf numFmtId="180" fontId="4" fillId="0" borderId="7" xfId="55" applyNumberFormat="1" applyFont="1" applyFill="1" applyBorder="1" applyAlignment="1">
      <alignment horizontal="center" vertical="center"/>
    </xf>
    <xf numFmtId="182" fontId="1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10" applyNumberFormat="1" applyFont="1" applyFill="1" applyBorder="1" applyAlignment="1" applyProtection="1">
      <alignment horizontal="center" vertical="center" wrapText="1"/>
      <protection locked="0"/>
    </xf>
    <xf numFmtId="181" fontId="1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4" applyFont="1" applyFill="1" applyAlignment="1">
      <alignment vertical="center" wrapText="1"/>
    </xf>
    <xf numFmtId="0" fontId="2" fillId="0" borderId="6" xfId="54" applyNumberFormat="1" applyFont="1" applyFill="1" applyBorder="1" applyAlignment="1">
      <alignment horizontal="center" vertical="center"/>
    </xf>
    <xf numFmtId="0" fontId="4" fillId="0" borderId="7" xfId="54" applyNumberFormat="1" applyFont="1" applyFill="1" applyBorder="1" applyAlignment="1">
      <alignment horizontal="center" vertical="center"/>
    </xf>
    <xf numFmtId="0" fontId="4" fillId="0" borderId="7" xfId="54" applyNumberFormat="1" applyFont="1" applyFill="1" applyBorder="1" applyAlignment="1">
      <alignment horizontal="center" vertical="center" wrapText="1"/>
    </xf>
    <xf numFmtId="0" fontId="3" fillId="0" borderId="7" xfId="54" applyFont="1" applyFill="1" applyBorder="1" applyAlignment="1">
      <alignment horizontal="center" vertical="center" wrapText="1"/>
    </xf>
    <xf numFmtId="178" fontId="3" fillId="0" borderId="7" xfId="54" applyNumberFormat="1" applyFont="1" applyFill="1" applyBorder="1" applyAlignment="1">
      <alignment horizontal="center" vertical="center" wrapText="1"/>
    </xf>
    <xf numFmtId="181" fontId="3" fillId="0" borderId="7" xfId="54" applyNumberFormat="1" applyFont="1" applyFill="1" applyBorder="1" applyAlignment="1">
      <alignment horizontal="center" vertical="center" wrapText="1"/>
    </xf>
    <xf numFmtId="183" fontId="3" fillId="0" borderId="7" xfId="5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4" fontId="7" fillId="0" borderId="7" xfId="56" applyNumberFormat="1" applyFont="1" applyFill="1" applyBorder="1" applyAlignment="1" applyProtection="1">
      <alignment horizontal="center" vertical="center" wrapText="1"/>
      <protection locked="0"/>
    </xf>
    <xf numFmtId="183" fontId="1" fillId="0" borderId="7" xfId="56" applyNumberFormat="1" applyFont="1" applyFill="1" applyBorder="1" applyAlignment="1" applyProtection="1">
      <alignment horizontal="center" vertical="center" wrapText="1"/>
      <protection locked="0"/>
    </xf>
    <xf numFmtId="185" fontId="1" fillId="2" borderId="2" xfId="55" applyNumberFormat="1" applyFont="1" applyFill="1" applyBorder="1" applyAlignment="1">
      <alignment horizontal="center" vertical="center" wrapText="1"/>
    </xf>
    <xf numFmtId="43" fontId="1" fillId="2" borderId="2" xfId="15" applyNumberFormat="1" applyFont="1" applyFill="1" applyBorder="1" applyAlignment="1">
      <alignment horizontal="center" vertical="center" wrapText="1"/>
    </xf>
    <xf numFmtId="178" fontId="1" fillId="2" borderId="8" xfId="55" applyNumberFormat="1" applyFont="1" applyFill="1" applyBorder="1" applyAlignment="1">
      <alignment horizontal="center" vertical="center" wrapText="1"/>
    </xf>
    <xf numFmtId="0" fontId="1" fillId="2" borderId="9" xfId="55" applyFont="1" applyFill="1" applyBorder="1" applyAlignment="1">
      <alignment horizontal="center" vertical="center" wrapText="1"/>
    </xf>
    <xf numFmtId="186" fontId="1" fillId="2" borderId="8" xfId="55" applyNumberFormat="1" applyFont="1" applyFill="1" applyBorder="1" applyAlignment="1">
      <alignment horizontal="center" vertical="center" wrapText="1"/>
    </xf>
    <xf numFmtId="185" fontId="1" fillId="2" borderId="4" xfId="55" applyNumberFormat="1" applyFont="1" applyFill="1" applyBorder="1" applyAlignment="1">
      <alignment horizontal="center" vertical="center" wrapText="1"/>
    </xf>
    <xf numFmtId="43" fontId="1" fillId="2" borderId="4" xfId="15" applyNumberFormat="1" applyFont="1" applyFill="1" applyBorder="1" applyAlignment="1">
      <alignment horizontal="center" vertical="center" wrapText="1"/>
    </xf>
    <xf numFmtId="178" fontId="1" fillId="2" borderId="10" xfId="55" applyNumberFormat="1" applyFont="1" applyFill="1" applyBorder="1" applyAlignment="1">
      <alignment horizontal="center" vertical="center" wrapText="1"/>
    </xf>
    <xf numFmtId="0" fontId="1" fillId="2" borderId="11" xfId="55" applyFont="1" applyFill="1" applyBorder="1" applyAlignment="1">
      <alignment horizontal="center" vertical="center" wrapText="1"/>
    </xf>
    <xf numFmtId="186" fontId="1" fillId="2" borderId="10" xfId="55" applyNumberFormat="1" applyFont="1" applyFill="1" applyBorder="1" applyAlignment="1">
      <alignment horizontal="center" vertical="center" wrapText="1"/>
    </xf>
    <xf numFmtId="43" fontId="8" fillId="0" borderId="7" xfId="15" applyNumberFormat="1" applyFont="1" applyFill="1" applyBorder="1" applyAlignment="1">
      <alignment horizontal="center" vertical="center" wrapText="1"/>
    </xf>
    <xf numFmtId="179" fontId="9" fillId="0" borderId="7" xfId="21" applyNumberFormat="1" applyFont="1" applyFill="1" applyBorder="1" applyAlignment="1">
      <alignment horizontal="center" vertical="center"/>
    </xf>
    <xf numFmtId="0" fontId="1" fillId="0" borderId="7" xfId="55" applyFont="1" applyFill="1" applyBorder="1" applyAlignment="1">
      <alignment horizontal="center" vertical="center"/>
    </xf>
    <xf numFmtId="0" fontId="3" fillId="0" borderId="7" xfId="55" applyFont="1" applyFill="1" applyBorder="1" applyAlignment="1">
      <alignment horizontal="center" vertical="center"/>
    </xf>
    <xf numFmtId="43" fontId="5" fillId="0" borderId="7" xfId="15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7" xfId="54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7" xfId="56" applyNumberFormat="1" applyFont="1" applyFill="1" applyBorder="1" applyAlignment="1" applyProtection="1">
      <alignment horizontal="center" vertical="center" wrapText="1"/>
      <protection locked="0"/>
    </xf>
    <xf numFmtId="186" fontId="2" fillId="2" borderId="7" xfId="55" applyNumberFormat="1" applyFont="1" applyFill="1" applyBorder="1" applyAlignment="1">
      <alignment horizontal="center" vertical="center" wrapText="1"/>
    </xf>
    <xf numFmtId="176" fontId="2" fillId="2" borderId="7" xfId="55" applyNumberFormat="1" applyFont="1" applyFill="1" applyBorder="1" applyAlignment="1">
      <alignment horizontal="center" vertical="center" wrapText="1"/>
    </xf>
    <xf numFmtId="179" fontId="1" fillId="2" borderId="8" xfId="55" applyNumberFormat="1" applyFont="1" applyFill="1" applyBorder="1" applyAlignment="1">
      <alignment horizontal="center" vertical="center" wrapText="1"/>
    </xf>
    <xf numFmtId="178" fontId="1" fillId="2" borderId="9" xfId="55" applyNumberFormat="1" applyFont="1" applyFill="1" applyBorder="1" applyAlignment="1">
      <alignment horizontal="center" vertical="center" wrapText="1"/>
    </xf>
    <xf numFmtId="179" fontId="1" fillId="2" borderId="10" xfId="55" applyNumberFormat="1" applyFont="1" applyFill="1" applyBorder="1" applyAlignment="1">
      <alignment horizontal="center" vertical="center" wrapText="1"/>
    </xf>
    <xf numFmtId="178" fontId="1" fillId="2" borderId="11" xfId="55" applyNumberFormat="1" applyFont="1" applyFill="1" applyBorder="1" applyAlignment="1">
      <alignment horizontal="center" vertical="center" wrapText="1"/>
    </xf>
    <xf numFmtId="9" fontId="3" fillId="0" borderId="7" xfId="55" applyNumberFormat="1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 vertical="center"/>
    </xf>
    <xf numFmtId="179" fontId="3" fillId="0" borderId="7" xfId="55" applyNumberFormat="1" applyFont="1" applyBorder="1" applyAlignment="1">
      <alignment horizontal="center" vertical="center"/>
    </xf>
    <xf numFmtId="0" fontId="3" fillId="0" borderId="7" xfId="55" applyNumberFormat="1" applyFont="1" applyFill="1" applyBorder="1" applyAlignment="1">
      <alignment horizontal="center" vertical="center" wrapText="1"/>
    </xf>
    <xf numFmtId="179" fontId="8" fillId="0" borderId="7" xfId="55" applyNumberFormat="1" applyFont="1" applyFill="1" applyBorder="1" applyAlignment="1">
      <alignment horizontal="center" vertical="center" wrapText="1"/>
    </xf>
    <xf numFmtId="185" fontId="8" fillId="0" borderId="7" xfId="55" applyNumberFormat="1" applyFont="1" applyFill="1" applyBorder="1" applyAlignment="1">
      <alignment horizontal="center" vertical="center" wrapText="1"/>
    </xf>
    <xf numFmtId="49" fontId="3" fillId="0" borderId="7" xfId="55" applyNumberFormat="1" applyFont="1" applyFill="1" applyBorder="1" applyAlignment="1">
      <alignment horizontal="center" vertical="center" wrapText="1"/>
    </xf>
    <xf numFmtId="0" fontId="1" fillId="0" borderId="7" xfId="56" applyFont="1" applyFill="1" applyBorder="1" applyAlignment="1" applyProtection="1">
      <alignment horizontal="center" vertical="center" wrapText="1"/>
      <protection locked="0"/>
    </xf>
    <xf numFmtId="190" fontId="8" fillId="0" borderId="7" xfId="55" applyNumberFormat="1" applyFont="1" applyFill="1" applyBorder="1" applyAlignment="1">
      <alignment horizontal="center" vertical="center" wrapText="1"/>
    </xf>
    <xf numFmtId="181" fontId="8" fillId="0" borderId="7" xfId="54" applyNumberFormat="1" applyFont="1" applyFill="1" applyBorder="1" applyAlignment="1">
      <alignment horizontal="center" vertical="center" wrapText="1"/>
    </xf>
    <xf numFmtId="186" fontId="10" fillId="0" borderId="7" xfId="34" applyNumberFormat="1" applyFont="1" applyFill="1" applyBorder="1" applyAlignment="1" applyProtection="1">
      <alignment horizontal="center" vertical="center" wrapText="1"/>
      <protection locked="0"/>
    </xf>
    <xf numFmtId="185" fontId="1" fillId="2" borderId="9" xfId="55" applyNumberFormat="1" applyFont="1" applyFill="1" applyBorder="1" applyAlignment="1">
      <alignment horizontal="center" vertical="center" wrapText="1"/>
    </xf>
    <xf numFmtId="189" fontId="2" fillId="4" borderId="7" xfId="15" applyNumberFormat="1" applyFont="1" applyFill="1" applyBorder="1" applyAlignment="1">
      <alignment horizontal="center" vertical="center" wrapText="1"/>
    </xf>
    <xf numFmtId="0" fontId="1" fillId="5" borderId="2" xfId="55" applyFont="1" applyFill="1" applyBorder="1" applyAlignment="1">
      <alignment horizontal="center" vertical="center" wrapText="1"/>
    </xf>
    <xf numFmtId="185" fontId="1" fillId="2" borderId="11" xfId="55" applyNumberFormat="1" applyFont="1" applyFill="1" applyBorder="1" applyAlignment="1">
      <alignment horizontal="center" vertical="center" wrapText="1"/>
    </xf>
    <xf numFmtId="0" fontId="1" fillId="5" borderId="4" xfId="55" applyFont="1" applyFill="1" applyBorder="1" applyAlignment="1">
      <alignment horizontal="center" vertical="center" wrapText="1"/>
    </xf>
    <xf numFmtId="178" fontId="8" fillId="0" borderId="7" xfId="55" applyNumberFormat="1" applyFont="1" applyFill="1" applyBorder="1" applyAlignment="1">
      <alignment horizontal="center" vertical="center" wrapText="1"/>
    </xf>
    <xf numFmtId="189" fontId="3" fillId="4" borderId="7" xfId="15" applyNumberFormat="1" applyFont="1" applyFill="1" applyBorder="1" applyAlignment="1">
      <alignment horizontal="center" vertical="center" wrapText="1"/>
    </xf>
    <xf numFmtId="0" fontId="3" fillId="5" borderId="7" xfId="55" applyNumberFormat="1" applyFont="1" applyFill="1" applyBorder="1" applyAlignment="1">
      <alignment horizontal="center" vertical="center" wrapText="1"/>
    </xf>
    <xf numFmtId="184" fontId="3" fillId="5" borderId="7" xfId="5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90" fontId="3" fillId="5" borderId="7" xfId="55" applyNumberFormat="1" applyFont="1" applyFill="1" applyBorder="1" applyAlignment="1">
      <alignment horizontal="center" vertical="center" wrapText="1"/>
    </xf>
    <xf numFmtId="185" fontId="8" fillId="0" borderId="7" xfId="54" applyNumberFormat="1" applyFont="1" applyFill="1" applyBorder="1" applyAlignment="1">
      <alignment horizontal="center" vertical="center" wrapText="1"/>
    </xf>
    <xf numFmtId="0" fontId="3" fillId="5" borderId="7" xfId="54" applyNumberFormat="1" applyFont="1" applyFill="1" applyBorder="1" applyAlignment="1">
      <alignment horizontal="center" vertical="center" wrapText="1"/>
    </xf>
    <xf numFmtId="181" fontId="1" fillId="5" borderId="7" xfId="56" applyNumberFormat="1" applyFont="1" applyFill="1" applyBorder="1" applyAlignment="1" applyProtection="1">
      <alignment horizontal="center" vertical="center" wrapText="1"/>
      <protection locked="0"/>
    </xf>
    <xf numFmtId="179" fontId="1" fillId="2" borderId="2" xfId="55" applyNumberFormat="1" applyFont="1" applyFill="1" applyBorder="1" applyAlignment="1">
      <alignment horizontal="center" vertical="center" wrapText="1"/>
    </xf>
    <xf numFmtId="0" fontId="3" fillId="0" borderId="7" xfId="55" applyFont="1" applyBorder="1" applyAlignment="1">
      <alignment horizontal="center" vertical="center" wrapText="1"/>
    </xf>
    <xf numFmtId="0" fontId="3" fillId="0" borderId="0" xfId="55" applyFont="1" applyAlignment="1">
      <alignment horizontal="center" vertical="center" wrapText="1"/>
    </xf>
    <xf numFmtId="179" fontId="1" fillId="2" borderId="4" xfId="55" applyNumberFormat="1" applyFont="1" applyFill="1" applyBorder="1" applyAlignment="1">
      <alignment horizontal="center" vertical="center" wrapText="1"/>
    </xf>
    <xf numFmtId="0" fontId="8" fillId="0" borderId="7" xfId="55" applyNumberFormat="1" applyFont="1" applyFill="1" applyBorder="1" applyAlignment="1">
      <alignment horizontal="center" vertical="center" wrapText="1"/>
    </xf>
    <xf numFmtId="43" fontId="3" fillId="0" borderId="7" xfId="55" applyNumberFormat="1" applyFont="1" applyFill="1" applyBorder="1" applyAlignment="1">
      <alignment horizontal="center" vertical="center" wrapText="1"/>
    </xf>
    <xf numFmtId="9" fontId="3" fillId="0" borderId="0" xfId="55" applyNumberFormat="1" applyFont="1" applyFill="1" applyAlignment="1">
      <alignment horizontal="center" vertical="center" wrapText="1"/>
    </xf>
    <xf numFmtId="181" fontId="3" fillId="0" borderId="0" xfId="54" applyNumberFormat="1" applyFont="1" applyFill="1" applyAlignment="1">
      <alignment horizontal="center" vertical="center" wrapText="1"/>
    </xf>
    <xf numFmtId="0" fontId="11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55" applyFont="1" applyBorder="1" applyAlignment="1">
      <alignment horizontal="center" vertical="center" wrapText="1"/>
    </xf>
    <xf numFmtId="180" fontId="2" fillId="6" borderId="6" xfId="55" applyNumberFormat="1" applyFont="1" applyFill="1" applyBorder="1" applyAlignment="1">
      <alignment horizontal="center" vertical="center"/>
    </xf>
    <xf numFmtId="180" fontId="4" fillId="6" borderId="7" xfId="55" applyNumberFormat="1" applyFont="1" applyFill="1" applyBorder="1" applyAlignment="1">
      <alignment horizontal="center" vertical="center" wrapText="1"/>
    </xf>
    <xf numFmtId="0" fontId="4" fillId="6" borderId="7" xfId="55" applyNumberFormat="1" applyFont="1" applyFill="1" applyBorder="1" applyAlignment="1">
      <alignment horizontal="center" vertical="center" wrapText="1"/>
    </xf>
    <xf numFmtId="178" fontId="3" fillId="0" borderId="7" xfId="55" applyNumberFormat="1" applyFont="1" applyBorder="1" applyAlignment="1">
      <alignment horizontal="center" vertical="center" wrapText="1"/>
    </xf>
    <xf numFmtId="177" fontId="3" fillId="3" borderId="7" xfId="55" applyNumberFormat="1" applyFont="1" applyFill="1" applyBorder="1" applyAlignment="1">
      <alignment horizontal="center" vertical="center" wrapText="1"/>
    </xf>
    <xf numFmtId="181" fontId="3" fillId="3" borderId="7" xfId="55" applyNumberFormat="1" applyFont="1" applyFill="1" applyBorder="1" applyAlignment="1">
      <alignment horizontal="center" vertical="center" wrapText="1"/>
    </xf>
    <xf numFmtId="180" fontId="4" fillId="6" borderId="7" xfId="55" applyNumberFormat="1" applyFont="1" applyFill="1" applyBorder="1" applyAlignment="1">
      <alignment horizontal="center" vertical="center"/>
    </xf>
    <xf numFmtId="181" fontId="3" fillId="5" borderId="7" xfId="55" applyNumberFormat="1" applyFont="1" applyFill="1" applyBorder="1" applyAlignment="1">
      <alignment horizontal="center" vertical="center" wrapText="1"/>
    </xf>
    <xf numFmtId="181" fontId="3" fillId="3" borderId="7" xfId="54" applyNumberFormat="1" applyFont="1" applyFill="1" applyBorder="1" applyAlignment="1">
      <alignment horizontal="center" vertical="center" wrapText="1"/>
    </xf>
    <xf numFmtId="183" fontId="3" fillId="3" borderId="7" xfId="54" applyNumberFormat="1" applyFont="1" applyFill="1" applyBorder="1" applyAlignment="1">
      <alignment horizontal="center" vertical="center" wrapText="1"/>
    </xf>
    <xf numFmtId="0" fontId="12" fillId="0" borderId="7" xfId="5" applyNumberFormat="1" applyFont="1" applyFill="1" applyBorder="1" applyAlignment="1">
      <alignment horizontal="center" vertical="center" wrapText="1"/>
    </xf>
    <xf numFmtId="178" fontId="3" fillId="3" borderId="7" xfId="55" applyNumberFormat="1" applyFont="1" applyFill="1" applyBorder="1" applyAlignment="1">
      <alignment horizontal="center" vertical="center" wrapText="1"/>
    </xf>
    <xf numFmtId="0" fontId="1" fillId="3" borderId="7" xfId="55" applyFont="1" applyFill="1" applyBorder="1" applyAlignment="1">
      <alignment horizontal="center" vertical="center"/>
    </xf>
    <xf numFmtId="43" fontId="5" fillId="0" borderId="7" xfId="15" applyNumberFormat="1" applyFont="1" applyBorder="1">
      <alignment vertical="center"/>
    </xf>
    <xf numFmtId="178" fontId="3" fillId="7" borderId="7" xfId="55" applyNumberFormat="1" applyFont="1" applyFill="1" applyBorder="1" applyAlignment="1">
      <alignment horizontal="center" vertical="center" wrapText="1"/>
    </xf>
    <xf numFmtId="43" fontId="5" fillId="0" borderId="7" xfId="9" applyNumberFormat="1" applyFont="1" applyBorder="1">
      <alignment vertical="center"/>
    </xf>
    <xf numFmtId="178" fontId="3" fillId="3" borderId="7" xfId="54" applyNumberFormat="1" applyFont="1" applyFill="1" applyBorder="1" applyAlignment="1">
      <alignment horizontal="center" vertical="center" wrapText="1"/>
    </xf>
    <xf numFmtId="0" fontId="1" fillId="3" borderId="7" xfId="54" applyFont="1" applyFill="1" applyBorder="1" applyAlignment="1">
      <alignment horizontal="center" vertical="center"/>
    </xf>
    <xf numFmtId="0" fontId="3" fillId="3" borderId="7" xfId="54" applyFont="1" applyFill="1" applyBorder="1" applyAlignment="1">
      <alignment horizontal="center" vertical="center"/>
    </xf>
    <xf numFmtId="187" fontId="1" fillId="8" borderId="7" xfId="56" applyNumberFormat="1" applyFont="1" applyFill="1" applyBorder="1" applyAlignment="1" applyProtection="1">
      <alignment horizontal="center" vertical="center" wrapText="1"/>
      <protection locked="0"/>
    </xf>
    <xf numFmtId="9" fontId="3" fillId="3" borderId="7" xfId="55" applyNumberFormat="1" applyFont="1" applyFill="1" applyBorder="1" applyAlignment="1">
      <alignment horizontal="center" vertical="center"/>
    </xf>
    <xf numFmtId="0" fontId="3" fillId="0" borderId="7" xfId="55" applyNumberFormat="1" applyFont="1" applyBorder="1" applyAlignment="1">
      <alignment horizontal="center" vertical="center" wrapText="1"/>
    </xf>
    <xf numFmtId="0" fontId="3" fillId="3" borderId="7" xfId="55" applyFont="1" applyFill="1" applyBorder="1" applyAlignment="1">
      <alignment horizontal="center" vertical="center" wrapText="1"/>
    </xf>
    <xf numFmtId="179" fontId="8" fillId="0" borderId="7" xfId="55" applyNumberFormat="1" applyFont="1" applyBorder="1" applyAlignment="1">
      <alignment horizontal="center" vertical="center" wrapText="1"/>
    </xf>
    <xf numFmtId="185" fontId="8" fillId="0" borderId="7" xfId="55" applyNumberFormat="1" applyFont="1" applyBorder="1" applyAlignment="1">
      <alignment horizontal="center" vertical="center" wrapText="1"/>
    </xf>
    <xf numFmtId="188" fontId="3" fillId="0" borderId="7" xfId="55" applyNumberFormat="1" applyFont="1" applyBorder="1" applyAlignment="1">
      <alignment horizontal="center" vertical="center"/>
    </xf>
    <xf numFmtId="49" fontId="3" fillId="0" borderId="7" xfId="55" applyNumberFormat="1" applyFont="1" applyBorder="1" applyAlignment="1">
      <alignment horizontal="center" vertical="center" wrapText="1"/>
    </xf>
    <xf numFmtId="179" fontId="3" fillId="0" borderId="7" xfId="55" applyNumberFormat="1" applyFont="1" applyFill="1" applyBorder="1" applyAlignment="1">
      <alignment horizontal="center" vertical="center"/>
    </xf>
    <xf numFmtId="9" fontId="3" fillId="3" borderId="7" xfId="54" applyNumberFormat="1" applyFont="1" applyFill="1" applyBorder="1" applyAlignment="1">
      <alignment horizontal="center" vertical="center"/>
    </xf>
    <xf numFmtId="179" fontId="3" fillId="0" borderId="7" xfId="54" applyNumberFormat="1" applyFont="1" applyFill="1" applyBorder="1" applyAlignment="1">
      <alignment horizontal="center" vertical="center"/>
    </xf>
    <xf numFmtId="49" fontId="3" fillId="0" borderId="7" xfId="54" applyNumberFormat="1" applyFont="1" applyFill="1" applyBorder="1" applyAlignment="1">
      <alignment horizontal="center" vertical="center" wrapText="1"/>
    </xf>
    <xf numFmtId="0" fontId="3" fillId="3" borderId="7" xfId="54" applyFont="1" applyFill="1" applyBorder="1" applyAlignment="1">
      <alignment horizontal="center" vertical="center" wrapText="1"/>
    </xf>
    <xf numFmtId="189" fontId="2" fillId="9" borderId="7" xfId="15" applyNumberFormat="1" applyFont="1" applyFill="1" applyBorder="1" applyAlignment="1">
      <alignment horizontal="center" vertical="center" wrapText="1"/>
    </xf>
    <xf numFmtId="178" fontId="8" fillId="0" borderId="7" xfId="55" applyNumberFormat="1" applyFont="1" applyBorder="1" applyAlignment="1">
      <alignment horizontal="center" vertical="center" wrapText="1"/>
    </xf>
    <xf numFmtId="189" fontId="3" fillId="9" borderId="7" xfId="15" applyNumberFormat="1" applyFont="1" applyFill="1" applyBorder="1" applyAlignment="1">
      <alignment horizontal="center" vertical="center" wrapText="1"/>
    </xf>
    <xf numFmtId="0" fontId="3" fillId="6" borderId="7" xfId="55" applyNumberFormat="1" applyFont="1" applyFill="1" applyBorder="1" applyAlignment="1">
      <alignment horizontal="center" vertical="center" wrapText="1"/>
    </xf>
    <xf numFmtId="184" fontId="3" fillId="6" borderId="7" xfId="55" applyNumberFormat="1" applyFont="1" applyFill="1" applyBorder="1" applyAlignment="1">
      <alignment horizontal="center" vertical="center" wrapText="1"/>
    </xf>
    <xf numFmtId="189" fontId="3" fillId="10" borderId="7" xfId="15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Border="1" applyAlignment="1">
      <alignment vertical="center"/>
    </xf>
    <xf numFmtId="190" fontId="3" fillId="0" borderId="7" xfId="55" applyNumberFormat="1" applyFont="1" applyFill="1" applyBorder="1" applyAlignment="1">
      <alignment horizontal="center" vertical="center" wrapText="1"/>
    </xf>
    <xf numFmtId="189" fontId="3" fillId="9" borderId="7" xfId="9" applyNumberFormat="1" applyFont="1" applyFill="1" applyBorder="1" applyAlignment="1">
      <alignment horizontal="center" vertical="center" wrapText="1"/>
    </xf>
    <xf numFmtId="0" fontId="3" fillId="0" borderId="7" xfId="54" applyNumberFormat="1" applyFont="1" applyFill="1" applyBorder="1" applyAlignment="1">
      <alignment horizontal="center" vertical="center" wrapText="1"/>
    </xf>
    <xf numFmtId="0" fontId="8" fillId="6" borderId="7" xfId="55" applyNumberFormat="1" applyFont="1" applyFill="1" applyBorder="1" applyAlignment="1">
      <alignment horizontal="center" vertical="center" wrapText="1"/>
    </xf>
    <xf numFmtId="43" fontId="3" fillId="0" borderId="7" xfId="55" applyNumberFormat="1" applyFont="1" applyBorder="1" applyAlignment="1">
      <alignment horizontal="center" vertical="center" wrapText="1"/>
    </xf>
    <xf numFmtId="177" fontId="3" fillId="5" borderId="7" xfId="55" applyNumberFormat="1" applyFont="1" applyFill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vertical="center" wrapText="1"/>
    </xf>
    <xf numFmtId="184" fontId="10" fillId="0" borderId="7" xfId="56" applyNumberFormat="1" applyFont="1" applyFill="1" applyBorder="1" applyAlignment="1" applyProtection="1">
      <alignment horizontal="center" vertical="center" wrapText="1"/>
      <protection locked="0"/>
    </xf>
    <xf numFmtId="185" fontId="1" fillId="4" borderId="2" xfId="55" applyNumberFormat="1" applyFont="1" applyFill="1" applyBorder="1" applyAlignment="1">
      <alignment horizontal="center" vertical="center" wrapText="1"/>
    </xf>
    <xf numFmtId="185" fontId="1" fillId="4" borderId="4" xfId="55" applyNumberFormat="1" applyFont="1" applyFill="1" applyBorder="1" applyAlignment="1">
      <alignment horizontal="center" vertical="center" wrapText="1"/>
    </xf>
    <xf numFmtId="178" fontId="1" fillId="4" borderId="7" xfId="55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178" fontId="1" fillId="4" borderId="7" xfId="54" applyNumberFormat="1" applyFont="1" applyFill="1" applyBorder="1" applyAlignment="1">
      <alignment horizontal="center" vertical="center" wrapText="1"/>
    </xf>
    <xf numFmtId="0" fontId="1" fillId="5" borderId="8" xfId="55" applyFont="1" applyFill="1" applyBorder="1" applyAlignment="1">
      <alignment horizontal="center" vertical="center" wrapText="1"/>
    </xf>
    <xf numFmtId="0" fontId="1" fillId="5" borderId="10" xfId="55" applyFont="1" applyFill="1" applyBorder="1" applyAlignment="1">
      <alignment horizontal="center" vertical="center" wrapText="1"/>
    </xf>
    <xf numFmtId="9" fontId="3" fillId="5" borderId="7" xfId="13" applyNumberFormat="1" applyFont="1" applyFill="1" applyBorder="1" applyAlignment="1" applyProtection="1">
      <alignment horizontal="center" vertical="center" wrapText="1"/>
    </xf>
    <xf numFmtId="181" fontId="3" fillId="7" borderId="7" xfId="55" applyNumberFormat="1" applyFont="1" applyFill="1" applyBorder="1" applyAlignment="1">
      <alignment horizontal="center" vertical="center" wrapText="1"/>
    </xf>
    <xf numFmtId="177" fontId="3" fillId="7" borderId="7" xfId="55" applyNumberFormat="1" applyFont="1" applyFill="1" applyBorder="1" applyAlignment="1">
      <alignment horizontal="center" vertical="center" wrapText="1"/>
    </xf>
    <xf numFmtId="184" fontId="10" fillId="7" borderId="7" xfId="56" applyNumberFormat="1" applyFont="1" applyFill="1" applyBorder="1" applyAlignment="1" applyProtection="1">
      <alignment horizontal="center" vertical="center" wrapText="1"/>
      <protection locked="0"/>
    </xf>
    <xf numFmtId="183" fontId="1" fillId="7" borderId="7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180" fontId="2" fillId="0" borderId="7" xfId="55" applyNumberFormat="1" applyFont="1" applyFill="1" applyBorder="1" applyAlignment="1">
      <alignment horizontal="center" vertical="center"/>
    </xf>
    <xf numFmtId="184" fontId="4" fillId="0" borderId="7" xfId="55" applyNumberFormat="1" applyFont="1" applyFill="1" applyBorder="1" applyAlignment="1">
      <alignment horizontal="center" vertical="center" wrapText="1"/>
    </xf>
    <xf numFmtId="184" fontId="2" fillId="0" borderId="7" xfId="0" applyNumberFormat="1" applyFont="1" applyFill="1" applyBorder="1" applyAlignment="1">
      <alignment vertical="center"/>
    </xf>
    <xf numFmtId="188" fontId="2" fillId="0" borderId="7" xfId="0" applyNumberFormat="1" applyFont="1" applyFill="1" applyBorder="1" applyAlignment="1">
      <alignment vertical="center"/>
    </xf>
    <xf numFmtId="184" fontId="2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vertical="center"/>
    </xf>
    <xf numFmtId="188" fontId="5" fillId="0" borderId="7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188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43" fontId="2" fillId="0" borderId="7" xfId="9" applyFont="1" applyBorder="1" applyAlignment="1">
      <alignment horizontal="center" vertical="center"/>
    </xf>
    <xf numFmtId="9" fontId="2" fillId="0" borderId="7" xfId="13" applyFont="1" applyBorder="1">
      <alignment vertical="center"/>
    </xf>
    <xf numFmtId="43" fontId="4" fillId="0" borderId="7" xfId="15" applyNumberFormat="1" applyFont="1" applyFill="1" applyBorder="1" applyAlignment="1">
      <alignment horizontal="center" vertical="center" wrapText="1"/>
    </xf>
    <xf numFmtId="184" fontId="2" fillId="5" borderId="7" xfId="0" applyNumberFormat="1" applyFont="1" applyFill="1" applyBorder="1" applyAlignment="1">
      <alignment vertical="center"/>
    </xf>
    <xf numFmtId="43" fontId="5" fillId="7" borderId="7" xfId="9" applyFont="1" applyFill="1" applyBorder="1" applyAlignment="1"/>
    <xf numFmtId="43" fontId="5" fillId="0" borderId="7" xfId="9" applyFont="1" applyBorder="1" applyAlignment="1"/>
    <xf numFmtId="43" fontId="13" fillId="0" borderId="7" xfId="15" applyNumberFormat="1" applyFont="1" applyFill="1" applyBorder="1" applyAlignment="1">
      <alignment horizontal="center" vertical="center" wrapText="1"/>
    </xf>
    <xf numFmtId="9" fontId="5" fillId="0" borderId="7" xfId="13" applyFont="1" applyBorder="1">
      <alignment vertical="center"/>
    </xf>
    <xf numFmtId="184" fontId="5" fillId="5" borderId="7" xfId="0" applyNumberFormat="1" applyFont="1" applyFill="1" applyBorder="1" applyAlignment="1">
      <alignment vertical="center"/>
    </xf>
    <xf numFmtId="43" fontId="5" fillId="0" borderId="7" xfId="9" applyFont="1" applyBorder="1" applyAlignment="1">
      <alignment horizontal="center" vertical="center"/>
    </xf>
    <xf numFmtId="9" fontId="0" fillId="0" borderId="7" xfId="13" applyBorder="1">
      <alignment vertical="center"/>
    </xf>
    <xf numFmtId="0" fontId="3" fillId="7" borderId="7" xfId="55" applyNumberFormat="1" applyFont="1" applyFill="1" applyBorder="1" applyAlignment="1">
      <alignment horizontal="center" vertical="center" wrapText="1"/>
    </xf>
    <xf numFmtId="189" fontId="2" fillId="11" borderId="12" xfId="15" applyNumberFormat="1" applyFont="1" applyFill="1" applyBorder="1" applyAlignment="1">
      <alignment horizontal="center" vertical="center" wrapText="1"/>
    </xf>
    <xf numFmtId="189" fontId="2" fillId="11" borderId="13" xfId="15" applyNumberFormat="1" applyFont="1" applyFill="1" applyBorder="1" applyAlignment="1">
      <alignment horizontal="center" vertical="center" wrapText="1"/>
    </xf>
    <xf numFmtId="189" fontId="3" fillId="11" borderId="7" xfId="15" applyNumberFormat="1" applyFont="1" applyFill="1" applyBorder="1" applyAlignment="1">
      <alignment horizontal="center" vertical="center" wrapText="1"/>
    </xf>
    <xf numFmtId="189" fontId="14" fillId="11" borderId="7" xfId="15" applyNumberFormat="1" applyFont="1" applyFill="1" applyBorder="1" applyAlignment="1">
      <alignment horizontal="center" vertical="center" wrapText="1"/>
    </xf>
    <xf numFmtId="43" fontId="3" fillId="0" borderId="0" xfId="55" applyNumberFormat="1" applyFont="1" applyFill="1" applyBorder="1" applyAlignment="1">
      <alignment horizontal="center" vertical="center" wrapText="1"/>
    </xf>
    <xf numFmtId="9" fontId="3" fillId="7" borderId="0" xfId="13" applyNumberFormat="1" applyFont="1" applyFill="1" applyBorder="1" applyAlignment="1" applyProtection="1">
      <alignment horizontal="center" vertical="center" wrapText="1"/>
    </xf>
    <xf numFmtId="9" fontId="3" fillId="0" borderId="0" xfId="13" applyNumberFormat="1" applyFont="1" applyFill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9" fontId="3" fillId="0" borderId="7" xfId="13" applyNumberFormat="1" applyFont="1" applyFill="1" applyBorder="1" applyAlignment="1" applyProtection="1">
      <alignment horizontal="center" vertical="center" wrapText="1"/>
    </xf>
    <xf numFmtId="9" fontId="0" fillId="0" borderId="0" xfId="13">
      <alignment vertical="center"/>
    </xf>
    <xf numFmtId="9" fontId="3" fillId="0" borderId="0" xfId="55" applyNumberFormat="1" applyFont="1" applyFill="1" applyBorder="1" applyAlignment="1">
      <alignment horizontal="center" vertical="center" wrapText="1"/>
    </xf>
    <xf numFmtId="0" fontId="16" fillId="0" borderId="0" xfId="5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81" fontId="3" fillId="0" borderId="0" xfId="54" applyNumberFormat="1" applyFont="1" applyFill="1" applyBorder="1" applyAlignment="1">
      <alignment horizontal="center" vertical="center" wrapText="1"/>
    </xf>
    <xf numFmtId="0" fontId="11" fillId="0" borderId="0" xfId="56" applyNumberFormat="1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千位分隔 4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BOM_Level_Below3 4 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" xfId="54"/>
    <cellStyle name="常规 3 31" xfId="55"/>
    <cellStyle name="样式 1" xfId="56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6E0B4"/>
      <color rgb="00FFC000"/>
      <color rgb="0092D050"/>
      <color rgb="00FFFF00"/>
      <color rgb="00F8CBAD"/>
      <color rgb="0000B0F0"/>
      <color rgb="00A6A6A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image" Target="NULL" TargetMode="External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33655</xdr:colOff>
      <xdr:row>2</xdr:row>
      <xdr:rowOff>95885</xdr:rowOff>
    </xdr:from>
    <xdr:to>
      <xdr:col>4</xdr:col>
      <xdr:colOff>565150</xdr:colOff>
      <xdr:row>2</xdr:row>
      <xdr:rowOff>382270</xdr:rowOff>
    </xdr:to>
    <xdr:pic>
      <xdr:nvPicPr>
        <xdr:cNvPr id="123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7460" y="505460"/>
          <a:ext cx="53149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</xdr:row>
      <xdr:rowOff>27940</xdr:rowOff>
    </xdr:from>
    <xdr:to>
      <xdr:col>4</xdr:col>
      <xdr:colOff>464820</xdr:colOff>
      <xdr:row>3</xdr:row>
      <xdr:rowOff>389890</xdr:rowOff>
    </xdr:to>
    <xdr:pic>
      <xdr:nvPicPr>
        <xdr:cNvPr id="12362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-1080000">
          <a:off x="3840480" y="1034415"/>
          <a:ext cx="39814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85725</xdr:colOff>
      <xdr:row>4</xdr:row>
      <xdr:rowOff>67310</xdr:rowOff>
    </xdr:from>
    <xdr:to>
      <xdr:col>4</xdr:col>
      <xdr:colOff>427355</xdr:colOff>
      <xdr:row>4</xdr:row>
      <xdr:rowOff>409575</xdr:rowOff>
    </xdr:to>
    <xdr:pic>
      <xdr:nvPicPr>
        <xdr:cNvPr id="12363" name="图片 2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59530" y="1492885"/>
          <a:ext cx="34163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</xdr:row>
      <xdr:rowOff>104775</xdr:rowOff>
    </xdr:from>
    <xdr:to>
      <xdr:col>4</xdr:col>
      <xdr:colOff>370205</xdr:colOff>
      <xdr:row>5</xdr:row>
      <xdr:rowOff>294640</xdr:rowOff>
    </xdr:to>
    <xdr:pic>
      <xdr:nvPicPr>
        <xdr:cNvPr id="12364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21430" y="1949450"/>
          <a:ext cx="32258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</xdr:row>
      <xdr:rowOff>151130</xdr:rowOff>
    </xdr:from>
    <xdr:to>
      <xdr:col>4</xdr:col>
      <xdr:colOff>266065</xdr:colOff>
      <xdr:row>6</xdr:row>
      <xdr:rowOff>589915</xdr:rowOff>
    </xdr:to>
    <xdr:pic>
      <xdr:nvPicPr>
        <xdr:cNvPr id="12365" name="Picture 21"/>
        <xdr:cNvPicPr>
          <a:picLocks noChangeAspect="1"/>
        </xdr:cNvPicPr>
      </xdr:nvPicPr>
      <xdr:blipFill>
        <a:blip r:embed="rId6"/>
        <a:srcRect t="-674" b="-674"/>
        <a:stretch>
          <a:fillRect/>
        </a:stretch>
      </xdr:blipFill>
      <xdr:spPr>
        <a:xfrm rot="4260000">
          <a:off x="3720465" y="2534285"/>
          <a:ext cx="43878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218440</xdr:colOff>
      <xdr:row>6</xdr:row>
      <xdr:rowOff>743585</xdr:rowOff>
    </xdr:from>
    <xdr:to>
      <xdr:col>4</xdr:col>
      <xdr:colOff>323215</xdr:colOff>
      <xdr:row>8</xdr:row>
      <xdr:rowOff>47625</xdr:rowOff>
    </xdr:to>
    <xdr:pic>
      <xdr:nvPicPr>
        <xdr:cNvPr id="12366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3660000">
          <a:off x="3796030" y="3203575"/>
          <a:ext cx="49720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10</xdr:row>
      <xdr:rowOff>47625</xdr:rowOff>
    </xdr:from>
    <xdr:to>
      <xdr:col>4</xdr:col>
      <xdr:colOff>427355</xdr:colOff>
      <xdr:row>10</xdr:row>
      <xdr:rowOff>399415</xdr:rowOff>
    </xdr:to>
    <xdr:pic>
      <xdr:nvPicPr>
        <xdr:cNvPr id="12367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50005" y="4342765"/>
          <a:ext cx="35115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1476375</xdr:colOff>
      <xdr:row>11</xdr:row>
      <xdr:rowOff>37465</xdr:rowOff>
    </xdr:from>
    <xdr:to>
      <xdr:col>4</xdr:col>
      <xdr:colOff>351155</xdr:colOff>
      <xdr:row>11</xdr:row>
      <xdr:rowOff>391160</xdr:rowOff>
    </xdr:to>
    <xdr:pic>
      <xdr:nvPicPr>
        <xdr:cNvPr id="12368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73805" y="4751705"/>
          <a:ext cx="35115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8</xdr:row>
      <xdr:rowOff>132715</xdr:rowOff>
    </xdr:from>
    <xdr:to>
      <xdr:col>4</xdr:col>
      <xdr:colOff>617220</xdr:colOff>
      <xdr:row>8</xdr:row>
      <xdr:rowOff>379730</xdr:rowOff>
    </xdr:to>
    <xdr:pic>
      <xdr:nvPicPr>
        <xdr:cNvPr id="12369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802380" y="3589655"/>
          <a:ext cx="58864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</xdr:row>
      <xdr:rowOff>37465</xdr:rowOff>
    </xdr:from>
    <xdr:to>
      <xdr:col>4</xdr:col>
      <xdr:colOff>446405</xdr:colOff>
      <xdr:row>9</xdr:row>
      <xdr:rowOff>285115</xdr:rowOff>
    </xdr:to>
    <xdr:pic>
      <xdr:nvPicPr>
        <xdr:cNvPr id="12370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926205" y="3913505"/>
          <a:ext cx="2940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360045</xdr:colOff>
      <xdr:row>2</xdr:row>
      <xdr:rowOff>18415</xdr:rowOff>
    </xdr:from>
    <xdr:to>
      <xdr:col>4</xdr:col>
      <xdr:colOff>645160</xdr:colOff>
      <xdr:row>2</xdr:row>
      <xdr:rowOff>419735</xdr:rowOff>
    </xdr:to>
    <xdr:pic>
      <xdr:nvPicPr>
        <xdr:cNvPr id="12371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33850" y="427990"/>
          <a:ext cx="28511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351155</xdr:colOff>
      <xdr:row>6</xdr:row>
      <xdr:rowOff>114935</xdr:rowOff>
    </xdr:from>
    <xdr:to>
      <xdr:col>4</xdr:col>
      <xdr:colOff>568960</xdr:colOff>
      <xdr:row>6</xdr:row>
      <xdr:rowOff>592455</xdr:rowOff>
    </xdr:to>
    <xdr:pic>
      <xdr:nvPicPr>
        <xdr:cNvPr id="12372" name="图片 14" descr="fbc5af7afc8568e4e46970447ab1b1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24960" y="2378710"/>
          <a:ext cx="21780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10</xdr:row>
      <xdr:rowOff>27940</xdr:rowOff>
    </xdr:from>
    <xdr:to>
      <xdr:col>4</xdr:col>
      <xdr:colOff>598170</xdr:colOff>
      <xdr:row>10</xdr:row>
      <xdr:rowOff>370205</xdr:rowOff>
    </xdr:to>
    <xdr:pic>
      <xdr:nvPicPr>
        <xdr:cNvPr id="12373" name="图片 16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0050" y="4323080"/>
          <a:ext cx="16192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7</xdr:row>
      <xdr:rowOff>47625</xdr:rowOff>
    </xdr:from>
    <xdr:to>
      <xdr:col>4</xdr:col>
      <xdr:colOff>616585</xdr:colOff>
      <xdr:row>7</xdr:row>
      <xdr:rowOff>371475</xdr:rowOff>
    </xdr:to>
    <xdr:pic>
      <xdr:nvPicPr>
        <xdr:cNvPr id="12374" name="图片 17" descr="f45848e28997a4535bb504395ac0ba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0050" y="3085465"/>
          <a:ext cx="18034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5</xdr:row>
      <xdr:rowOff>0</xdr:rowOff>
    </xdr:from>
    <xdr:to>
      <xdr:col>4</xdr:col>
      <xdr:colOff>626110</xdr:colOff>
      <xdr:row>5</xdr:row>
      <xdr:rowOff>399415</xdr:rowOff>
    </xdr:to>
    <xdr:pic>
      <xdr:nvPicPr>
        <xdr:cNvPr id="12375" name="图片 18" descr="d8a387b2bc78722a071af72959ac8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10050" y="1844675"/>
          <a:ext cx="189865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445770</xdr:colOff>
      <xdr:row>8</xdr:row>
      <xdr:rowOff>85090</xdr:rowOff>
    </xdr:from>
    <xdr:to>
      <xdr:col>4</xdr:col>
      <xdr:colOff>588010</xdr:colOff>
      <xdr:row>8</xdr:row>
      <xdr:rowOff>389890</xdr:rowOff>
    </xdr:to>
    <xdr:pic>
      <xdr:nvPicPr>
        <xdr:cNvPr id="12376" name="图片 19" descr="973c5768860fa851ceffc08c84a7e5d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19575" y="3542030"/>
          <a:ext cx="14224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417830</xdr:colOff>
      <xdr:row>11</xdr:row>
      <xdr:rowOff>47625</xdr:rowOff>
    </xdr:from>
    <xdr:to>
      <xdr:col>4</xdr:col>
      <xdr:colOff>588645</xdr:colOff>
      <xdr:row>12</xdr:row>
      <xdr:rowOff>0</xdr:rowOff>
    </xdr:to>
    <xdr:pic>
      <xdr:nvPicPr>
        <xdr:cNvPr id="12377" name="图片 20" descr="a12caa5130148d0923c66f146c109f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91635" y="4761865"/>
          <a:ext cx="17081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4</xdr:row>
      <xdr:rowOff>27940</xdr:rowOff>
    </xdr:from>
    <xdr:to>
      <xdr:col>4</xdr:col>
      <xdr:colOff>607695</xdr:colOff>
      <xdr:row>4</xdr:row>
      <xdr:rowOff>361950</xdr:rowOff>
    </xdr:to>
    <xdr:pic>
      <xdr:nvPicPr>
        <xdr:cNvPr id="12378" name="图片 21" descr="b0cf2f758cc5ae35dffc464ab9269e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29735" y="1453515"/>
          <a:ext cx="15176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502920</xdr:colOff>
      <xdr:row>9</xdr:row>
      <xdr:rowOff>47625</xdr:rowOff>
    </xdr:from>
    <xdr:to>
      <xdr:col>4</xdr:col>
      <xdr:colOff>635635</xdr:colOff>
      <xdr:row>9</xdr:row>
      <xdr:rowOff>334010</xdr:rowOff>
    </xdr:to>
    <xdr:pic>
      <xdr:nvPicPr>
        <xdr:cNvPr id="12379" name="图片 22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76725" y="3923665"/>
          <a:ext cx="13271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124460</xdr:rowOff>
    </xdr:from>
    <xdr:to>
      <xdr:col>4</xdr:col>
      <xdr:colOff>617220</xdr:colOff>
      <xdr:row>3</xdr:row>
      <xdr:rowOff>306070</xdr:rowOff>
    </xdr:to>
    <xdr:pic>
      <xdr:nvPicPr>
        <xdr:cNvPr id="12380" name="图片 23" descr="ec9240b3d0d9cf766953d1a5781871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53535" y="1130935"/>
          <a:ext cx="23749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17780</xdr:colOff>
      <xdr:row>2</xdr:row>
      <xdr:rowOff>95250</xdr:rowOff>
    </xdr:from>
    <xdr:to>
      <xdr:col>4</xdr:col>
      <xdr:colOff>549910</xdr:colOff>
      <xdr:row>2</xdr:row>
      <xdr:rowOff>381635</xdr:rowOff>
    </xdr:to>
    <xdr:pic>
      <xdr:nvPicPr>
        <xdr:cNvPr id="113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0980" y="765175"/>
          <a:ext cx="53213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</xdr:row>
      <xdr:rowOff>27940</xdr:rowOff>
    </xdr:from>
    <xdr:to>
      <xdr:col>4</xdr:col>
      <xdr:colOff>464820</xdr:colOff>
      <xdr:row>3</xdr:row>
      <xdr:rowOff>389890</xdr:rowOff>
    </xdr:to>
    <xdr:pic>
      <xdr:nvPicPr>
        <xdr:cNvPr id="11326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-1080000">
          <a:off x="2809875" y="1040765"/>
          <a:ext cx="39814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85725</xdr:colOff>
      <xdr:row>4</xdr:row>
      <xdr:rowOff>67945</xdr:rowOff>
    </xdr:from>
    <xdr:to>
      <xdr:col>4</xdr:col>
      <xdr:colOff>427355</xdr:colOff>
      <xdr:row>4</xdr:row>
      <xdr:rowOff>410210</xdr:rowOff>
    </xdr:to>
    <xdr:pic>
      <xdr:nvPicPr>
        <xdr:cNvPr id="11327" name="图片 2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8925" y="1423670"/>
          <a:ext cx="34163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</xdr:row>
      <xdr:rowOff>104140</xdr:rowOff>
    </xdr:from>
    <xdr:to>
      <xdr:col>4</xdr:col>
      <xdr:colOff>370205</xdr:colOff>
      <xdr:row>5</xdr:row>
      <xdr:rowOff>294005</xdr:rowOff>
    </xdr:to>
    <xdr:pic>
      <xdr:nvPicPr>
        <xdr:cNvPr id="11328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90825" y="1955165"/>
          <a:ext cx="32258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</xdr:row>
      <xdr:rowOff>150495</xdr:rowOff>
    </xdr:from>
    <xdr:to>
      <xdr:col>4</xdr:col>
      <xdr:colOff>266065</xdr:colOff>
      <xdr:row>6</xdr:row>
      <xdr:rowOff>589280</xdr:rowOff>
    </xdr:to>
    <xdr:pic>
      <xdr:nvPicPr>
        <xdr:cNvPr id="11329" name="Picture 21"/>
        <xdr:cNvPicPr>
          <a:picLocks noChangeAspect="1"/>
        </xdr:cNvPicPr>
      </xdr:nvPicPr>
      <xdr:blipFill>
        <a:blip r:embed="rId6"/>
        <a:srcRect t="-674" b="-674"/>
        <a:stretch>
          <a:fillRect/>
        </a:stretch>
      </xdr:blipFill>
      <xdr:spPr>
        <a:xfrm rot="4260000">
          <a:off x="2689860" y="2606675"/>
          <a:ext cx="43878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218440</xdr:colOff>
      <xdr:row>6</xdr:row>
      <xdr:rowOff>743585</xdr:rowOff>
    </xdr:from>
    <xdr:to>
      <xdr:col>4</xdr:col>
      <xdr:colOff>323215</xdr:colOff>
      <xdr:row>8</xdr:row>
      <xdr:rowOff>47625</xdr:rowOff>
    </xdr:to>
    <xdr:pic>
      <xdr:nvPicPr>
        <xdr:cNvPr id="11330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3660000">
          <a:off x="2761615" y="3279775"/>
          <a:ext cx="50419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10</xdr:row>
      <xdr:rowOff>48260</xdr:rowOff>
    </xdr:from>
    <xdr:to>
      <xdr:col>4</xdr:col>
      <xdr:colOff>427355</xdr:colOff>
      <xdr:row>10</xdr:row>
      <xdr:rowOff>400050</xdr:rowOff>
    </xdr:to>
    <xdr:pic>
      <xdr:nvPicPr>
        <xdr:cNvPr id="11331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19400" y="4394835"/>
          <a:ext cx="35115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1476375</xdr:colOff>
      <xdr:row>11</xdr:row>
      <xdr:rowOff>38100</xdr:rowOff>
    </xdr:from>
    <xdr:to>
      <xdr:col>4</xdr:col>
      <xdr:colOff>351155</xdr:colOff>
      <xdr:row>11</xdr:row>
      <xdr:rowOff>391160</xdr:rowOff>
    </xdr:to>
    <xdr:pic>
      <xdr:nvPicPr>
        <xdr:cNvPr id="11332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43200" y="4708525"/>
          <a:ext cx="35115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8</xdr:row>
      <xdr:rowOff>132715</xdr:rowOff>
    </xdr:from>
    <xdr:to>
      <xdr:col>4</xdr:col>
      <xdr:colOff>617220</xdr:colOff>
      <xdr:row>8</xdr:row>
      <xdr:rowOff>379730</xdr:rowOff>
    </xdr:to>
    <xdr:pic>
      <xdr:nvPicPr>
        <xdr:cNvPr id="11333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71775" y="3669665"/>
          <a:ext cx="58864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</xdr:row>
      <xdr:rowOff>38100</xdr:rowOff>
    </xdr:from>
    <xdr:to>
      <xdr:col>4</xdr:col>
      <xdr:colOff>446405</xdr:colOff>
      <xdr:row>9</xdr:row>
      <xdr:rowOff>284480</xdr:rowOff>
    </xdr:to>
    <xdr:pic>
      <xdr:nvPicPr>
        <xdr:cNvPr id="11334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5600" y="4060825"/>
          <a:ext cx="29400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360045</xdr:colOff>
      <xdr:row>2</xdr:row>
      <xdr:rowOff>20320</xdr:rowOff>
    </xdr:from>
    <xdr:to>
      <xdr:col>4</xdr:col>
      <xdr:colOff>645160</xdr:colOff>
      <xdr:row>3</xdr:row>
      <xdr:rowOff>76200</xdr:rowOff>
    </xdr:to>
    <xdr:pic>
      <xdr:nvPicPr>
        <xdr:cNvPr id="11335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03245" y="690245"/>
          <a:ext cx="28511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351155</xdr:colOff>
      <xdr:row>6</xdr:row>
      <xdr:rowOff>113665</xdr:rowOff>
    </xdr:from>
    <xdr:to>
      <xdr:col>4</xdr:col>
      <xdr:colOff>568960</xdr:colOff>
      <xdr:row>6</xdr:row>
      <xdr:rowOff>592455</xdr:rowOff>
    </xdr:to>
    <xdr:pic>
      <xdr:nvPicPr>
        <xdr:cNvPr id="11336" name="图片 14" descr="fbc5af7afc8568e4e46970447ab1b1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94355" y="2450465"/>
          <a:ext cx="21780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10</xdr:row>
      <xdr:rowOff>27940</xdr:rowOff>
    </xdr:from>
    <xdr:to>
      <xdr:col>4</xdr:col>
      <xdr:colOff>598170</xdr:colOff>
      <xdr:row>11</xdr:row>
      <xdr:rowOff>46990</xdr:rowOff>
    </xdr:to>
    <xdr:pic>
      <xdr:nvPicPr>
        <xdr:cNvPr id="11337" name="图片 16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79445" y="4374515"/>
          <a:ext cx="1619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7</xdr:row>
      <xdr:rowOff>48260</xdr:rowOff>
    </xdr:from>
    <xdr:to>
      <xdr:col>4</xdr:col>
      <xdr:colOff>616585</xdr:colOff>
      <xdr:row>8</xdr:row>
      <xdr:rowOff>28575</xdr:rowOff>
    </xdr:to>
    <xdr:pic>
      <xdr:nvPicPr>
        <xdr:cNvPr id="11338" name="图片 17" descr="f45848e28997a4535bb504395ac0ba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79445" y="3242310"/>
          <a:ext cx="18034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5</xdr:row>
      <xdr:rowOff>0</xdr:rowOff>
    </xdr:from>
    <xdr:to>
      <xdr:col>4</xdr:col>
      <xdr:colOff>626110</xdr:colOff>
      <xdr:row>5</xdr:row>
      <xdr:rowOff>398780</xdr:rowOff>
    </xdr:to>
    <xdr:pic>
      <xdr:nvPicPr>
        <xdr:cNvPr id="11339" name="图片 18" descr="d8a387b2bc78722a071af72959ac8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79445" y="1851025"/>
          <a:ext cx="18986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445770</xdr:colOff>
      <xdr:row>8</xdr:row>
      <xdr:rowOff>85090</xdr:rowOff>
    </xdr:from>
    <xdr:to>
      <xdr:col>4</xdr:col>
      <xdr:colOff>588010</xdr:colOff>
      <xdr:row>8</xdr:row>
      <xdr:rowOff>389255</xdr:rowOff>
    </xdr:to>
    <xdr:pic>
      <xdr:nvPicPr>
        <xdr:cNvPr id="11340" name="图片 19" descr="973c5768860fa851ceffc08c84a7e5d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88970" y="3622040"/>
          <a:ext cx="14224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417830</xdr:colOff>
      <xdr:row>11</xdr:row>
      <xdr:rowOff>48260</xdr:rowOff>
    </xdr:from>
    <xdr:to>
      <xdr:col>4</xdr:col>
      <xdr:colOff>588645</xdr:colOff>
      <xdr:row>12</xdr:row>
      <xdr:rowOff>95250</xdr:rowOff>
    </xdr:to>
    <xdr:pic>
      <xdr:nvPicPr>
        <xdr:cNvPr id="11341" name="图片 20" descr="a12caa5130148d0923c66f146c109f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161030" y="4718685"/>
          <a:ext cx="17081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4</xdr:row>
      <xdr:rowOff>27305</xdr:rowOff>
    </xdr:from>
    <xdr:to>
      <xdr:col>4</xdr:col>
      <xdr:colOff>607695</xdr:colOff>
      <xdr:row>4</xdr:row>
      <xdr:rowOff>361950</xdr:rowOff>
    </xdr:to>
    <xdr:pic>
      <xdr:nvPicPr>
        <xdr:cNvPr id="11342" name="图片 21" descr="b0cf2f758cc5ae35dffc464ab9269e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99130" y="1383030"/>
          <a:ext cx="151765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502920</xdr:colOff>
      <xdr:row>9</xdr:row>
      <xdr:rowOff>48260</xdr:rowOff>
    </xdr:from>
    <xdr:to>
      <xdr:col>4</xdr:col>
      <xdr:colOff>635635</xdr:colOff>
      <xdr:row>10</xdr:row>
      <xdr:rowOff>10160</xdr:rowOff>
    </xdr:to>
    <xdr:pic>
      <xdr:nvPicPr>
        <xdr:cNvPr id="11343" name="图片 22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46120" y="4070985"/>
          <a:ext cx="13271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124460</xdr:rowOff>
    </xdr:from>
    <xdr:to>
      <xdr:col>4</xdr:col>
      <xdr:colOff>617220</xdr:colOff>
      <xdr:row>3</xdr:row>
      <xdr:rowOff>306705</xdr:rowOff>
    </xdr:to>
    <xdr:pic>
      <xdr:nvPicPr>
        <xdr:cNvPr id="11344" name="图片 23" descr="ec9240b3d0d9cf766953d1a5781871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122930" y="1137285"/>
          <a:ext cx="237490" cy="182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80645</xdr:colOff>
      <xdr:row>2</xdr:row>
      <xdr:rowOff>129540</xdr:rowOff>
    </xdr:from>
    <xdr:to>
      <xdr:col>4</xdr:col>
      <xdr:colOff>610870</xdr:colOff>
      <xdr:row>2</xdr:row>
      <xdr:rowOff>525780</xdr:rowOff>
    </xdr:to>
    <xdr:pic>
      <xdr:nvPicPr>
        <xdr:cNvPr id="32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15055" y="539115"/>
          <a:ext cx="53022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</xdr:row>
      <xdr:rowOff>60325</xdr:rowOff>
    </xdr:from>
    <xdr:to>
      <xdr:col>4</xdr:col>
      <xdr:colOff>526415</xdr:colOff>
      <xdr:row>3</xdr:row>
      <xdr:rowOff>561340</xdr:rowOff>
    </xdr:to>
    <xdr:pic>
      <xdr:nvPicPr>
        <xdr:cNvPr id="3265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8235" y="889000"/>
          <a:ext cx="40259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</xdr:row>
      <xdr:rowOff>75565</xdr:rowOff>
    </xdr:from>
    <xdr:to>
      <xdr:col>4</xdr:col>
      <xdr:colOff>460375</xdr:colOff>
      <xdr:row>4</xdr:row>
      <xdr:rowOff>507365</xdr:rowOff>
    </xdr:to>
    <xdr:pic>
      <xdr:nvPicPr>
        <xdr:cNvPr id="3266" name="图片 2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8710" y="1323340"/>
          <a:ext cx="34607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186690</xdr:colOff>
      <xdr:row>5</xdr:row>
      <xdr:rowOff>189865</xdr:rowOff>
    </xdr:from>
    <xdr:to>
      <xdr:col>4</xdr:col>
      <xdr:colOff>513715</xdr:colOff>
      <xdr:row>5</xdr:row>
      <xdr:rowOff>379730</xdr:rowOff>
    </xdr:to>
    <xdr:pic>
      <xdr:nvPicPr>
        <xdr:cNvPr id="3267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21100" y="1856740"/>
          <a:ext cx="3270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6</xdr:row>
      <xdr:rowOff>29210</xdr:rowOff>
    </xdr:from>
    <xdr:to>
      <xdr:col>4</xdr:col>
      <xdr:colOff>513080</xdr:colOff>
      <xdr:row>6</xdr:row>
      <xdr:rowOff>232410</xdr:rowOff>
    </xdr:to>
    <xdr:pic>
      <xdr:nvPicPr>
        <xdr:cNvPr id="3268" name="Picture 21"/>
        <xdr:cNvPicPr>
          <a:picLocks noChangeAspect="1"/>
        </xdr:cNvPicPr>
      </xdr:nvPicPr>
      <xdr:blipFill>
        <a:blip r:embed="rId6"/>
        <a:srcRect t="-674" b="-674"/>
        <a:stretch>
          <a:fillRect/>
        </a:stretch>
      </xdr:blipFill>
      <xdr:spPr>
        <a:xfrm>
          <a:off x="3610610" y="2115185"/>
          <a:ext cx="43688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91440</xdr:colOff>
      <xdr:row>7</xdr:row>
      <xdr:rowOff>98425</xdr:rowOff>
    </xdr:from>
    <xdr:to>
      <xdr:col>4</xdr:col>
      <xdr:colOff>587375</xdr:colOff>
      <xdr:row>7</xdr:row>
      <xdr:rowOff>203200</xdr:rowOff>
    </xdr:to>
    <xdr:pic>
      <xdr:nvPicPr>
        <xdr:cNvPr id="3269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2603500"/>
          <a:ext cx="49593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149225</xdr:colOff>
      <xdr:row>10</xdr:row>
      <xdr:rowOff>64135</xdr:rowOff>
    </xdr:from>
    <xdr:to>
      <xdr:col>4</xdr:col>
      <xdr:colOff>501650</xdr:colOff>
      <xdr:row>10</xdr:row>
      <xdr:rowOff>568325</xdr:rowOff>
    </xdr:to>
    <xdr:pic>
      <xdr:nvPicPr>
        <xdr:cNvPr id="3270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83635" y="3826510"/>
          <a:ext cx="35242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93980</xdr:colOff>
      <xdr:row>11</xdr:row>
      <xdr:rowOff>73660</xdr:rowOff>
    </xdr:from>
    <xdr:to>
      <xdr:col>4</xdr:col>
      <xdr:colOff>452120</xdr:colOff>
      <xdr:row>11</xdr:row>
      <xdr:rowOff>546735</xdr:rowOff>
    </xdr:to>
    <xdr:pic>
      <xdr:nvPicPr>
        <xdr:cNvPr id="3271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28390" y="4255135"/>
          <a:ext cx="35814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27305</xdr:colOff>
      <xdr:row>8</xdr:row>
      <xdr:rowOff>173355</xdr:rowOff>
    </xdr:from>
    <xdr:to>
      <xdr:col>4</xdr:col>
      <xdr:colOff>617855</xdr:colOff>
      <xdr:row>8</xdr:row>
      <xdr:rowOff>564515</xdr:rowOff>
    </xdr:to>
    <xdr:pic>
      <xdr:nvPicPr>
        <xdr:cNvPr id="3272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61715" y="3097530"/>
          <a:ext cx="590550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151130</xdr:colOff>
      <xdr:row>9</xdr:row>
      <xdr:rowOff>42545</xdr:rowOff>
    </xdr:from>
    <xdr:to>
      <xdr:col>4</xdr:col>
      <xdr:colOff>441960</xdr:colOff>
      <xdr:row>9</xdr:row>
      <xdr:rowOff>291465</xdr:rowOff>
    </xdr:to>
    <xdr:pic>
      <xdr:nvPicPr>
        <xdr:cNvPr id="3273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85540" y="3385820"/>
          <a:ext cx="2908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15</xdr:row>
      <xdr:rowOff>129540</xdr:rowOff>
    </xdr:from>
    <xdr:to>
      <xdr:col>4</xdr:col>
      <xdr:colOff>610870</xdr:colOff>
      <xdr:row>15</xdr:row>
      <xdr:rowOff>525780</xdr:rowOff>
    </xdr:to>
    <xdr:pic>
      <xdr:nvPicPr>
        <xdr:cNvPr id="32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15055" y="5349240"/>
          <a:ext cx="53022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</xdr:row>
      <xdr:rowOff>60325</xdr:rowOff>
    </xdr:from>
    <xdr:to>
      <xdr:col>4</xdr:col>
      <xdr:colOff>526415</xdr:colOff>
      <xdr:row>16</xdr:row>
      <xdr:rowOff>561340</xdr:rowOff>
    </xdr:to>
    <xdr:pic>
      <xdr:nvPicPr>
        <xdr:cNvPr id="3275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8235" y="5699125"/>
          <a:ext cx="40259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</xdr:row>
      <xdr:rowOff>75565</xdr:rowOff>
    </xdr:from>
    <xdr:to>
      <xdr:col>4</xdr:col>
      <xdr:colOff>460375</xdr:colOff>
      <xdr:row>17</xdr:row>
      <xdr:rowOff>507365</xdr:rowOff>
    </xdr:to>
    <xdr:pic>
      <xdr:nvPicPr>
        <xdr:cNvPr id="3276" name="图片 2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8710" y="6133465"/>
          <a:ext cx="34607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186690</xdr:colOff>
      <xdr:row>18</xdr:row>
      <xdr:rowOff>189865</xdr:rowOff>
    </xdr:from>
    <xdr:to>
      <xdr:col>4</xdr:col>
      <xdr:colOff>513715</xdr:colOff>
      <xdr:row>18</xdr:row>
      <xdr:rowOff>379730</xdr:rowOff>
    </xdr:to>
    <xdr:pic>
      <xdr:nvPicPr>
        <xdr:cNvPr id="3277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21100" y="6666865"/>
          <a:ext cx="3270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19</xdr:row>
      <xdr:rowOff>29210</xdr:rowOff>
    </xdr:from>
    <xdr:to>
      <xdr:col>4</xdr:col>
      <xdr:colOff>513080</xdr:colOff>
      <xdr:row>19</xdr:row>
      <xdr:rowOff>232410</xdr:rowOff>
    </xdr:to>
    <xdr:pic>
      <xdr:nvPicPr>
        <xdr:cNvPr id="3278" name="Picture 21"/>
        <xdr:cNvPicPr>
          <a:picLocks noChangeAspect="1"/>
        </xdr:cNvPicPr>
      </xdr:nvPicPr>
      <xdr:blipFill>
        <a:blip r:embed="rId6"/>
        <a:srcRect t="-674" b="-674"/>
        <a:stretch>
          <a:fillRect/>
        </a:stretch>
      </xdr:blipFill>
      <xdr:spPr>
        <a:xfrm>
          <a:off x="3610610" y="6925310"/>
          <a:ext cx="43688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91440</xdr:colOff>
      <xdr:row>20</xdr:row>
      <xdr:rowOff>98425</xdr:rowOff>
    </xdr:from>
    <xdr:to>
      <xdr:col>4</xdr:col>
      <xdr:colOff>587375</xdr:colOff>
      <xdr:row>20</xdr:row>
      <xdr:rowOff>203200</xdr:rowOff>
    </xdr:to>
    <xdr:pic>
      <xdr:nvPicPr>
        <xdr:cNvPr id="3279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7413625"/>
          <a:ext cx="49593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149225</xdr:colOff>
      <xdr:row>23</xdr:row>
      <xdr:rowOff>64135</xdr:rowOff>
    </xdr:from>
    <xdr:to>
      <xdr:col>4</xdr:col>
      <xdr:colOff>501650</xdr:colOff>
      <xdr:row>23</xdr:row>
      <xdr:rowOff>568325</xdr:rowOff>
    </xdr:to>
    <xdr:pic>
      <xdr:nvPicPr>
        <xdr:cNvPr id="3280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83635" y="8636635"/>
          <a:ext cx="35242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93980</xdr:colOff>
      <xdr:row>24</xdr:row>
      <xdr:rowOff>73660</xdr:rowOff>
    </xdr:from>
    <xdr:to>
      <xdr:col>4</xdr:col>
      <xdr:colOff>452120</xdr:colOff>
      <xdr:row>24</xdr:row>
      <xdr:rowOff>546735</xdr:rowOff>
    </xdr:to>
    <xdr:pic>
      <xdr:nvPicPr>
        <xdr:cNvPr id="3281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28390" y="9065260"/>
          <a:ext cx="35814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27305</xdr:colOff>
      <xdr:row>21</xdr:row>
      <xdr:rowOff>173355</xdr:rowOff>
    </xdr:from>
    <xdr:to>
      <xdr:col>4</xdr:col>
      <xdr:colOff>617855</xdr:colOff>
      <xdr:row>21</xdr:row>
      <xdr:rowOff>564515</xdr:rowOff>
    </xdr:to>
    <xdr:pic>
      <xdr:nvPicPr>
        <xdr:cNvPr id="3282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61715" y="7907655"/>
          <a:ext cx="590550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151130</xdr:colOff>
      <xdr:row>22</xdr:row>
      <xdr:rowOff>42545</xdr:rowOff>
    </xdr:from>
    <xdr:to>
      <xdr:col>4</xdr:col>
      <xdr:colOff>441960</xdr:colOff>
      <xdr:row>22</xdr:row>
      <xdr:rowOff>291465</xdr:rowOff>
    </xdr:to>
    <xdr:pic>
      <xdr:nvPicPr>
        <xdr:cNvPr id="3283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85540" y="8195945"/>
          <a:ext cx="290830" cy="248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23495</xdr:colOff>
      <xdr:row>2</xdr:row>
      <xdr:rowOff>91440</xdr:rowOff>
    </xdr:from>
    <xdr:to>
      <xdr:col>4</xdr:col>
      <xdr:colOff>553720</xdr:colOff>
      <xdr:row>2</xdr:row>
      <xdr:rowOff>381635</xdr:rowOff>
    </xdr:to>
    <xdr:pic>
      <xdr:nvPicPr>
        <xdr:cNvPr id="93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6695" y="501015"/>
          <a:ext cx="530225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62230</xdr:colOff>
      <xdr:row>3</xdr:row>
      <xdr:rowOff>31115</xdr:rowOff>
    </xdr:from>
    <xdr:to>
      <xdr:col>4</xdr:col>
      <xdr:colOff>464820</xdr:colOff>
      <xdr:row>3</xdr:row>
      <xdr:rowOff>391160</xdr:rowOff>
    </xdr:to>
    <xdr:pic>
      <xdr:nvPicPr>
        <xdr:cNvPr id="9309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-1080000">
          <a:off x="2805430" y="859790"/>
          <a:ext cx="40259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85725</xdr:colOff>
      <xdr:row>4</xdr:row>
      <xdr:rowOff>70485</xdr:rowOff>
    </xdr:from>
    <xdr:to>
      <xdr:col>4</xdr:col>
      <xdr:colOff>431800</xdr:colOff>
      <xdr:row>4</xdr:row>
      <xdr:rowOff>414020</xdr:rowOff>
    </xdr:to>
    <xdr:pic>
      <xdr:nvPicPr>
        <xdr:cNvPr id="9310" name="图片 2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8925" y="1318260"/>
          <a:ext cx="34607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48260</xdr:colOff>
      <xdr:row>5</xdr:row>
      <xdr:rowOff>107950</xdr:rowOff>
    </xdr:from>
    <xdr:to>
      <xdr:col>4</xdr:col>
      <xdr:colOff>375285</xdr:colOff>
      <xdr:row>5</xdr:row>
      <xdr:rowOff>297815</xdr:rowOff>
    </xdr:to>
    <xdr:pic>
      <xdr:nvPicPr>
        <xdr:cNvPr id="9311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91460" y="1774825"/>
          <a:ext cx="3270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64770</xdr:colOff>
      <xdr:row>6</xdr:row>
      <xdr:rowOff>154305</xdr:rowOff>
    </xdr:from>
    <xdr:to>
      <xdr:col>4</xdr:col>
      <xdr:colOff>267970</xdr:colOff>
      <xdr:row>6</xdr:row>
      <xdr:rowOff>593090</xdr:rowOff>
    </xdr:to>
    <xdr:pic>
      <xdr:nvPicPr>
        <xdr:cNvPr id="9312" name="Picture 21"/>
        <xdr:cNvPicPr>
          <a:picLocks noChangeAspect="1"/>
        </xdr:cNvPicPr>
      </xdr:nvPicPr>
      <xdr:blipFill>
        <a:blip r:embed="rId6"/>
        <a:srcRect t="-674" b="-674"/>
        <a:stretch>
          <a:fillRect/>
        </a:stretch>
      </xdr:blipFill>
      <xdr:spPr>
        <a:xfrm rot="4260000">
          <a:off x="2689860" y="2357755"/>
          <a:ext cx="43878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220345</xdr:colOff>
      <xdr:row>6</xdr:row>
      <xdr:rowOff>744220</xdr:rowOff>
    </xdr:from>
    <xdr:to>
      <xdr:col>4</xdr:col>
      <xdr:colOff>325120</xdr:colOff>
      <xdr:row>8</xdr:row>
      <xdr:rowOff>50800</xdr:rowOff>
    </xdr:to>
    <xdr:pic>
      <xdr:nvPicPr>
        <xdr:cNvPr id="9313" name="图片 1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3660000">
          <a:off x="2765425" y="3027680"/>
          <a:ext cx="50038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78105</xdr:colOff>
      <xdr:row>10</xdr:row>
      <xdr:rowOff>45720</xdr:rowOff>
    </xdr:from>
    <xdr:to>
      <xdr:col>4</xdr:col>
      <xdr:colOff>430530</xdr:colOff>
      <xdr:row>10</xdr:row>
      <xdr:rowOff>399415</xdr:rowOff>
    </xdr:to>
    <xdr:pic>
      <xdr:nvPicPr>
        <xdr:cNvPr id="9314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21305" y="4163695"/>
          <a:ext cx="35242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1475105</xdr:colOff>
      <xdr:row>11</xdr:row>
      <xdr:rowOff>40640</xdr:rowOff>
    </xdr:from>
    <xdr:to>
      <xdr:col>4</xdr:col>
      <xdr:colOff>356235</xdr:colOff>
      <xdr:row>11</xdr:row>
      <xdr:rowOff>386080</xdr:rowOff>
    </xdr:to>
    <xdr:pic>
      <xdr:nvPicPr>
        <xdr:cNvPr id="9315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43200" y="4577715"/>
          <a:ext cx="35623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27305</xdr:colOff>
      <xdr:row>8</xdr:row>
      <xdr:rowOff>130810</xdr:rowOff>
    </xdr:from>
    <xdr:to>
      <xdr:col>4</xdr:col>
      <xdr:colOff>617855</xdr:colOff>
      <xdr:row>8</xdr:row>
      <xdr:rowOff>376555</xdr:rowOff>
    </xdr:to>
    <xdr:pic>
      <xdr:nvPicPr>
        <xdr:cNvPr id="9316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70505" y="3410585"/>
          <a:ext cx="590550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151130</xdr:colOff>
      <xdr:row>9</xdr:row>
      <xdr:rowOff>42545</xdr:rowOff>
    </xdr:from>
    <xdr:to>
      <xdr:col>4</xdr:col>
      <xdr:colOff>441960</xdr:colOff>
      <xdr:row>9</xdr:row>
      <xdr:rowOff>291465</xdr:rowOff>
    </xdr:to>
    <xdr:pic>
      <xdr:nvPicPr>
        <xdr:cNvPr id="9317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4330" y="3741420"/>
          <a:ext cx="2908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2</xdr:row>
      <xdr:rowOff>17780</xdr:rowOff>
    </xdr:from>
    <xdr:to>
      <xdr:col>4</xdr:col>
      <xdr:colOff>643255</xdr:colOff>
      <xdr:row>3</xdr:row>
      <xdr:rowOff>1905</xdr:rowOff>
    </xdr:to>
    <xdr:pic>
      <xdr:nvPicPr>
        <xdr:cNvPr id="9318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05150" y="427355"/>
          <a:ext cx="28130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353695</xdr:colOff>
      <xdr:row>6</xdr:row>
      <xdr:rowOff>114935</xdr:rowOff>
    </xdr:from>
    <xdr:to>
      <xdr:col>4</xdr:col>
      <xdr:colOff>643255</xdr:colOff>
      <xdr:row>6</xdr:row>
      <xdr:rowOff>723265</xdr:rowOff>
    </xdr:to>
    <xdr:pic>
      <xdr:nvPicPr>
        <xdr:cNvPr id="9319" name="图片 12" descr="fbc5af7afc8568e4e46970447ab1b1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96895" y="2200910"/>
          <a:ext cx="289560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440055</xdr:colOff>
      <xdr:row>10</xdr:row>
      <xdr:rowOff>27940</xdr:rowOff>
    </xdr:from>
    <xdr:to>
      <xdr:col>4</xdr:col>
      <xdr:colOff>603885</xdr:colOff>
      <xdr:row>10</xdr:row>
      <xdr:rowOff>371475</xdr:rowOff>
    </xdr:to>
    <xdr:pic>
      <xdr:nvPicPr>
        <xdr:cNvPr id="9320" name="图片 13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83255" y="4145915"/>
          <a:ext cx="163830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434340</xdr:colOff>
      <xdr:row>7</xdr:row>
      <xdr:rowOff>47625</xdr:rowOff>
    </xdr:from>
    <xdr:to>
      <xdr:col>4</xdr:col>
      <xdr:colOff>614680</xdr:colOff>
      <xdr:row>7</xdr:row>
      <xdr:rowOff>368300</xdr:rowOff>
    </xdr:to>
    <xdr:pic>
      <xdr:nvPicPr>
        <xdr:cNvPr id="9321" name="图片 14" descr="f45848e28997a4535bb504395ac0ba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77540" y="2908300"/>
          <a:ext cx="18034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438150</xdr:colOff>
      <xdr:row>5</xdr:row>
      <xdr:rowOff>3175</xdr:rowOff>
    </xdr:from>
    <xdr:to>
      <xdr:col>4</xdr:col>
      <xdr:colOff>636270</xdr:colOff>
      <xdr:row>6</xdr:row>
      <xdr:rowOff>3175</xdr:rowOff>
    </xdr:to>
    <xdr:pic>
      <xdr:nvPicPr>
        <xdr:cNvPr id="9322" name="图片 15" descr="d8a387b2bc78722a071af72959ac8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81350" y="1670050"/>
          <a:ext cx="19812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8</xdr:row>
      <xdr:rowOff>90170</xdr:rowOff>
    </xdr:from>
    <xdr:to>
      <xdr:col>4</xdr:col>
      <xdr:colOff>588010</xdr:colOff>
      <xdr:row>8</xdr:row>
      <xdr:rowOff>396240</xdr:rowOff>
    </xdr:to>
    <xdr:pic>
      <xdr:nvPicPr>
        <xdr:cNvPr id="9323" name="图片 16" descr="973c5768860fa851ceffc08c84a7e5d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86430" y="3369945"/>
          <a:ext cx="14478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415290</xdr:colOff>
      <xdr:row>11</xdr:row>
      <xdr:rowOff>44450</xdr:rowOff>
    </xdr:from>
    <xdr:to>
      <xdr:col>4</xdr:col>
      <xdr:colOff>591185</xdr:colOff>
      <xdr:row>11</xdr:row>
      <xdr:rowOff>415925</xdr:rowOff>
    </xdr:to>
    <xdr:pic>
      <xdr:nvPicPr>
        <xdr:cNvPr id="9324" name="图片 17" descr="a12caa5130148d0923c66f146c109f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158490" y="4581525"/>
          <a:ext cx="17589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452755</xdr:colOff>
      <xdr:row>4</xdr:row>
      <xdr:rowOff>26035</xdr:rowOff>
    </xdr:from>
    <xdr:to>
      <xdr:col>4</xdr:col>
      <xdr:colOff>608965</xdr:colOff>
      <xdr:row>4</xdr:row>
      <xdr:rowOff>354965</xdr:rowOff>
    </xdr:to>
    <xdr:pic>
      <xdr:nvPicPr>
        <xdr:cNvPr id="9325" name="图片 18" descr="b0cf2f758cc5ae35dffc464ab9269e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95955" y="1273810"/>
          <a:ext cx="15621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</xdr:row>
      <xdr:rowOff>48895</xdr:rowOff>
    </xdr:from>
    <xdr:to>
      <xdr:col>4</xdr:col>
      <xdr:colOff>668655</xdr:colOff>
      <xdr:row>9</xdr:row>
      <xdr:rowOff>394335</xdr:rowOff>
    </xdr:to>
    <xdr:pic>
      <xdr:nvPicPr>
        <xdr:cNvPr id="9326" name="图片 19" descr="a5707093b1aa4d988a5902fd4bc16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48025" y="3747770"/>
          <a:ext cx="16383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376555</xdr:colOff>
      <xdr:row>3</xdr:row>
      <xdr:rowOff>119380</xdr:rowOff>
    </xdr:from>
    <xdr:to>
      <xdr:col>4</xdr:col>
      <xdr:colOff>616585</xdr:colOff>
      <xdr:row>3</xdr:row>
      <xdr:rowOff>299720</xdr:rowOff>
    </xdr:to>
    <xdr:pic>
      <xdr:nvPicPr>
        <xdr:cNvPr id="9327" name="图片 20" descr="ec9240b3d0d9cf766953d1a5781871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119755" y="948055"/>
          <a:ext cx="240030" cy="180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7"/>
  <sheetViews>
    <sheetView tabSelected="1" zoomScale="80" zoomScaleNormal="80" topLeftCell="A7" workbookViewId="0">
      <selection activeCell="P20" sqref="P20"/>
    </sheetView>
  </sheetViews>
  <sheetFormatPr defaultColWidth="9" defaultRowHeight="15.75"/>
  <cols>
    <col min="2" max="2" width="10.8666666666667" customWidth="1"/>
    <col min="3" max="3" width="16.9666666666667" customWidth="1"/>
    <col min="4" max="4" width="12.6916666666667"/>
    <col min="7" max="7" width="9.31666666666667"/>
    <col min="8" max="8" width="11.4166666666667" customWidth="1"/>
    <col min="9" max="9" width="7.19166666666667" customWidth="1"/>
    <col min="11" max="11" width="8.29166666666667" customWidth="1"/>
    <col min="12" max="12" width="7.19166666666667" customWidth="1"/>
    <col min="13" max="13" width="13.9916666666667" customWidth="1"/>
    <col min="14" max="14" width="16.175" customWidth="1"/>
    <col min="31" max="31" width="12.6916666666667"/>
    <col min="33" max="33" width="12.6916666666667"/>
    <col min="35" max="36" width="13.75"/>
    <col min="43" max="43" width="13.975" customWidth="1"/>
  </cols>
  <sheetData>
    <row r="1" spans="1:43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7" t="s">
        <v>8</v>
      </c>
      <c r="J1" s="38" t="s">
        <v>9</v>
      </c>
      <c r="K1" s="37" t="s">
        <v>10</v>
      </c>
      <c r="L1" s="145" t="s">
        <v>11</v>
      </c>
      <c r="M1" s="39" t="s">
        <v>12</v>
      </c>
      <c r="N1" s="40" t="s">
        <v>13</v>
      </c>
      <c r="O1" s="41" t="s">
        <v>14</v>
      </c>
      <c r="P1" s="41" t="s">
        <v>15</v>
      </c>
      <c r="Q1" s="56" t="s">
        <v>16</v>
      </c>
      <c r="R1" s="57" t="s">
        <v>17</v>
      </c>
      <c r="S1" s="58" t="s">
        <v>18</v>
      </c>
      <c r="T1" s="3" t="s">
        <v>19</v>
      </c>
      <c r="U1" s="59" t="s">
        <v>20</v>
      </c>
      <c r="V1" s="59" t="s">
        <v>21</v>
      </c>
      <c r="W1" s="58" t="s">
        <v>22</v>
      </c>
      <c r="X1" s="37" t="s">
        <v>23</v>
      </c>
      <c r="Y1" s="37"/>
      <c r="Z1" s="40" t="s">
        <v>24</v>
      </c>
      <c r="AA1" s="73" t="s">
        <v>25</v>
      </c>
      <c r="AB1" s="73" t="s">
        <v>26</v>
      </c>
      <c r="AC1" s="73" t="s">
        <v>27</v>
      </c>
      <c r="AD1" s="73" t="s">
        <v>28</v>
      </c>
      <c r="AE1" s="74" t="s">
        <v>29</v>
      </c>
      <c r="AF1" s="180" t="s">
        <v>30</v>
      </c>
      <c r="AG1" s="75" t="s">
        <v>31</v>
      </c>
      <c r="AH1" s="150" t="s">
        <v>32</v>
      </c>
      <c r="AI1" s="150" t="s">
        <v>33</v>
      </c>
      <c r="AJ1" s="87" t="s">
        <v>34</v>
      </c>
      <c r="AK1" s="16" t="s">
        <v>35</v>
      </c>
      <c r="AL1" s="142" t="s">
        <v>36</v>
      </c>
      <c r="AM1" s="142" t="s">
        <v>33</v>
      </c>
      <c r="AN1" s="142" t="s">
        <v>37</v>
      </c>
      <c r="AO1" s="167" t="s">
        <v>38</v>
      </c>
      <c r="AP1" s="167"/>
      <c r="AQ1" s="167"/>
    </row>
    <row r="2" ht="16.5" spans="1:43">
      <c r="A2" s="7"/>
      <c r="B2" s="8"/>
      <c r="C2" s="9"/>
      <c r="D2" s="8"/>
      <c r="E2" s="8"/>
      <c r="F2" s="10"/>
      <c r="G2" s="11"/>
      <c r="H2" s="11"/>
      <c r="I2" s="42"/>
      <c r="J2" s="43"/>
      <c r="K2" s="42"/>
      <c r="L2" s="146"/>
      <c r="M2" s="44"/>
      <c r="N2" s="45"/>
      <c r="O2" s="46"/>
      <c r="P2" s="46"/>
      <c r="Q2" s="56"/>
      <c r="R2" s="57"/>
      <c r="S2" s="60"/>
      <c r="T2" s="8"/>
      <c r="U2" s="61"/>
      <c r="V2" s="61"/>
      <c r="W2" s="60"/>
      <c r="X2" s="42" t="s">
        <v>39</v>
      </c>
      <c r="Y2" s="42" t="s">
        <v>40</v>
      </c>
      <c r="Z2" s="45"/>
      <c r="AA2" s="76"/>
      <c r="AB2" s="76"/>
      <c r="AC2" s="76"/>
      <c r="AD2" s="76"/>
      <c r="AE2" s="74"/>
      <c r="AF2" s="181"/>
      <c r="AG2" s="77"/>
      <c r="AH2" s="151"/>
      <c r="AI2" s="151"/>
      <c r="AJ2" s="90"/>
      <c r="AK2" s="16"/>
      <c r="AL2" s="142"/>
      <c r="AM2" s="142"/>
      <c r="AN2" s="142"/>
      <c r="AO2" s="167"/>
      <c r="AP2" s="167"/>
      <c r="AQ2" s="167"/>
    </row>
    <row r="3" s="1" customFormat="1" ht="47" customHeight="1" spans="1:43">
      <c r="A3" s="12" t="s">
        <v>41</v>
      </c>
      <c r="B3" s="13" t="s">
        <v>42</v>
      </c>
      <c r="C3" s="14" t="s">
        <v>43</v>
      </c>
      <c r="D3" s="15" t="s">
        <v>44</v>
      </c>
      <c r="E3" s="16"/>
      <c r="F3" s="17">
        <v>1</v>
      </c>
      <c r="G3" s="18">
        <v>0.0205</v>
      </c>
      <c r="H3" s="141">
        <f>1.05*G3</f>
        <v>0.021525</v>
      </c>
      <c r="I3" s="17">
        <v>2</v>
      </c>
      <c r="J3" s="51">
        <v>15.22</v>
      </c>
      <c r="K3" s="51">
        <v>4</v>
      </c>
      <c r="L3" s="147">
        <v>45</v>
      </c>
      <c r="M3" s="17">
        <v>1</v>
      </c>
      <c r="N3" s="49" t="s">
        <v>45</v>
      </c>
      <c r="O3" s="49">
        <v>22.75</v>
      </c>
      <c r="P3" s="50">
        <v>4.655</v>
      </c>
      <c r="Q3" s="62">
        <v>0.05</v>
      </c>
      <c r="R3" s="63">
        <f t="shared" ref="R3:R12" si="0">Q3*H3</f>
        <v>0.00107625</v>
      </c>
      <c r="S3" s="124">
        <f t="shared" ref="S3:S12" si="1">R3*12</f>
        <v>0.012915</v>
      </c>
      <c r="T3" s="179" t="s">
        <v>46</v>
      </c>
      <c r="U3" s="17">
        <f t="shared" ref="U3:U12" si="2">12*3600/L3</f>
        <v>960</v>
      </c>
      <c r="V3" s="16">
        <v>2</v>
      </c>
      <c r="W3" s="66">
        <f t="shared" ref="W3:W6" si="3">H3*J3*1.05</f>
        <v>0.343991025</v>
      </c>
      <c r="X3" s="67">
        <f t="shared" ref="X3:X12" si="4">(12+K3)*0.8*P3/(U3*V3)</f>
        <v>0.0310333333333333</v>
      </c>
      <c r="Y3" s="67">
        <f t="shared" ref="Y3:Y12" si="5">0.45*12*0.8*O3/(U3*V3)</f>
        <v>0.0511875</v>
      </c>
      <c r="Z3" s="78">
        <v>1</v>
      </c>
      <c r="AA3" s="67">
        <f t="shared" ref="AA3:AA12" si="6">12*18*Z3/(U3*V3)</f>
        <v>0.1125</v>
      </c>
      <c r="AB3" s="67">
        <f t="shared" ref="AB3:AB12" si="7">S3/(U3*V3)</f>
        <v>6.7265625e-6</v>
      </c>
      <c r="AC3" s="67"/>
      <c r="AD3" s="67">
        <f t="shared" ref="AD3:AD12" si="8">W3+X3+Y3+AA3+AB3+AC3</f>
        <v>0.538718584895833</v>
      </c>
      <c r="AE3" s="79">
        <f t="shared" ref="AE3:AE12" si="9">AD3*1.15</f>
        <v>0.619526372630208</v>
      </c>
      <c r="AF3" s="182">
        <v>0.75</v>
      </c>
      <c r="AG3" s="80">
        <v>1.0874</v>
      </c>
      <c r="AH3" s="80"/>
      <c r="AI3" s="152">
        <f t="shared" ref="AI3:AI12" si="10">(AG3-AE3)/AG3</f>
        <v>0.430268187759602</v>
      </c>
      <c r="AJ3" s="91" t="s">
        <v>47</v>
      </c>
      <c r="AK3" s="92">
        <f t="shared" ref="AK3:AK12" si="11">AE3/W3</f>
        <v>1.80099574583438</v>
      </c>
      <c r="AL3" s="184">
        <v>0.530036223727778</v>
      </c>
      <c r="AM3" s="184">
        <f t="shared" ref="AM3:AM12" si="12">AL3-AE3</f>
        <v>-0.0894901489024307</v>
      </c>
      <c r="AN3" s="185">
        <f t="shared" ref="AN3:AN12" si="13">AM3/AL3</f>
        <v>-0.168837798052822</v>
      </c>
      <c r="AO3" s="190" t="s">
        <v>48</v>
      </c>
      <c r="AP3" s="190"/>
      <c r="AQ3" s="190"/>
    </row>
    <row r="4" s="1" customFormat="1" ht="33" customHeight="1" spans="1:41">
      <c r="A4" s="142"/>
      <c r="B4" s="13" t="s">
        <v>49</v>
      </c>
      <c r="C4" s="14" t="s">
        <v>50</v>
      </c>
      <c r="D4" s="15" t="s">
        <v>51</v>
      </c>
      <c r="E4" s="16"/>
      <c r="F4" s="17">
        <v>2</v>
      </c>
      <c r="G4" s="20">
        <v>0.032</v>
      </c>
      <c r="H4" s="18">
        <f t="shared" ref="H4:H8" si="14">1.04*G4</f>
        <v>0.03328</v>
      </c>
      <c r="I4" s="17">
        <v>4</v>
      </c>
      <c r="J4" s="51">
        <v>24.77</v>
      </c>
      <c r="K4" s="51">
        <v>4</v>
      </c>
      <c r="L4" s="147">
        <v>40</v>
      </c>
      <c r="M4" s="17">
        <v>1</v>
      </c>
      <c r="N4" s="49" t="s">
        <v>52</v>
      </c>
      <c r="O4" s="49">
        <v>32.75</v>
      </c>
      <c r="P4" s="50">
        <v>4.655</v>
      </c>
      <c r="Q4" s="62">
        <v>0.04</v>
      </c>
      <c r="R4" s="63">
        <f t="shared" si="0"/>
        <v>0.0013312</v>
      </c>
      <c r="S4" s="124">
        <f t="shared" si="1"/>
        <v>0.0159744</v>
      </c>
      <c r="T4" s="65" t="s">
        <v>53</v>
      </c>
      <c r="U4" s="17">
        <f t="shared" si="2"/>
        <v>1080</v>
      </c>
      <c r="V4" s="16">
        <v>4</v>
      </c>
      <c r="W4" s="66">
        <f t="shared" si="3"/>
        <v>0.86556288</v>
      </c>
      <c r="X4" s="67">
        <f t="shared" si="4"/>
        <v>0.0137925925925926</v>
      </c>
      <c r="Y4" s="67">
        <f t="shared" si="5"/>
        <v>0.03275</v>
      </c>
      <c r="Z4" s="78">
        <v>1</v>
      </c>
      <c r="AA4" s="67">
        <f t="shared" si="6"/>
        <v>0.05</v>
      </c>
      <c r="AB4" s="67">
        <f t="shared" si="7"/>
        <v>3.69777777777778e-6</v>
      </c>
      <c r="AC4" s="67"/>
      <c r="AD4" s="67">
        <f t="shared" si="8"/>
        <v>0.962109170370371</v>
      </c>
      <c r="AE4" s="79">
        <f t="shared" si="9"/>
        <v>1.10642554592593</v>
      </c>
      <c r="AF4" s="182">
        <v>1.42</v>
      </c>
      <c r="AG4" s="81">
        <v>1.841575</v>
      </c>
      <c r="AH4" s="81">
        <v>1.8894</v>
      </c>
      <c r="AI4" s="152">
        <f t="shared" si="10"/>
        <v>0.399196043644203</v>
      </c>
      <c r="AJ4" s="91" t="s">
        <v>47</v>
      </c>
      <c r="AK4" s="92">
        <f t="shared" si="11"/>
        <v>1.27827286900973</v>
      </c>
      <c r="AL4" s="184">
        <v>1.16839100694865</v>
      </c>
      <c r="AM4" s="184">
        <f t="shared" si="12"/>
        <v>0.0619654610227192</v>
      </c>
      <c r="AN4" s="186">
        <f t="shared" si="13"/>
        <v>0.0530348664566902</v>
      </c>
      <c r="AO4" s="142"/>
    </row>
    <row r="5" s="1" customFormat="1" ht="33" customHeight="1" spans="1:43">
      <c r="A5" s="142"/>
      <c r="B5" s="13" t="s">
        <v>54</v>
      </c>
      <c r="C5" s="21" t="s">
        <v>54</v>
      </c>
      <c r="D5" s="15" t="s">
        <v>55</v>
      </c>
      <c r="E5" s="16"/>
      <c r="F5" s="17">
        <v>1</v>
      </c>
      <c r="G5" s="153">
        <v>0.0015</v>
      </c>
      <c r="H5" s="154">
        <f>1.07*G5</f>
        <v>0.001605</v>
      </c>
      <c r="I5" s="17">
        <v>8</v>
      </c>
      <c r="J5" s="51">
        <v>30.97</v>
      </c>
      <c r="K5" s="51">
        <v>4</v>
      </c>
      <c r="L5" s="147">
        <v>35</v>
      </c>
      <c r="M5" s="17">
        <v>1</v>
      </c>
      <c r="N5" s="49" t="s">
        <v>45</v>
      </c>
      <c r="O5" s="49">
        <v>22.75</v>
      </c>
      <c r="P5" s="50">
        <v>4.655</v>
      </c>
      <c r="Q5" s="62">
        <v>0.07</v>
      </c>
      <c r="R5" s="63">
        <f t="shared" si="0"/>
        <v>0.00011235</v>
      </c>
      <c r="S5" s="124">
        <f t="shared" si="1"/>
        <v>0.0013482</v>
      </c>
      <c r="T5" s="65" t="s">
        <v>56</v>
      </c>
      <c r="U5" s="17">
        <f t="shared" si="2"/>
        <v>1234.28571428571</v>
      </c>
      <c r="V5" s="16">
        <v>8</v>
      </c>
      <c r="W5" s="66">
        <f t="shared" si="3"/>
        <v>0.0521921925</v>
      </c>
      <c r="X5" s="67">
        <f t="shared" si="4"/>
        <v>0.00603425925925926</v>
      </c>
      <c r="Y5" s="67">
        <f t="shared" si="5"/>
        <v>0.009953125</v>
      </c>
      <c r="Z5" s="78">
        <v>1</v>
      </c>
      <c r="AA5" s="67">
        <f t="shared" si="6"/>
        <v>0.021875</v>
      </c>
      <c r="AB5" s="67">
        <f t="shared" si="7"/>
        <v>1.36536458333333e-7</v>
      </c>
      <c r="AC5" s="67"/>
      <c r="AD5" s="67">
        <f t="shared" si="8"/>
        <v>0.0900547132957176</v>
      </c>
      <c r="AE5" s="79">
        <f t="shared" si="9"/>
        <v>0.103562920290075</v>
      </c>
      <c r="AF5" s="182">
        <v>0.18</v>
      </c>
      <c r="AG5" s="80">
        <v>0.2655</v>
      </c>
      <c r="AH5" s="80">
        <v>0.3</v>
      </c>
      <c r="AI5" s="152">
        <f t="shared" si="10"/>
        <v>0.609932503615536</v>
      </c>
      <c r="AJ5" s="91" t="s">
        <v>47</v>
      </c>
      <c r="AK5" s="92">
        <f t="shared" si="11"/>
        <v>1.98426077406262</v>
      </c>
      <c r="AL5" s="184">
        <v>0.0743482545671194</v>
      </c>
      <c r="AM5" s="184">
        <f t="shared" si="12"/>
        <v>-0.0292146657229558</v>
      </c>
      <c r="AN5" s="185">
        <f t="shared" si="13"/>
        <v>-0.392943531668005</v>
      </c>
      <c r="AO5" s="191" t="s">
        <v>57</v>
      </c>
      <c r="AP5" s="191"/>
      <c r="AQ5" s="191"/>
    </row>
    <row r="6" s="1" customFormat="1" ht="33" customHeight="1" spans="1:41">
      <c r="A6" s="142"/>
      <c r="B6" s="13" t="s">
        <v>58</v>
      </c>
      <c r="C6" s="14" t="s">
        <v>59</v>
      </c>
      <c r="D6" s="15" t="s">
        <v>60</v>
      </c>
      <c r="E6" s="16"/>
      <c r="F6" s="17">
        <v>1</v>
      </c>
      <c r="G6" s="20">
        <f>0.0138-0.003*2</f>
        <v>0.0078</v>
      </c>
      <c r="H6" s="18">
        <f t="shared" si="14"/>
        <v>0.008112</v>
      </c>
      <c r="I6" s="17">
        <v>2</v>
      </c>
      <c r="J6" s="51">
        <v>21</v>
      </c>
      <c r="K6" s="51">
        <v>2</v>
      </c>
      <c r="L6" s="147">
        <v>50</v>
      </c>
      <c r="M6" s="17">
        <v>1</v>
      </c>
      <c r="N6" s="49" t="s">
        <v>45</v>
      </c>
      <c r="O6" s="49">
        <v>22.75</v>
      </c>
      <c r="P6" s="50">
        <v>4.655</v>
      </c>
      <c r="Q6" s="62">
        <v>0.04</v>
      </c>
      <c r="R6" s="63">
        <f t="shared" si="0"/>
        <v>0.00032448</v>
      </c>
      <c r="S6" s="124">
        <f t="shared" si="1"/>
        <v>0.00389376</v>
      </c>
      <c r="T6" s="68" t="s">
        <v>61</v>
      </c>
      <c r="U6" s="17">
        <f t="shared" si="2"/>
        <v>864</v>
      </c>
      <c r="V6" s="16">
        <v>2</v>
      </c>
      <c r="W6" s="66">
        <f t="shared" si="3"/>
        <v>0.1788696</v>
      </c>
      <c r="X6" s="67">
        <f t="shared" si="4"/>
        <v>0.0301712962962963</v>
      </c>
      <c r="Y6" s="67">
        <f t="shared" si="5"/>
        <v>0.056875</v>
      </c>
      <c r="Z6" s="78">
        <v>1</v>
      </c>
      <c r="AA6" s="67">
        <f t="shared" si="6"/>
        <v>0.125</v>
      </c>
      <c r="AB6" s="67">
        <f t="shared" si="7"/>
        <v>2.25333333333333e-6</v>
      </c>
      <c r="AC6" s="67">
        <v>0.2</v>
      </c>
      <c r="AD6" s="67">
        <f t="shared" si="8"/>
        <v>0.59091814962963</v>
      </c>
      <c r="AE6" s="79">
        <f>(AD6-AC6)*1.15+AC6*1.05</f>
        <v>0.659555872074074</v>
      </c>
      <c r="AF6" s="182">
        <v>0.75</v>
      </c>
      <c r="AG6" s="80">
        <v>0.7507</v>
      </c>
      <c r="AH6" s="80">
        <v>0.7226</v>
      </c>
      <c r="AI6" s="152">
        <f t="shared" si="10"/>
        <v>0.121412185861098</v>
      </c>
      <c r="AJ6" s="91" t="s">
        <v>47</v>
      </c>
      <c r="AK6" s="92">
        <f t="shared" si="11"/>
        <v>3.68735588425352</v>
      </c>
      <c r="AL6" s="184">
        <v>0.641688016046379</v>
      </c>
      <c r="AM6" s="184">
        <f t="shared" si="12"/>
        <v>-0.0178678560276955</v>
      </c>
      <c r="AN6" s="186">
        <f t="shared" si="13"/>
        <v>-0.027845082938878</v>
      </c>
      <c r="AO6" s="142"/>
    </row>
    <row r="7" s="1" customFormat="1" ht="60.95" customHeight="1" spans="1:43">
      <c r="A7" s="142"/>
      <c r="B7" s="22" t="s">
        <v>62</v>
      </c>
      <c r="C7" s="23" t="s">
        <v>63</v>
      </c>
      <c r="D7" s="23" t="s">
        <v>64</v>
      </c>
      <c r="E7" s="23"/>
      <c r="F7" s="17">
        <v>1</v>
      </c>
      <c r="G7" s="24">
        <v>0.03</v>
      </c>
      <c r="H7" s="18">
        <f t="shared" si="14"/>
        <v>0.0312</v>
      </c>
      <c r="I7" s="33">
        <v>2</v>
      </c>
      <c r="J7" s="51">
        <v>30.41</v>
      </c>
      <c r="K7" s="51">
        <v>4</v>
      </c>
      <c r="L7" s="148">
        <v>40</v>
      </c>
      <c r="M7" s="33">
        <v>1</v>
      </c>
      <c r="N7" s="33" t="s">
        <v>65</v>
      </c>
      <c r="O7" s="49">
        <v>38.9</v>
      </c>
      <c r="P7" s="50">
        <v>4.655</v>
      </c>
      <c r="Q7" s="62">
        <v>0.04</v>
      </c>
      <c r="R7" s="63">
        <f t="shared" si="0"/>
        <v>0.001248</v>
      </c>
      <c r="S7" s="124">
        <f t="shared" si="1"/>
        <v>0.014976</v>
      </c>
      <c r="T7" s="69" t="s">
        <v>66</v>
      </c>
      <c r="U7" s="17">
        <f t="shared" si="2"/>
        <v>1080</v>
      </c>
      <c r="V7" s="33">
        <v>2</v>
      </c>
      <c r="W7" s="70">
        <f t="shared" ref="W7:W12" si="15">H7*J7</f>
        <v>0.948792</v>
      </c>
      <c r="X7" s="67">
        <f t="shared" si="4"/>
        <v>0.0275851851851852</v>
      </c>
      <c r="Y7" s="67">
        <f t="shared" si="5"/>
        <v>0.0778</v>
      </c>
      <c r="Z7" s="78">
        <v>1</v>
      </c>
      <c r="AA7" s="67">
        <f t="shared" si="6"/>
        <v>0.1</v>
      </c>
      <c r="AB7" s="67">
        <f t="shared" si="7"/>
        <v>6.93333333333333e-6</v>
      </c>
      <c r="AC7" s="82"/>
      <c r="AD7" s="67">
        <f t="shared" si="8"/>
        <v>1.15418411851852</v>
      </c>
      <c r="AE7" s="79">
        <f t="shared" si="9"/>
        <v>1.3273117362963</v>
      </c>
      <c r="AF7" s="182">
        <v>1.65</v>
      </c>
      <c r="AG7" s="83">
        <v>1.92506986548673</v>
      </c>
      <c r="AH7" s="83">
        <v>1.9496</v>
      </c>
      <c r="AI7" s="152">
        <f t="shared" si="10"/>
        <v>0.310512433812005</v>
      </c>
      <c r="AJ7" s="91" t="s">
        <v>47</v>
      </c>
      <c r="AK7" s="92">
        <f t="shared" si="11"/>
        <v>1.39894912298617</v>
      </c>
      <c r="AL7" s="184">
        <v>0.984318584070797</v>
      </c>
      <c r="AM7" s="184">
        <f t="shared" si="12"/>
        <v>-0.342993152225499</v>
      </c>
      <c r="AN7" s="185">
        <f t="shared" si="13"/>
        <v>-0.34845745856692</v>
      </c>
      <c r="AO7" s="192" t="s">
        <v>67</v>
      </c>
      <c r="AP7" s="192"/>
      <c r="AQ7" s="192"/>
    </row>
    <row r="8" s="1" customFormat="1" ht="33" customHeight="1" spans="1:41">
      <c r="A8" s="143" t="s">
        <v>68</v>
      </c>
      <c r="B8" s="26" t="s">
        <v>69</v>
      </c>
      <c r="C8" s="27" t="s">
        <v>69</v>
      </c>
      <c r="D8" s="28" t="s">
        <v>70</v>
      </c>
      <c r="E8" s="29"/>
      <c r="F8" s="30">
        <v>2</v>
      </c>
      <c r="G8" s="31">
        <v>0.0355</v>
      </c>
      <c r="H8" s="32">
        <f t="shared" si="14"/>
        <v>0.03692</v>
      </c>
      <c r="I8" s="30">
        <v>4</v>
      </c>
      <c r="J8" s="51">
        <v>24.77</v>
      </c>
      <c r="K8" s="51">
        <v>4</v>
      </c>
      <c r="L8" s="149">
        <v>40</v>
      </c>
      <c r="M8" s="30">
        <v>1</v>
      </c>
      <c r="N8" s="53" t="s">
        <v>65</v>
      </c>
      <c r="O8" s="49">
        <v>38.9</v>
      </c>
      <c r="P8" s="50">
        <v>4.655</v>
      </c>
      <c r="Q8" s="62">
        <v>0.04</v>
      </c>
      <c r="R8" s="63">
        <f t="shared" si="0"/>
        <v>0.0014768</v>
      </c>
      <c r="S8" s="124">
        <f t="shared" si="1"/>
        <v>0.0177216</v>
      </c>
      <c r="T8" s="65" t="s">
        <v>53</v>
      </c>
      <c r="U8" s="17">
        <f t="shared" si="2"/>
        <v>1080</v>
      </c>
      <c r="V8" s="29">
        <v>4</v>
      </c>
      <c r="W8" s="71">
        <f>H8*J8*1.05</f>
        <v>0.96023382</v>
      </c>
      <c r="X8" s="67">
        <f t="shared" si="4"/>
        <v>0.0137925925925926</v>
      </c>
      <c r="Y8" s="67">
        <f t="shared" si="5"/>
        <v>0.0389</v>
      </c>
      <c r="Z8" s="78">
        <v>1</v>
      </c>
      <c r="AA8" s="67">
        <f t="shared" si="6"/>
        <v>0.05</v>
      </c>
      <c r="AB8" s="67">
        <f t="shared" si="7"/>
        <v>4.10222222222222e-6</v>
      </c>
      <c r="AC8" s="84"/>
      <c r="AD8" s="67">
        <f t="shared" si="8"/>
        <v>1.06293051481481</v>
      </c>
      <c r="AE8" s="79">
        <f t="shared" si="9"/>
        <v>1.22237009203704</v>
      </c>
      <c r="AF8" s="182">
        <v>1.72</v>
      </c>
      <c r="AG8" s="85">
        <v>2.2</v>
      </c>
      <c r="AH8" s="187">
        <v>2.1978</v>
      </c>
      <c r="AI8" s="152">
        <f t="shared" si="10"/>
        <v>0.444377230892256</v>
      </c>
      <c r="AJ8" s="91" t="s">
        <v>47</v>
      </c>
      <c r="AK8" s="92">
        <f t="shared" si="11"/>
        <v>1.27299212606054</v>
      </c>
      <c r="AL8" s="184">
        <v>1.35939215748624</v>
      </c>
      <c r="AM8" s="184">
        <f t="shared" si="12"/>
        <v>0.137022065449199</v>
      </c>
      <c r="AN8" s="186">
        <f t="shared" si="13"/>
        <v>0.100796569036103</v>
      </c>
      <c r="AO8" s="193"/>
    </row>
    <row r="9" s="1" customFormat="1" ht="33" customHeight="1" spans="1:41">
      <c r="A9" s="33" t="s">
        <v>71</v>
      </c>
      <c r="B9" s="15" t="s">
        <v>72</v>
      </c>
      <c r="C9" s="15" t="s">
        <v>72</v>
      </c>
      <c r="D9" s="15" t="s">
        <v>73</v>
      </c>
      <c r="E9" s="34"/>
      <c r="F9" s="17">
        <v>1</v>
      </c>
      <c r="G9" s="144">
        <v>0.0205</v>
      </c>
      <c r="H9" s="36">
        <f t="shared" ref="H9:H12" si="16">G9*1.04</f>
        <v>0.02132</v>
      </c>
      <c r="I9" s="54">
        <v>2</v>
      </c>
      <c r="J9" s="55">
        <v>13.3</v>
      </c>
      <c r="K9" s="33">
        <v>2</v>
      </c>
      <c r="L9" s="148">
        <v>40</v>
      </c>
      <c r="M9" s="30">
        <v>1</v>
      </c>
      <c r="N9" s="33" t="s">
        <v>74</v>
      </c>
      <c r="O9" s="49">
        <v>22.75</v>
      </c>
      <c r="P9" s="50">
        <v>4.655</v>
      </c>
      <c r="Q9" s="62">
        <v>0.04</v>
      </c>
      <c r="R9" s="63">
        <f t="shared" si="0"/>
        <v>0.0008528</v>
      </c>
      <c r="S9" s="124">
        <f t="shared" si="1"/>
        <v>0.0102336</v>
      </c>
      <c r="T9" s="72" t="s">
        <v>75</v>
      </c>
      <c r="U9" s="17">
        <f t="shared" si="2"/>
        <v>1080</v>
      </c>
      <c r="V9" s="33">
        <v>2</v>
      </c>
      <c r="W9" s="70">
        <f t="shared" si="15"/>
        <v>0.283556</v>
      </c>
      <c r="X9" s="67">
        <f t="shared" si="4"/>
        <v>0.024137037037037</v>
      </c>
      <c r="Y9" s="67">
        <f t="shared" si="5"/>
        <v>0.0455</v>
      </c>
      <c r="Z9" s="78">
        <v>1</v>
      </c>
      <c r="AA9" s="67">
        <f t="shared" si="6"/>
        <v>0.1</v>
      </c>
      <c r="AB9" s="67">
        <f t="shared" si="7"/>
        <v>4.73777777777778e-6</v>
      </c>
      <c r="AC9" s="82"/>
      <c r="AD9" s="67">
        <f t="shared" si="8"/>
        <v>0.453197774814815</v>
      </c>
      <c r="AE9" s="79">
        <f t="shared" si="9"/>
        <v>0.521177441037037</v>
      </c>
      <c r="AF9" s="183">
        <v>0.6</v>
      </c>
      <c r="AG9" s="86">
        <v>0.5994</v>
      </c>
      <c r="AH9" s="86"/>
      <c r="AI9" s="152">
        <f t="shared" si="10"/>
        <v>0.130501433037976</v>
      </c>
      <c r="AJ9" s="91" t="s">
        <v>47</v>
      </c>
      <c r="AK9" s="92">
        <f t="shared" si="11"/>
        <v>1.8380053359373</v>
      </c>
      <c r="AL9" s="92">
        <v>0.702</v>
      </c>
      <c r="AM9" s="184">
        <f t="shared" si="12"/>
        <v>0.180822558962963</v>
      </c>
      <c r="AN9" s="186">
        <f t="shared" si="13"/>
        <v>0.257581992824734</v>
      </c>
      <c r="AO9" s="194"/>
    </row>
    <row r="10" s="1" customFormat="1" ht="33" customHeight="1" spans="1:41">
      <c r="A10" s="33"/>
      <c r="B10" s="15" t="s">
        <v>76</v>
      </c>
      <c r="C10" s="15" t="s">
        <v>77</v>
      </c>
      <c r="D10" s="15" t="s">
        <v>78</v>
      </c>
      <c r="E10" s="34"/>
      <c r="F10" s="17">
        <v>1</v>
      </c>
      <c r="G10" s="144">
        <v>0.062</v>
      </c>
      <c r="H10" s="36">
        <f t="shared" si="16"/>
        <v>0.06448</v>
      </c>
      <c r="I10" s="54">
        <v>2</v>
      </c>
      <c r="J10" s="55">
        <v>10.3</v>
      </c>
      <c r="K10" s="33">
        <v>1</v>
      </c>
      <c r="L10" s="148">
        <v>45</v>
      </c>
      <c r="M10" s="30">
        <v>1</v>
      </c>
      <c r="N10" s="33" t="s">
        <v>74</v>
      </c>
      <c r="O10" s="49">
        <v>22.75</v>
      </c>
      <c r="P10" s="50">
        <v>4.655</v>
      </c>
      <c r="Q10" s="62">
        <v>0.04</v>
      </c>
      <c r="R10" s="63">
        <f t="shared" si="0"/>
        <v>0.0025792</v>
      </c>
      <c r="S10" s="124">
        <f t="shared" si="1"/>
        <v>0.0309504</v>
      </c>
      <c r="T10" s="72" t="s">
        <v>79</v>
      </c>
      <c r="U10" s="17">
        <f t="shared" si="2"/>
        <v>960</v>
      </c>
      <c r="V10" s="33">
        <v>2</v>
      </c>
      <c r="W10" s="70">
        <f t="shared" si="15"/>
        <v>0.664144</v>
      </c>
      <c r="X10" s="67">
        <f t="shared" si="4"/>
        <v>0.0252145833333333</v>
      </c>
      <c r="Y10" s="67">
        <f t="shared" si="5"/>
        <v>0.0511875</v>
      </c>
      <c r="Z10" s="78">
        <v>1</v>
      </c>
      <c r="AA10" s="67">
        <f t="shared" si="6"/>
        <v>0.1125</v>
      </c>
      <c r="AB10" s="67">
        <f t="shared" si="7"/>
        <v>1.612e-5</v>
      </c>
      <c r="AC10" s="82"/>
      <c r="AD10" s="67">
        <f t="shared" si="8"/>
        <v>0.853062203333333</v>
      </c>
      <c r="AE10" s="79">
        <f t="shared" si="9"/>
        <v>0.981021533833333</v>
      </c>
      <c r="AF10" s="183">
        <v>1.2</v>
      </c>
      <c r="AG10" s="86">
        <v>1.2144</v>
      </c>
      <c r="AH10" s="187"/>
      <c r="AI10" s="152">
        <f t="shared" si="10"/>
        <v>0.192175943813131</v>
      </c>
      <c r="AJ10" s="91" t="s">
        <v>47</v>
      </c>
      <c r="AK10" s="92">
        <f t="shared" si="11"/>
        <v>1.47712172937395</v>
      </c>
      <c r="AL10" s="92">
        <v>0.936</v>
      </c>
      <c r="AM10" s="184">
        <f t="shared" si="12"/>
        <v>-0.0450215338333334</v>
      </c>
      <c r="AN10" s="186">
        <f t="shared" si="13"/>
        <v>-0.0480999293091169</v>
      </c>
      <c r="AO10" s="194"/>
    </row>
    <row r="11" s="1" customFormat="1" ht="33" customHeight="1" spans="1:41">
      <c r="A11" s="33"/>
      <c r="B11" s="15" t="s">
        <v>80</v>
      </c>
      <c r="C11" s="15" t="s">
        <v>81</v>
      </c>
      <c r="D11" s="15" t="s">
        <v>82</v>
      </c>
      <c r="E11" s="34"/>
      <c r="F11" s="17">
        <v>1</v>
      </c>
      <c r="G11" s="144">
        <v>0.062</v>
      </c>
      <c r="H11" s="36">
        <f t="shared" si="16"/>
        <v>0.06448</v>
      </c>
      <c r="I11" s="54">
        <v>2</v>
      </c>
      <c r="J11" s="55">
        <v>10.3</v>
      </c>
      <c r="K11" s="33">
        <v>1</v>
      </c>
      <c r="L11" s="148">
        <v>45</v>
      </c>
      <c r="M11" s="30">
        <v>1</v>
      </c>
      <c r="N11" s="33" t="s">
        <v>74</v>
      </c>
      <c r="O11" s="49">
        <v>22.75</v>
      </c>
      <c r="P11" s="50">
        <v>4.655</v>
      </c>
      <c r="Q11" s="62">
        <v>0.04</v>
      </c>
      <c r="R11" s="63">
        <f t="shared" si="0"/>
        <v>0.0025792</v>
      </c>
      <c r="S11" s="124">
        <f t="shared" si="1"/>
        <v>0.0309504</v>
      </c>
      <c r="T11" s="72" t="s">
        <v>79</v>
      </c>
      <c r="U11" s="17">
        <f t="shared" si="2"/>
        <v>960</v>
      </c>
      <c r="V11" s="33">
        <v>2</v>
      </c>
      <c r="W11" s="70">
        <f t="shared" si="15"/>
        <v>0.664144</v>
      </c>
      <c r="X11" s="67">
        <f t="shared" si="4"/>
        <v>0.0252145833333333</v>
      </c>
      <c r="Y11" s="67">
        <f t="shared" si="5"/>
        <v>0.0511875</v>
      </c>
      <c r="Z11" s="78">
        <v>1</v>
      </c>
      <c r="AA11" s="67">
        <f t="shared" si="6"/>
        <v>0.1125</v>
      </c>
      <c r="AB11" s="67">
        <f t="shared" si="7"/>
        <v>1.612e-5</v>
      </c>
      <c r="AC11" s="82"/>
      <c r="AD11" s="67">
        <f t="shared" si="8"/>
        <v>0.853062203333333</v>
      </c>
      <c r="AE11" s="79">
        <f t="shared" si="9"/>
        <v>0.981021533833333</v>
      </c>
      <c r="AF11" s="182">
        <v>1.1</v>
      </c>
      <c r="AG11" s="86">
        <v>1.16769</v>
      </c>
      <c r="AH11" s="86"/>
      <c r="AI11" s="152">
        <f t="shared" si="10"/>
        <v>0.159861321212536</v>
      </c>
      <c r="AJ11" s="91" t="s">
        <v>47</v>
      </c>
      <c r="AK11" s="92">
        <f t="shared" si="11"/>
        <v>1.47712172937395</v>
      </c>
      <c r="AL11" s="92">
        <v>1.014</v>
      </c>
      <c r="AM11" s="184">
        <f t="shared" si="12"/>
        <v>0.0329784661666667</v>
      </c>
      <c r="AN11" s="186">
        <f t="shared" si="13"/>
        <v>0.0325231421761999</v>
      </c>
      <c r="AO11" s="194"/>
    </row>
    <row r="12" s="1" customFormat="1" ht="33" customHeight="1" spans="1:43">
      <c r="A12" s="33"/>
      <c r="B12" s="15" t="s">
        <v>83</v>
      </c>
      <c r="C12" s="15" t="s">
        <v>84</v>
      </c>
      <c r="D12" s="15" t="s">
        <v>85</v>
      </c>
      <c r="E12" s="34"/>
      <c r="F12" s="17">
        <v>1</v>
      </c>
      <c r="G12" s="155">
        <v>0.003</v>
      </c>
      <c r="H12" s="156">
        <f t="shared" si="16"/>
        <v>0.00312</v>
      </c>
      <c r="I12" s="54">
        <v>8</v>
      </c>
      <c r="J12" s="55">
        <v>10.3</v>
      </c>
      <c r="K12" s="33">
        <v>1</v>
      </c>
      <c r="L12" s="148">
        <v>40</v>
      </c>
      <c r="M12" s="30">
        <v>1</v>
      </c>
      <c r="N12" s="49" t="s">
        <v>74</v>
      </c>
      <c r="O12" s="49">
        <v>22.75</v>
      </c>
      <c r="P12" s="50">
        <v>4.655</v>
      </c>
      <c r="Q12" s="62">
        <v>0.04</v>
      </c>
      <c r="R12" s="50">
        <f t="shared" si="0"/>
        <v>0.0001248</v>
      </c>
      <c r="S12" s="124">
        <f t="shared" si="1"/>
        <v>0.0014976</v>
      </c>
      <c r="T12" s="72" t="s">
        <v>79</v>
      </c>
      <c r="U12" s="17">
        <f t="shared" si="2"/>
        <v>1080</v>
      </c>
      <c r="V12" s="33">
        <v>8</v>
      </c>
      <c r="W12" s="70">
        <f t="shared" si="15"/>
        <v>0.032136</v>
      </c>
      <c r="X12" s="67">
        <f t="shared" si="4"/>
        <v>0.00560324074074074</v>
      </c>
      <c r="Y12" s="67">
        <f t="shared" si="5"/>
        <v>0.011375</v>
      </c>
      <c r="Z12" s="78">
        <v>1</v>
      </c>
      <c r="AA12" s="67">
        <f t="shared" si="6"/>
        <v>0.025</v>
      </c>
      <c r="AB12" s="67">
        <f t="shared" si="7"/>
        <v>1.73333333333333e-7</v>
      </c>
      <c r="AC12" s="82"/>
      <c r="AD12" s="67">
        <f t="shared" si="8"/>
        <v>0.0741144140740741</v>
      </c>
      <c r="AE12" s="79">
        <f t="shared" si="9"/>
        <v>0.0852315761851852</v>
      </c>
      <c r="AF12" s="183">
        <v>0.15</v>
      </c>
      <c r="AG12" s="86">
        <v>0.13234</v>
      </c>
      <c r="AH12" s="86"/>
      <c r="AI12" s="152">
        <f t="shared" si="10"/>
        <v>0.355965118745767</v>
      </c>
      <c r="AJ12" s="91" t="s">
        <v>47</v>
      </c>
      <c r="AK12" s="92">
        <f t="shared" si="11"/>
        <v>2.65221484270554</v>
      </c>
      <c r="AL12" s="184">
        <v>0.04524</v>
      </c>
      <c r="AM12" s="184">
        <f t="shared" si="12"/>
        <v>-0.0399915761851852</v>
      </c>
      <c r="AN12" s="185">
        <f t="shared" si="13"/>
        <v>-0.883987095163245</v>
      </c>
      <c r="AO12" s="192" t="s">
        <v>67</v>
      </c>
      <c r="AP12" s="192"/>
      <c r="AQ12" s="192"/>
    </row>
    <row r="13" spans="9:35">
      <c r="I13" s="167"/>
      <c r="J13" s="167"/>
      <c r="L13" s="167"/>
      <c r="M13" s="167"/>
      <c r="N13" s="167"/>
      <c r="V13" s="167"/>
      <c r="AI13" s="188"/>
    </row>
    <row r="14" spans="2:36">
      <c r="B14" s="157" t="s">
        <v>86</v>
      </c>
      <c r="C14" s="157" t="s">
        <v>87</v>
      </c>
      <c r="D14" s="157" t="s">
        <v>31</v>
      </c>
      <c r="E14" s="157" t="s">
        <v>36</v>
      </c>
      <c r="F14" s="157" t="s">
        <v>88</v>
      </c>
      <c r="G14" s="157" t="s">
        <v>89</v>
      </c>
      <c r="H14" s="157" t="s">
        <v>90</v>
      </c>
      <c r="I14" s="157" t="s">
        <v>37</v>
      </c>
      <c r="J14" s="157" t="s">
        <v>30</v>
      </c>
      <c r="K14" s="157" t="s">
        <v>91</v>
      </c>
      <c r="L14" s="157" t="s">
        <v>37</v>
      </c>
      <c r="M14" s="168" t="s">
        <v>92</v>
      </c>
      <c r="N14" s="168" t="s">
        <v>93</v>
      </c>
      <c r="AE14">
        <f>SUM(AE3:AE13)</f>
        <v>7.60720462414252</v>
      </c>
      <c r="AF14">
        <f>SUM(AF3:AF13)</f>
        <v>9.52</v>
      </c>
      <c r="AG14">
        <f>SUM(AG3:AG13)</f>
        <v>11.1840748654867</v>
      </c>
      <c r="AI14">
        <f>AF14-AG14</f>
        <v>-1.66407486548673</v>
      </c>
      <c r="AJ14" s="189">
        <f>AI14/AG14</f>
        <v>-0.148789675096145</v>
      </c>
    </row>
    <row r="15" spans="2:14">
      <c r="B15" s="158" t="s">
        <v>42</v>
      </c>
      <c r="C15" s="158" t="s">
        <v>44</v>
      </c>
      <c r="D15" s="159">
        <v>1.0874</v>
      </c>
      <c r="E15" s="160">
        <v>0.530036223727778</v>
      </c>
      <c r="F15" s="161">
        <f t="shared" ref="F15:F24" si="17">E15-D15</f>
        <v>-0.557363776272222</v>
      </c>
      <c r="G15" s="160">
        <v>0.619526372630208</v>
      </c>
      <c r="H15" s="161">
        <f t="shared" ref="H15:H24" si="18">G15-D15</f>
        <v>-0.467873627369792</v>
      </c>
      <c r="I15" s="169">
        <f t="shared" ref="I15:I24" si="19">H15/D15</f>
        <v>-0.430268187759603</v>
      </c>
      <c r="J15" s="170">
        <v>0.75</v>
      </c>
      <c r="K15" s="171">
        <f t="shared" ref="K15:K24" si="20">J15-D15</f>
        <v>-0.3374</v>
      </c>
      <c r="L15" s="169">
        <f t="shared" ref="L15:L24" si="21">K15/D15</f>
        <v>-0.310281405186684</v>
      </c>
      <c r="M15" s="172">
        <v>52449</v>
      </c>
      <c r="N15" s="173">
        <f t="shared" ref="N15:N24" si="22">K15*M15</f>
        <v>-17696.2926</v>
      </c>
    </row>
    <row r="16" spans="2:14">
      <c r="B16" s="158" t="s">
        <v>49</v>
      </c>
      <c r="C16" s="158" t="s">
        <v>51</v>
      </c>
      <c r="D16" s="159">
        <v>1.841575</v>
      </c>
      <c r="E16" s="160">
        <v>1.16839100694865</v>
      </c>
      <c r="F16" s="161">
        <f t="shared" si="17"/>
        <v>-0.67318399305135</v>
      </c>
      <c r="G16" s="160">
        <v>1.10642554592593</v>
      </c>
      <c r="H16" s="161">
        <f t="shared" si="18"/>
        <v>-0.73514945407407</v>
      </c>
      <c r="I16" s="169">
        <f t="shared" si="19"/>
        <v>-0.399196043644201</v>
      </c>
      <c r="J16" s="170">
        <v>1.42</v>
      </c>
      <c r="K16" s="171">
        <f t="shared" si="20"/>
        <v>-0.421575</v>
      </c>
      <c r="L16" s="169">
        <f t="shared" si="21"/>
        <v>-0.228920896515211</v>
      </c>
      <c r="M16" s="172">
        <v>261221</v>
      </c>
      <c r="N16" s="173">
        <f t="shared" si="22"/>
        <v>-110124.243075</v>
      </c>
    </row>
    <row r="17" spans="2:14">
      <c r="B17" s="158" t="s">
        <v>54</v>
      </c>
      <c r="C17" s="158" t="s">
        <v>55</v>
      </c>
      <c r="D17" s="159">
        <v>0.2655</v>
      </c>
      <c r="E17" s="160">
        <v>0.0743482545671194</v>
      </c>
      <c r="F17" s="161">
        <f t="shared" si="17"/>
        <v>-0.191151745432881</v>
      </c>
      <c r="G17" s="160">
        <v>0.103562920290075</v>
      </c>
      <c r="H17" s="161">
        <f t="shared" si="18"/>
        <v>-0.161937079709925</v>
      </c>
      <c r="I17" s="169">
        <f t="shared" si="19"/>
        <v>-0.609932503615537</v>
      </c>
      <c r="J17" s="170">
        <v>0.18</v>
      </c>
      <c r="K17" s="171">
        <f t="shared" si="20"/>
        <v>-0.0855</v>
      </c>
      <c r="L17" s="169">
        <f t="shared" si="21"/>
        <v>-0.322033898305085</v>
      </c>
      <c r="M17" s="172">
        <v>13000</v>
      </c>
      <c r="N17" s="173">
        <f t="shared" si="22"/>
        <v>-1111.5</v>
      </c>
    </row>
    <row r="18" spans="2:14">
      <c r="B18" s="158" t="s">
        <v>58</v>
      </c>
      <c r="C18" s="158" t="s">
        <v>60</v>
      </c>
      <c r="D18" s="159">
        <v>0.7507</v>
      </c>
      <c r="E18" s="160">
        <v>0.641688016046379</v>
      </c>
      <c r="F18" s="161">
        <f t="shared" si="17"/>
        <v>-0.109011983953621</v>
      </c>
      <c r="G18" s="160">
        <v>0.659555872074074</v>
      </c>
      <c r="H18" s="161">
        <f t="shared" si="18"/>
        <v>-0.0911441279259261</v>
      </c>
      <c r="I18" s="169">
        <f t="shared" si="19"/>
        <v>-0.121412185861098</v>
      </c>
      <c r="J18" s="170">
        <v>0.75</v>
      </c>
      <c r="K18" s="171">
        <f t="shared" si="20"/>
        <v>-0.000700000000000034</v>
      </c>
      <c r="L18" s="169">
        <f t="shared" si="21"/>
        <v>-0.000932463034501177</v>
      </c>
      <c r="M18" s="172">
        <v>208662</v>
      </c>
      <c r="N18" s="173">
        <f t="shared" si="22"/>
        <v>-146.063400000007</v>
      </c>
    </row>
    <row r="19" spans="2:14">
      <c r="B19" s="158" t="s">
        <v>62</v>
      </c>
      <c r="C19" s="158" t="s">
        <v>64</v>
      </c>
      <c r="D19" s="159">
        <v>1.92506986548673</v>
      </c>
      <c r="E19" s="160">
        <v>0.984318584070797</v>
      </c>
      <c r="F19" s="161">
        <f t="shared" si="17"/>
        <v>-0.940751281415933</v>
      </c>
      <c r="G19" s="160">
        <v>1.3273117362963</v>
      </c>
      <c r="H19" s="161">
        <f t="shared" si="18"/>
        <v>-0.59775812919043</v>
      </c>
      <c r="I19" s="169">
        <f t="shared" si="19"/>
        <v>-0.310512433812003</v>
      </c>
      <c r="J19" s="170">
        <v>1.65</v>
      </c>
      <c r="K19" s="171">
        <f t="shared" si="20"/>
        <v>-0.27506986548673</v>
      </c>
      <c r="L19" s="169">
        <f t="shared" si="21"/>
        <v>-0.142888250664701</v>
      </c>
      <c r="M19" s="172">
        <v>171269</v>
      </c>
      <c r="N19" s="173">
        <f t="shared" si="22"/>
        <v>-47110.9407920468</v>
      </c>
    </row>
    <row r="20" spans="2:14">
      <c r="B20" s="158" t="s">
        <v>69</v>
      </c>
      <c r="C20" s="158" t="s">
        <v>70</v>
      </c>
      <c r="D20" s="159">
        <v>2.2</v>
      </c>
      <c r="E20" s="160">
        <v>1.35939215748624</v>
      </c>
      <c r="F20" s="161">
        <f t="shared" si="17"/>
        <v>-0.84060784251376</v>
      </c>
      <c r="G20" s="160">
        <v>1.22237009203704</v>
      </c>
      <c r="H20" s="161">
        <f t="shared" si="18"/>
        <v>-0.97762990796296</v>
      </c>
      <c r="I20" s="169">
        <f t="shared" si="19"/>
        <v>-0.444377230892255</v>
      </c>
      <c r="J20" s="170">
        <v>1.72</v>
      </c>
      <c r="K20" s="171">
        <f t="shared" si="20"/>
        <v>-0.48</v>
      </c>
      <c r="L20" s="169">
        <f t="shared" si="21"/>
        <v>-0.218181818181818</v>
      </c>
      <c r="M20" s="172">
        <v>77192</v>
      </c>
      <c r="N20" s="173">
        <f t="shared" si="22"/>
        <v>-37052.16</v>
      </c>
    </row>
    <row r="21" spans="2:14">
      <c r="B21" s="158" t="s">
        <v>72</v>
      </c>
      <c r="C21" s="158" t="s">
        <v>73</v>
      </c>
      <c r="D21" s="162">
        <v>0.5994</v>
      </c>
      <c r="E21" s="160">
        <v>0.702</v>
      </c>
      <c r="F21" s="161">
        <f t="shared" si="17"/>
        <v>0.1026</v>
      </c>
      <c r="G21" s="160">
        <v>0.521177441037037</v>
      </c>
      <c r="H21" s="161">
        <f t="shared" si="18"/>
        <v>-0.078222558962963</v>
      </c>
      <c r="I21" s="169">
        <f t="shared" si="19"/>
        <v>-0.130501433037976</v>
      </c>
      <c r="J21" s="174">
        <v>0.6</v>
      </c>
      <c r="K21" s="171">
        <f t="shared" si="20"/>
        <v>0.000599999999999934</v>
      </c>
      <c r="L21" s="169">
        <f t="shared" si="21"/>
        <v>0.00100100100100089</v>
      </c>
      <c r="M21" s="172">
        <v>0</v>
      </c>
      <c r="N21" s="173">
        <f t="shared" si="22"/>
        <v>0</v>
      </c>
    </row>
    <row r="22" spans="2:14">
      <c r="B22" s="158" t="s">
        <v>76</v>
      </c>
      <c r="C22" s="158" t="s">
        <v>78</v>
      </c>
      <c r="D22" s="162">
        <v>1.2144</v>
      </c>
      <c r="E22" s="160">
        <v>0.936</v>
      </c>
      <c r="F22" s="161">
        <f t="shared" si="17"/>
        <v>-0.2784</v>
      </c>
      <c r="G22" s="160">
        <v>0.981021533833333</v>
      </c>
      <c r="H22" s="161">
        <f t="shared" si="18"/>
        <v>-0.233378466166667</v>
      </c>
      <c r="I22" s="169">
        <f t="shared" si="19"/>
        <v>-0.192175943813132</v>
      </c>
      <c r="J22" s="174">
        <v>1.2</v>
      </c>
      <c r="K22" s="171">
        <f t="shared" si="20"/>
        <v>-0.0144</v>
      </c>
      <c r="L22" s="169">
        <f t="shared" si="21"/>
        <v>-0.0118577075098814</v>
      </c>
      <c r="M22" s="172">
        <v>19220</v>
      </c>
      <c r="N22" s="173">
        <f t="shared" si="22"/>
        <v>-276.767999999999</v>
      </c>
    </row>
    <row r="23" spans="2:14">
      <c r="B23" s="158" t="s">
        <v>80</v>
      </c>
      <c r="C23" s="158" t="s">
        <v>82</v>
      </c>
      <c r="D23" s="162">
        <v>1.16769</v>
      </c>
      <c r="E23" s="160">
        <v>1.014</v>
      </c>
      <c r="F23" s="161">
        <f t="shared" si="17"/>
        <v>-0.15369</v>
      </c>
      <c r="G23" s="160">
        <v>0.981021533833333</v>
      </c>
      <c r="H23" s="161">
        <f t="shared" si="18"/>
        <v>-0.186668466166667</v>
      </c>
      <c r="I23" s="169">
        <f t="shared" si="19"/>
        <v>-0.159861321212537</v>
      </c>
      <c r="J23" s="170">
        <v>1.1</v>
      </c>
      <c r="K23" s="171">
        <f t="shared" si="20"/>
        <v>-0.0676899999999998</v>
      </c>
      <c r="L23" s="169">
        <f t="shared" si="21"/>
        <v>-0.0579691527717115</v>
      </c>
      <c r="M23" s="172">
        <v>16963</v>
      </c>
      <c r="N23" s="173">
        <f t="shared" si="22"/>
        <v>-1148.22547</v>
      </c>
    </row>
    <row r="24" spans="2:14">
      <c r="B24" s="158" t="s">
        <v>83</v>
      </c>
      <c r="C24" s="158" t="s">
        <v>85</v>
      </c>
      <c r="D24" s="162">
        <v>0.13234</v>
      </c>
      <c r="E24" s="160">
        <v>0.04524</v>
      </c>
      <c r="F24" s="161">
        <f t="shared" si="17"/>
        <v>-0.0871</v>
      </c>
      <c r="G24" s="160">
        <v>0.0852315761851852</v>
      </c>
      <c r="H24" s="161">
        <f t="shared" si="18"/>
        <v>-0.0471084238148148</v>
      </c>
      <c r="I24" s="169">
        <f t="shared" si="19"/>
        <v>-0.355965118745767</v>
      </c>
      <c r="J24" s="174">
        <v>0.15</v>
      </c>
      <c r="K24" s="171">
        <f t="shared" si="20"/>
        <v>0.01766</v>
      </c>
      <c r="L24" s="169">
        <f t="shared" si="21"/>
        <v>0.133444158984434</v>
      </c>
      <c r="M24" s="172">
        <v>45258</v>
      </c>
      <c r="N24" s="173">
        <f t="shared" si="22"/>
        <v>799.256279999999</v>
      </c>
    </row>
    <row r="25" spans="2:14">
      <c r="B25" s="163"/>
      <c r="C25" s="163"/>
      <c r="D25" s="164"/>
      <c r="E25" s="163"/>
      <c r="F25" s="163"/>
      <c r="G25" s="163"/>
      <c r="H25" s="163"/>
      <c r="I25" s="175"/>
      <c r="J25" s="163"/>
      <c r="K25" s="176"/>
      <c r="L25" s="175"/>
      <c r="M25" s="173"/>
      <c r="N25" s="173"/>
    </row>
    <row r="26" spans="2:14">
      <c r="B26" s="163" t="s">
        <v>94</v>
      </c>
      <c r="C26" s="163"/>
      <c r="D26" s="164">
        <f>SUM(D15:D25)</f>
        <v>11.1840748654867</v>
      </c>
      <c r="E26" s="163"/>
      <c r="F26" s="163"/>
      <c r="G26" s="163"/>
      <c r="H26" s="164">
        <f>SUM(H15:H25)</f>
        <v>-3.57687024134422</v>
      </c>
      <c r="I26" s="175">
        <f>H26/D26</f>
        <v>-0.319818159692599</v>
      </c>
      <c r="J26" s="163"/>
      <c r="K26" s="176">
        <f>SUM(K15:K25)</f>
        <v>-1.66407486548673</v>
      </c>
      <c r="L26" s="175">
        <f>K26/D26</f>
        <v>-0.148789675096145</v>
      </c>
      <c r="M26" s="173"/>
      <c r="N26" s="177">
        <f>SUM(N15:N25)</f>
        <v>-213866.937057047</v>
      </c>
    </row>
    <row r="27" spans="2:12">
      <c r="B27" s="165" t="s">
        <v>94</v>
      </c>
      <c r="C27" s="165"/>
      <c r="D27" s="166">
        <f>SUM(D16:D26)</f>
        <v>21.2807497309735</v>
      </c>
      <c r="E27" s="165"/>
      <c r="F27" s="165"/>
      <c r="G27" s="165"/>
      <c r="H27" s="166">
        <f>SUM(H16:H26)</f>
        <v>-6.68586685531864</v>
      </c>
      <c r="I27" s="178">
        <f>H27/D27</f>
        <v>-0.314174403620168</v>
      </c>
      <c r="J27" s="165"/>
      <c r="K27" s="166">
        <f>SUM(K16:K26)</f>
        <v>-2.99074973097346</v>
      </c>
      <c r="L27" s="178">
        <f>K27/D27</f>
        <v>-0.140537799127468</v>
      </c>
    </row>
  </sheetData>
  <mergeCells count="46">
    <mergeCell ref="X1:Y1"/>
    <mergeCell ref="AO3:AQ3"/>
    <mergeCell ref="AO5:AQ5"/>
    <mergeCell ref="AO7:AQ7"/>
    <mergeCell ref="AO12:AQ12"/>
    <mergeCell ref="A1:A2"/>
    <mergeCell ref="A3:A7"/>
    <mergeCell ref="A9:A1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Q2"/>
  </mergeCells>
  <conditionalFormatting sqref="B3">
    <cfRule type="duplicateValues" dxfId="0" priority="29"/>
    <cfRule type="duplicateValues" dxfId="0" priority="30"/>
  </conditionalFormatting>
  <conditionalFormatting sqref="B4">
    <cfRule type="duplicateValues" dxfId="0" priority="27"/>
    <cfRule type="duplicateValues" dxfId="0" priority="28"/>
  </conditionalFormatting>
  <conditionalFormatting sqref="B5">
    <cfRule type="duplicateValues" dxfId="0" priority="26"/>
  </conditionalFormatting>
  <conditionalFormatting sqref="B6">
    <cfRule type="duplicateValues" dxfId="0" priority="24"/>
    <cfRule type="duplicateValues" dxfId="0" priority="25"/>
  </conditionalFormatting>
  <conditionalFormatting sqref="B7">
    <cfRule type="duplicateValues" dxfId="0" priority="22"/>
    <cfRule type="duplicateValues" dxfId="0" priority="23"/>
  </conditionalFormatting>
  <conditionalFormatting sqref="B8">
    <cfRule type="duplicateValues" dxfId="0" priority="21"/>
  </conditionalFormatting>
  <conditionalFormatting sqref="E9">
    <cfRule type="duplicateValues" dxfId="0" priority="19"/>
  </conditionalFormatting>
  <conditionalFormatting sqref="B15:B24">
    <cfRule type="duplicateValues" dxfId="0" priority="4"/>
    <cfRule type="duplicateValues" dxfId="0" priority="3"/>
  </conditionalFormatting>
  <conditionalFormatting sqref="C15:C24">
    <cfRule type="duplicateValues" dxfId="0" priority="2"/>
    <cfRule type="duplicateValues" dxfId="0" priority="1"/>
  </conditionalFormatting>
  <conditionalFormatting sqref="E10:E12">
    <cfRule type="duplicateValues" dxfId="0" priority="20"/>
  </conditionalFormatting>
  <pageMargins left="0.75" right="0.75" top="1" bottom="1" header="0.511805555555556" footer="0.511805555555556"/>
  <pageSetup paperSize="9" scale="75" fitToWidth="0" orientation="landscape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A2" workbookViewId="0">
      <selection activeCell="AF15" sqref="AF15"/>
    </sheetView>
  </sheetViews>
  <sheetFormatPr defaultColWidth="9" defaultRowHeight="15.75"/>
  <sheetData>
    <row r="1" spans="1:35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7" t="s">
        <v>8</v>
      </c>
      <c r="J1" s="38" t="s">
        <v>9</v>
      </c>
      <c r="K1" s="37" t="s">
        <v>10</v>
      </c>
      <c r="L1" s="145" t="s">
        <v>11</v>
      </c>
      <c r="M1" s="39" t="s">
        <v>12</v>
      </c>
      <c r="N1" s="40" t="s">
        <v>13</v>
      </c>
      <c r="O1" s="41" t="s">
        <v>14</v>
      </c>
      <c r="P1" s="41" t="s">
        <v>15</v>
      </c>
      <c r="Q1" s="56" t="s">
        <v>16</v>
      </c>
      <c r="R1" s="57" t="s">
        <v>17</v>
      </c>
      <c r="S1" s="58" t="s">
        <v>18</v>
      </c>
      <c r="T1" s="3" t="s">
        <v>19</v>
      </c>
      <c r="U1" s="59" t="s">
        <v>20</v>
      </c>
      <c r="V1" s="59" t="s">
        <v>21</v>
      </c>
      <c r="W1" s="58" t="s">
        <v>22</v>
      </c>
      <c r="X1" s="37" t="s">
        <v>23</v>
      </c>
      <c r="Y1" s="37"/>
      <c r="Z1" s="40" t="s">
        <v>24</v>
      </c>
      <c r="AA1" s="73" t="s">
        <v>25</v>
      </c>
      <c r="AB1" s="73" t="s">
        <v>26</v>
      </c>
      <c r="AC1" s="73" t="s">
        <v>27</v>
      </c>
      <c r="AD1" s="73" t="s">
        <v>28</v>
      </c>
      <c r="AE1" s="74" t="s">
        <v>29</v>
      </c>
      <c r="AF1" s="75" t="s">
        <v>31</v>
      </c>
      <c r="AG1" s="150" t="s">
        <v>33</v>
      </c>
      <c r="AH1" s="87" t="s">
        <v>34</v>
      </c>
      <c r="AI1" s="16" t="s">
        <v>35</v>
      </c>
    </row>
    <row r="2" ht="37" customHeight="1" spans="1:35">
      <c r="A2" s="7"/>
      <c r="B2" s="8"/>
      <c r="C2" s="9"/>
      <c r="D2" s="8"/>
      <c r="E2" s="8"/>
      <c r="F2" s="10"/>
      <c r="G2" s="11"/>
      <c r="H2" s="11"/>
      <c r="I2" s="42"/>
      <c r="J2" s="43"/>
      <c r="K2" s="42"/>
      <c r="L2" s="146"/>
      <c r="M2" s="44"/>
      <c r="N2" s="45"/>
      <c r="O2" s="46"/>
      <c r="P2" s="46"/>
      <c r="Q2" s="56"/>
      <c r="R2" s="57"/>
      <c r="S2" s="60"/>
      <c r="T2" s="8"/>
      <c r="U2" s="61"/>
      <c r="V2" s="61"/>
      <c r="W2" s="60"/>
      <c r="X2" s="42" t="s">
        <v>39</v>
      </c>
      <c r="Y2" s="42" t="s">
        <v>40</v>
      </c>
      <c r="Z2" s="45"/>
      <c r="AA2" s="76"/>
      <c r="AB2" s="76"/>
      <c r="AC2" s="76"/>
      <c r="AD2" s="76"/>
      <c r="AE2" s="74"/>
      <c r="AF2" s="77"/>
      <c r="AG2" s="151"/>
      <c r="AH2" s="90"/>
      <c r="AI2" s="16"/>
    </row>
    <row r="3" ht="27" spans="1:35">
      <c r="A3" s="12" t="s">
        <v>41</v>
      </c>
      <c r="B3" s="13" t="s">
        <v>42</v>
      </c>
      <c r="C3" s="14" t="s">
        <v>43</v>
      </c>
      <c r="D3" s="15" t="s">
        <v>44</v>
      </c>
      <c r="E3" s="16"/>
      <c r="F3" s="17">
        <v>1</v>
      </c>
      <c r="G3" s="18">
        <v>0.0205</v>
      </c>
      <c r="H3" s="141">
        <f>1.05*G3</f>
        <v>0.021525</v>
      </c>
      <c r="I3" s="17">
        <v>2</v>
      </c>
      <c r="J3" s="51">
        <v>24.77</v>
      </c>
      <c r="K3" s="51">
        <v>4</v>
      </c>
      <c r="L3" s="147">
        <v>45</v>
      </c>
      <c r="M3" s="17">
        <v>1</v>
      </c>
      <c r="N3" s="49" t="s">
        <v>95</v>
      </c>
      <c r="O3" s="49">
        <v>38.9</v>
      </c>
      <c r="P3" s="50">
        <v>4.655</v>
      </c>
      <c r="Q3" s="62">
        <v>0.05</v>
      </c>
      <c r="R3" s="63">
        <f t="shared" ref="R3:R12" si="0">Q3*H3</f>
        <v>0.00107625</v>
      </c>
      <c r="S3" s="124">
        <f t="shared" ref="S3:S12" si="1">R3*12</f>
        <v>0.012915</v>
      </c>
      <c r="T3" s="65" t="s">
        <v>53</v>
      </c>
      <c r="U3" s="17">
        <f t="shared" ref="U3:U12" si="2">12*3600/L3</f>
        <v>960</v>
      </c>
      <c r="V3" s="16">
        <v>2</v>
      </c>
      <c r="W3" s="66">
        <f t="shared" ref="W3:W6" si="3">H3*J3*1.05</f>
        <v>0.5598329625</v>
      </c>
      <c r="X3" s="67">
        <f t="shared" ref="X3:X12" si="4">(12+K3)*0.8*P3/(U3*V3)</f>
        <v>0.0310333333333333</v>
      </c>
      <c r="Y3" s="67">
        <f t="shared" ref="Y3:Y12" si="5">0.45*12*0.8*O3/(U3*V3)</f>
        <v>0.087525</v>
      </c>
      <c r="Z3" s="78">
        <v>1</v>
      </c>
      <c r="AA3" s="67">
        <f t="shared" ref="AA3:AA12" si="6">12*18*Z3/(U3*V3)</f>
        <v>0.1125</v>
      </c>
      <c r="AB3" s="67">
        <f t="shared" ref="AB3:AB12" si="7">S3/(U3*V3)</f>
        <v>6.7265625e-6</v>
      </c>
      <c r="AC3" s="67"/>
      <c r="AD3" s="67">
        <f t="shared" ref="AD3:AD12" si="8">W3+X3+Y3+AA3+AB3+AC3</f>
        <v>0.790898022395834</v>
      </c>
      <c r="AE3" s="79">
        <f t="shared" ref="AE3:AE12" si="9">AD3*1.15</f>
        <v>0.909532725755208</v>
      </c>
      <c r="AF3" s="80">
        <v>1.0874</v>
      </c>
      <c r="AG3" s="152">
        <f t="shared" ref="AG3:AG12" si="10">(AF3-AE3)/AF3</f>
        <v>0.163571155273856</v>
      </c>
      <c r="AH3" s="91" t="s">
        <v>47</v>
      </c>
      <c r="AI3" s="92">
        <f t="shared" ref="AI3:AI12" si="11">AE3/W3</f>
        <v>1.62465018439354</v>
      </c>
    </row>
    <row r="4" ht="27" spans="1:35">
      <c r="A4" s="142"/>
      <c r="B4" s="13" t="s">
        <v>49</v>
      </c>
      <c r="C4" s="14" t="s">
        <v>50</v>
      </c>
      <c r="D4" s="15" t="s">
        <v>51</v>
      </c>
      <c r="E4" s="16"/>
      <c r="F4" s="17">
        <v>2</v>
      </c>
      <c r="G4" s="20">
        <v>0.032</v>
      </c>
      <c r="H4" s="18">
        <f t="shared" ref="H4:H8" si="12">1.04*G4</f>
        <v>0.03328</v>
      </c>
      <c r="I4" s="17">
        <v>4</v>
      </c>
      <c r="J4" s="51">
        <v>24.77</v>
      </c>
      <c r="K4" s="51">
        <v>4</v>
      </c>
      <c r="L4" s="147">
        <v>40</v>
      </c>
      <c r="M4" s="17">
        <v>1</v>
      </c>
      <c r="N4" s="49" t="s">
        <v>52</v>
      </c>
      <c r="O4" s="49">
        <v>32.75</v>
      </c>
      <c r="P4" s="50">
        <v>4.655</v>
      </c>
      <c r="Q4" s="62">
        <v>0.04</v>
      </c>
      <c r="R4" s="63">
        <f t="shared" si="0"/>
        <v>0.0013312</v>
      </c>
      <c r="S4" s="124">
        <f t="shared" si="1"/>
        <v>0.0159744</v>
      </c>
      <c r="T4" s="65" t="s">
        <v>53</v>
      </c>
      <c r="U4" s="17">
        <f t="shared" si="2"/>
        <v>1080</v>
      </c>
      <c r="V4" s="16">
        <v>4</v>
      </c>
      <c r="W4" s="66">
        <f t="shared" si="3"/>
        <v>0.86556288</v>
      </c>
      <c r="X4" s="67">
        <f t="shared" si="4"/>
        <v>0.0137925925925926</v>
      </c>
      <c r="Y4" s="67">
        <f t="shared" si="5"/>
        <v>0.03275</v>
      </c>
      <c r="Z4" s="78">
        <v>1</v>
      </c>
      <c r="AA4" s="67">
        <f t="shared" si="6"/>
        <v>0.05</v>
      </c>
      <c r="AB4" s="67">
        <f t="shared" si="7"/>
        <v>3.69777777777778e-6</v>
      </c>
      <c r="AC4" s="67"/>
      <c r="AD4" s="67">
        <f t="shared" si="8"/>
        <v>0.962109170370371</v>
      </c>
      <c r="AE4" s="79">
        <f t="shared" si="9"/>
        <v>1.10642554592593</v>
      </c>
      <c r="AF4" s="81">
        <v>1.841575</v>
      </c>
      <c r="AG4" s="152">
        <f t="shared" si="10"/>
        <v>0.399196043644203</v>
      </c>
      <c r="AH4" s="91" t="s">
        <v>47</v>
      </c>
      <c r="AI4" s="92">
        <f t="shared" si="11"/>
        <v>1.27827286900973</v>
      </c>
    </row>
    <row r="5" ht="39" customHeight="1" spans="1:35">
      <c r="A5" s="142"/>
      <c r="B5" s="13" t="s">
        <v>54</v>
      </c>
      <c r="C5" s="21" t="s">
        <v>54</v>
      </c>
      <c r="D5" s="15" t="s">
        <v>55</v>
      </c>
      <c r="E5" s="16"/>
      <c r="F5" s="17">
        <v>1</v>
      </c>
      <c r="G5" s="20">
        <v>0.0015</v>
      </c>
      <c r="H5" s="141">
        <f>1.07*G5</f>
        <v>0.001605</v>
      </c>
      <c r="I5" s="17">
        <v>8</v>
      </c>
      <c r="J5" s="51">
        <v>30.97</v>
      </c>
      <c r="K5" s="51">
        <v>4</v>
      </c>
      <c r="L5" s="147">
        <v>35</v>
      </c>
      <c r="M5" s="17">
        <v>1</v>
      </c>
      <c r="N5" s="49" t="s">
        <v>45</v>
      </c>
      <c r="O5" s="49">
        <v>22.75</v>
      </c>
      <c r="P5" s="50">
        <v>4.655</v>
      </c>
      <c r="Q5" s="62">
        <v>0.07</v>
      </c>
      <c r="R5" s="63">
        <f t="shared" si="0"/>
        <v>0.00011235</v>
      </c>
      <c r="S5" s="124">
        <f t="shared" si="1"/>
        <v>0.0013482</v>
      </c>
      <c r="T5" s="65" t="s">
        <v>56</v>
      </c>
      <c r="U5" s="17">
        <f t="shared" si="2"/>
        <v>1234.28571428571</v>
      </c>
      <c r="V5" s="16">
        <v>8</v>
      </c>
      <c r="W5" s="66">
        <f t="shared" si="3"/>
        <v>0.0521921925</v>
      </c>
      <c r="X5" s="67">
        <f t="shared" si="4"/>
        <v>0.00603425925925926</v>
      </c>
      <c r="Y5" s="67">
        <f t="shared" si="5"/>
        <v>0.009953125</v>
      </c>
      <c r="Z5" s="78">
        <v>1</v>
      </c>
      <c r="AA5" s="67">
        <f t="shared" si="6"/>
        <v>0.021875</v>
      </c>
      <c r="AB5" s="67">
        <f t="shared" si="7"/>
        <v>1.36536458333333e-7</v>
      </c>
      <c r="AC5" s="67"/>
      <c r="AD5" s="67">
        <f t="shared" si="8"/>
        <v>0.0900547132957176</v>
      </c>
      <c r="AE5" s="79">
        <f t="shared" si="9"/>
        <v>0.103562920290075</v>
      </c>
      <c r="AF5" s="80">
        <v>0.1062</v>
      </c>
      <c r="AG5" s="152">
        <f t="shared" si="10"/>
        <v>0.0248312590388397</v>
      </c>
      <c r="AH5" s="91" t="s">
        <v>47</v>
      </c>
      <c r="AI5" s="92">
        <f t="shared" si="11"/>
        <v>1.98426077406262</v>
      </c>
    </row>
    <row r="6" ht="38.25" spans="1:35">
      <c r="A6" s="142"/>
      <c r="B6" s="13" t="s">
        <v>58</v>
      </c>
      <c r="C6" s="14" t="s">
        <v>59</v>
      </c>
      <c r="D6" s="15" t="s">
        <v>60</v>
      </c>
      <c r="E6" s="16"/>
      <c r="F6" s="17">
        <v>1</v>
      </c>
      <c r="G6" s="20">
        <f>0.0138-0.003*2</f>
        <v>0.0078</v>
      </c>
      <c r="H6" s="18">
        <f t="shared" si="12"/>
        <v>0.008112</v>
      </c>
      <c r="I6" s="17">
        <v>2</v>
      </c>
      <c r="J6" s="51">
        <v>21</v>
      </c>
      <c r="K6" s="51">
        <v>2</v>
      </c>
      <c r="L6" s="147">
        <v>50</v>
      </c>
      <c r="M6" s="17">
        <v>1</v>
      </c>
      <c r="N6" s="49" t="s">
        <v>45</v>
      </c>
      <c r="O6" s="49">
        <v>22.75</v>
      </c>
      <c r="P6" s="50">
        <v>4.655</v>
      </c>
      <c r="Q6" s="62">
        <v>0.04</v>
      </c>
      <c r="R6" s="63">
        <f t="shared" si="0"/>
        <v>0.00032448</v>
      </c>
      <c r="S6" s="124">
        <f t="shared" si="1"/>
        <v>0.00389376</v>
      </c>
      <c r="T6" s="68" t="s">
        <v>61</v>
      </c>
      <c r="U6" s="17">
        <f t="shared" si="2"/>
        <v>864</v>
      </c>
      <c r="V6" s="16">
        <v>2</v>
      </c>
      <c r="W6" s="66">
        <f t="shared" si="3"/>
        <v>0.1788696</v>
      </c>
      <c r="X6" s="67">
        <f t="shared" si="4"/>
        <v>0.0301712962962963</v>
      </c>
      <c r="Y6" s="67">
        <f t="shared" si="5"/>
        <v>0.056875</v>
      </c>
      <c r="Z6" s="78">
        <v>1</v>
      </c>
      <c r="AA6" s="67">
        <f t="shared" si="6"/>
        <v>0.125</v>
      </c>
      <c r="AB6" s="67">
        <f t="shared" si="7"/>
        <v>2.25333333333333e-6</v>
      </c>
      <c r="AC6" s="67">
        <v>0.2</v>
      </c>
      <c r="AD6" s="67">
        <f t="shared" si="8"/>
        <v>0.59091814962963</v>
      </c>
      <c r="AE6" s="79">
        <f>(AD6-AC6)*1.15+AC6*1.05</f>
        <v>0.659555872074074</v>
      </c>
      <c r="AF6" s="80">
        <v>0.7507</v>
      </c>
      <c r="AG6" s="152">
        <f t="shared" si="10"/>
        <v>0.121412185861098</v>
      </c>
      <c r="AH6" s="91" t="s">
        <v>47</v>
      </c>
      <c r="AI6" s="92">
        <f t="shared" si="11"/>
        <v>3.68735588425352</v>
      </c>
    </row>
    <row r="7" ht="67.5" spans="1:35">
      <c r="A7" s="142"/>
      <c r="B7" s="22" t="s">
        <v>62</v>
      </c>
      <c r="C7" s="23" t="s">
        <v>63</v>
      </c>
      <c r="D7" s="23" t="s">
        <v>64</v>
      </c>
      <c r="E7" s="23"/>
      <c r="F7" s="17">
        <v>1</v>
      </c>
      <c r="G7" s="24">
        <v>0.03</v>
      </c>
      <c r="H7" s="18">
        <f t="shared" si="12"/>
        <v>0.0312</v>
      </c>
      <c r="I7" s="33">
        <v>2</v>
      </c>
      <c r="J7" s="51">
        <v>30.41</v>
      </c>
      <c r="K7" s="51">
        <v>4</v>
      </c>
      <c r="L7" s="148">
        <v>40</v>
      </c>
      <c r="M7" s="33">
        <v>1</v>
      </c>
      <c r="N7" s="33" t="s">
        <v>65</v>
      </c>
      <c r="O7" s="49">
        <v>38.9</v>
      </c>
      <c r="P7" s="50">
        <v>4.655</v>
      </c>
      <c r="Q7" s="62">
        <v>0.04</v>
      </c>
      <c r="R7" s="63">
        <f t="shared" si="0"/>
        <v>0.001248</v>
      </c>
      <c r="S7" s="124">
        <f t="shared" si="1"/>
        <v>0.014976</v>
      </c>
      <c r="T7" s="69" t="s">
        <v>66</v>
      </c>
      <c r="U7" s="17">
        <f t="shared" si="2"/>
        <v>1080</v>
      </c>
      <c r="V7" s="33">
        <v>2</v>
      </c>
      <c r="W7" s="70">
        <f t="shared" ref="W7:W12" si="13">H7*J7</f>
        <v>0.948792</v>
      </c>
      <c r="X7" s="67">
        <f t="shared" si="4"/>
        <v>0.0275851851851852</v>
      </c>
      <c r="Y7" s="67">
        <f t="shared" si="5"/>
        <v>0.0778</v>
      </c>
      <c r="Z7" s="78">
        <v>1</v>
      </c>
      <c r="AA7" s="67">
        <f t="shared" si="6"/>
        <v>0.1</v>
      </c>
      <c r="AB7" s="67">
        <f t="shared" si="7"/>
        <v>6.93333333333333e-6</v>
      </c>
      <c r="AC7" s="82"/>
      <c r="AD7" s="67">
        <f t="shared" si="8"/>
        <v>1.15418411851852</v>
      </c>
      <c r="AE7" s="79">
        <f t="shared" si="9"/>
        <v>1.3273117362963</v>
      </c>
      <c r="AF7" s="83">
        <v>1.92506986548673</v>
      </c>
      <c r="AG7" s="152">
        <f t="shared" si="10"/>
        <v>0.310512433812005</v>
      </c>
      <c r="AH7" s="91" t="s">
        <v>47</v>
      </c>
      <c r="AI7" s="92">
        <f t="shared" si="11"/>
        <v>1.39894912298617</v>
      </c>
    </row>
    <row r="8" ht="27" spans="1:35">
      <c r="A8" s="143" t="s">
        <v>68</v>
      </c>
      <c r="B8" s="26" t="s">
        <v>69</v>
      </c>
      <c r="C8" s="27" t="s">
        <v>69</v>
      </c>
      <c r="D8" s="28" t="s">
        <v>70</v>
      </c>
      <c r="E8" s="29"/>
      <c r="F8" s="30">
        <v>2</v>
      </c>
      <c r="G8" s="31">
        <v>0.0355</v>
      </c>
      <c r="H8" s="32">
        <f t="shared" si="12"/>
        <v>0.03692</v>
      </c>
      <c r="I8" s="30">
        <v>4</v>
      </c>
      <c r="J8" s="51">
        <v>24.77</v>
      </c>
      <c r="K8" s="51">
        <v>4</v>
      </c>
      <c r="L8" s="149">
        <v>40</v>
      </c>
      <c r="M8" s="30">
        <v>1</v>
      </c>
      <c r="N8" s="53" t="s">
        <v>65</v>
      </c>
      <c r="O8" s="49">
        <v>38.9</v>
      </c>
      <c r="P8" s="50">
        <v>4.655</v>
      </c>
      <c r="Q8" s="62">
        <v>0.04</v>
      </c>
      <c r="R8" s="63">
        <f t="shared" si="0"/>
        <v>0.0014768</v>
      </c>
      <c r="S8" s="124">
        <f t="shared" si="1"/>
        <v>0.0177216</v>
      </c>
      <c r="T8" s="65" t="s">
        <v>53</v>
      </c>
      <c r="U8" s="17">
        <f t="shared" si="2"/>
        <v>1080</v>
      </c>
      <c r="V8" s="29">
        <v>4</v>
      </c>
      <c r="W8" s="71">
        <f>H8*J8*1.05</f>
        <v>0.96023382</v>
      </c>
      <c r="X8" s="67">
        <f t="shared" si="4"/>
        <v>0.0137925925925926</v>
      </c>
      <c r="Y8" s="67">
        <f t="shared" si="5"/>
        <v>0.0389</v>
      </c>
      <c r="Z8" s="78">
        <v>1</v>
      </c>
      <c r="AA8" s="67">
        <f t="shared" si="6"/>
        <v>0.05</v>
      </c>
      <c r="AB8" s="67">
        <f t="shared" si="7"/>
        <v>4.10222222222222e-6</v>
      </c>
      <c r="AC8" s="84"/>
      <c r="AD8" s="67">
        <f t="shared" si="8"/>
        <v>1.06293051481481</v>
      </c>
      <c r="AE8" s="79">
        <f t="shared" si="9"/>
        <v>1.22237009203704</v>
      </c>
      <c r="AF8" s="85">
        <v>2.2</v>
      </c>
      <c r="AG8" s="152">
        <f t="shared" si="10"/>
        <v>0.444377230892256</v>
      </c>
      <c r="AH8" s="91" t="s">
        <v>47</v>
      </c>
      <c r="AI8" s="92">
        <f t="shared" si="11"/>
        <v>1.27299212606054</v>
      </c>
    </row>
    <row r="9" ht="38.25" spans="1:35">
      <c r="A9" s="33" t="s">
        <v>71</v>
      </c>
      <c r="B9" s="15" t="s">
        <v>72</v>
      </c>
      <c r="C9" s="15" t="s">
        <v>72</v>
      </c>
      <c r="D9" s="15" t="s">
        <v>73</v>
      </c>
      <c r="E9" s="34"/>
      <c r="F9" s="17">
        <v>1</v>
      </c>
      <c r="G9" s="144">
        <v>0.0205</v>
      </c>
      <c r="H9" s="36">
        <f t="shared" ref="H9:H12" si="14">G9*1.04</f>
        <v>0.02132</v>
      </c>
      <c r="I9" s="54">
        <v>2</v>
      </c>
      <c r="J9" s="55">
        <v>13.3</v>
      </c>
      <c r="K9" s="33">
        <v>2</v>
      </c>
      <c r="L9" s="148">
        <v>40</v>
      </c>
      <c r="M9" s="30">
        <v>1</v>
      </c>
      <c r="N9" s="33" t="s">
        <v>74</v>
      </c>
      <c r="O9" s="49">
        <v>22.75</v>
      </c>
      <c r="P9" s="50">
        <v>4.655</v>
      </c>
      <c r="Q9" s="62">
        <v>0.04</v>
      </c>
      <c r="R9" s="63">
        <f t="shared" si="0"/>
        <v>0.0008528</v>
      </c>
      <c r="S9" s="124">
        <f t="shared" si="1"/>
        <v>0.0102336</v>
      </c>
      <c r="T9" s="72" t="s">
        <v>75</v>
      </c>
      <c r="U9" s="17">
        <f t="shared" si="2"/>
        <v>1080</v>
      </c>
      <c r="V9" s="33">
        <v>2</v>
      </c>
      <c r="W9" s="70">
        <f t="shared" si="13"/>
        <v>0.283556</v>
      </c>
      <c r="X9" s="67">
        <f t="shared" si="4"/>
        <v>0.024137037037037</v>
      </c>
      <c r="Y9" s="67">
        <f t="shared" si="5"/>
        <v>0.0455</v>
      </c>
      <c r="Z9" s="78">
        <v>1</v>
      </c>
      <c r="AA9" s="67">
        <f t="shared" si="6"/>
        <v>0.1</v>
      </c>
      <c r="AB9" s="67">
        <f t="shared" si="7"/>
        <v>4.73777777777778e-6</v>
      </c>
      <c r="AC9" s="82"/>
      <c r="AD9" s="67">
        <f t="shared" si="8"/>
        <v>0.453197774814815</v>
      </c>
      <c r="AE9" s="79">
        <f t="shared" si="9"/>
        <v>0.521177441037037</v>
      </c>
      <c r="AF9" s="86">
        <v>0.5994</v>
      </c>
      <c r="AG9" s="152">
        <f t="shared" si="10"/>
        <v>0.130501433037976</v>
      </c>
      <c r="AH9" s="91" t="s">
        <v>47</v>
      </c>
      <c r="AI9" s="92">
        <f t="shared" si="11"/>
        <v>1.8380053359373</v>
      </c>
    </row>
    <row r="10" ht="25.5" spans="1:35">
      <c r="A10" s="33"/>
      <c r="B10" s="15" t="s">
        <v>76</v>
      </c>
      <c r="C10" s="15" t="s">
        <v>77</v>
      </c>
      <c r="D10" s="15" t="s">
        <v>78</v>
      </c>
      <c r="E10" s="34"/>
      <c r="F10" s="17">
        <v>1</v>
      </c>
      <c r="G10" s="144">
        <v>0.062</v>
      </c>
      <c r="H10" s="36">
        <f t="shared" si="14"/>
        <v>0.06448</v>
      </c>
      <c r="I10" s="54">
        <v>2</v>
      </c>
      <c r="J10" s="55">
        <v>10.3</v>
      </c>
      <c r="K10" s="33">
        <v>1</v>
      </c>
      <c r="L10" s="148">
        <v>45</v>
      </c>
      <c r="M10" s="30">
        <v>1</v>
      </c>
      <c r="N10" s="33" t="s">
        <v>74</v>
      </c>
      <c r="O10" s="49">
        <v>22.75</v>
      </c>
      <c r="P10" s="50">
        <v>4.655</v>
      </c>
      <c r="Q10" s="62">
        <v>0.04</v>
      </c>
      <c r="R10" s="63">
        <f t="shared" si="0"/>
        <v>0.0025792</v>
      </c>
      <c r="S10" s="124">
        <f t="shared" si="1"/>
        <v>0.0309504</v>
      </c>
      <c r="T10" s="72" t="s">
        <v>79</v>
      </c>
      <c r="U10" s="17">
        <f t="shared" si="2"/>
        <v>960</v>
      </c>
      <c r="V10" s="33">
        <v>2</v>
      </c>
      <c r="W10" s="70">
        <f t="shared" si="13"/>
        <v>0.664144</v>
      </c>
      <c r="X10" s="67">
        <f t="shared" si="4"/>
        <v>0.0252145833333333</v>
      </c>
      <c r="Y10" s="67">
        <f t="shared" si="5"/>
        <v>0.0511875</v>
      </c>
      <c r="Z10" s="78">
        <v>1</v>
      </c>
      <c r="AA10" s="67">
        <f t="shared" si="6"/>
        <v>0.1125</v>
      </c>
      <c r="AB10" s="67">
        <f t="shared" si="7"/>
        <v>1.612e-5</v>
      </c>
      <c r="AC10" s="82"/>
      <c r="AD10" s="67">
        <f t="shared" si="8"/>
        <v>0.853062203333333</v>
      </c>
      <c r="AE10" s="79">
        <f t="shared" si="9"/>
        <v>0.981021533833333</v>
      </c>
      <c r="AF10" s="86">
        <v>1.2144</v>
      </c>
      <c r="AG10" s="152">
        <f t="shared" si="10"/>
        <v>0.192175943813131</v>
      </c>
      <c r="AH10" s="91" t="s">
        <v>47</v>
      </c>
      <c r="AI10" s="92">
        <f t="shared" si="11"/>
        <v>1.47712172937395</v>
      </c>
    </row>
    <row r="11" ht="25.5" spans="1:35">
      <c r="A11" s="33"/>
      <c r="B11" s="15" t="s">
        <v>80</v>
      </c>
      <c r="C11" s="15" t="s">
        <v>81</v>
      </c>
      <c r="D11" s="15" t="s">
        <v>82</v>
      </c>
      <c r="E11" s="34"/>
      <c r="F11" s="17">
        <v>1</v>
      </c>
      <c r="G11" s="144">
        <v>0.062</v>
      </c>
      <c r="H11" s="36">
        <f t="shared" si="14"/>
        <v>0.06448</v>
      </c>
      <c r="I11" s="54">
        <v>2</v>
      </c>
      <c r="J11" s="55">
        <v>10.3</v>
      </c>
      <c r="K11" s="33">
        <v>1</v>
      </c>
      <c r="L11" s="148">
        <v>45</v>
      </c>
      <c r="M11" s="30">
        <v>1</v>
      </c>
      <c r="N11" s="33" t="s">
        <v>74</v>
      </c>
      <c r="O11" s="49">
        <v>22.75</v>
      </c>
      <c r="P11" s="50">
        <v>4.655</v>
      </c>
      <c r="Q11" s="62">
        <v>0.04</v>
      </c>
      <c r="R11" s="63">
        <f t="shared" si="0"/>
        <v>0.0025792</v>
      </c>
      <c r="S11" s="124">
        <f t="shared" si="1"/>
        <v>0.0309504</v>
      </c>
      <c r="T11" s="72" t="s">
        <v>79</v>
      </c>
      <c r="U11" s="17">
        <f t="shared" si="2"/>
        <v>960</v>
      </c>
      <c r="V11" s="33">
        <v>2</v>
      </c>
      <c r="W11" s="70">
        <f t="shared" si="13"/>
        <v>0.664144</v>
      </c>
      <c r="X11" s="67">
        <f t="shared" si="4"/>
        <v>0.0252145833333333</v>
      </c>
      <c r="Y11" s="67">
        <f t="shared" si="5"/>
        <v>0.0511875</v>
      </c>
      <c r="Z11" s="78">
        <v>1</v>
      </c>
      <c r="AA11" s="67">
        <f t="shared" si="6"/>
        <v>0.1125</v>
      </c>
      <c r="AB11" s="67">
        <f t="shared" si="7"/>
        <v>1.612e-5</v>
      </c>
      <c r="AC11" s="82"/>
      <c r="AD11" s="67">
        <f t="shared" si="8"/>
        <v>0.853062203333333</v>
      </c>
      <c r="AE11" s="79">
        <f t="shared" si="9"/>
        <v>0.981021533833333</v>
      </c>
      <c r="AF11" s="86">
        <v>1.16769</v>
      </c>
      <c r="AG11" s="152">
        <f t="shared" si="10"/>
        <v>0.159861321212536</v>
      </c>
      <c r="AH11" s="91" t="s">
        <v>47</v>
      </c>
      <c r="AI11" s="92">
        <f t="shared" si="11"/>
        <v>1.47712172937395</v>
      </c>
    </row>
    <row r="12" ht="25.5" spans="1:35">
      <c r="A12" s="33"/>
      <c r="B12" s="15" t="s">
        <v>83</v>
      </c>
      <c r="C12" s="15" t="s">
        <v>84</v>
      </c>
      <c r="D12" s="15" t="s">
        <v>85</v>
      </c>
      <c r="E12" s="34"/>
      <c r="F12" s="17">
        <v>1</v>
      </c>
      <c r="G12" s="144">
        <v>0.003</v>
      </c>
      <c r="H12" s="36">
        <f t="shared" si="14"/>
        <v>0.00312</v>
      </c>
      <c r="I12" s="54">
        <v>2</v>
      </c>
      <c r="J12" s="55">
        <v>10.3</v>
      </c>
      <c r="K12" s="33">
        <v>1</v>
      </c>
      <c r="L12" s="148">
        <v>40</v>
      </c>
      <c r="M12" s="30">
        <v>1</v>
      </c>
      <c r="N12" s="53" t="s">
        <v>65</v>
      </c>
      <c r="O12" s="49">
        <v>38.9</v>
      </c>
      <c r="P12" s="50">
        <v>4.655</v>
      </c>
      <c r="Q12" s="62">
        <v>0.04</v>
      </c>
      <c r="R12" s="63">
        <f t="shared" si="0"/>
        <v>0.0001248</v>
      </c>
      <c r="S12" s="124">
        <f t="shared" si="1"/>
        <v>0.0014976</v>
      </c>
      <c r="T12" s="72" t="s">
        <v>79</v>
      </c>
      <c r="U12" s="17">
        <f t="shared" si="2"/>
        <v>1080</v>
      </c>
      <c r="V12" s="33">
        <v>2</v>
      </c>
      <c r="W12" s="70">
        <f t="shared" si="13"/>
        <v>0.032136</v>
      </c>
      <c r="X12" s="67">
        <f t="shared" si="4"/>
        <v>0.022412962962963</v>
      </c>
      <c r="Y12" s="67">
        <f t="shared" si="5"/>
        <v>0.0778</v>
      </c>
      <c r="Z12" s="78">
        <v>1</v>
      </c>
      <c r="AA12" s="67">
        <f t="shared" si="6"/>
        <v>0.1</v>
      </c>
      <c r="AB12" s="67">
        <f t="shared" si="7"/>
        <v>6.93333333333334e-7</v>
      </c>
      <c r="AC12" s="82"/>
      <c r="AD12" s="67">
        <f t="shared" si="8"/>
        <v>0.232349656296296</v>
      </c>
      <c r="AE12" s="79">
        <f t="shared" si="9"/>
        <v>0.267202104740741</v>
      </c>
      <c r="AF12" s="86">
        <v>0.13234</v>
      </c>
      <c r="AG12" s="152">
        <f t="shared" si="10"/>
        <v>-1.0190577659116</v>
      </c>
      <c r="AH12" s="91" t="s">
        <v>47</v>
      </c>
      <c r="AI12" s="92">
        <f t="shared" si="11"/>
        <v>8.31472817838999</v>
      </c>
    </row>
  </sheetData>
  <mergeCells count="36">
    <mergeCell ref="X1:Y1"/>
    <mergeCell ref="A1:A2"/>
    <mergeCell ref="A3:A7"/>
    <mergeCell ref="A9:A1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</mergeCells>
  <conditionalFormatting sqref="B3">
    <cfRule type="duplicateValues" dxfId="0" priority="11"/>
    <cfRule type="duplicateValues" dxfId="0" priority="12"/>
  </conditionalFormatting>
  <conditionalFormatting sqref="B4">
    <cfRule type="duplicateValues" dxfId="0" priority="9"/>
    <cfRule type="duplicateValues" dxfId="0" priority="10"/>
  </conditionalFormatting>
  <conditionalFormatting sqref="B5">
    <cfRule type="duplicateValues" dxfId="0" priority="8"/>
  </conditionalFormatting>
  <conditionalFormatting sqref="B6">
    <cfRule type="duplicateValues" dxfId="0" priority="6"/>
    <cfRule type="duplicateValues" dxfId="0" priority="7"/>
  </conditionalFormatting>
  <conditionalFormatting sqref="B7">
    <cfRule type="duplicateValues" dxfId="0" priority="4"/>
    <cfRule type="duplicateValues" dxfId="0" priority="5"/>
  </conditionalFormatting>
  <conditionalFormatting sqref="B8">
    <cfRule type="duplicateValues" dxfId="0" priority="3"/>
  </conditionalFormatting>
  <conditionalFormatting sqref="E9">
    <cfRule type="duplicateValues" dxfId="0" priority="1"/>
  </conditionalFormatting>
  <conditionalFormatting sqref="E10:E1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zoomScale="70" zoomScaleNormal="70" topLeftCell="H10" workbookViewId="0">
      <selection activeCell="L31" sqref="L31"/>
    </sheetView>
  </sheetViews>
  <sheetFormatPr defaultColWidth="9" defaultRowHeight="15.75"/>
  <cols>
    <col min="4" max="4" width="19.3833333333333" customWidth="1"/>
    <col min="18" max="18" width="10.5083333333333" customWidth="1"/>
  </cols>
  <sheetData>
    <row r="1" spans="1:35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7" t="s">
        <v>8</v>
      </c>
      <c r="J1" s="38" t="s">
        <v>9</v>
      </c>
      <c r="K1" s="37" t="s">
        <v>10</v>
      </c>
      <c r="L1" s="37" t="s">
        <v>11</v>
      </c>
      <c r="M1" s="39" t="s">
        <v>12</v>
      </c>
      <c r="N1" s="40" t="s">
        <v>13</v>
      </c>
      <c r="O1" s="41" t="s">
        <v>14</v>
      </c>
      <c r="P1" s="41" t="s">
        <v>15</v>
      </c>
      <c r="Q1" s="56" t="s">
        <v>16</v>
      </c>
      <c r="R1" s="57" t="s">
        <v>17</v>
      </c>
      <c r="S1" s="58" t="s">
        <v>18</v>
      </c>
      <c r="T1" s="3" t="s">
        <v>19</v>
      </c>
      <c r="U1" s="59" t="s">
        <v>20</v>
      </c>
      <c r="V1" s="59" t="s">
        <v>21</v>
      </c>
      <c r="W1" s="58" t="s">
        <v>22</v>
      </c>
      <c r="X1" s="37" t="s">
        <v>23</v>
      </c>
      <c r="Y1" s="37"/>
      <c r="Z1" s="40" t="s">
        <v>24</v>
      </c>
      <c r="AA1" s="73" t="s">
        <v>25</v>
      </c>
      <c r="AB1" s="73" t="s">
        <v>26</v>
      </c>
      <c r="AC1" s="73" t="s">
        <v>27</v>
      </c>
      <c r="AD1" s="73" t="s">
        <v>28</v>
      </c>
      <c r="AE1" s="129" t="s">
        <v>29</v>
      </c>
      <c r="AF1" s="3" t="s">
        <v>31</v>
      </c>
      <c r="AG1" s="87" t="s">
        <v>34</v>
      </c>
      <c r="AH1" s="88" t="s">
        <v>35</v>
      </c>
      <c r="AI1" s="89"/>
    </row>
    <row r="2" ht="16.5" spans="1:35">
      <c r="A2" s="7"/>
      <c r="B2" s="8"/>
      <c r="C2" s="9"/>
      <c r="D2" s="8"/>
      <c r="E2" s="8"/>
      <c r="F2" s="10"/>
      <c r="G2" s="11"/>
      <c r="H2" s="11"/>
      <c r="I2" s="42"/>
      <c r="J2" s="43"/>
      <c r="K2" s="42"/>
      <c r="L2" s="42"/>
      <c r="M2" s="44"/>
      <c r="N2" s="45"/>
      <c r="O2" s="46"/>
      <c r="P2" s="46"/>
      <c r="Q2" s="56"/>
      <c r="R2" s="57"/>
      <c r="S2" s="60"/>
      <c r="T2" s="8"/>
      <c r="U2" s="61"/>
      <c r="V2" s="61"/>
      <c r="W2" s="60"/>
      <c r="X2" s="42" t="s">
        <v>39</v>
      </c>
      <c r="Y2" s="42" t="s">
        <v>40</v>
      </c>
      <c r="Z2" s="45"/>
      <c r="AA2" s="76"/>
      <c r="AB2" s="76"/>
      <c r="AC2" s="76"/>
      <c r="AD2" s="76"/>
      <c r="AE2" s="129"/>
      <c r="AF2" s="8"/>
      <c r="AG2" s="90"/>
      <c r="AH2" s="88"/>
      <c r="AI2" s="89"/>
    </row>
    <row r="3" ht="33" customHeight="1" spans="1:35">
      <c r="A3" s="96" t="s">
        <v>41</v>
      </c>
      <c r="B3" s="97" t="s">
        <v>42</v>
      </c>
      <c r="C3" s="98" t="s">
        <v>43</v>
      </c>
      <c r="D3" s="99" t="s">
        <v>44</v>
      </c>
      <c r="E3" s="88"/>
      <c r="F3" s="100">
        <v>1</v>
      </c>
      <c r="G3" s="101">
        <v>0.0192</v>
      </c>
      <c r="H3" s="101">
        <f t="shared" ref="H3:H6" si="0">1.04*G3</f>
        <v>0.019968</v>
      </c>
      <c r="I3" s="17">
        <v>2</v>
      </c>
      <c r="J3" s="47">
        <v>15</v>
      </c>
      <c r="K3" s="48">
        <v>1</v>
      </c>
      <c r="L3" s="108">
        <v>30</v>
      </c>
      <c r="M3" s="100">
        <v>1</v>
      </c>
      <c r="N3" s="109" t="s">
        <v>95</v>
      </c>
      <c r="O3" s="109">
        <v>38.9</v>
      </c>
      <c r="P3" s="63">
        <v>4.655</v>
      </c>
      <c r="Q3" s="117">
        <v>0.04</v>
      </c>
      <c r="R3" s="63">
        <f t="shared" ref="R3:R6" si="1">Q3*H3</f>
        <v>0.00079872</v>
      </c>
      <c r="S3" s="64">
        <f t="shared" ref="S3:S6" si="2">R3*12</f>
        <v>0.00958464</v>
      </c>
      <c r="T3" s="118" t="s">
        <v>96</v>
      </c>
      <c r="U3" s="100">
        <f t="shared" ref="U3:U6" si="3">12*3600/L3</f>
        <v>1440</v>
      </c>
      <c r="V3" s="119">
        <v>2</v>
      </c>
      <c r="W3" s="120">
        <f t="shared" ref="W3:W6" si="4">H3*J3*1.05</f>
        <v>0.314496</v>
      </c>
      <c r="X3" s="121">
        <f t="shared" ref="X3:X12" si="5">(12+K3)*0.76*P3/(U3*V3)</f>
        <v>0.0159692361111111</v>
      </c>
      <c r="Y3" s="121">
        <f t="shared" ref="Y3:Y12" si="6">0.45*12*0.76*O3/(U3*V3)</f>
        <v>0.0554325</v>
      </c>
      <c r="Z3" s="130">
        <v>1</v>
      </c>
      <c r="AA3" s="121">
        <f t="shared" ref="AA3:AA12" si="7">12*18*Z3/(U3*V3)</f>
        <v>0.075</v>
      </c>
      <c r="AB3" s="121">
        <f t="shared" ref="AB3:AB12" si="8">S3/(U3*V3)</f>
        <v>3.328e-6</v>
      </c>
      <c r="AC3" s="121"/>
      <c r="AD3" s="121">
        <f t="shared" ref="AD3:AD12" si="9">W3+X3+Y3+AA3+AB3+AC3</f>
        <v>0.460901064111111</v>
      </c>
      <c r="AE3" s="131">
        <f t="shared" ref="AE3:AE6" si="10">AD3*1.15</f>
        <v>0.530036223727778</v>
      </c>
      <c r="AF3" s="132">
        <v>1.0874</v>
      </c>
      <c r="AG3" s="139" t="s">
        <v>47</v>
      </c>
      <c r="AH3" s="140">
        <f t="shared" ref="AH3:AH12" si="11">AE3/W3</f>
        <v>1.68535124048566</v>
      </c>
      <c r="AI3" s="89"/>
    </row>
    <row r="4" ht="33" customHeight="1" spans="1:35">
      <c r="A4" s="89"/>
      <c r="B4" s="97" t="s">
        <v>49</v>
      </c>
      <c r="C4" s="98" t="s">
        <v>50</v>
      </c>
      <c r="D4" s="99" t="s">
        <v>51</v>
      </c>
      <c r="E4" s="88"/>
      <c r="F4" s="100">
        <v>2</v>
      </c>
      <c r="G4" s="102">
        <v>0.032</v>
      </c>
      <c r="H4" s="101">
        <f t="shared" si="0"/>
        <v>0.03328</v>
      </c>
      <c r="I4" s="17">
        <v>4</v>
      </c>
      <c r="J4" s="110">
        <v>27.4336283185841</v>
      </c>
      <c r="K4" s="48">
        <v>1</v>
      </c>
      <c r="L4" s="111">
        <v>25</v>
      </c>
      <c r="M4" s="100">
        <v>1</v>
      </c>
      <c r="N4" s="109" t="s">
        <v>52</v>
      </c>
      <c r="O4" s="109">
        <v>32.75</v>
      </c>
      <c r="P4" s="63">
        <v>4.655</v>
      </c>
      <c r="Q4" s="117">
        <v>0.04</v>
      </c>
      <c r="R4" s="63">
        <f t="shared" si="1"/>
        <v>0.0013312</v>
      </c>
      <c r="S4" s="122">
        <f t="shared" si="2"/>
        <v>0.0159744</v>
      </c>
      <c r="T4" s="123" t="s">
        <v>97</v>
      </c>
      <c r="U4" s="100">
        <f t="shared" si="3"/>
        <v>1728</v>
      </c>
      <c r="V4" s="119">
        <v>4</v>
      </c>
      <c r="W4" s="120">
        <f t="shared" si="4"/>
        <v>0.958640707964603</v>
      </c>
      <c r="X4" s="121">
        <f t="shared" si="5"/>
        <v>0.00665384837962963</v>
      </c>
      <c r="Y4" s="121">
        <f t="shared" si="6"/>
        <v>0.0194453125</v>
      </c>
      <c r="Z4" s="130">
        <v>1</v>
      </c>
      <c r="AA4" s="121">
        <f t="shared" si="7"/>
        <v>0.03125</v>
      </c>
      <c r="AB4" s="121">
        <f t="shared" si="8"/>
        <v>2.31111111111111e-6</v>
      </c>
      <c r="AC4" s="121"/>
      <c r="AD4" s="121">
        <f t="shared" si="9"/>
        <v>1.01599217995534</v>
      </c>
      <c r="AE4" s="131">
        <f t="shared" si="10"/>
        <v>1.16839100694865</v>
      </c>
      <c r="AF4" s="133">
        <v>1.841575</v>
      </c>
      <c r="AG4" s="139" t="s">
        <v>47</v>
      </c>
      <c r="AH4" s="140">
        <f t="shared" si="11"/>
        <v>1.21879969965952</v>
      </c>
      <c r="AI4" s="89"/>
    </row>
    <row r="5" ht="33" customHeight="1" spans="1:35">
      <c r="A5" s="89"/>
      <c r="B5" s="97" t="s">
        <v>54</v>
      </c>
      <c r="C5" s="103" t="s">
        <v>54</v>
      </c>
      <c r="D5" s="99" t="s">
        <v>55</v>
      </c>
      <c r="E5" s="88"/>
      <c r="F5" s="100">
        <v>1</v>
      </c>
      <c r="G5" s="104">
        <v>0.0013</v>
      </c>
      <c r="H5" s="101">
        <f t="shared" si="0"/>
        <v>0.001352</v>
      </c>
      <c r="I5" s="17">
        <v>8</v>
      </c>
      <c r="J5" s="110">
        <v>27.4336283185841</v>
      </c>
      <c r="K5" s="48">
        <v>1</v>
      </c>
      <c r="L5" s="108">
        <v>25</v>
      </c>
      <c r="M5" s="100">
        <v>1</v>
      </c>
      <c r="N5" s="109" t="s">
        <v>45</v>
      </c>
      <c r="O5" s="109">
        <v>22.75</v>
      </c>
      <c r="P5" s="63">
        <v>4.655</v>
      </c>
      <c r="Q5" s="117">
        <v>0.04</v>
      </c>
      <c r="R5" s="63">
        <f t="shared" si="1"/>
        <v>5.408e-5</v>
      </c>
      <c r="S5" s="64">
        <f t="shared" si="2"/>
        <v>0.00064896</v>
      </c>
      <c r="T5" s="118" t="s">
        <v>97</v>
      </c>
      <c r="U5" s="100">
        <f t="shared" si="3"/>
        <v>1728</v>
      </c>
      <c r="V5" s="119">
        <v>8</v>
      </c>
      <c r="W5" s="120">
        <f t="shared" si="4"/>
        <v>0.038944778761062</v>
      </c>
      <c r="X5" s="121">
        <f t="shared" si="5"/>
        <v>0.00332692418981482</v>
      </c>
      <c r="Y5" s="121">
        <f t="shared" si="6"/>
        <v>0.00675390625</v>
      </c>
      <c r="Z5" s="130">
        <v>1</v>
      </c>
      <c r="AA5" s="121">
        <f t="shared" si="7"/>
        <v>0.015625</v>
      </c>
      <c r="AB5" s="121">
        <f t="shared" si="8"/>
        <v>4.69444444444444e-8</v>
      </c>
      <c r="AC5" s="121"/>
      <c r="AD5" s="121">
        <f t="shared" si="9"/>
        <v>0.0646506561453212</v>
      </c>
      <c r="AE5" s="134">
        <f t="shared" si="10"/>
        <v>0.0743482545671194</v>
      </c>
      <c r="AF5" s="132">
        <v>0.1062</v>
      </c>
      <c r="AG5" s="139" t="s">
        <v>47</v>
      </c>
      <c r="AH5" s="140">
        <f t="shared" si="11"/>
        <v>1.90906860771423</v>
      </c>
      <c r="AI5" s="89"/>
    </row>
    <row r="6" ht="33" customHeight="1" spans="1:35">
      <c r="A6" s="19"/>
      <c r="B6" s="13" t="s">
        <v>58</v>
      </c>
      <c r="C6" s="14" t="s">
        <v>59</v>
      </c>
      <c r="D6" s="15" t="s">
        <v>60</v>
      </c>
      <c r="E6" s="16"/>
      <c r="F6" s="17">
        <v>1</v>
      </c>
      <c r="G6" s="20">
        <v>0.01</v>
      </c>
      <c r="H6" s="18">
        <f t="shared" si="0"/>
        <v>0.0104</v>
      </c>
      <c r="I6" s="17">
        <v>2</v>
      </c>
      <c r="J6" s="47">
        <v>19.4690265486726</v>
      </c>
      <c r="K6" s="48">
        <v>2</v>
      </c>
      <c r="L6" s="17">
        <v>35</v>
      </c>
      <c r="M6" s="17">
        <v>1</v>
      </c>
      <c r="N6" s="49" t="s">
        <v>45</v>
      </c>
      <c r="O6" s="49">
        <v>22.75</v>
      </c>
      <c r="P6" s="50">
        <v>4.655</v>
      </c>
      <c r="Q6" s="62">
        <v>0.04</v>
      </c>
      <c r="R6" s="50">
        <f t="shared" si="1"/>
        <v>0.000416</v>
      </c>
      <c r="S6" s="124">
        <f t="shared" si="2"/>
        <v>0.004992</v>
      </c>
      <c r="T6" s="68" t="s">
        <v>98</v>
      </c>
      <c r="U6" s="17">
        <f t="shared" si="3"/>
        <v>1234.28571428571</v>
      </c>
      <c r="V6" s="119">
        <v>2</v>
      </c>
      <c r="W6" s="66">
        <f t="shared" si="4"/>
        <v>0.212601769911505</v>
      </c>
      <c r="X6" s="67">
        <f t="shared" si="5"/>
        <v>0.020063912037037</v>
      </c>
      <c r="Y6" s="67">
        <f t="shared" si="6"/>
        <v>0.037821875</v>
      </c>
      <c r="Z6" s="78">
        <v>1</v>
      </c>
      <c r="AA6" s="67">
        <f t="shared" si="7"/>
        <v>0.0875</v>
      </c>
      <c r="AB6" s="67">
        <f t="shared" si="8"/>
        <v>2.02222222222222e-6</v>
      </c>
      <c r="AC6" s="67">
        <v>0.2</v>
      </c>
      <c r="AD6" s="67">
        <f t="shared" si="9"/>
        <v>0.557989579170764</v>
      </c>
      <c r="AE6" s="134">
        <f t="shared" si="10"/>
        <v>0.641688016046379</v>
      </c>
      <c r="AF6" s="65">
        <v>0.7507</v>
      </c>
      <c r="AG6" s="91" t="s">
        <v>47</v>
      </c>
      <c r="AH6" s="92">
        <f t="shared" si="11"/>
        <v>3.01826281273895</v>
      </c>
      <c r="AI6" s="19"/>
    </row>
    <row r="7" ht="33" customHeight="1" spans="1:35">
      <c r="A7" s="19"/>
      <c r="B7" s="22" t="s">
        <v>62</v>
      </c>
      <c r="C7" s="23" t="s">
        <v>63</v>
      </c>
      <c r="D7" s="23" t="s">
        <v>64</v>
      </c>
      <c r="E7" s="23"/>
      <c r="F7" s="23"/>
      <c r="G7" s="24">
        <v>0.03</v>
      </c>
      <c r="H7" s="24">
        <v>0.0312</v>
      </c>
      <c r="I7" s="82"/>
      <c r="J7" s="110">
        <v>27.4336283185841</v>
      </c>
      <c r="K7" s="82"/>
      <c r="L7" s="82"/>
      <c r="M7" s="82"/>
      <c r="N7" s="82"/>
      <c r="O7" s="82"/>
      <c r="P7" s="82"/>
      <c r="Q7" s="82"/>
      <c r="R7" s="82"/>
      <c r="S7" s="82"/>
      <c r="T7" s="69" t="s">
        <v>99</v>
      </c>
      <c r="U7" s="82"/>
      <c r="V7" s="82"/>
      <c r="W7" s="70">
        <f t="shared" ref="W7:W12" si="12">H7*J7</f>
        <v>0.855929203539824</v>
      </c>
      <c r="X7" s="67" t="e">
        <f t="shared" si="5"/>
        <v>#DIV/0!</v>
      </c>
      <c r="Y7" s="67" t="e">
        <f t="shared" si="6"/>
        <v>#DIV/0!</v>
      </c>
      <c r="Z7" s="78">
        <v>2</v>
      </c>
      <c r="AA7" s="67" t="e">
        <f t="shared" si="7"/>
        <v>#DIV/0!</v>
      </c>
      <c r="AB7" s="67" t="e">
        <f t="shared" si="8"/>
        <v>#DIV/0!</v>
      </c>
      <c r="AC7" s="82"/>
      <c r="AD7" s="67" t="e">
        <f t="shared" si="9"/>
        <v>#DIV/0!</v>
      </c>
      <c r="AE7" s="135">
        <f>W7*1.15</f>
        <v>0.984318584070797</v>
      </c>
      <c r="AF7" s="136">
        <v>1.92506986548673</v>
      </c>
      <c r="AG7" s="91" t="s">
        <v>47</v>
      </c>
      <c r="AH7" s="92">
        <f t="shared" si="11"/>
        <v>1.15</v>
      </c>
      <c r="AI7" s="82"/>
    </row>
    <row r="8" ht="33" customHeight="1" spans="1:35">
      <c r="A8" s="25" t="s">
        <v>68</v>
      </c>
      <c r="B8" s="26" t="s">
        <v>69</v>
      </c>
      <c r="C8" s="27" t="s">
        <v>69</v>
      </c>
      <c r="D8" s="28" t="s">
        <v>70</v>
      </c>
      <c r="E8" s="29"/>
      <c r="F8" s="30">
        <v>2</v>
      </c>
      <c r="G8" s="105">
        <v>0.0359</v>
      </c>
      <c r="H8" s="106">
        <f>1.04*G8</f>
        <v>0.037336</v>
      </c>
      <c r="I8" s="30">
        <v>4</v>
      </c>
      <c r="J8" s="112">
        <v>27.4336283185841</v>
      </c>
      <c r="K8" s="48">
        <v>1</v>
      </c>
      <c r="L8" s="113">
        <v>25</v>
      </c>
      <c r="M8" s="30">
        <v>1</v>
      </c>
      <c r="N8" s="114" t="s">
        <v>52</v>
      </c>
      <c r="O8" s="114">
        <v>32.75</v>
      </c>
      <c r="P8" s="115">
        <v>4.655</v>
      </c>
      <c r="Q8" s="125">
        <v>0.04</v>
      </c>
      <c r="R8" s="115">
        <f>Q8*H8</f>
        <v>0.00149344</v>
      </c>
      <c r="S8" s="126">
        <f>R8*12</f>
        <v>0.01792128</v>
      </c>
      <c r="T8" s="127" t="s">
        <v>97</v>
      </c>
      <c r="U8" s="30">
        <f>12*3600/L8</f>
        <v>1728</v>
      </c>
      <c r="V8" s="128">
        <v>4</v>
      </c>
      <c r="W8" s="71">
        <f>H8*J8*1.05</f>
        <v>1.07547504424779</v>
      </c>
      <c r="X8" s="67">
        <f t="shared" si="5"/>
        <v>0.00665384837962963</v>
      </c>
      <c r="Y8" s="67">
        <f t="shared" si="6"/>
        <v>0.0194453125</v>
      </c>
      <c r="Z8" s="78">
        <v>3</v>
      </c>
      <c r="AA8" s="67">
        <f t="shared" si="7"/>
        <v>0.09375</v>
      </c>
      <c r="AB8" s="67">
        <f t="shared" si="8"/>
        <v>2.59277777777778e-6</v>
      </c>
      <c r="AC8" s="84"/>
      <c r="AD8" s="67">
        <f t="shared" si="9"/>
        <v>1.1953267979052</v>
      </c>
      <c r="AE8" s="137">
        <f>AD8*1.2</f>
        <v>1.43439215748624</v>
      </c>
      <c r="AF8" s="138">
        <v>2.2</v>
      </c>
      <c r="AG8" s="91" t="s">
        <v>47</v>
      </c>
      <c r="AH8" s="92">
        <f t="shared" si="11"/>
        <v>1.33372890906035</v>
      </c>
      <c r="AI8" s="94"/>
    </row>
    <row r="9" ht="33" customHeight="1" spans="1:35">
      <c r="A9" s="33" t="s">
        <v>71</v>
      </c>
      <c r="B9" s="15" t="s">
        <v>72</v>
      </c>
      <c r="C9" s="15" t="s">
        <v>72</v>
      </c>
      <c r="D9" s="15" t="s">
        <v>73</v>
      </c>
      <c r="E9" s="34"/>
      <c r="F9" s="107"/>
      <c r="G9" s="35">
        <v>0.025</v>
      </c>
      <c r="H9" s="36">
        <f t="shared" ref="H9:H12" si="13">G9*1.04</f>
        <v>0.026</v>
      </c>
      <c r="I9" s="54"/>
      <c r="J9" s="116">
        <v>18</v>
      </c>
      <c r="K9" s="82"/>
      <c r="L9" s="82"/>
      <c r="M9" s="82"/>
      <c r="N9" s="82"/>
      <c r="O9" s="82"/>
      <c r="P9" s="82"/>
      <c r="Q9" s="82"/>
      <c r="R9" s="82"/>
      <c r="S9" s="82"/>
      <c r="T9" s="72" t="s">
        <v>100</v>
      </c>
      <c r="U9" s="82"/>
      <c r="V9" s="82"/>
      <c r="W9" s="70">
        <f t="shared" si="12"/>
        <v>0.468</v>
      </c>
      <c r="X9" s="67" t="e">
        <f t="shared" si="5"/>
        <v>#DIV/0!</v>
      </c>
      <c r="Y9" s="67" t="e">
        <f t="shared" si="6"/>
        <v>#DIV/0!</v>
      </c>
      <c r="Z9" s="78">
        <v>4</v>
      </c>
      <c r="AA9" s="67" t="e">
        <f t="shared" si="7"/>
        <v>#DIV/0!</v>
      </c>
      <c r="AB9" s="67" t="e">
        <f t="shared" si="8"/>
        <v>#DIV/0!</v>
      </c>
      <c r="AC9" s="82"/>
      <c r="AD9" s="67" t="e">
        <f t="shared" si="9"/>
        <v>#DIV/0!</v>
      </c>
      <c r="AE9" s="135">
        <f t="shared" ref="AE9:AE12" si="14">W9*1.5</f>
        <v>0.702</v>
      </c>
      <c r="AF9" s="24">
        <v>0.5994</v>
      </c>
      <c r="AG9" s="91" t="s">
        <v>47</v>
      </c>
      <c r="AH9" s="92">
        <f t="shared" si="11"/>
        <v>1.5</v>
      </c>
      <c r="AI9" s="95"/>
    </row>
    <row r="10" ht="33" customHeight="1" spans="1:35">
      <c r="A10" s="33"/>
      <c r="B10" s="15" t="s">
        <v>76</v>
      </c>
      <c r="C10" s="15" t="s">
        <v>77</v>
      </c>
      <c r="D10" s="15" t="s">
        <v>78</v>
      </c>
      <c r="E10" s="34"/>
      <c r="F10" s="107"/>
      <c r="G10" s="35">
        <v>0.06</v>
      </c>
      <c r="H10" s="36">
        <f t="shared" si="13"/>
        <v>0.0624</v>
      </c>
      <c r="I10" s="54"/>
      <c r="J10" s="116">
        <v>10</v>
      </c>
      <c r="K10" s="82"/>
      <c r="L10" s="82"/>
      <c r="M10" s="82"/>
      <c r="N10" s="82"/>
      <c r="O10" s="82"/>
      <c r="P10" s="82"/>
      <c r="Q10" s="82"/>
      <c r="R10" s="82"/>
      <c r="S10" s="82"/>
      <c r="T10" s="72" t="s">
        <v>101</v>
      </c>
      <c r="U10" s="82"/>
      <c r="V10" s="82"/>
      <c r="W10" s="70">
        <f t="shared" si="12"/>
        <v>0.624</v>
      </c>
      <c r="X10" s="67" t="e">
        <f t="shared" si="5"/>
        <v>#DIV/0!</v>
      </c>
      <c r="Y10" s="67" t="e">
        <f t="shared" si="6"/>
        <v>#DIV/0!</v>
      </c>
      <c r="Z10" s="78">
        <v>5</v>
      </c>
      <c r="AA10" s="67" t="e">
        <f t="shared" si="7"/>
        <v>#DIV/0!</v>
      </c>
      <c r="AB10" s="67" t="e">
        <f t="shared" si="8"/>
        <v>#DIV/0!</v>
      </c>
      <c r="AC10" s="82"/>
      <c r="AD10" s="67" t="e">
        <f t="shared" si="9"/>
        <v>#DIV/0!</v>
      </c>
      <c r="AE10" s="135">
        <f t="shared" si="14"/>
        <v>0.936</v>
      </c>
      <c r="AF10" s="24">
        <v>1.2144</v>
      </c>
      <c r="AG10" s="91" t="s">
        <v>47</v>
      </c>
      <c r="AH10" s="92">
        <f t="shared" si="11"/>
        <v>1.5</v>
      </c>
      <c r="AI10" s="95"/>
    </row>
    <row r="11" ht="33" customHeight="1" spans="1:35">
      <c r="A11" s="33"/>
      <c r="B11" s="15" t="s">
        <v>80</v>
      </c>
      <c r="C11" s="15" t="s">
        <v>81</v>
      </c>
      <c r="D11" s="15" t="s">
        <v>82</v>
      </c>
      <c r="E11" s="34"/>
      <c r="F11" s="107"/>
      <c r="G11" s="35">
        <v>0.065</v>
      </c>
      <c r="H11" s="36">
        <f t="shared" si="13"/>
        <v>0.0676</v>
      </c>
      <c r="I11" s="54"/>
      <c r="J11" s="116">
        <v>10</v>
      </c>
      <c r="K11" s="82"/>
      <c r="L11" s="82"/>
      <c r="M11" s="82"/>
      <c r="N11" s="82"/>
      <c r="O11" s="82"/>
      <c r="P11" s="82"/>
      <c r="Q11" s="82"/>
      <c r="R11" s="82"/>
      <c r="S11" s="82"/>
      <c r="T11" s="72" t="s">
        <v>101</v>
      </c>
      <c r="U11" s="82"/>
      <c r="V11" s="82"/>
      <c r="W11" s="70">
        <f t="shared" si="12"/>
        <v>0.676</v>
      </c>
      <c r="X11" s="67" t="e">
        <f t="shared" si="5"/>
        <v>#DIV/0!</v>
      </c>
      <c r="Y11" s="67" t="e">
        <f t="shared" si="6"/>
        <v>#DIV/0!</v>
      </c>
      <c r="Z11" s="78">
        <v>6</v>
      </c>
      <c r="AA11" s="67" t="e">
        <f t="shared" si="7"/>
        <v>#DIV/0!</v>
      </c>
      <c r="AB11" s="67" t="e">
        <f t="shared" si="8"/>
        <v>#DIV/0!</v>
      </c>
      <c r="AC11" s="82"/>
      <c r="AD11" s="67" t="e">
        <f t="shared" si="9"/>
        <v>#DIV/0!</v>
      </c>
      <c r="AE11" s="135">
        <f t="shared" si="14"/>
        <v>1.014</v>
      </c>
      <c r="AF11" s="24">
        <v>1.16769</v>
      </c>
      <c r="AG11" s="91" t="s">
        <v>47</v>
      </c>
      <c r="AH11" s="92">
        <f t="shared" si="11"/>
        <v>1.5</v>
      </c>
      <c r="AI11" s="95"/>
    </row>
    <row r="12" ht="33" customHeight="1" spans="1:35">
      <c r="A12" s="33"/>
      <c r="B12" s="15" t="s">
        <v>83</v>
      </c>
      <c r="C12" s="15" t="s">
        <v>84</v>
      </c>
      <c r="D12" s="15" t="s">
        <v>85</v>
      </c>
      <c r="E12" s="34"/>
      <c r="F12" s="107"/>
      <c r="G12" s="35">
        <v>0.0029</v>
      </c>
      <c r="H12" s="36">
        <f t="shared" si="13"/>
        <v>0.003016</v>
      </c>
      <c r="I12" s="54"/>
      <c r="J12" s="116">
        <v>10</v>
      </c>
      <c r="K12" s="82"/>
      <c r="L12" s="82"/>
      <c r="M12" s="82"/>
      <c r="N12" s="82"/>
      <c r="O12" s="82"/>
      <c r="P12" s="82"/>
      <c r="Q12" s="82"/>
      <c r="R12" s="82"/>
      <c r="S12" s="82"/>
      <c r="T12" s="72" t="s">
        <v>101</v>
      </c>
      <c r="U12" s="82"/>
      <c r="V12" s="82"/>
      <c r="W12" s="70">
        <f t="shared" si="12"/>
        <v>0.03016</v>
      </c>
      <c r="X12" s="67" t="e">
        <f t="shared" si="5"/>
        <v>#DIV/0!</v>
      </c>
      <c r="Y12" s="67" t="e">
        <f t="shared" si="6"/>
        <v>#DIV/0!</v>
      </c>
      <c r="Z12" s="78">
        <v>7</v>
      </c>
      <c r="AA12" s="67" t="e">
        <f t="shared" si="7"/>
        <v>#DIV/0!</v>
      </c>
      <c r="AB12" s="67" t="e">
        <f t="shared" si="8"/>
        <v>#DIV/0!</v>
      </c>
      <c r="AC12" s="82"/>
      <c r="AD12" s="67" t="e">
        <f t="shared" si="9"/>
        <v>#DIV/0!</v>
      </c>
      <c r="AE12" s="135">
        <f t="shared" si="14"/>
        <v>0.04524</v>
      </c>
      <c r="AF12" s="24">
        <v>0.13234</v>
      </c>
      <c r="AG12" s="91" t="s">
        <v>47</v>
      </c>
      <c r="AH12" s="92">
        <f t="shared" si="11"/>
        <v>1.5</v>
      </c>
      <c r="AI12" s="82"/>
    </row>
    <row r="13" ht="16.5" spans="1:3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</row>
    <row r="14" spans="1:35">
      <c r="A14" s="2" t="s">
        <v>0</v>
      </c>
      <c r="B14" s="3" t="s">
        <v>1</v>
      </c>
      <c r="C14" s="4" t="s">
        <v>2</v>
      </c>
      <c r="D14" s="3" t="s">
        <v>3</v>
      </c>
      <c r="E14" s="3" t="s">
        <v>4</v>
      </c>
      <c r="F14" s="5" t="s">
        <v>5</v>
      </c>
      <c r="G14" s="6" t="s">
        <v>6</v>
      </c>
      <c r="H14" s="6" t="s">
        <v>7</v>
      </c>
      <c r="I14" s="37" t="s">
        <v>8</v>
      </c>
      <c r="J14" s="38" t="s">
        <v>9</v>
      </c>
      <c r="K14" s="37" t="s">
        <v>10</v>
      </c>
      <c r="L14" s="37" t="s">
        <v>11</v>
      </c>
      <c r="M14" s="39" t="s">
        <v>12</v>
      </c>
      <c r="N14" s="40" t="s">
        <v>13</v>
      </c>
      <c r="O14" s="41" t="s">
        <v>14</v>
      </c>
      <c r="P14" s="41" t="s">
        <v>15</v>
      </c>
      <c r="Q14" s="56" t="s">
        <v>16</v>
      </c>
      <c r="R14" s="57" t="s">
        <v>17</v>
      </c>
      <c r="S14" s="58" t="s">
        <v>18</v>
      </c>
      <c r="T14" s="3" t="s">
        <v>19</v>
      </c>
      <c r="U14" s="59" t="s">
        <v>20</v>
      </c>
      <c r="V14" s="59" t="s">
        <v>21</v>
      </c>
      <c r="W14" s="58" t="s">
        <v>22</v>
      </c>
      <c r="X14" s="37" t="s">
        <v>23</v>
      </c>
      <c r="Y14" s="37"/>
      <c r="Z14" s="40" t="s">
        <v>24</v>
      </c>
      <c r="AA14" s="73" t="s">
        <v>25</v>
      </c>
      <c r="AB14" s="73" t="s">
        <v>26</v>
      </c>
      <c r="AC14" s="73" t="s">
        <v>27</v>
      </c>
      <c r="AD14" s="73" t="s">
        <v>28</v>
      </c>
      <c r="AE14" s="129" t="s">
        <v>29</v>
      </c>
      <c r="AF14" s="3" t="s">
        <v>31</v>
      </c>
      <c r="AG14" s="87" t="s">
        <v>34</v>
      </c>
      <c r="AH14" s="88" t="s">
        <v>35</v>
      </c>
      <c r="AI14" s="89"/>
    </row>
    <row r="15" ht="16.5" spans="1:35">
      <c r="A15" s="7"/>
      <c r="B15" s="8"/>
      <c r="C15" s="9"/>
      <c r="D15" s="8"/>
      <c r="E15" s="8"/>
      <c r="F15" s="10"/>
      <c r="G15" s="11"/>
      <c r="H15" s="11"/>
      <c r="I15" s="42"/>
      <c r="J15" s="43"/>
      <c r="K15" s="42"/>
      <c r="L15" s="42"/>
      <c r="M15" s="44"/>
      <c r="N15" s="45"/>
      <c r="O15" s="46"/>
      <c r="P15" s="46"/>
      <c r="Q15" s="56"/>
      <c r="R15" s="57"/>
      <c r="S15" s="60"/>
      <c r="T15" s="8"/>
      <c r="U15" s="61"/>
      <c r="V15" s="61"/>
      <c r="W15" s="60"/>
      <c r="X15" s="42" t="s">
        <v>39</v>
      </c>
      <c r="Y15" s="42" t="s">
        <v>40</v>
      </c>
      <c r="Z15" s="45"/>
      <c r="AA15" s="76"/>
      <c r="AB15" s="76"/>
      <c r="AC15" s="76"/>
      <c r="AD15" s="76"/>
      <c r="AE15" s="129"/>
      <c r="AF15" s="8"/>
      <c r="AG15" s="90"/>
      <c r="AH15" s="88"/>
      <c r="AI15" s="89"/>
    </row>
    <row r="16" ht="33" customHeight="1" spans="1:35">
      <c r="A16" s="96" t="s">
        <v>41</v>
      </c>
      <c r="B16" s="97" t="s">
        <v>42</v>
      </c>
      <c r="C16" s="98" t="s">
        <v>43</v>
      </c>
      <c r="D16" s="99" t="s">
        <v>44</v>
      </c>
      <c r="E16" s="88"/>
      <c r="F16" s="100">
        <v>1</v>
      </c>
      <c r="G16" s="101">
        <v>0.0192</v>
      </c>
      <c r="H16" s="101">
        <f t="shared" ref="H16:H19" si="15">1.04*G16</f>
        <v>0.019968</v>
      </c>
      <c r="I16" s="17">
        <v>2</v>
      </c>
      <c r="J16" s="47">
        <v>15</v>
      </c>
      <c r="K16" s="48">
        <v>1</v>
      </c>
      <c r="L16" s="108">
        <v>30</v>
      </c>
      <c r="M16" s="100">
        <v>1</v>
      </c>
      <c r="N16" s="109" t="s">
        <v>95</v>
      </c>
      <c r="O16" s="109">
        <v>38.9</v>
      </c>
      <c r="P16" s="63">
        <v>4.655</v>
      </c>
      <c r="Q16" s="117">
        <v>0.04</v>
      </c>
      <c r="R16" s="63">
        <f t="shared" ref="R16:R19" si="16">Q16*H16</f>
        <v>0.00079872</v>
      </c>
      <c r="S16" s="64">
        <f t="shared" ref="S16:S19" si="17">R16*12</f>
        <v>0.00958464</v>
      </c>
      <c r="T16" s="118" t="s">
        <v>96</v>
      </c>
      <c r="U16" s="100">
        <f t="shared" ref="U16:U19" si="18">12*3600/L16</f>
        <v>1440</v>
      </c>
      <c r="V16" s="119">
        <v>2</v>
      </c>
      <c r="W16" s="120">
        <f t="shared" ref="W16:W19" si="19">H16*J16*1.05</f>
        <v>0.314496</v>
      </c>
      <c r="X16" s="121">
        <f t="shared" ref="X16:X25" si="20">(12+K16)*0.76*P16/(U16*V16)</f>
        <v>0.0159692361111111</v>
      </c>
      <c r="Y16" s="121">
        <f t="shared" ref="Y16:Y25" si="21">0.45*12*0.76*O16/(U16*V16)</f>
        <v>0.0554325</v>
      </c>
      <c r="Z16" s="130">
        <v>1</v>
      </c>
      <c r="AA16" s="121">
        <f t="shared" ref="AA16:AA25" si="22">12*18*Z16/(U16*V16)</f>
        <v>0.075</v>
      </c>
      <c r="AB16" s="121">
        <f t="shared" ref="AB16:AB25" si="23">S16/(U16*V16)</f>
        <v>3.328e-6</v>
      </c>
      <c r="AC16" s="121"/>
      <c r="AD16" s="121">
        <f t="shared" ref="AD16:AD25" si="24">W16+X16+Y16+AA16+AB16+AC16</f>
        <v>0.460901064111111</v>
      </c>
      <c r="AE16" s="131">
        <f t="shared" ref="AE16:AE19" si="25">AD16*1.15</f>
        <v>0.530036223727778</v>
      </c>
      <c r="AF16" s="132">
        <v>1.0874</v>
      </c>
      <c r="AG16" s="139" t="s">
        <v>47</v>
      </c>
      <c r="AH16" s="140">
        <f t="shared" ref="AH16:AH25" si="26">AE16/W16</f>
        <v>1.68535124048566</v>
      </c>
      <c r="AI16" s="89"/>
    </row>
    <row r="17" ht="33" customHeight="1" spans="1:35">
      <c r="A17" s="89"/>
      <c r="B17" s="97" t="s">
        <v>49</v>
      </c>
      <c r="C17" s="98" t="s">
        <v>50</v>
      </c>
      <c r="D17" s="99" t="s">
        <v>51</v>
      </c>
      <c r="E17" s="88"/>
      <c r="F17" s="100">
        <v>2</v>
      </c>
      <c r="G17" s="102">
        <v>0.032</v>
      </c>
      <c r="H17" s="101">
        <f t="shared" si="15"/>
        <v>0.03328</v>
      </c>
      <c r="I17" s="17">
        <v>4</v>
      </c>
      <c r="J17" s="110">
        <v>27.4336283185841</v>
      </c>
      <c r="K17" s="48">
        <v>1</v>
      </c>
      <c r="L17" s="111">
        <v>25</v>
      </c>
      <c r="M17" s="100">
        <v>1</v>
      </c>
      <c r="N17" s="109" t="s">
        <v>52</v>
      </c>
      <c r="O17" s="109">
        <v>32.75</v>
      </c>
      <c r="P17" s="63">
        <v>4.655</v>
      </c>
      <c r="Q17" s="117">
        <v>0.04</v>
      </c>
      <c r="R17" s="63">
        <f t="shared" si="16"/>
        <v>0.0013312</v>
      </c>
      <c r="S17" s="122">
        <f t="shared" si="17"/>
        <v>0.0159744</v>
      </c>
      <c r="T17" s="123" t="s">
        <v>97</v>
      </c>
      <c r="U17" s="100">
        <f t="shared" si="18"/>
        <v>1728</v>
      </c>
      <c r="V17" s="119">
        <v>4</v>
      </c>
      <c r="W17" s="120">
        <f t="shared" si="19"/>
        <v>0.958640707964603</v>
      </c>
      <c r="X17" s="121">
        <f t="shared" si="20"/>
        <v>0.00665384837962963</v>
      </c>
      <c r="Y17" s="121">
        <f t="shared" si="21"/>
        <v>0.0194453125</v>
      </c>
      <c r="Z17" s="130">
        <v>1</v>
      </c>
      <c r="AA17" s="121">
        <f t="shared" si="22"/>
        <v>0.03125</v>
      </c>
      <c r="AB17" s="121">
        <f t="shared" si="23"/>
        <v>2.31111111111111e-6</v>
      </c>
      <c r="AC17" s="121"/>
      <c r="AD17" s="121">
        <f t="shared" si="24"/>
        <v>1.01599217995534</v>
      </c>
      <c r="AE17" s="131">
        <f t="shared" si="25"/>
        <v>1.16839100694865</v>
      </c>
      <c r="AF17" s="133">
        <v>1.841575</v>
      </c>
      <c r="AG17" s="139" t="s">
        <v>47</v>
      </c>
      <c r="AH17" s="140">
        <f t="shared" si="26"/>
        <v>1.21879969965952</v>
      </c>
      <c r="AI17" s="89"/>
    </row>
    <row r="18" ht="33" customHeight="1" spans="1:35">
      <c r="A18" s="89"/>
      <c r="B18" s="97" t="s">
        <v>54</v>
      </c>
      <c r="C18" s="103" t="s">
        <v>54</v>
      </c>
      <c r="D18" s="99" t="s">
        <v>55</v>
      </c>
      <c r="E18" s="88"/>
      <c r="F18" s="100">
        <v>1</v>
      </c>
      <c r="G18" s="104">
        <v>0.0013</v>
      </c>
      <c r="H18" s="101">
        <f t="shared" si="15"/>
        <v>0.001352</v>
      </c>
      <c r="I18" s="17">
        <v>8</v>
      </c>
      <c r="J18" s="110">
        <v>27.4336283185841</v>
      </c>
      <c r="K18" s="48">
        <v>1</v>
      </c>
      <c r="L18" s="108">
        <v>25</v>
      </c>
      <c r="M18" s="100">
        <v>1</v>
      </c>
      <c r="N18" s="109" t="s">
        <v>45</v>
      </c>
      <c r="O18" s="109">
        <v>22.75</v>
      </c>
      <c r="P18" s="63">
        <v>4.655</v>
      </c>
      <c r="Q18" s="117">
        <v>0.04</v>
      </c>
      <c r="R18" s="63">
        <f t="shared" si="16"/>
        <v>5.408e-5</v>
      </c>
      <c r="S18" s="64">
        <f t="shared" si="17"/>
        <v>0.00064896</v>
      </c>
      <c r="T18" s="118" t="s">
        <v>97</v>
      </c>
      <c r="U18" s="100">
        <f t="shared" si="18"/>
        <v>1728</v>
      </c>
      <c r="V18" s="119">
        <v>8</v>
      </c>
      <c r="W18" s="120">
        <f t="shared" si="19"/>
        <v>0.038944778761062</v>
      </c>
      <c r="X18" s="121">
        <f t="shared" si="20"/>
        <v>0.00332692418981482</v>
      </c>
      <c r="Y18" s="121">
        <f t="shared" si="21"/>
        <v>0.00675390625</v>
      </c>
      <c r="Z18" s="130">
        <v>1</v>
      </c>
      <c r="AA18" s="121">
        <f t="shared" si="22"/>
        <v>0.015625</v>
      </c>
      <c r="AB18" s="121">
        <f t="shared" si="23"/>
        <v>4.69444444444444e-8</v>
      </c>
      <c r="AC18" s="121"/>
      <c r="AD18" s="121">
        <f t="shared" si="24"/>
        <v>0.0646506561453212</v>
      </c>
      <c r="AE18" s="134">
        <f t="shared" si="25"/>
        <v>0.0743482545671194</v>
      </c>
      <c r="AF18" s="132">
        <v>0.1062</v>
      </c>
      <c r="AG18" s="139" t="s">
        <v>47</v>
      </c>
      <c r="AH18" s="140">
        <f t="shared" si="26"/>
        <v>1.90906860771423</v>
      </c>
      <c r="AI18" s="89"/>
    </row>
    <row r="19" ht="33" customHeight="1" spans="1:35">
      <c r="A19" s="19"/>
      <c r="B19" s="13" t="s">
        <v>58</v>
      </c>
      <c r="C19" s="14" t="s">
        <v>59</v>
      </c>
      <c r="D19" s="15" t="s">
        <v>60</v>
      </c>
      <c r="E19" s="16"/>
      <c r="F19" s="17">
        <v>1</v>
      </c>
      <c r="G19" s="20">
        <v>0.01</v>
      </c>
      <c r="H19" s="18">
        <f t="shared" si="15"/>
        <v>0.0104</v>
      </c>
      <c r="I19" s="17">
        <v>2</v>
      </c>
      <c r="J19" s="47">
        <v>19.4690265486726</v>
      </c>
      <c r="K19" s="48">
        <v>2</v>
      </c>
      <c r="L19" s="17">
        <v>35</v>
      </c>
      <c r="M19" s="17">
        <v>1</v>
      </c>
      <c r="N19" s="49" t="s">
        <v>45</v>
      </c>
      <c r="O19" s="49">
        <v>22.75</v>
      </c>
      <c r="P19" s="50">
        <v>4.655</v>
      </c>
      <c r="Q19" s="62">
        <v>0.04</v>
      </c>
      <c r="R19" s="50">
        <f t="shared" si="16"/>
        <v>0.000416</v>
      </c>
      <c r="S19" s="124">
        <f t="shared" si="17"/>
        <v>0.004992</v>
      </c>
      <c r="T19" s="68" t="s">
        <v>98</v>
      </c>
      <c r="U19" s="17">
        <f t="shared" si="18"/>
        <v>1234.28571428571</v>
      </c>
      <c r="V19" s="119">
        <v>2</v>
      </c>
      <c r="W19" s="66">
        <f t="shared" si="19"/>
        <v>0.212601769911505</v>
      </c>
      <c r="X19" s="67">
        <f t="shared" si="20"/>
        <v>0.020063912037037</v>
      </c>
      <c r="Y19" s="67">
        <f t="shared" si="21"/>
        <v>0.037821875</v>
      </c>
      <c r="Z19" s="78">
        <v>1</v>
      </c>
      <c r="AA19" s="67">
        <f t="shared" si="22"/>
        <v>0.0875</v>
      </c>
      <c r="AB19" s="67">
        <f t="shared" si="23"/>
        <v>2.02222222222222e-6</v>
      </c>
      <c r="AC19" s="67">
        <v>0.2</v>
      </c>
      <c r="AD19" s="67">
        <f t="shared" si="24"/>
        <v>0.557989579170764</v>
      </c>
      <c r="AE19" s="134">
        <f t="shared" si="25"/>
        <v>0.641688016046379</v>
      </c>
      <c r="AF19" s="65">
        <v>0.7507</v>
      </c>
      <c r="AG19" s="91" t="s">
        <v>47</v>
      </c>
      <c r="AH19" s="92">
        <f t="shared" si="26"/>
        <v>3.01826281273895</v>
      </c>
      <c r="AI19" s="19"/>
    </row>
    <row r="20" ht="33" customHeight="1" spans="1:35">
      <c r="A20" s="19"/>
      <c r="B20" s="22" t="s">
        <v>62</v>
      </c>
      <c r="C20" s="23" t="s">
        <v>63</v>
      </c>
      <c r="D20" s="23" t="s">
        <v>64</v>
      </c>
      <c r="E20" s="23"/>
      <c r="F20" s="23"/>
      <c r="G20" s="24">
        <v>0.03</v>
      </c>
      <c r="H20" s="24">
        <v>0.0312</v>
      </c>
      <c r="I20" s="82"/>
      <c r="J20" s="110">
        <v>27.4336283185841</v>
      </c>
      <c r="K20" s="82"/>
      <c r="L20" s="82"/>
      <c r="M20" s="82"/>
      <c r="N20" s="82"/>
      <c r="O20" s="82"/>
      <c r="P20" s="82"/>
      <c r="Q20" s="82"/>
      <c r="R20" s="82"/>
      <c r="S20" s="82"/>
      <c r="T20" s="69" t="s">
        <v>99</v>
      </c>
      <c r="U20" s="82"/>
      <c r="V20" s="82"/>
      <c r="W20" s="70">
        <f t="shared" ref="W20:W25" si="27">H20*J20</f>
        <v>0.855929203539824</v>
      </c>
      <c r="X20" s="67" t="e">
        <f t="shared" si="20"/>
        <v>#DIV/0!</v>
      </c>
      <c r="Y20" s="67" t="e">
        <f t="shared" si="21"/>
        <v>#DIV/0!</v>
      </c>
      <c r="Z20" s="78">
        <v>2</v>
      </c>
      <c r="AA20" s="67" t="e">
        <f t="shared" si="22"/>
        <v>#DIV/0!</v>
      </c>
      <c r="AB20" s="67" t="e">
        <f t="shared" si="23"/>
        <v>#DIV/0!</v>
      </c>
      <c r="AC20" s="82"/>
      <c r="AD20" s="67" t="e">
        <f t="shared" si="24"/>
        <v>#DIV/0!</v>
      </c>
      <c r="AE20" s="135">
        <f>W20*1.15</f>
        <v>0.984318584070797</v>
      </c>
      <c r="AF20" s="136">
        <v>1.92506986548673</v>
      </c>
      <c r="AG20" s="91" t="s">
        <v>47</v>
      </c>
      <c r="AH20" s="92">
        <f t="shared" si="26"/>
        <v>1.15</v>
      </c>
      <c r="AI20" s="82"/>
    </row>
    <row r="21" ht="33" customHeight="1" spans="1:35">
      <c r="A21" s="25" t="s">
        <v>68</v>
      </c>
      <c r="B21" s="26" t="s">
        <v>69</v>
      </c>
      <c r="C21" s="27" t="s">
        <v>69</v>
      </c>
      <c r="D21" s="28" t="s">
        <v>70</v>
      </c>
      <c r="E21" s="29"/>
      <c r="F21" s="30">
        <v>2</v>
      </c>
      <c r="G21" s="105">
        <v>0.0359</v>
      </c>
      <c r="H21" s="106">
        <f>1.04*G21</f>
        <v>0.037336</v>
      </c>
      <c r="I21" s="30">
        <v>4</v>
      </c>
      <c r="J21" s="112">
        <v>27.4336283185841</v>
      </c>
      <c r="K21" s="48">
        <v>1</v>
      </c>
      <c r="L21" s="113">
        <v>25</v>
      </c>
      <c r="M21" s="30">
        <v>1</v>
      </c>
      <c r="N21" s="114" t="s">
        <v>52</v>
      </c>
      <c r="O21" s="114">
        <v>32.75</v>
      </c>
      <c r="P21" s="115">
        <v>4.655</v>
      </c>
      <c r="Q21" s="125">
        <v>0.04</v>
      </c>
      <c r="R21" s="115">
        <f>Q21*H21</f>
        <v>0.00149344</v>
      </c>
      <c r="S21" s="126">
        <f>R21*12</f>
        <v>0.01792128</v>
      </c>
      <c r="T21" s="127" t="s">
        <v>97</v>
      </c>
      <c r="U21" s="30">
        <f>12*3600/L21</f>
        <v>1728</v>
      </c>
      <c r="V21" s="128">
        <v>4</v>
      </c>
      <c r="W21" s="71">
        <f>H21*J21*1.05</f>
        <v>1.07547504424779</v>
      </c>
      <c r="X21" s="67">
        <f t="shared" si="20"/>
        <v>0.00665384837962963</v>
      </c>
      <c r="Y21" s="67">
        <f t="shared" si="21"/>
        <v>0.0194453125</v>
      </c>
      <c r="Z21" s="78">
        <v>3</v>
      </c>
      <c r="AA21" s="67">
        <f t="shared" si="22"/>
        <v>0.09375</v>
      </c>
      <c r="AB21" s="67">
        <f t="shared" si="23"/>
        <v>2.59277777777778e-6</v>
      </c>
      <c r="AC21" s="84"/>
      <c r="AD21" s="67">
        <f t="shared" si="24"/>
        <v>1.1953267979052</v>
      </c>
      <c r="AE21" s="137">
        <f>AD21*1.2</f>
        <v>1.43439215748624</v>
      </c>
      <c r="AF21" s="138">
        <v>2.2</v>
      </c>
      <c r="AG21" s="91" t="s">
        <v>47</v>
      </c>
      <c r="AH21" s="92">
        <f t="shared" si="26"/>
        <v>1.33372890906035</v>
      </c>
      <c r="AI21" s="94"/>
    </row>
    <row r="22" ht="33" customHeight="1" spans="1:35">
      <c r="A22" s="33" t="s">
        <v>71</v>
      </c>
      <c r="B22" s="15" t="s">
        <v>72</v>
      </c>
      <c r="C22" s="15" t="s">
        <v>72</v>
      </c>
      <c r="D22" s="15" t="s">
        <v>73</v>
      </c>
      <c r="E22" s="34"/>
      <c r="F22" s="107"/>
      <c r="G22" s="35">
        <v>0.025</v>
      </c>
      <c r="H22" s="36">
        <f t="shared" ref="H22:H25" si="28">G22*1.04</f>
        <v>0.026</v>
      </c>
      <c r="I22" s="54"/>
      <c r="J22" s="116">
        <v>18</v>
      </c>
      <c r="K22" s="82"/>
      <c r="L22" s="82"/>
      <c r="M22" s="82"/>
      <c r="N22" s="82"/>
      <c r="O22" s="82"/>
      <c r="P22" s="82"/>
      <c r="Q22" s="82"/>
      <c r="R22" s="82"/>
      <c r="S22" s="82"/>
      <c r="T22" s="72" t="s">
        <v>100</v>
      </c>
      <c r="U22" s="82"/>
      <c r="V22" s="82"/>
      <c r="W22" s="70">
        <f t="shared" si="27"/>
        <v>0.468</v>
      </c>
      <c r="X22" s="67" t="e">
        <f t="shared" si="20"/>
        <v>#DIV/0!</v>
      </c>
      <c r="Y22" s="67" t="e">
        <f t="shared" si="21"/>
        <v>#DIV/0!</v>
      </c>
      <c r="Z22" s="78">
        <v>4</v>
      </c>
      <c r="AA22" s="67" t="e">
        <f t="shared" si="22"/>
        <v>#DIV/0!</v>
      </c>
      <c r="AB22" s="67" t="e">
        <f t="shared" si="23"/>
        <v>#DIV/0!</v>
      </c>
      <c r="AC22" s="82"/>
      <c r="AD22" s="67" t="e">
        <f t="shared" si="24"/>
        <v>#DIV/0!</v>
      </c>
      <c r="AE22" s="135">
        <f t="shared" ref="AE22:AE25" si="29">W22*1.5</f>
        <v>0.702</v>
      </c>
      <c r="AF22" s="24">
        <v>0.5994</v>
      </c>
      <c r="AG22" s="91" t="s">
        <v>47</v>
      </c>
      <c r="AH22" s="92">
        <f t="shared" si="26"/>
        <v>1.5</v>
      </c>
      <c r="AI22" s="95"/>
    </row>
    <row r="23" ht="33" customHeight="1" spans="1:35">
      <c r="A23" s="33"/>
      <c r="B23" s="15" t="s">
        <v>76</v>
      </c>
      <c r="C23" s="15" t="s">
        <v>77</v>
      </c>
      <c r="D23" s="15" t="s">
        <v>78</v>
      </c>
      <c r="E23" s="34"/>
      <c r="F23" s="107"/>
      <c r="G23" s="35">
        <v>0.06</v>
      </c>
      <c r="H23" s="36">
        <f t="shared" si="28"/>
        <v>0.0624</v>
      </c>
      <c r="I23" s="54"/>
      <c r="J23" s="116">
        <v>10</v>
      </c>
      <c r="K23" s="82"/>
      <c r="L23" s="82"/>
      <c r="M23" s="82"/>
      <c r="N23" s="82"/>
      <c r="O23" s="82"/>
      <c r="P23" s="82"/>
      <c r="Q23" s="82"/>
      <c r="R23" s="82"/>
      <c r="S23" s="82"/>
      <c r="T23" s="72" t="s">
        <v>101</v>
      </c>
      <c r="U23" s="82"/>
      <c r="V23" s="82"/>
      <c r="W23" s="70">
        <f t="shared" si="27"/>
        <v>0.624</v>
      </c>
      <c r="X23" s="67" t="e">
        <f t="shared" si="20"/>
        <v>#DIV/0!</v>
      </c>
      <c r="Y23" s="67" t="e">
        <f t="shared" si="21"/>
        <v>#DIV/0!</v>
      </c>
      <c r="Z23" s="78">
        <v>5</v>
      </c>
      <c r="AA23" s="67" t="e">
        <f t="shared" si="22"/>
        <v>#DIV/0!</v>
      </c>
      <c r="AB23" s="67" t="e">
        <f t="shared" si="23"/>
        <v>#DIV/0!</v>
      </c>
      <c r="AC23" s="82"/>
      <c r="AD23" s="67" t="e">
        <f t="shared" si="24"/>
        <v>#DIV/0!</v>
      </c>
      <c r="AE23" s="135">
        <f t="shared" si="29"/>
        <v>0.936</v>
      </c>
      <c r="AF23" s="24">
        <v>1.2144</v>
      </c>
      <c r="AG23" s="91" t="s">
        <v>47</v>
      </c>
      <c r="AH23" s="92">
        <f t="shared" si="26"/>
        <v>1.5</v>
      </c>
      <c r="AI23" s="95"/>
    </row>
    <row r="24" ht="33" customHeight="1" spans="1:35">
      <c r="A24" s="33"/>
      <c r="B24" s="15" t="s">
        <v>80</v>
      </c>
      <c r="C24" s="15" t="s">
        <v>81</v>
      </c>
      <c r="D24" s="15" t="s">
        <v>82</v>
      </c>
      <c r="E24" s="34"/>
      <c r="F24" s="107"/>
      <c r="G24" s="35">
        <v>0.065</v>
      </c>
      <c r="H24" s="36">
        <f t="shared" si="28"/>
        <v>0.0676</v>
      </c>
      <c r="I24" s="54"/>
      <c r="J24" s="116">
        <v>10</v>
      </c>
      <c r="K24" s="82"/>
      <c r="L24" s="82"/>
      <c r="M24" s="82"/>
      <c r="N24" s="82"/>
      <c r="O24" s="82"/>
      <c r="P24" s="82"/>
      <c r="Q24" s="82"/>
      <c r="R24" s="82"/>
      <c r="S24" s="82"/>
      <c r="T24" s="72" t="s">
        <v>101</v>
      </c>
      <c r="U24" s="82"/>
      <c r="V24" s="82"/>
      <c r="W24" s="70">
        <f t="shared" si="27"/>
        <v>0.676</v>
      </c>
      <c r="X24" s="67" t="e">
        <f t="shared" si="20"/>
        <v>#DIV/0!</v>
      </c>
      <c r="Y24" s="67" t="e">
        <f t="shared" si="21"/>
        <v>#DIV/0!</v>
      </c>
      <c r="Z24" s="78">
        <v>6</v>
      </c>
      <c r="AA24" s="67" t="e">
        <f t="shared" si="22"/>
        <v>#DIV/0!</v>
      </c>
      <c r="AB24" s="67" t="e">
        <f t="shared" si="23"/>
        <v>#DIV/0!</v>
      </c>
      <c r="AC24" s="82"/>
      <c r="AD24" s="67" t="e">
        <f t="shared" si="24"/>
        <v>#DIV/0!</v>
      </c>
      <c r="AE24" s="135">
        <f t="shared" si="29"/>
        <v>1.014</v>
      </c>
      <c r="AF24" s="24">
        <v>1.16769</v>
      </c>
      <c r="AG24" s="91" t="s">
        <v>47</v>
      </c>
      <c r="AH24" s="92">
        <f t="shared" si="26"/>
        <v>1.5</v>
      </c>
      <c r="AI24" s="95"/>
    </row>
    <row r="25" ht="33" customHeight="1" spans="1:35">
      <c r="A25" s="33"/>
      <c r="B25" s="15" t="s">
        <v>83</v>
      </c>
      <c r="C25" s="15" t="s">
        <v>84</v>
      </c>
      <c r="D25" s="15" t="s">
        <v>85</v>
      </c>
      <c r="E25" s="34"/>
      <c r="F25" s="107"/>
      <c r="G25" s="35">
        <v>0.0029</v>
      </c>
      <c r="H25" s="36">
        <f t="shared" si="28"/>
        <v>0.003016</v>
      </c>
      <c r="I25" s="54"/>
      <c r="J25" s="116">
        <v>10</v>
      </c>
      <c r="K25" s="82"/>
      <c r="L25" s="82"/>
      <c r="M25" s="82"/>
      <c r="N25" s="82"/>
      <c r="O25" s="82"/>
      <c r="P25" s="82"/>
      <c r="Q25" s="82"/>
      <c r="R25" s="82"/>
      <c r="S25" s="82"/>
      <c r="T25" s="72" t="s">
        <v>101</v>
      </c>
      <c r="U25" s="82"/>
      <c r="V25" s="82"/>
      <c r="W25" s="70">
        <f t="shared" si="27"/>
        <v>0.03016</v>
      </c>
      <c r="X25" s="67" t="e">
        <f t="shared" si="20"/>
        <v>#DIV/0!</v>
      </c>
      <c r="Y25" s="67" t="e">
        <f t="shared" si="21"/>
        <v>#DIV/0!</v>
      </c>
      <c r="Z25" s="78">
        <v>7</v>
      </c>
      <c r="AA25" s="67" t="e">
        <f t="shared" si="22"/>
        <v>#DIV/0!</v>
      </c>
      <c r="AB25" s="67" t="e">
        <f t="shared" si="23"/>
        <v>#DIV/0!</v>
      </c>
      <c r="AC25" s="82"/>
      <c r="AD25" s="67" t="e">
        <f t="shared" si="24"/>
        <v>#DIV/0!</v>
      </c>
      <c r="AE25" s="135">
        <f t="shared" si="29"/>
        <v>0.04524</v>
      </c>
      <c r="AF25" s="24">
        <v>0.13234</v>
      </c>
      <c r="AG25" s="91" t="s">
        <v>47</v>
      </c>
      <c r="AH25" s="92">
        <f t="shared" si="26"/>
        <v>1.5</v>
      </c>
      <c r="AI25" s="82"/>
    </row>
  </sheetData>
  <mergeCells count="70">
    <mergeCell ref="X1:Y1"/>
    <mergeCell ref="X14:Y14"/>
    <mergeCell ref="A1:A2"/>
    <mergeCell ref="A3:A7"/>
    <mergeCell ref="A9:A12"/>
    <mergeCell ref="A14:A15"/>
    <mergeCell ref="A16:A20"/>
    <mergeCell ref="A22:A25"/>
    <mergeCell ref="B1:B2"/>
    <mergeCell ref="B14:B15"/>
    <mergeCell ref="C1:C2"/>
    <mergeCell ref="C14:C15"/>
    <mergeCell ref="D1:D2"/>
    <mergeCell ref="D14:D15"/>
    <mergeCell ref="E1:E2"/>
    <mergeCell ref="E14:E15"/>
    <mergeCell ref="F1:F2"/>
    <mergeCell ref="F14:F15"/>
    <mergeCell ref="G1:G2"/>
    <mergeCell ref="G14:G15"/>
    <mergeCell ref="H1:H2"/>
    <mergeCell ref="H14:H15"/>
    <mergeCell ref="I1:I2"/>
    <mergeCell ref="I14:I15"/>
    <mergeCell ref="J1:J2"/>
    <mergeCell ref="J14:J15"/>
    <mergeCell ref="K1:K2"/>
    <mergeCell ref="K14:K15"/>
    <mergeCell ref="L1:L2"/>
    <mergeCell ref="L14:L15"/>
    <mergeCell ref="M1:M2"/>
    <mergeCell ref="M14:M15"/>
    <mergeCell ref="N1:N2"/>
    <mergeCell ref="N14:N15"/>
    <mergeCell ref="O1:O2"/>
    <mergeCell ref="O14:O15"/>
    <mergeCell ref="P1:P2"/>
    <mergeCell ref="P14:P15"/>
    <mergeCell ref="Q1:Q2"/>
    <mergeCell ref="Q14:Q15"/>
    <mergeCell ref="R1:R2"/>
    <mergeCell ref="R14:R15"/>
    <mergeCell ref="S1:S2"/>
    <mergeCell ref="S14:S15"/>
    <mergeCell ref="T1:T2"/>
    <mergeCell ref="T14:T15"/>
    <mergeCell ref="U1:U2"/>
    <mergeCell ref="U14:U15"/>
    <mergeCell ref="V1:V2"/>
    <mergeCell ref="V14:V15"/>
    <mergeCell ref="W1:W2"/>
    <mergeCell ref="W14:W15"/>
    <mergeCell ref="Z1:Z2"/>
    <mergeCell ref="Z14:Z15"/>
    <mergeCell ref="AA1:AA2"/>
    <mergeCell ref="AA14:AA15"/>
    <mergeCell ref="AB1:AB2"/>
    <mergeCell ref="AB14:AB15"/>
    <mergeCell ref="AC1:AC2"/>
    <mergeCell ref="AC14:AC15"/>
    <mergeCell ref="AD1:AD2"/>
    <mergeCell ref="AD14:AD15"/>
    <mergeCell ref="AE1:AE2"/>
    <mergeCell ref="AE14:AE15"/>
    <mergeCell ref="AF1:AF2"/>
    <mergeCell ref="AF14:AF15"/>
    <mergeCell ref="AG1:AG2"/>
    <mergeCell ref="AG14:AG15"/>
    <mergeCell ref="AH1:AH2"/>
    <mergeCell ref="AH14:AH15"/>
  </mergeCells>
  <conditionalFormatting sqref="B3">
    <cfRule type="duplicateValues" dxfId="1" priority="23"/>
    <cfRule type="duplicateValues" dxfId="1" priority="24"/>
  </conditionalFormatting>
  <conditionalFormatting sqref="B4">
    <cfRule type="duplicateValues" dxfId="1" priority="21"/>
    <cfRule type="duplicateValues" dxfId="1" priority="22"/>
  </conditionalFormatting>
  <conditionalFormatting sqref="B5">
    <cfRule type="duplicateValues" dxfId="1" priority="20"/>
  </conditionalFormatting>
  <conditionalFormatting sqref="B6">
    <cfRule type="duplicateValues" dxfId="1" priority="18"/>
    <cfRule type="duplicateValues" dxfId="1" priority="19"/>
  </conditionalFormatting>
  <conditionalFormatting sqref="B7">
    <cfRule type="duplicateValues" dxfId="1" priority="16"/>
    <cfRule type="duplicateValues" dxfId="1" priority="17"/>
  </conditionalFormatting>
  <conditionalFormatting sqref="B8">
    <cfRule type="duplicateValues" dxfId="1" priority="15"/>
  </conditionalFormatting>
  <conditionalFormatting sqref="E9">
    <cfRule type="duplicateValues" dxfId="1" priority="13"/>
  </conditionalFormatting>
  <conditionalFormatting sqref="B16">
    <cfRule type="duplicateValues" dxfId="1" priority="11"/>
    <cfRule type="duplicateValues" dxfId="1" priority="12"/>
  </conditionalFormatting>
  <conditionalFormatting sqref="B17">
    <cfRule type="duplicateValues" dxfId="1" priority="9"/>
    <cfRule type="duplicateValues" dxfId="1" priority="10"/>
  </conditionalFormatting>
  <conditionalFormatting sqref="B18">
    <cfRule type="duplicateValues" dxfId="1" priority="8"/>
  </conditionalFormatting>
  <conditionalFormatting sqref="B19">
    <cfRule type="duplicateValues" dxfId="1" priority="6"/>
    <cfRule type="duplicateValues" dxfId="1" priority="7"/>
  </conditionalFormatting>
  <conditionalFormatting sqref="B20">
    <cfRule type="duplicateValues" dxfId="1" priority="4"/>
    <cfRule type="duplicateValues" dxfId="1" priority="5"/>
  </conditionalFormatting>
  <conditionalFormatting sqref="B21">
    <cfRule type="duplicateValues" dxfId="1" priority="3"/>
  </conditionalFormatting>
  <conditionalFormatting sqref="E22">
    <cfRule type="duplicateValues" dxfId="1" priority="1"/>
  </conditionalFormatting>
  <conditionalFormatting sqref="E10:E12">
    <cfRule type="duplicateValues" dxfId="1" priority="14"/>
  </conditionalFormatting>
  <conditionalFormatting sqref="E23:E25">
    <cfRule type="duplicateValues" dxfId="1" priority="2"/>
  </conditionalFormatting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S1" workbookViewId="0">
      <selection activeCell="W12" sqref="W12"/>
    </sheetView>
  </sheetViews>
  <sheetFormatPr defaultColWidth="9" defaultRowHeight="15.75"/>
  <sheetData>
    <row r="1" spans="1:35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7" t="s">
        <v>8</v>
      </c>
      <c r="J1" s="38" t="s">
        <v>9</v>
      </c>
      <c r="K1" s="37" t="s">
        <v>10</v>
      </c>
      <c r="L1" s="37" t="s">
        <v>11</v>
      </c>
      <c r="M1" s="39" t="s">
        <v>12</v>
      </c>
      <c r="N1" s="40" t="s">
        <v>13</v>
      </c>
      <c r="O1" s="41" t="s">
        <v>14</v>
      </c>
      <c r="P1" s="41" t="s">
        <v>15</v>
      </c>
      <c r="Q1" s="56" t="s">
        <v>16</v>
      </c>
      <c r="R1" s="57" t="s">
        <v>17</v>
      </c>
      <c r="S1" s="58" t="s">
        <v>18</v>
      </c>
      <c r="T1" s="3" t="s">
        <v>19</v>
      </c>
      <c r="U1" s="59" t="s">
        <v>20</v>
      </c>
      <c r="V1" s="59" t="s">
        <v>21</v>
      </c>
      <c r="W1" s="58" t="s">
        <v>22</v>
      </c>
      <c r="X1" s="37" t="s">
        <v>23</v>
      </c>
      <c r="Y1" s="37"/>
      <c r="Z1" s="40" t="s">
        <v>24</v>
      </c>
      <c r="AA1" s="73" t="s">
        <v>25</v>
      </c>
      <c r="AB1" s="73" t="s">
        <v>26</v>
      </c>
      <c r="AC1" s="73" t="s">
        <v>27</v>
      </c>
      <c r="AD1" s="73" t="s">
        <v>28</v>
      </c>
      <c r="AE1" s="74" t="s">
        <v>29</v>
      </c>
      <c r="AF1" s="75" t="s">
        <v>31</v>
      </c>
      <c r="AG1" s="87" t="s">
        <v>34</v>
      </c>
      <c r="AH1" s="88" t="s">
        <v>35</v>
      </c>
      <c r="AI1" s="89"/>
    </row>
    <row r="2" ht="16.5" spans="1:35">
      <c r="A2" s="7"/>
      <c r="B2" s="8"/>
      <c r="C2" s="9"/>
      <c r="D2" s="8"/>
      <c r="E2" s="8"/>
      <c r="F2" s="10"/>
      <c r="G2" s="11"/>
      <c r="H2" s="11"/>
      <c r="I2" s="42"/>
      <c r="J2" s="43"/>
      <c r="K2" s="42"/>
      <c r="L2" s="42"/>
      <c r="M2" s="44"/>
      <c r="N2" s="45"/>
      <c r="O2" s="46"/>
      <c r="P2" s="46"/>
      <c r="Q2" s="56"/>
      <c r="R2" s="57"/>
      <c r="S2" s="60"/>
      <c r="T2" s="8"/>
      <c r="U2" s="61"/>
      <c r="V2" s="61"/>
      <c r="W2" s="60"/>
      <c r="X2" s="42" t="s">
        <v>39</v>
      </c>
      <c r="Y2" s="42" t="s">
        <v>40</v>
      </c>
      <c r="Z2" s="45"/>
      <c r="AA2" s="76"/>
      <c r="AB2" s="76"/>
      <c r="AC2" s="76"/>
      <c r="AD2" s="76"/>
      <c r="AE2" s="74"/>
      <c r="AF2" s="77"/>
      <c r="AG2" s="90"/>
      <c r="AH2" s="88"/>
      <c r="AI2" s="89"/>
    </row>
    <row r="3" s="1" customFormat="1" ht="33" customHeight="1" spans="1:35">
      <c r="A3" s="12" t="s">
        <v>41</v>
      </c>
      <c r="B3" s="13" t="s">
        <v>42</v>
      </c>
      <c r="C3" s="14" t="s">
        <v>43</v>
      </c>
      <c r="D3" s="15" t="s">
        <v>44</v>
      </c>
      <c r="E3" s="16"/>
      <c r="F3" s="17">
        <v>1</v>
      </c>
      <c r="G3" s="18">
        <v>0.0205</v>
      </c>
      <c r="H3" s="18">
        <f>1.05*G3</f>
        <v>0.021525</v>
      </c>
      <c r="I3" s="17">
        <v>2</v>
      </c>
      <c r="J3" s="47">
        <v>24.77</v>
      </c>
      <c r="K3" s="48">
        <v>4</v>
      </c>
      <c r="L3" s="17">
        <v>45</v>
      </c>
      <c r="M3" s="17">
        <v>1</v>
      </c>
      <c r="N3" s="49" t="s">
        <v>95</v>
      </c>
      <c r="O3" s="49">
        <v>38.9</v>
      </c>
      <c r="P3" s="50">
        <v>4.655</v>
      </c>
      <c r="Q3" s="62">
        <v>0.04</v>
      </c>
      <c r="R3" s="63">
        <f t="shared" ref="R3:R12" si="0">Q3*H3</f>
        <v>0.000861</v>
      </c>
      <c r="S3" s="64">
        <f t="shared" ref="S3:S12" si="1">R3*12</f>
        <v>0.010332</v>
      </c>
      <c r="T3" s="65" t="s">
        <v>53</v>
      </c>
      <c r="U3" s="17">
        <f t="shared" ref="U3:U12" si="2">12*3600/L3</f>
        <v>960</v>
      </c>
      <c r="V3" s="16">
        <v>2</v>
      </c>
      <c r="W3" s="66">
        <f t="shared" ref="W3:W6" si="3">H3*J3*1.05</f>
        <v>0.5598329625</v>
      </c>
      <c r="X3" s="67">
        <f t="shared" ref="X3:X12" si="4">(12+K3)*0.8*P3/(U3*V3)</f>
        <v>0.0310333333333333</v>
      </c>
      <c r="Y3" s="67">
        <f t="shared" ref="Y3:Y12" si="5">0.45*12*0.8*O3/(U3*V3)</f>
        <v>0.087525</v>
      </c>
      <c r="Z3" s="78">
        <v>1</v>
      </c>
      <c r="AA3" s="67">
        <f t="shared" ref="AA3:AA12" si="6">12*18*Z3/(U3*V3)</f>
        <v>0.1125</v>
      </c>
      <c r="AB3" s="67">
        <f t="shared" ref="AB3:AB12" si="7">S3/(U3*V3)</f>
        <v>5.38125e-6</v>
      </c>
      <c r="AC3" s="67"/>
      <c r="AD3" s="67">
        <f t="shared" ref="AD3:AD12" si="8">W3+X3+Y3+AA3+AB3+AC3</f>
        <v>0.790896677083334</v>
      </c>
      <c r="AE3" s="79">
        <f>AD3*1.15</f>
        <v>0.909531178645834</v>
      </c>
      <c r="AF3" s="80">
        <v>1.0874</v>
      </c>
      <c r="AG3" s="91" t="s">
        <v>47</v>
      </c>
      <c r="AH3" s="92">
        <f t="shared" ref="AH3:AH12" si="9">AE3/W3</f>
        <v>1.62464742087392</v>
      </c>
      <c r="AI3" s="93"/>
    </row>
    <row r="4" s="1" customFormat="1" ht="33" customHeight="1" spans="1:35">
      <c r="A4" s="19"/>
      <c r="B4" s="13" t="s">
        <v>49</v>
      </c>
      <c r="C4" s="14" t="s">
        <v>50</v>
      </c>
      <c r="D4" s="15" t="s">
        <v>51</v>
      </c>
      <c r="E4" s="16"/>
      <c r="F4" s="17">
        <v>2</v>
      </c>
      <c r="G4" s="20">
        <v>0.032</v>
      </c>
      <c r="H4" s="18">
        <f t="shared" ref="H4:H8" si="10">1.04*G4</f>
        <v>0.03328</v>
      </c>
      <c r="I4" s="17">
        <v>4</v>
      </c>
      <c r="J4" s="47">
        <v>24.77</v>
      </c>
      <c r="K4" s="48">
        <v>4</v>
      </c>
      <c r="L4" s="17">
        <v>45</v>
      </c>
      <c r="M4" s="17">
        <v>1</v>
      </c>
      <c r="N4" s="49" t="s">
        <v>52</v>
      </c>
      <c r="O4" s="49">
        <v>32.75</v>
      </c>
      <c r="P4" s="50">
        <v>4.655</v>
      </c>
      <c r="Q4" s="62">
        <v>0.04</v>
      </c>
      <c r="R4" s="63">
        <f t="shared" si="0"/>
        <v>0.0013312</v>
      </c>
      <c r="S4" s="64">
        <f t="shared" si="1"/>
        <v>0.0159744</v>
      </c>
      <c r="T4" s="65" t="s">
        <v>53</v>
      </c>
      <c r="U4" s="17">
        <f t="shared" si="2"/>
        <v>960</v>
      </c>
      <c r="V4" s="16">
        <v>4</v>
      </c>
      <c r="W4" s="66">
        <f t="shared" si="3"/>
        <v>0.86556288</v>
      </c>
      <c r="X4" s="67">
        <f t="shared" si="4"/>
        <v>0.0155166666666667</v>
      </c>
      <c r="Y4" s="67">
        <f t="shared" si="5"/>
        <v>0.03684375</v>
      </c>
      <c r="Z4" s="78">
        <v>1</v>
      </c>
      <c r="AA4" s="67">
        <f t="shared" si="6"/>
        <v>0.05625</v>
      </c>
      <c r="AB4" s="67">
        <f t="shared" si="7"/>
        <v>4.16e-6</v>
      </c>
      <c r="AC4" s="67"/>
      <c r="AD4" s="67">
        <f t="shared" si="8"/>
        <v>0.974177456666667</v>
      </c>
      <c r="AE4" s="79">
        <f t="shared" ref="AE4:AE12" si="11">AD4*1.15</f>
        <v>1.12030407516667</v>
      </c>
      <c r="AF4" s="81">
        <v>1.841575</v>
      </c>
      <c r="AG4" s="91" t="s">
        <v>47</v>
      </c>
      <c r="AH4" s="92">
        <f t="shared" si="9"/>
        <v>1.29430697763595</v>
      </c>
      <c r="AI4" s="19"/>
    </row>
    <row r="5" s="1" customFormat="1" ht="33" customHeight="1" spans="1:35">
      <c r="A5" s="19"/>
      <c r="B5" s="13" t="s">
        <v>54</v>
      </c>
      <c r="C5" s="21" t="s">
        <v>54</v>
      </c>
      <c r="D5" s="15" t="s">
        <v>55</v>
      </c>
      <c r="E5" s="16"/>
      <c r="F5" s="17">
        <v>1</v>
      </c>
      <c r="G5" s="20">
        <v>0.0015</v>
      </c>
      <c r="H5" s="18">
        <f>1.07*G5</f>
        <v>0.001605</v>
      </c>
      <c r="I5" s="17">
        <v>8</v>
      </c>
      <c r="J5" s="51">
        <v>30.97</v>
      </c>
      <c r="K5" s="48">
        <v>4</v>
      </c>
      <c r="L5" s="17">
        <v>40</v>
      </c>
      <c r="M5" s="17">
        <v>1</v>
      </c>
      <c r="N5" s="49" t="s">
        <v>45</v>
      </c>
      <c r="O5" s="49">
        <v>22.75</v>
      </c>
      <c r="P5" s="50">
        <v>4.655</v>
      </c>
      <c r="Q5" s="62">
        <v>0.04</v>
      </c>
      <c r="R5" s="63">
        <f t="shared" si="0"/>
        <v>6.42e-5</v>
      </c>
      <c r="S5" s="64">
        <f t="shared" si="1"/>
        <v>0.0007704</v>
      </c>
      <c r="T5" s="65" t="s">
        <v>56</v>
      </c>
      <c r="U5" s="17">
        <f t="shared" si="2"/>
        <v>1080</v>
      </c>
      <c r="V5" s="16">
        <v>8</v>
      </c>
      <c r="W5" s="66">
        <f t="shared" si="3"/>
        <v>0.0521921925</v>
      </c>
      <c r="X5" s="67">
        <f t="shared" si="4"/>
        <v>0.0068962962962963</v>
      </c>
      <c r="Y5" s="67">
        <f t="shared" si="5"/>
        <v>0.011375</v>
      </c>
      <c r="Z5" s="78">
        <v>1</v>
      </c>
      <c r="AA5" s="67">
        <f t="shared" si="6"/>
        <v>0.025</v>
      </c>
      <c r="AB5" s="67">
        <f t="shared" si="7"/>
        <v>8.91666666666667e-8</v>
      </c>
      <c r="AC5" s="67"/>
      <c r="AD5" s="67">
        <f t="shared" si="8"/>
        <v>0.095463577962963</v>
      </c>
      <c r="AE5" s="79">
        <f t="shared" si="11"/>
        <v>0.109783114657407</v>
      </c>
      <c r="AF5" s="80">
        <v>0.1062</v>
      </c>
      <c r="AG5" s="91" t="s">
        <v>47</v>
      </c>
      <c r="AH5" s="92">
        <f t="shared" si="9"/>
        <v>2.10343941112279</v>
      </c>
      <c r="AI5" s="19"/>
    </row>
    <row r="6" s="1" customFormat="1" ht="33" customHeight="1" spans="1:35">
      <c r="A6" s="19"/>
      <c r="B6" s="13" t="s">
        <v>58</v>
      </c>
      <c r="C6" s="14" t="s">
        <v>59</v>
      </c>
      <c r="D6" s="15" t="s">
        <v>60</v>
      </c>
      <c r="E6" s="16"/>
      <c r="F6" s="17">
        <v>1</v>
      </c>
      <c r="G6" s="20">
        <f>0.0138-0.003*2</f>
        <v>0.0078</v>
      </c>
      <c r="H6" s="18">
        <f t="shared" si="10"/>
        <v>0.008112</v>
      </c>
      <c r="I6" s="17">
        <v>2</v>
      </c>
      <c r="J6" s="47">
        <v>21</v>
      </c>
      <c r="K6" s="48">
        <v>2</v>
      </c>
      <c r="L6" s="17">
        <v>50</v>
      </c>
      <c r="M6" s="17">
        <v>1</v>
      </c>
      <c r="N6" s="49" t="s">
        <v>45</v>
      </c>
      <c r="O6" s="49">
        <v>22.75</v>
      </c>
      <c r="P6" s="50">
        <v>4.655</v>
      </c>
      <c r="Q6" s="62">
        <v>0.04</v>
      </c>
      <c r="R6" s="63">
        <f t="shared" si="0"/>
        <v>0.00032448</v>
      </c>
      <c r="S6" s="64">
        <f t="shared" si="1"/>
        <v>0.00389376</v>
      </c>
      <c r="T6" s="68" t="s">
        <v>61</v>
      </c>
      <c r="U6" s="17">
        <f t="shared" si="2"/>
        <v>864</v>
      </c>
      <c r="V6" s="16">
        <v>2</v>
      </c>
      <c r="W6" s="66">
        <f t="shared" si="3"/>
        <v>0.1788696</v>
      </c>
      <c r="X6" s="67">
        <f t="shared" si="4"/>
        <v>0.0301712962962963</v>
      </c>
      <c r="Y6" s="67">
        <f t="shared" si="5"/>
        <v>0.056875</v>
      </c>
      <c r="Z6" s="78">
        <v>1</v>
      </c>
      <c r="AA6" s="67">
        <f t="shared" si="6"/>
        <v>0.125</v>
      </c>
      <c r="AB6" s="67">
        <f t="shared" si="7"/>
        <v>2.25333333333333e-6</v>
      </c>
      <c r="AC6" s="67">
        <v>0.2</v>
      </c>
      <c r="AD6" s="67">
        <f t="shared" si="8"/>
        <v>0.59091814962963</v>
      </c>
      <c r="AE6" s="79">
        <f t="shared" si="11"/>
        <v>0.679555872074074</v>
      </c>
      <c r="AF6" s="80">
        <v>0.7507</v>
      </c>
      <c r="AG6" s="91" t="s">
        <v>47</v>
      </c>
      <c r="AH6" s="92">
        <f t="shared" si="9"/>
        <v>3.79916918288001</v>
      </c>
      <c r="AI6" s="19"/>
    </row>
    <row r="7" s="1" customFormat="1" ht="61" customHeight="1" spans="1:35">
      <c r="A7" s="19"/>
      <c r="B7" s="22" t="s">
        <v>62</v>
      </c>
      <c r="C7" s="23" t="s">
        <v>63</v>
      </c>
      <c r="D7" s="23" t="s">
        <v>64</v>
      </c>
      <c r="E7" s="23"/>
      <c r="F7" s="17">
        <v>1</v>
      </c>
      <c r="G7" s="24">
        <v>0.03</v>
      </c>
      <c r="H7" s="18">
        <f t="shared" si="10"/>
        <v>0.0312</v>
      </c>
      <c r="I7" s="33">
        <v>2</v>
      </c>
      <c r="J7" s="51">
        <v>30.41</v>
      </c>
      <c r="K7" s="33">
        <v>4</v>
      </c>
      <c r="L7" s="33">
        <v>40</v>
      </c>
      <c r="M7" s="33">
        <v>1</v>
      </c>
      <c r="N7" s="33" t="s">
        <v>65</v>
      </c>
      <c r="O7" s="52">
        <v>36.7</v>
      </c>
      <c r="P7" s="50">
        <v>4.655</v>
      </c>
      <c r="Q7" s="62">
        <v>0.04</v>
      </c>
      <c r="R7" s="63">
        <f t="shared" si="0"/>
        <v>0.001248</v>
      </c>
      <c r="S7" s="64">
        <f t="shared" si="1"/>
        <v>0.014976</v>
      </c>
      <c r="T7" s="69" t="s">
        <v>66</v>
      </c>
      <c r="U7" s="17">
        <f t="shared" si="2"/>
        <v>1080</v>
      </c>
      <c r="V7" s="33">
        <v>2</v>
      </c>
      <c r="W7" s="70">
        <f t="shared" ref="W7:W12" si="12">H7*J7</f>
        <v>0.948792</v>
      </c>
      <c r="X7" s="67">
        <f t="shared" si="4"/>
        <v>0.0275851851851852</v>
      </c>
      <c r="Y7" s="67">
        <f t="shared" si="5"/>
        <v>0.0734</v>
      </c>
      <c r="Z7" s="78">
        <v>1</v>
      </c>
      <c r="AA7" s="67">
        <f t="shared" si="6"/>
        <v>0.1</v>
      </c>
      <c r="AB7" s="67">
        <f t="shared" si="7"/>
        <v>6.93333333333333e-6</v>
      </c>
      <c r="AC7" s="82"/>
      <c r="AD7" s="67">
        <f t="shared" si="8"/>
        <v>1.14978411851852</v>
      </c>
      <c r="AE7" s="79">
        <f t="shared" si="11"/>
        <v>1.3222517362963</v>
      </c>
      <c r="AF7" s="83">
        <v>1.92506986548673</v>
      </c>
      <c r="AG7" s="91" t="s">
        <v>47</v>
      </c>
      <c r="AH7" s="92">
        <f t="shared" si="9"/>
        <v>1.39361602574252</v>
      </c>
      <c r="AI7" s="82"/>
    </row>
    <row r="8" s="1" customFormat="1" ht="33" customHeight="1" spans="1:35">
      <c r="A8" s="25" t="s">
        <v>68</v>
      </c>
      <c r="B8" s="26" t="s">
        <v>69</v>
      </c>
      <c r="C8" s="27" t="s">
        <v>69</v>
      </c>
      <c r="D8" s="28" t="s">
        <v>70</v>
      </c>
      <c r="E8" s="29"/>
      <c r="F8" s="30">
        <v>2</v>
      </c>
      <c r="G8" s="31">
        <v>0.0355</v>
      </c>
      <c r="H8" s="32">
        <f t="shared" si="10"/>
        <v>0.03692</v>
      </c>
      <c r="I8" s="30">
        <v>4</v>
      </c>
      <c r="J8" s="47">
        <v>24.77</v>
      </c>
      <c r="K8" s="48">
        <v>4</v>
      </c>
      <c r="L8" s="30">
        <v>50</v>
      </c>
      <c r="M8" s="30">
        <v>1</v>
      </c>
      <c r="N8" s="53" t="s">
        <v>65</v>
      </c>
      <c r="O8" s="52">
        <v>36.7</v>
      </c>
      <c r="P8" s="50">
        <v>4.655</v>
      </c>
      <c r="Q8" s="62">
        <v>0.04</v>
      </c>
      <c r="R8" s="63">
        <f t="shared" si="0"/>
        <v>0.0014768</v>
      </c>
      <c r="S8" s="64">
        <f t="shared" si="1"/>
        <v>0.0177216</v>
      </c>
      <c r="T8" s="65" t="s">
        <v>53</v>
      </c>
      <c r="U8" s="17">
        <f t="shared" si="2"/>
        <v>864</v>
      </c>
      <c r="V8" s="29">
        <v>4</v>
      </c>
      <c r="W8" s="71">
        <f>H8*J8*1.05</f>
        <v>0.96023382</v>
      </c>
      <c r="X8" s="67">
        <f t="shared" si="4"/>
        <v>0.0172407407407407</v>
      </c>
      <c r="Y8" s="67">
        <f t="shared" si="5"/>
        <v>0.045875</v>
      </c>
      <c r="Z8" s="78">
        <v>1</v>
      </c>
      <c r="AA8" s="67">
        <f t="shared" si="6"/>
        <v>0.0625</v>
      </c>
      <c r="AB8" s="67">
        <f t="shared" si="7"/>
        <v>5.12777777777778e-6</v>
      </c>
      <c r="AC8" s="84"/>
      <c r="AD8" s="67">
        <f t="shared" si="8"/>
        <v>1.08585468851852</v>
      </c>
      <c r="AE8" s="79">
        <f t="shared" si="11"/>
        <v>1.2487328917963</v>
      </c>
      <c r="AF8" s="85">
        <v>2.2</v>
      </c>
      <c r="AG8" s="91" t="s">
        <v>47</v>
      </c>
      <c r="AH8" s="92">
        <f t="shared" si="9"/>
        <v>1.30044668890781</v>
      </c>
      <c r="AI8" s="94"/>
    </row>
    <row r="9" s="1" customFormat="1" ht="33" customHeight="1" spans="1:35">
      <c r="A9" s="33" t="s">
        <v>71</v>
      </c>
      <c r="B9" s="15" t="s">
        <v>72</v>
      </c>
      <c r="C9" s="15" t="s">
        <v>72</v>
      </c>
      <c r="D9" s="15" t="s">
        <v>73</v>
      </c>
      <c r="E9" s="34"/>
      <c r="F9" s="17">
        <v>1</v>
      </c>
      <c r="G9" s="35">
        <v>0.0205</v>
      </c>
      <c r="H9" s="36">
        <f t="shared" ref="H9:H12" si="13">G9*1.04</f>
        <v>0.02132</v>
      </c>
      <c r="I9" s="54">
        <v>2</v>
      </c>
      <c r="J9" s="55">
        <v>13.3</v>
      </c>
      <c r="K9" s="33">
        <v>2</v>
      </c>
      <c r="L9" s="33">
        <v>40</v>
      </c>
      <c r="M9" s="30">
        <v>1</v>
      </c>
      <c r="N9" s="33" t="s">
        <v>74</v>
      </c>
      <c r="O9" s="49">
        <v>22.75</v>
      </c>
      <c r="P9" s="50">
        <v>4.655</v>
      </c>
      <c r="Q9" s="62">
        <v>0.04</v>
      </c>
      <c r="R9" s="63">
        <f t="shared" si="0"/>
        <v>0.0008528</v>
      </c>
      <c r="S9" s="64">
        <f t="shared" si="1"/>
        <v>0.0102336</v>
      </c>
      <c r="T9" s="72" t="s">
        <v>75</v>
      </c>
      <c r="U9" s="17">
        <f t="shared" si="2"/>
        <v>1080</v>
      </c>
      <c r="V9" s="33">
        <v>2</v>
      </c>
      <c r="W9" s="70">
        <f t="shared" si="12"/>
        <v>0.283556</v>
      </c>
      <c r="X9" s="67">
        <f t="shared" si="4"/>
        <v>0.024137037037037</v>
      </c>
      <c r="Y9" s="67">
        <f t="shared" si="5"/>
        <v>0.0455</v>
      </c>
      <c r="Z9" s="78">
        <v>1</v>
      </c>
      <c r="AA9" s="67">
        <f t="shared" si="6"/>
        <v>0.1</v>
      </c>
      <c r="AB9" s="67">
        <f t="shared" si="7"/>
        <v>4.73777777777778e-6</v>
      </c>
      <c r="AC9" s="82"/>
      <c r="AD9" s="67">
        <f t="shared" si="8"/>
        <v>0.453197774814815</v>
      </c>
      <c r="AE9" s="79">
        <f t="shared" si="11"/>
        <v>0.521177441037037</v>
      </c>
      <c r="AF9" s="86">
        <v>0.5994</v>
      </c>
      <c r="AG9" s="91" t="s">
        <v>47</v>
      </c>
      <c r="AH9" s="92">
        <f t="shared" si="9"/>
        <v>1.8380053359373</v>
      </c>
      <c r="AI9" s="95"/>
    </row>
    <row r="10" s="1" customFormat="1" ht="33" customHeight="1" spans="1:35">
      <c r="A10" s="33"/>
      <c r="B10" s="15" t="s">
        <v>76</v>
      </c>
      <c r="C10" s="15" t="s">
        <v>77</v>
      </c>
      <c r="D10" s="15" t="s">
        <v>78</v>
      </c>
      <c r="E10" s="34"/>
      <c r="F10" s="17">
        <v>1</v>
      </c>
      <c r="G10" s="35">
        <v>0.062</v>
      </c>
      <c r="H10" s="36">
        <f t="shared" si="13"/>
        <v>0.06448</v>
      </c>
      <c r="I10" s="54">
        <v>2</v>
      </c>
      <c r="J10" s="55">
        <v>10.3</v>
      </c>
      <c r="K10" s="33">
        <v>1</v>
      </c>
      <c r="L10" s="33">
        <v>60</v>
      </c>
      <c r="M10" s="30">
        <v>1</v>
      </c>
      <c r="N10" s="33" t="s">
        <v>74</v>
      </c>
      <c r="O10" s="49">
        <v>22.75</v>
      </c>
      <c r="P10" s="50">
        <v>4.655</v>
      </c>
      <c r="Q10" s="62">
        <v>0.04</v>
      </c>
      <c r="R10" s="63">
        <f t="shared" si="0"/>
        <v>0.0025792</v>
      </c>
      <c r="S10" s="64">
        <f t="shared" si="1"/>
        <v>0.0309504</v>
      </c>
      <c r="T10" s="72" t="s">
        <v>79</v>
      </c>
      <c r="U10" s="17">
        <f t="shared" si="2"/>
        <v>720</v>
      </c>
      <c r="V10" s="33">
        <v>2</v>
      </c>
      <c r="W10" s="70">
        <f t="shared" si="12"/>
        <v>0.664144</v>
      </c>
      <c r="X10" s="67">
        <f t="shared" si="4"/>
        <v>0.0336194444444445</v>
      </c>
      <c r="Y10" s="67">
        <f t="shared" si="5"/>
        <v>0.06825</v>
      </c>
      <c r="Z10" s="78">
        <v>1</v>
      </c>
      <c r="AA10" s="67">
        <f t="shared" si="6"/>
        <v>0.15</v>
      </c>
      <c r="AB10" s="67">
        <f t="shared" si="7"/>
        <v>2.14933333333333e-5</v>
      </c>
      <c r="AC10" s="82"/>
      <c r="AD10" s="67">
        <f t="shared" si="8"/>
        <v>0.916034937777778</v>
      </c>
      <c r="AE10" s="79">
        <f t="shared" si="11"/>
        <v>1.05344017844444</v>
      </c>
      <c r="AF10" s="86">
        <v>1.2144</v>
      </c>
      <c r="AG10" s="91" t="s">
        <v>47</v>
      </c>
      <c r="AH10" s="92">
        <f t="shared" si="9"/>
        <v>1.58616230583193</v>
      </c>
      <c r="AI10" s="95"/>
    </row>
    <row r="11" s="1" customFormat="1" ht="33" customHeight="1" spans="1:35">
      <c r="A11" s="33"/>
      <c r="B11" s="15" t="s">
        <v>80</v>
      </c>
      <c r="C11" s="15" t="s">
        <v>81</v>
      </c>
      <c r="D11" s="15" t="s">
        <v>82</v>
      </c>
      <c r="E11" s="34"/>
      <c r="F11" s="17">
        <v>1</v>
      </c>
      <c r="G11" s="35">
        <v>0.062</v>
      </c>
      <c r="H11" s="36">
        <f t="shared" si="13"/>
        <v>0.06448</v>
      </c>
      <c r="I11" s="54">
        <v>2</v>
      </c>
      <c r="J11" s="55">
        <v>10.3</v>
      </c>
      <c r="K11" s="33">
        <v>1</v>
      </c>
      <c r="L11" s="33">
        <v>60</v>
      </c>
      <c r="M11" s="30">
        <v>1</v>
      </c>
      <c r="N11" s="33" t="s">
        <v>74</v>
      </c>
      <c r="O11" s="49">
        <v>22.75</v>
      </c>
      <c r="P11" s="50">
        <v>4.655</v>
      </c>
      <c r="Q11" s="62">
        <v>0.04</v>
      </c>
      <c r="R11" s="63">
        <f t="shared" si="0"/>
        <v>0.0025792</v>
      </c>
      <c r="S11" s="64">
        <f t="shared" si="1"/>
        <v>0.0309504</v>
      </c>
      <c r="T11" s="72" t="s">
        <v>79</v>
      </c>
      <c r="U11" s="17">
        <f t="shared" si="2"/>
        <v>720</v>
      </c>
      <c r="V11" s="33">
        <v>2</v>
      </c>
      <c r="W11" s="70">
        <f t="shared" si="12"/>
        <v>0.664144</v>
      </c>
      <c r="X11" s="67">
        <f t="shared" si="4"/>
        <v>0.0336194444444445</v>
      </c>
      <c r="Y11" s="67">
        <f t="shared" si="5"/>
        <v>0.06825</v>
      </c>
      <c r="Z11" s="78">
        <v>1</v>
      </c>
      <c r="AA11" s="67">
        <f t="shared" si="6"/>
        <v>0.15</v>
      </c>
      <c r="AB11" s="67">
        <f t="shared" si="7"/>
        <v>2.14933333333333e-5</v>
      </c>
      <c r="AC11" s="82"/>
      <c r="AD11" s="67">
        <f t="shared" si="8"/>
        <v>0.916034937777778</v>
      </c>
      <c r="AE11" s="79">
        <f t="shared" si="11"/>
        <v>1.05344017844444</v>
      </c>
      <c r="AF11" s="86">
        <v>1.16769</v>
      </c>
      <c r="AG11" s="91" t="s">
        <v>47</v>
      </c>
      <c r="AH11" s="92">
        <f t="shared" si="9"/>
        <v>1.58616230583193</v>
      </c>
      <c r="AI11" s="95"/>
    </row>
    <row r="12" s="1" customFormat="1" ht="33" customHeight="1" spans="1:35">
      <c r="A12" s="33"/>
      <c r="B12" s="15" t="s">
        <v>83</v>
      </c>
      <c r="C12" s="15" t="s">
        <v>84</v>
      </c>
      <c r="D12" s="15" t="s">
        <v>85</v>
      </c>
      <c r="E12" s="34"/>
      <c r="F12" s="17">
        <v>1</v>
      </c>
      <c r="G12" s="35">
        <v>0.003</v>
      </c>
      <c r="H12" s="36">
        <f t="shared" si="13"/>
        <v>0.00312</v>
      </c>
      <c r="I12" s="54">
        <v>2</v>
      </c>
      <c r="J12" s="55">
        <v>10.3</v>
      </c>
      <c r="K12" s="33">
        <v>1</v>
      </c>
      <c r="L12" s="33">
        <v>40</v>
      </c>
      <c r="M12" s="30">
        <v>1</v>
      </c>
      <c r="N12" s="53" t="s">
        <v>65</v>
      </c>
      <c r="O12" s="52">
        <v>36.7</v>
      </c>
      <c r="P12" s="50">
        <v>4.655</v>
      </c>
      <c r="Q12" s="62">
        <v>0.04</v>
      </c>
      <c r="R12" s="63">
        <f t="shared" si="0"/>
        <v>0.0001248</v>
      </c>
      <c r="S12" s="64">
        <f t="shared" si="1"/>
        <v>0.0014976</v>
      </c>
      <c r="T12" s="72" t="s">
        <v>79</v>
      </c>
      <c r="U12" s="17">
        <f t="shared" si="2"/>
        <v>1080</v>
      </c>
      <c r="V12" s="33">
        <v>2</v>
      </c>
      <c r="W12" s="70">
        <f t="shared" si="12"/>
        <v>0.032136</v>
      </c>
      <c r="X12" s="67">
        <f t="shared" si="4"/>
        <v>0.022412962962963</v>
      </c>
      <c r="Y12" s="67">
        <f t="shared" si="5"/>
        <v>0.0734</v>
      </c>
      <c r="Z12" s="78">
        <v>1</v>
      </c>
      <c r="AA12" s="67">
        <f t="shared" si="6"/>
        <v>0.1</v>
      </c>
      <c r="AB12" s="67">
        <f t="shared" si="7"/>
        <v>6.93333333333334e-7</v>
      </c>
      <c r="AC12" s="82"/>
      <c r="AD12" s="67">
        <f t="shared" si="8"/>
        <v>0.227949656296296</v>
      </c>
      <c r="AE12" s="79">
        <f t="shared" si="11"/>
        <v>0.262142104740741</v>
      </c>
      <c r="AF12" s="86">
        <v>0.13234</v>
      </c>
      <c r="AG12" s="91" t="s">
        <v>47</v>
      </c>
      <c r="AH12" s="92">
        <f t="shared" si="9"/>
        <v>8.15727236559437</v>
      </c>
      <c r="AI12" s="82"/>
    </row>
  </sheetData>
  <mergeCells count="35">
    <mergeCell ref="X1:Y1"/>
    <mergeCell ref="A1:A2"/>
    <mergeCell ref="A3:A7"/>
    <mergeCell ref="A9:A1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</mergeCells>
  <conditionalFormatting sqref="B3">
    <cfRule type="duplicateValues" dxfId="1" priority="11"/>
    <cfRule type="duplicateValues" dxfId="1" priority="12"/>
  </conditionalFormatting>
  <conditionalFormatting sqref="B4">
    <cfRule type="duplicateValues" dxfId="1" priority="9"/>
    <cfRule type="duplicateValues" dxfId="1" priority="10"/>
  </conditionalFormatting>
  <conditionalFormatting sqref="B5">
    <cfRule type="duplicateValues" dxfId="1" priority="8"/>
  </conditionalFormatting>
  <conditionalFormatting sqref="B6">
    <cfRule type="duplicateValues" dxfId="1" priority="6"/>
    <cfRule type="duplicateValues" dxfId="1" priority="7"/>
  </conditionalFormatting>
  <conditionalFormatting sqref="B7">
    <cfRule type="duplicateValues" dxfId="1" priority="4"/>
    <cfRule type="duplicateValues" dxfId="1" priority="5"/>
  </conditionalFormatting>
  <conditionalFormatting sqref="B8">
    <cfRule type="duplicateValues" dxfId="1" priority="3"/>
  </conditionalFormatting>
  <conditionalFormatting sqref="E9">
    <cfRule type="duplicateValues" dxfId="1" priority="1"/>
  </conditionalFormatting>
  <conditionalFormatting sqref="E10:E12">
    <cfRule type="duplicateValues" dxfId="1" priority="2"/>
  </conditionalFormatting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Sheet2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2016-12-02T08:54:00Z</dcterms:created>
  <dcterms:modified xsi:type="dcterms:W3CDTF">2022-07-19T03:52:02Z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7F33CA5C5CE04D718FC6C7E7E2972BBC</vt:lpwstr>
  </property>
</Properties>
</file>