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成都王牌可行性分析\"/>
    </mc:Choice>
  </mc:AlternateContent>
  <bookViews>
    <workbookView xWindow="0" yWindow="450" windowWidth="18525" windowHeight="624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state="hidden" r:id="rId7"/>
    <sheet name="2026年" sheetId="59" state="hidden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'2022年'!$A$1:$L$48</definedName>
    <definedName name="_xlnm.Print_Area" localSheetId="4">'2023年'!$A$1:$L$48</definedName>
    <definedName name="_xlnm.Print_Area" localSheetId="5">'2024年'!$A$1:$L$48</definedName>
    <definedName name="_xlnm.Print_Area" localSheetId="6">'2025年'!$A$1:$I$48</definedName>
    <definedName name="_xlnm.Print_Area" localSheetId="7">'2026年'!$A$1:$I$48</definedName>
    <definedName name="_xlnm.Print_Area" localSheetId="1">损益表!$A$1:$F$61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G4" i="61" l="1"/>
  <c r="H4" i="61" s="1"/>
  <c r="E10" i="61" l="1"/>
  <c r="E9" i="61"/>
  <c r="E8" i="61"/>
  <c r="C43" i="43" l="1"/>
  <c r="D43" i="43"/>
  <c r="E43" i="43"/>
  <c r="F43" i="43"/>
  <c r="G43" i="43"/>
  <c r="H43" i="43"/>
  <c r="I43" i="43"/>
  <c r="J43" i="43"/>
  <c r="K43" i="43"/>
  <c r="C44" i="43"/>
  <c r="D44" i="43"/>
  <c r="E44" i="43"/>
  <c r="F44" i="43"/>
  <c r="G44" i="43"/>
  <c r="H44" i="43"/>
  <c r="I44" i="43"/>
  <c r="J44" i="43"/>
  <c r="K44" i="43"/>
  <c r="F13" i="61" l="1"/>
  <c r="E13" i="61"/>
  <c r="G5" i="61" l="1"/>
  <c r="H5" i="61" s="1"/>
  <c r="G6" i="61"/>
  <c r="H6" i="61" s="1"/>
  <c r="G7" i="61"/>
  <c r="H7" i="61" s="1"/>
  <c r="G8" i="61"/>
  <c r="H8" i="61" s="1"/>
  <c r="G9" i="61"/>
  <c r="H9" i="61" s="1"/>
  <c r="G10" i="61"/>
  <c r="H10" i="61" s="1"/>
  <c r="G11" i="61"/>
  <c r="H11" i="61" s="1"/>
  <c r="G12" i="61"/>
  <c r="G46" i="53"/>
  <c r="G43" i="53"/>
  <c r="F47" i="53"/>
  <c r="G47" i="53" s="1"/>
  <c r="F48" i="53"/>
  <c r="G48" i="53" s="1"/>
  <c r="F49" i="53"/>
  <c r="G49" i="53" s="1"/>
  <c r="F46" i="53"/>
  <c r="F45" i="53"/>
  <c r="F44" i="53"/>
  <c r="G44" i="53" s="1"/>
  <c r="F43" i="53"/>
  <c r="F42" i="53"/>
  <c r="G42" i="53" s="1"/>
  <c r="F41" i="53"/>
  <c r="G41" i="53" s="1"/>
  <c r="H41" i="53" s="1"/>
  <c r="I41" i="53" s="1"/>
  <c r="H46" i="53" l="1"/>
  <c r="I46" i="53" s="1"/>
  <c r="H44" i="53"/>
  <c r="I44" i="53" s="1"/>
  <c r="G45" i="53"/>
  <c r="H45" i="53" s="1"/>
  <c r="I45" i="53" s="1"/>
  <c r="H12" i="61"/>
  <c r="G13" i="61"/>
  <c r="H13" i="61" s="1"/>
  <c r="H43" i="53"/>
  <c r="I43" i="53" s="1"/>
  <c r="H42" i="53"/>
  <c r="I42" i="53" s="1"/>
  <c r="E4" i="53" l="1"/>
  <c r="F4" i="53"/>
  <c r="G4" i="53"/>
  <c r="H4" i="53"/>
  <c r="I4" i="53"/>
  <c r="J4" i="53"/>
  <c r="K4" i="53"/>
  <c r="L4" i="53"/>
  <c r="E5" i="53"/>
  <c r="F5" i="53"/>
  <c r="G5" i="53"/>
  <c r="H5" i="53"/>
  <c r="I5" i="53"/>
  <c r="J5" i="53"/>
  <c r="K5" i="53"/>
  <c r="L5" i="53"/>
  <c r="D5" i="53"/>
  <c r="D4" i="53"/>
  <c r="D43" i="57"/>
  <c r="E43" i="57"/>
  <c r="F43" i="57"/>
  <c r="G43" i="57"/>
  <c r="H43" i="57"/>
  <c r="I43" i="57"/>
  <c r="J43" i="57"/>
  <c r="K43" i="57"/>
  <c r="D44" i="57"/>
  <c r="E44" i="57"/>
  <c r="F44" i="57"/>
  <c r="G44" i="57"/>
  <c r="H44" i="57"/>
  <c r="I44" i="57"/>
  <c r="J44" i="57"/>
  <c r="K44" i="57"/>
  <c r="D43" i="56"/>
  <c r="E43" i="56"/>
  <c r="F43" i="56"/>
  <c r="G43" i="56"/>
  <c r="H43" i="56"/>
  <c r="I43" i="56"/>
  <c r="J43" i="56"/>
  <c r="K43" i="56"/>
  <c r="D44" i="56"/>
  <c r="E44" i="56"/>
  <c r="F44" i="56"/>
  <c r="G44" i="56"/>
  <c r="H44" i="56"/>
  <c r="I44" i="56"/>
  <c r="J44" i="56"/>
  <c r="K44" i="56"/>
  <c r="I109" i="50"/>
  <c r="K45" i="43" s="1"/>
  <c r="I96" i="50"/>
  <c r="J45" i="43" s="1"/>
  <c r="I83" i="50"/>
  <c r="I45" i="43" s="1"/>
  <c r="I70" i="50"/>
  <c r="I57" i="50"/>
  <c r="I44" i="50"/>
  <c r="I116" i="50"/>
  <c r="F116" i="50"/>
  <c r="H114" i="50"/>
  <c r="I113" i="50"/>
  <c r="H113" i="50"/>
  <c r="F113" i="50"/>
  <c r="I103" i="50"/>
  <c r="F103" i="50"/>
  <c r="H101" i="50"/>
  <c r="I100" i="50"/>
  <c r="H100" i="50"/>
  <c r="F100" i="50"/>
  <c r="I90" i="50"/>
  <c r="F90" i="50"/>
  <c r="H88" i="50"/>
  <c r="I87" i="50"/>
  <c r="H87" i="50"/>
  <c r="F87" i="50"/>
  <c r="E117" i="50" l="1"/>
  <c r="K47" i="43" s="1"/>
  <c r="E112" i="50"/>
  <c r="K37" i="43" s="1"/>
  <c r="K37" i="56" s="1"/>
  <c r="J45" i="56"/>
  <c r="J45" i="57"/>
  <c r="I45" i="56"/>
  <c r="I45" i="57"/>
  <c r="E87" i="50"/>
  <c r="E97" i="50"/>
  <c r="J36" i="43" s="1"/>
  <c r="E100" i="50"/>
  <c r="E91" i="50"/>
  <c r="I47" i="43" s="1"/>
  <c r="I47" i="57" s="1"/>
  <c r="E104" i="50"/>
  <c r="J47" i="43" s="1"/>
  <c r="J47" i="57" s="1"/>
  <c r="E99" i="50"/>
  <c r="J37" i="43" s="1"/>
  <c r="E84" i="50"/>
  <c r="I36" i="43" s="1"/>
  <c r="E90" i="50"/>
  <c r="I38" i="43" s="1"/>
  <c r="E103" i="50"/>
  <c r="J38" i="43" s="1"/>
  <c r="E86" i="50"/>
  <c r="I37" i="43" s="1"/>
  <c r="J47" i="56"/>
  <c r="I47" i="56"/>
  <c r="K45" i="56"/>
  <c r="K45" i="57"/>
  <c r="K47" i="57"/>
  <c r="K47" i="56"/>
  <c r="E110" i="50"/>
  <c r="K36" i="43" s="1"/>
  <c r="E113" i="50"/>
  <c r="E116" i="50"/>
  <c r="K38" i="43" s="1"/>
  <c r="I21" i="59"/>
  <c r="I21" i="58"/>
  <c r="K33" i="57"/>
  <c r="J33" i="57"/>
  <c r="I33" i="57"/>
  <c r="E31" i="57"/>
  <c r="F31" i="57"/>
  <c r="G31" i="57"/>
  <c r="H31" i="57"/>
  <c r="I31" i="57"/>
  <c r="J31" i="57"/>
  <c r="K31" i="57"/>
  <c r="I20" i="57"/>
  <c r="K22" i="57"/>
  <c r="I10" i="57"/>
  <c r="F7" i="57"/>
  <c r="I7" i="57"/>
  <c r="E6" i="57"/>
  <c r="E7" i="57" s="1"/>
  <c r="F6" i="57"/>
  <c r="G6" i="57"/>
  <c r="G7" i="57" s="1"/>
  <c r="H6" i="57"/>
  <c r="H7" i="57" s="1"/>
  <c r="I6" i="57"/>
  <c r="I19" i="57" s="1"/>
  <c r="J6" i="57"/>
  <c r="J22" i="57" s="1"/>
  <c r="K6" i="57"/>
  <c r="E3" i="57"/>
  <c r="F3" i="57"/>
  <c r="G3" i="57"/>
  <c r="H3" i="57"/>
  <c r="I3" i="57"/>
  <c r="J3" i="57"/>
  <c r="K3" i="57"/>
  <c r="E4" i="57"/>
  <c r="F4" i="57"/>
  <c r="G4" i="57"/>
  <c r="H4" i="57"/>
  <c r="I4" i="57"/>
  <c r="J4" i="57"/>
  <c r="K4" i="57"/>
  <c r="K33" i="56"/>
  <c r="J33" i="56"/>
  <c r="I33" i="56"/>
  <c r="E31" i="56"/>
  <c r="F31" i="56"/>
  <c r="G31" i="56"/>
  <c r="H31" i="56"/>
  <c r="I31" i="56"/>
  <c r="J31" i="56"/>
  <c r="K31" i="56"/>
  <c r="I22" i="56"/>
  <c r="I7" i="56"/>
  <c r="F7" i="56"/>
  <c r="E3" i="56"/>
  <c r="F3" i="56"/>
  <c r="G3" i="56"/>
  <c r="H3" i="56"/>
  <c r="I3" i="56"/>
  <c r="J3" i="56"/>
  <c r="K3" i="56"/>
  <c r="E4" i="56"/>
  <c r="F4" i="56"/>
  <c r="G4" i="56"/>
  <c r="H4" i="56"/>
  <c r="I4" i="56"/>
  <c r="J4" i="56"/>
  <c r="K4" i="56"/>
  <c r="E6" i="56"/>
  <c r="F6" i="56"/>
  <c r="G6" i="56"/>
  <c r="G7" i="56" s="1"/>
  <c r="H6" i="56"/>
  <c r="H7" i="56" s="1"/>
  <c r="I6" i="56"/>
  <c r="I10" i="56" s="1"/>
  <c r="J6" i="56"/>
  <c r="J7" i="56" s="1"/>
  <c r="K6" i="56"/>
  <c r="K33" i="43"/>
  <c r="J33" i="43"/>
  <c r="I33" i="43"/>
  <c r="F31" i="43"/>
  <c r="F32" i="43" s="1"/>
  <c r="G31" i="43"/>
  <c r="G32" i="43" s="1"/>
  <c r="H31" i="43"/>
  <c r="H32" i="43" s="1"/>
  <c r="I31" i="43"/>
  <c r="I32" i="43" s="1"/>
  <c r="J31" i="43"/>
  <c r="J32" i="43" s="1"/>
  <c r="K31" i="43"/>
  <c r="K32" i="43" s="1"/>
  <c r="L8" i="43"/>
  <c r="D6" i="43"/>
  <c r="E6" i="43"/>
  <c r="F6" i="43"/>
  <c r="F7" i="43" s="1"/>
  <c r="G6" i="43"/>
  <c r="G7" i="43" s="1"/>
  <c r="H6" i="43"/>
  <c r="H7" i="43" s="1"/>
  <c r="I6" i="43"/>
  <c r="I10" i="43" s="1"/>
  <c r="J6" i="43"/>
  <c r="J10" i="43" s="1"/>
  <c r="K6" i="43"/>
  <c r="K10" i="43" s="1"/>
  <c r="D4" i="43"/>
  <c r="E4" i="43"/>
  <c r="F4" i="43"/>
  <c r="G4" i="43"/>
  <c r="H4" i="43"/>
  <c r="I4" i="43"/>
  <c r="J4" i="43"/>
  <c r="K4" i="43"/>
  <c r="F3" i="43"/>
  <c r="G3" i="43"/>
  <c r="H3" i="43"/>
  <c r="I3" i="43"/>
  <c r="J3" i="43"/>
  <c r="K3" i="43"/>
  <c r="D15" i="55"/>
  <c r="E15" i="55"/>
  <c r="F15" i="55"/>
  <c r="G15" i="55"/>
  <c r="H15" i="55"/>
  <c r="I15" i="55"/>
  <c r="J15" i="55"/>
  <c r="K15" i="55"/>
  <c r="G16" i="51"/>
  <c r="J7" i="43" l="1"/>
  <c r="J9" i="43" s="1"/>
  <c r="J13" i="43"/>
  <c r="J12" i="43"/>
  <c r="J11" i="43"/>
  <c r="J22" i="43"/>
  <c r="J20" i="43"/>
  <c r="J19" i="43"/>
  <c r="K7" i="56"/>
  <c r="J10" i="56"/>
  <c r="J22" i="56"/>
  <c r="J20" i="56"/>
  <c r="J19" i="56"/>
  <c r="J7" i="57"/>
  <c r="K10" i="57"/>
  <c r="J20" i="57"/>
  <c r="J19" i="57"/>
  <c r="I7" i="43"/>
  <c r="I9" i="43" s="1"/>
  <c r="I13" i="43"/>
  <c r="I12" i="43"/>
  <c r="I11" i="43"/>
  <c r="I14" i="43" s="1"/>
  <c r="I15" i="43" s="1"/>
  <c r="I16" i="43" s="1"/>
  <c r="I22" i="43"/>
  <c r="I20" i="43"/>
  <c r="I19" i="43"/>
  <c r="K10" i="56"/>
  <c r="I20" i="56"/>
  <c r="I19" i="56"/>
  <c r="K20" i="57"/>
  <c r="K12" i="56"/>
  <c r="K7" i="43"/>
  <c r="K9" i="43" s="1"/>
  <c r="K13" i="43"/>
  <c r="K12" i="43"/>
  <c r="K11" i="43"/>
  <c r="K22" i="43"/>
  <c r="K20" i="43"/>
  <c r="K19" i="43"/>
  <c r="K22" i="56"/>
  <c r="K20" i="56"/>
  <c r="K19" i="56"/>
  <c r="K7" i="57"/>
  <c r="J10" i="57"/>
  <c r="K19" i="57"/>
  <c r="I22" i="57"/>
  <c r="K37" i="57"/>
  <c r="K12" i="57" s="1"/>
  <c r="I34" i="43"/>
  <c r="I40" i="43" s="1"/>
  <c r="I38" i="57"/>
  <c r="I13" i="57" s="1"/>
  <c r="I38" i="56"/>
  <c r="I13" i="56" s="1"/>
  <c r="J34" i="43"/>
  <c r="J40" i="43" s="1"/>
  <c r="I36" i="56"/>
  <c r="I11" i="56" s="1"/>
  <c r="I36" i="57"/>
  <c r="I11" i="57" s="1"/>
  <c r="I37" i="56"/>
  <c r="I12" i="56" s="1"/>
  <c r="I14" i="56" s="1"/>
  <c r="I37" i="57"/>
  <c r="I12" i="57" s="1"/>
  <c r="J37" i="57"/>
  <c r="J12" i="57" s="1"/>
  <c r="J37" i="56"/>
  <c r="J12" i="56" s="1"/>
  <c r="J36" i="56"/>
  <c r="J11" i="56" s="1"/>
  <c r="J36" i="57"/>
  <c r="J11" i="57" s="1"/>
  <c r="J38" i="56"/>
  <c r="J13" i="56" s="1"/>
  <c r="J38" i="57"/>
  <c r="J13" i="57" s="1"/>
  <c r="K36" i="56"/>
  <c r="K11" i="56" s="1"/>
  <c r="K36" i="57"/>
  <c r="K11" i="57" s="1"/>
  <c r="K34" i="43"/>
  <c r="K40" i="43" s="1"/>
  <c r="K38" i="56"/>
  <c r="K13" i="56" s="1"/>
  <c r="K14" i="56" s="1"/>
  <c r="K38" i="57"/>
  <c r="K13" i="57" s="1"/>
  <c r="K14" i="43"/>
  <c r="K15" i="43" s="1"/>
  <c r="F36" i="53"/>
  <c r="E36" i="53"/>
  <c r="F35" i="53"/>
  <c r="F34" i="53"/>
  <c r="K14" i="57" l="1"/>
  <c r="J14" i="43"/>
  <c r="J15" i="43" s="1"/>
  <c r="J16" i="43" s="1"/>
  <c r="J14" i="56"/>
  <c r="I14" i="57"/>
  <c r="J14" i="57"/>
  <c r="K16" i="43"/>
  <c r="D36" i="53"/>
  <c r="F77" i="50" l="1"/>
  <c r="F74" i="50"/>
  <c r="F64" i="50"/>
  <c r="F61" i="50"/>
  <c r="F51" i="50"/>
  <c r="F48" i="50"/>
  <c r="F38" i="50"/>
  <c r="F35" i="50"/>
  <c r="F24" i="50"/>
  <c r="F21" i="50"/>
  <c r="F10" i="50"/>
  <c r="F7" i="50"/>
  <c r="D33" i="53" l="1"/>
  <c r="F33" i="53"/>
  <c r="G33" i="53"/>
  <c r="H33" i="53"/>
  <c r="I33" i="53"/>
  <c r="D6" i="59" l="1"/>
  <c r="D7" i="59" s="1"/>
  <c r="E6" i="59"/>
  <c r="E7" i="59" s="1"/>
  <c r="F6" i="59"/>
  <c r="F12" i="59" s="1"/>
  <c r="G6" i="59"/>
  <c r="H6" i="59"/>
  <c r="H7" i="59" s="1"/>
  <c r="C6" i="59"/>
  <c r="I77" i="50"/>
  <c r="H75" i="50"/>
  <c r="I74" i="50"/>
  <c r="H74" i="50"/>
  <c r="I64" i="50"/>
  <c r="H62" i="50"/>
  <c r="I61" i="50"/>
  <c r="H61" i="50"/>
  <c r="I51" i="50"/>
  <c r="H49" i="50"/>
  <c r="I48" i="50"/>
  <c r="H48" i="50"/>
  <c r="I31" i="50"/>
  <c r="I38" i="50"/>
  <c r="H36" i="50"/>
  <c r="I35" i="50"/>
  <c r="H35" i="50"/>
  <c r="I17" i="50"/>
  <c r="I24" i="50"/>
  <c r="H22" i="50"/>
  <c r="I21" i="50"/>
  <c r="H21" i="50"/>
  <c r="I3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D3" i="57"/>
  <c r="D4" i="57"/>
  <c r="D6" i="57"/>
  <c r="D7" i="57" s="1"/>
  <c r="D31" i="57"/>
  <c r="D31" i="56"/>
  <c r="D3" i="56"/>
  <c r="D4" i="56"/>
  <c r="D6" i="56"/>
  <c r="E7" i="56"/>
  <c r="E24" i="50" l="1"/>
  <c r="H33" i="59"/>
  <c r="H33" i="56"/>
  <c r="H33" i="58"/>
  <c r="E77" i="50"/>
  <c r="H38" i="43" s="1"/>
  <c r="E71" i="50"/>
  <c r="H36" i="43" s="1"/>
  <c r="E73" i="50"/>
  <c r="E78" i="50"/>
  <c r="H47" i="43" s="1"/>
  <c r="H45" i="43"/>
  <c r="E74" i="50"/>
  <c r="G22" i="59"/>
  <c r="E51" i="50"/>
  <c r="F38" i="43" s="1"/>
  <c r="E48" i="50"/>
  <c r="E45" i="50"/>
  <c r="F36" i="43" s="1"/>
  <c r="F45" i="43"/>
  <c r="E47" i="50"/>
  <c r="F37" i="43" s="1"/>
  <c r="E52" i="50"/>
  <c r="F47" i="43" s="1"/>
  <c r="E13" i="59"/>
  <c r="E38" i="50"/>
  <c r="E38" i="43" s="1"/>
  <c r="E34" i="50"/>
  <c r="E37" i="43" s="1"/>
  <c r="E35" i="50"/>
  <c r="E32" i="50"/>
  <c r="E36" i="43" s="1"/>
  <c r="E45" i="43"/>
  <c r="E39" i="50"/>
  <c r="E47" i="43" s="1"/>
  <c r="E64" i="50"/>
  <c r="G38" i="43" s="1"/>
  <c r="E60" i="50"/>
  <c r="G37" i="43" s="1"/>
  <c r="E65" i="50"/>
  <c r="G47" i="43" s="1"/>
  <c r="E61" i="50"/>
  <c r="E58" i="50"/>
  <c r="G36" i="43" s="1"/>
  <c r="G45" i="43"/>
  <c r="E7" i="50"/>
  <c r="E6" i="50"/>
  <c r="E4" i="50"/>
  <c r="C36" i="43" s="1"/>
  <c r="C36" i="56" s="1"/>
  <c r="C45" i="43"/>
  <c r="E11" i="50"/>
  <c r="D45" i="43"/>
  <c r="E20" i="50"/>
  <c r="D37" i="43" s="1"/>
  <c r="D38" i="43"/>
  <c r="E21" i="50"/>
  <c r="E25" i="50"/>
  <c r="D47" i="43" s="1"/>
  <c r="E18" i="50"/>
  <c r="D36" i="43" s="1"/>
  <c r="H33" i="43"/>
  <c r="I6" i="59"/>
  <c r="H37" i="43"/>
  <c r="E7" i="58"/>
  <c r="F11" i="59"/>
  <c r="D22" i="58"/>
  <c r="H22" i="58"/>
  <c r="E22" i="59"/>
  <c r="H22" i="59"/>
  <c r="D22" i="59"/>
  <c r="H12" i="59"/>
  <c r="D12" i="59"/>
  <c r="E11" i="59"/>
  <c r="F19" i="57"/>
  <c r="E19" i="59"/>
  <c r="H19" i="57"/>
  <c r="D19" i="57"/>
  <c r="G19" i="58"/>
  <c r="G7" i="58"/>
  <c r="G11" i="58"/>
  <c r="G22" i="58"/>
  <c r="F13" i="58"/>
  <c r="D7" i="56"/>
  <c r="H10" i="56"/>
  <c r="E19" i="57"/>
  <c r="E13" i="58"/>
  <c r="H13" i="59"/>
  <c r="D13" i="59"/>
  <c r="H19" i="59"/>
  <c r="D19" i="59"/>
  <c r="H11" i="59"/>
  <c r="D11" i="59"/>
  <c r="F19" i="59"/>
  <c r="F22" i="59"/>
  <c r="E12" i="59"/>
  <c r="F7" i="59"/>
  <c r="E19" i="56"/>
  <c r="F7" i="58"/>
  <c r="D19" i="56"/>
  <c r="F12" i="58"/>
  <c r="G19" i="56"/>
  <c r="E22" i="58"/>
  <c r="E12" i="58"/>
  <c r="F11" i="58"/>
  <c r="H19" i="56"/>
  <c r="F22" i="58"/>
  <c r="F19" i="56"/>
  <c r="E19" i="58"/>
  <c r="E11" i="58"/>
  <c r="H12" i="58"/>
  <c r="G7" i="59"/>
  <c r="G11" i="59"/>
  <c r="G19" i="59"/>
  <c r="G12" i="59"/>
  <c r="G13" i="59"/>
  <c r="F13" i="59"/>
  <c r="F14" i="59" s="1"/>
  <c r="D13" i="58"/>
  <c r="H19" i="58"/>
  <c r="D19" i="58"/>
  <c r="G12" i="58"/>
  <c r="H11" i="58"/>
  <c r="D11" i="58"/>
  <c r="H7" i="58"/>
  <c r="D7" i="58"/>
  <c r="H13" i="58"/>
  <c r="G19" i="57"/>
  <c r="F45" i="57" l="1"/>
  <c r="F45" i="56"/>
  <c r="F38" i="57"/>
  <c r="F13" i="57" s="1"/>
  <c r="F38" i="56"/>
  <c r="F13" i="56" s="1"/>
  <c r="F36" i="57"/>
  <c r="F11" i="57" s="1"/>
  <c r="F36" i="56"/>
  <c r="F11" i="56" s="1"/>
  <c r="F37" i="57"/>
  <c r="F12" i="57" s="1"/>
  <c r="F37" i="56"/>
  <c r="F12" i="56" s="1"/>
  <c r="G36" i="57"/>
  <c r="G11" i="57" s="1"/>
  <c r="G36" i="56"/>
  <c r="G11" i="56" s="1"/>
  <c r="G38" i="56"/>
  <c r="G13" i="56" s="1"/>
  <c r="G38" i="57"/>
  <c r="G13" i="57" s="1"/>
  <c r="H45" i="57"/>
  <c r="H45" i="56"/>
  <c r="H38" i="56"/>
  <c r="H13" i="56" s="1"/>
  <c r="H38" i="57"/>
  <c r="H13" i="57" s="1"/>
  <c r="H37" i="56"/>
  <c r="H12" i="56" s="1"/>
  <c r="H37" i="57"/>
  <c r="H12" i="57" s="1"/>
  <c r="G45" i="56"/>
  <c r="G45" i="57"/>
  <c r="G37" i="56"/>
  <c r="G12" i="56" s="1"/>
  <c r="G37" i="57"/>
  <c r="G12" i="57" s="1"/>
  <c r="H36" i="56"/>
  <c r="H11" i="56" s="1"/>
  <c r="H36" i="57"/>
  <c r="H11" i="57" s="1"/>
  <c r="E37" i="56"/>
  <c r="E12" i="56" s="1"/>
  <c r="E37" i="57"/>
  <c r="E12" i="57" s="1"/>
  <c r="E45" i="56"/>
  <c r="E45" i="57"/>
  <c r="E38" i="57"/>
  <c r="E13" i="57" s="1"/>
  <c r="E38" i="56"/>
  <c r="E13" i="56" s="1"/>
  <c r="E36" i="56"/>
  <c r="E11" i="56" s="1"/>
  <c r="E36" i="57"/>
  <c r="E11" i="57" s="1"/>
  <c r="E14" i="57" s="1"/>
  <c r="D45" i="56"/>
  <c r="D45" i="57"/>
  <c r="D38" i="56"/>
  <c r="D13" i="56" s="1"/>
  <c r="D38" i="57"/>
  <c r="D13" i="57" s="1"/>
  <c r="D37" i="57"/>
  <c r="D12" i="57" s="1"/>
  <c r="D37" i="56"/>
  <c r="D12" i="56" s="1"/>
  <c r="D36" i="56"/>
  <c r="D11" i="56" s="1"/>
  <c r="D36" i="57"/>
  <c r="D11" i="57" s="1"/>
  <c r="H47" i="56"/>
  <c r="H22" i="56" s="1"/>
  <c r="H47" i="57"/>
  <c r="H22" i="57" s="1"/>
  <c r="G47" i="56"/>
  <c r="G22" i="56" s="1"/>
  <c r="G47" i="57"/>
  <c r="G22" i="57" s="1"/>
  <c r="F47" i="57"/>
  <c r="F22" i="57" s="1"/>
  <c r="F47" i="56"/>
  <c r="F22" i="56" s="1"/>
  <c r="E47" i="56"/>
  <c r="E22" i="56" s="1"/>
  <c r="E47" i="57"/>
  <c r="E22" i="57" s="1"/>
  <c r="D47" i="56"/>
  <c r="D22" i="56" s="1"/>
  <c r="D47" i="57"/>
  <c r="D22" i="57" s="1"/>
  <c r="C36" i="57"/>
  <c r="C36" i="58"/>
  <c r="C36" i="59"/>
  <c r="C44" i="56"/>
  <c r="C44" i="57"/>
  <c r="C44" i="58"/>
  <c r="C44" i="59"/>
  <c r="C45" i="56"/>
  <c r="C45" i="57"/>
  <c r="C45" i="58"/>
  <c r="C45" i="59"/>
  <c r="C43" i="56"/>
  <c r="C43" i="59"/>
  <c r="C43" i="57"/>
  <c r="C43" i="58"/>
  <c r="H10" i="59"/>
  <c r="F14" i="57"/>
  <c r="E14" i="58"/>
  <c r="D14" i="59"/>
  <c r="H14" i="59"/>
  <c r="E14" i="59"/>
  <c r="F14" i="58"/>
  <c r="D14" i="57"/>
  <c r="H14" i="56"/>
  <c r="H14" i="57"/>
  <c r="G14" i="58"/>
  <c r="G14" i="56"/>
  <c r="F14" i="56"/>
  <c r="E14" i="56"/>
  <c r="D14" i="58"/>
  <c r="H14" i="58"/>
  <c r="G14" i="59"/>
  <c r="G14" i="57"/>
  <c r="D14" i="56" l="1"/>
  <c r="H33" i="57"/>
  <c r="H10" i="57"/>
  <c r="H10" i="58" l="1"/>
  <c r="D31" i="43"/>
  <c r="D32" i="43" s="1"/>
  <c r="E31" i="43"/>
  <c r="E32" i="43" s="1"/>
  <c r="H10" i="43"/>
  <c r="E3" i="43"/>
  <c r="D3" i="43"/>
  <c r="N7" i="55"/>
  <c r="N8" i="55" s="1"/>
  <c r="L10" i="55"/>
  <c r="L11" i="55"/>
  <c r="L12" i="55"/>
  <c r="L13" i="55"/>
  <c r="L14" i="55"/>
  <c r="C15" i="55"/>
  <c r="G11" i="43" l="1"/>
  <c r="G13" i="43"/>
  <c r="E12" i="43"/>
  <c r="E7" i="43"/>
  <c r="E9" i="43" s="1"/>
  <c r="G22" i="43"/>
  <c r="E22" i="43"/>
  <c r="E13" i="43"/>
  <c r="G19" i="43"/>
  <c r="G12" i="43"/>
  <c r="F19" i="43"/>
  <c r="F11" i="43"/>
  <c r="D22" i="43"/>
  <c r="D13" i="43"/>
  <c r="G9" i="43"/>
  <c r="D19" i="43"/>
  <c r="D12" i="43"/>
  <c r="D11" i="43"/>
  <c r="D20" i="43"/>
  <c r="H22" i="43"/>
  <c r="F20" i="43"/>
  <c r="F9" i="43"/>
  <c r="G20" i="43"/>
  <c r="H13" i="43"/>
  <c r="H12" i="43"/>
  <c r="H11" i="43"/>
  <c r="H20" i="43"/>
  <c r="F22" i="43"/>
  <c r="E19" i="43"/>
  <c r="H9" i="43"/>
  <c r="D7" i="43"/>
  <c r="D9" i="43" s="1"/>
  <c r="H19" i="43"/>
  <c r="F13" i="43"/>
  <c r="F12" i="43"/>
  <c r="E11" i="43"/>
  <c r="E20" i="43"/>
  <c r="H34" i="43"/>
  <c r="H40" i="43" s="1"/>
  <c r="G14" i="43" l="1"/>
  <c r="E14" i="43"/>
  <c r="H14" i="43"/>
  <c r="H15" i="43" s="1"/>
  <c r="H16" i="43" s="1"/>
  <c r="F14" i="43"/>
  <c r="D14" i="43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I10" i="50"/>
  <c r="E10" i="50" s="1"/>
  <c r="B9" i="51"/>
  <c r="O8" i="55" l="1"/>
  <c r="N9" i="55"/>
  <c r="O7" i="55"/>
  <c r="C31" i="59"/>
  <c r="C6" i="58"/>
  <c r="C31" i="58"/>
  <c r="C6" i="57"/>
  <c r="L6" i="57" s="1"/>
  <c r="C31" i="57"/>
  <c r="C6" i="56"/>
  <c r="L6" i="56" s="1"/>
  <c r="C31" i="56"/>
  <c r="I8" i="56" l="1"/>
  <c r="I9" i="56" s="1"/>
  <c r="J8" i="56"/>
  <c r="J9" i="56" s="1"/>
  <c r="K8" i="56"/>
  <c r="K9" i="56" s="1"/>
  <c r="K8" i="57"/>
  <c r="K9" i="57" s="1"/>
  <c r="J8" i="57"/>
  <c r="J9" i="57" s="1"/>
  <c r="I8" i="57"/>
  <c r="I9" i="57" s="1"/>
  <c r="E8" i="56"/>
  <c r="E9" i="56" s="1"/>
  <c r="E32" i="56" s="1"/>
  <c r="D8" i="56"/>
  <c r="D9" i="56" s="1"/>
  <c r="G8" i="56"/>
  <c r="G9" i="56" s="1"/>
  <c r="G32" i="56" s="1"/>
  <c r="H8" i="56"/>
  <c r="H9" i="56" s="1"/>
  <c r="H32" i="56" s="1"/>
  <c r="F8" i="56"/>
  <c r="F9" i="56" s="1"/>
  <c r="F32" i="56" s="1"/>
  <c r="E8" i="57"/>
  <c r="E9" i="57" s="1"/>
  <c r="E32" i="57" s="1"/>
  <c r="D8" i="57"/>
  <c r="D9" i="57" s="1"/>
  <c r="F8" i="57"/>
  <c r="F9" i="57" s="1"/>
  <c r="F32" i="57" s="1"/>
  <c r="H8" i="57"/>
  <c r="H9" i="57" s="1"/>
  <c r="H32" i="57" s="1"/>
  <c r="G8" i="57"/>
  <c r="G9" i="57" s="1"/>
  <c r="G32" i="57" s="1"/>
  <c r="E3" i="2"/>
  <c r="I6" i="58"/>
  <c r="D3" i="2"/>
  <c r="C7" i="56"/>
  <c r="L7" i="56" s="1"/>
  <c r="C7" i="57"/>
  <c r="L7" i="57" s="1"/>
  <c r="C7" i="58"/>
  <c r="I7" i="58" s="1"/>
  <c r="C38" i="43"/>
  <c r="C38" i="56" s="1"/>
  <c r="C19" i="59"/>
  <c r="I19" i="59" s="1"/>
  <c r="C37" i="43"/>
  <c r="C37" i="56" s="1"/>
  <c r="O9" i="55"/>
  <c r="N10" i="55"/>
  <c r="O10" i="55" s="1"/>
  <c r="C7" i="59"/>
  <c r="I7" i="59" s="1"/>
  <c r="C11" i="58"/>
  <c r="I11" i="58" s="1"/>
  <c r="C11" i="56"/>
  <c r="L11" i="56" s="1"/>
  <c r="K32" i="56" l="1"/>
  <c r="K34" i="56" s="1"/>
  <c r="K40" i="56" s="1"/>
  <c r="K15" i="56"/>
  <c r="J32" i="57"/>
  <c r="J34" i="57" s="1"/>
  <c r="J40" i="57" s="1"/>
  <c r="J15" i="57"/>
  <c r="J32" i="56"/>
  <c r="J34" i="56" s="1"/>
  <c r="J40" i="56" s="1"/>
  <c r="J15" i="56"/>
  <c r="I32" i="57"/>
  <c r="I34" i="57" s="1"/>
  <c r="I40" i="57" s="1"/>
  <c r="I15" i="57"/>
  <c r="K32" i="57"/>
  <c r="K34" i="57" s="1"/>
  <c r="K40" i="57" s="1"/>
  <c r="K15" i="57"/>
  <c r="I32" i="56"/>
  <c r="I34" i="56" s="1"/>
  <c r="I40" i="56" s="1"/>
  <c r="I15" i="56"/>
  <c r="C13" i="56"/>
  <c r="L13" i="56" s="1"/>
  <c r="C38" i="57"/>
  <c r="C13" i="57" s="1"/>
  <c r="C38" i="58"/>
  <c r="C13" i="58" s="1"/>
  <c r="I13" i="58" s="1"/>
  <c r="C38" i="59"/>
  <c r="C13" i="59" s="1"/>
  <c r="I13" i="59" s="1"/>
  <c r="C12" i="56"/>
  <c r="L12" i="56" s="1"/>
  <c r="C37" i="58"/>
  <c r="C37" i="59"/>
  <c r="C12" i="59" s="1"/>
  <c r="I12" i="59" s="1"/>
  <c r="C37" i="57"/>
  <c r="C12" i="57" s="1"/>
  <c r="L12" i="57" s="1"/>
  <c r="E8" i="59"/>
  <c r="E9" i="59" s="1"/>
  <c r="H8" i="59"/>
  <c r="H9" i="59" s="1"/>
  <c r="D8" i="59"/>
  <c r="D9" i="59" s="1"/>
  <c r="F8" i="59"/>
  <c r="F9" i="59" s="1"/>
  <c r="G8" i="59"/>
  <c r="G9" i="59" s="1"/>
  <c r="H15" i="57"/>
  <c r="H16" i="57" s="1"/>
  <c r="F8" i="58"/>
  <c r="F9" i="58" s="1"/>
  <c r="H8" i="58"/>
  <c r="H9" i="58" s="1"/>
  <c r="G8" i="58"/>
  <c r="G9" i="58" s="1"/>
  <c r="D8" i="58"/>
  <c r="D9" i="58" s="1"/>
  <c r="E8" i="58"/>
  <c r="E9" i="58" s="1"/>
  <c r="D32" i="56"/>
  <c r="D32" i="57"/>
  <c r="H15" i="56"/>
  <c r="H16" i="56" s="1"/>
  <c r="C8" i="56"/>
  <c r="D4" i="2"/>
  <c r="E4" i="2"/>
  <c r="C8" i="57"/>
  <c r="L8" i="57" s="1"/>
  <c r="C8" i="58"/>
  <c r="C11" i="57"/>
  <c r="L11" i="57" s="1"/>
  <c r="D8" i="2"/>
  <c r="D34" i="2" s="1"/>
  <c r="C19" i="58"/>
  <c r="I19" i="58" s="1"/>
  <c r="C19" i="57"/>
  <c r="L19" i="57" s="1"/>
  <c r="C11" i="59"/>
  <c r="C19" i="56"/>
  <c r="L19" i="56" s="1"/>
  <c r="C12" i="58"/>
  <c r="I12" i="58" s="1"/>
  <c r="C8" i="59"/>
  <c r="I16" i="57" l="1"/>
  <c r="K16" i="56"/>
  <c r="I16" i="56"/>
  <c r="J16" i="56"/>
  <c r="K16" i="57"/>
  <c r="J16" i="57"/>
  <c r="L13" i="57"/>
  <c r="E10" i="2" s="1"/>
  <c r="E36" i="2" s="1"/>
  <c r="C9" i="56"/>
  <c r="L9" i="56" s="1"/>
  <c r="L8" i="56"/>
  <c r="D5" i="2" s="1"/>
  <c r="G20" i="57"/>
  <c r="F20" i="56"/>
  <c r="E32" i="58"/>
  <c r="H32" i="58"/>
  <c r="H15" i="58"/>
  <c r="H16" i="58" s="1"/>
  <c r="G20" i="56"/>
  <c r="F32" i="59"/>
  <c r="E32" i="59"/>
  <c r="I8" i="59"/>
  <c r="I8" i="58"/>
  <c r="E20" i="56"/>
  <c r="D20" i="56"/>
  <c r="D32" i="58"/>
  <c r="F32" i="58"/>
  <c r="H20" i="57"/>
  <c r="H34" i="57"/>
  <c r="H40" i="57" s="1"/>
  <c r="D32" i="59"/>
  <c r="H34" i="56"/>
  <c r="H40" i="56" s="1"/>
  <c r="H20" i="56"/>
  <c r="D20" i="57"/>
  <c r="F20" i="57"/>
  <c r="G32" i="58"/>
  <c r="E20" i="57"/>
  <c r="G32" i="59"/>
  <c r="H32" i="59"/>
  <c r="H15" i="59"/>
  <c r="H16" i="59" s="1"/>
  <c r="C14" i="59"/>
  <c r="I14" i="59" s="1"/>
  <c r="I11" i="59"/>
  <c r="C32" i="56"/>
  <c r="C20" i="56" s="1"/>
  <c r="D6" i="2"/>
  <c r="D29" i="2" s="1"/>
  <c r="C9" i="57"/>
  <c r="L9" i="57" s="1"/>
  <c r="E5" i="2"/>
  <c r="E8" i="2"/>
  <c r="E34" i="2" s="1"/>
  <c r="C14" i="56"/>
  <c r="L14" i="56" s="1"/>
  <c r="C9" i="58"/>
  <c r="I9" i="58" s="1"/>
  <c r="C14" i="57"/>
  <c r="L14" i="57" s="1"/>
  <c r="C14" i="58"/>
  <c r="I14" i="58" s="1"/>
  <c r="E16" i="2"/>
  <c r="D10" i="2"/>
  <c r="D36" i="2" s="1"/>
  <c r="D16" i="2"/>
  <c r="C9" i="59"/>
  <c r="I9" i="59" s="1"/>
  <c r="E42" i="2" l="1"/>
  <c r="D47" i="2"/>
  <c r="D42" i="2"/>
  <c r="G20" i="59"/>
  <c r="D20" i="59"/>
  <c r="F20" i="59"/>
  <c r="E20" i="58"/>
  <c r="L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L20" i="57" s="1"/>
  <c r="E6" i="2"/>
  <c r="E29" i="2" s="1"/>
  <c r="C32" i="58"/>
  <c r="C20" i="58" s="1"/>
  <c r="C32" i="59"/>
  <c r="E47" i="2" l="1"/>
  <c r="I20" i="58"/>
  <c r="E17" i="2"/>
  <c r="C20" i="59"/>
  <c r="I20" i="59" s="1"/>
  <c r="D11" i="2"/>
  <c r="D9" i="2"/>
  <c r="D35" i="2" s="1"/>
  <c r="E49" i="2" l="1"/>
  <c r="E43" i="2"/>
  <c r="E11" i="2"/>
  <c r="E9" i="2"/>
  <c r="E35" i="2" s="1"/>
  <c r="D17" i="2" l="1"/>
  <c r="D49" i="2" l="1"/>
  <c r="D43" i="2"/>
  <c r="B5" i="51"/>
  <c r="H8" i="50" l="1"/>
  <c r="I7" i="50"/>
  <c r="E33" i="53" l="1"/>
  <c r="L9" i="55"/>
  <c r="L15" i="55" s="1"/>
  <c r="G22" i="51"/>
  <c r="B27" i="51"/>
  <c r="B8" i="51"/>
  <c r="B7" i="51"/>
  <c r="C47" i="43"/>
  <c r="C31" i="43"/>
  <c r="C32" i="43" s="1"/>
  <c r="C6" i="43"/>
  <c r="L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F5" i="2" s="1"/>
  <c r="C56" i="2" l="1"/>
  <c r="D27" i="51"/>
  <c r="G33" i="56"/>
  <c r="F33" i="56"/>
  <c r="E10" i="36"/>
  <c r="E17" i="36" s="1"/>
  <c r="E19" i="36" s="1"/>
  <c r="C47" i="56"/>
  <c r="C22" i="56" s="1"/>
  <c r="L22" i="56" s="1"/>
  <c r="D19" i="2" s="1"/>
  <c r="D51" i="2" s="1"/>
  <c r="C47" i="58"/>
  <c r="C22" i="58" s="1"/>
  <c r="I22" i="58" s="1"/>
  <c r="C47" i="59"/>
  <c r="C22" i="59" s="1"/>
  <c r="I22" i="59" s="1"/>
  <c r="C47" i="57"/>
  <c r="C22" i="57" s="1"/>
  <c r="C33" i="59"/>
  <c r="C10" i="59"/>
  <c r="E33" i="58"/>
  <c r="G33" i="58"/>
  <c r="G34" i="58" s="1"/>
  <c r="G40" i="58" s="1"/>
  <c r="F33" i="58"/>
  <c r="F34" i="58" s="1"/>
  <c r="F40" i="58" s="1"/>
  <c r="D33" i="58"/>
  <c r="E33" i="43"/>
  <c r="E10" i="43"/>
  <c r="K10" i="36"/>
  <c r="K17" i="36" s="1"/>
  <c r="K19" i="36" s="1"/>
  <c r="F33" i="43"/>
  <c r="F10" i="43"/>
  <c r="D33" i="43"/>
  <c r="D10" i="43"/>
  <c r="G33" i="43"/>
  <c r="G10" i="43"/>
  <c r="C22" i="43"/>
  <c r="L22" i="43" s="1"/>
  <c r="C3" i="2"/>
  <c r="F3" i="2" s="1"/>
  <c r="C19" i="43"/>
  <c r="L19" i="43" s="1"/>
  <c r="C10" i="56"/>
  <c r="C33" i="43"/>
  <c r="C34" i="43" s="1"/>
  <c r="C40" i="43" s="1"/>
  <c r="C7" i="43"/>
  <c r="L7" i="43" s="1"/>
  <c r="C10" i="43"/>
  <c r="B26" i="51"/>
  <c r="G5" i="36"/>
  <c r="M6" i="36"/>
  <c r="G10" i="36"/>
  <c r="J10" i="36"/>
  <c r="J17" i="36" s="1"/>
  <c r="J19" i="36" s="1"/>
  <c r="C10" i="36"/>
  <c r="C17" i="36" s="1"/>
  <c r="M15" i="36"/>
  <c r="H5" i="36"/>
  <c r="B10" i="51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L11" i="43" s="1"/>
  <c r="C12" i="43"/>
  <c r="L12" i="43" s="1"/>
  <c r="C13" i="43"/>
  <c r="L13" i="43" s="1"/>
  <c r="C20" i="43"/>
  <c r="L20" i="43" s="1"/>
  <c r="J26" i="51" l="1"/>
  <c r="D26" i="51"/>
  <c r="L18" i="56" s="1"/>
  <c r="L22" i="57"/>
  <c r="E19" i="2" s="1"/>
  <c r="E51" i="2" s="1"/>
  <c r="L10" i="43"/>
  <c r="C7" i="2" s="1"/>
  <c r="C30" i="2" s="1"/>
  <c r="G33" i="59"/>
  <c r="G34" i="59" s="1"/>
  <c r="G40" i="59" s="1"/>
  <c r="G10" i="59"/>
  <c r="E33" i="59"/>
  <c r="E34" i="59" s="1"/>
  <c r="E40" i="59" s="1"/>
  <c r="E10" i="59"/>
  <c r="C57" i="2"/>
  <c r="C55" i="2" s="1"/>
  <c r="F10" i="59"/>
  <c r="F33" i="59"/>
  <c r="F34" i="59" s="1"/>
  <c r="F40" i="59" s="1"/>
  <c r="D10" i="59"/>
  <c r="D33" i="59"/>
  <c r="D34" i="59" s="1"/>
  <c r="D40" i="59" s="1"/>
  <c r="G34" i="56"/>
  <c r="G40" i="56" s="1"/>
  <c r="G10" i="56"/>
  <c r="G15" i="56" s="1"/>
  <c r="G16" i="56" s="1"/>
  <c r="F34" i="56"/>
  <c r="F40" i="56" s="1"/>
  <c r="F10" i="56"/>
  <c r="F15" i="56" s="1"/>
  <c r="F16" i="56" s="1"/>
  <c r="D33" i="56"/>
  <c r="D34" i="56" s="1"/>
  <c r="D40" i="56" s="1"/>
  <c r="D10" i="56"/>
  <c r="D15" i="56" s="1"/>
  <c r="D16" i="56" s="1"/>
  <c r="E33" i="56"/>
  <c r="E34" i="56" s="1"/>
  <c r="E40" i="56" s="1"/>
  <c r="E10" i="56"/>
  <c r="E15" i="56" s="1"/>
  <c r="E16" i="56" s="1"/>
  <c r="C9" i="43"/>
  <c r="L9" i="43" s="1"/>
  <c r="C4" i="2"/>
  <c r="E21" i="58"/>
  <c r="F21" i="58"/>
  <c r="G21" i="58"/>
  <c r="H21" i="58"/>
  <c r="D21" i="58"/>
  <c r="D34" i="43"/>
  <c r="D40" i="43" s="1"/>
  <c r="D15" i="43"/>
  <c r="C33" i="56"/>
  <c r="C34" i="56" s="1"/>
  <c r="C40" i="56" s="1"/>
  <c r="C14" i="43"/>
  <c r="L14" i="43" s="1"/>
  <c r="G17" i="36"/>
  <c r="G19" i="36" s="1"/>
  <c r="E23" i="36"/>
  <c r="C18" i="36"/>
  <c r="D18" i="36" s="1"/>
  <c r="E18" i="36" s="1"/>
  <c r="C19" i="36"/>
  <c r="M10" i="36"/>
  <c r="D19" i="36"/>
  <c r="E22" i="36"/>
  <c r="H17" i="36"/>
  <c r="H19" i="36" s="1"/>
  <c r="L21" i="56"/>
  <c r="L21" i="57"/>
  <c r="C17" i="2"/>
  <c r="C43" i="2" s="1"/>
  <c r="C9" i="2"/>
  <c r="C35" i="2" s="1"/>
  <c r="L21" i="43"/>
  <c r="E27" i="51"/>
  <c r="F27" i="51" s="1"/>
  <c r="M17" i="36"/>
  <c r="D60" i="2" l="1"/>
  <c r="K18" i="56"/>
  <c r="K17" i="56" s="1"/>
  <c r="I18" i="56"/>
  <c r="I17" i="56" s="1"/>
  <c r="J18" i="56"/>
  <c r="J17" i="56" s="1"/>
  <c r="K21" i="43"/>
  <c r="I21" i="43"/>
  <c r="J21" i="43"/>
  <c r="I21" i="57"/>
  <c r="J21" i="57"/>
  <c r="K21" i="57"/>
  <c r="K21" i="56"/>
  <c r="I21" i="56"/>
  <c r="J21" i="56"/>
  <c r="G48" i="56"/>
  <c r="L10" i="56"/>
  <c r="D7" i="2" s="1"/>
  <c r="D30" i="2" s="1"/>
  <c r="I18" i="59"/>
  <c r="I18" i="58"/>
  <c r="D28" i="51"/>
  <c r="E26" i="51"/>
  <c r="F26" i="51" s="1"/>
  <c r="F28" i="51" s="1"/>
  <c r="L18" i="57"/>
  <c r="L18" i="43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48" i="57" s="1"/>
  <c r="D10" i="57"/>
  <c r="D15" i="57" s="1"/>
  <c r="D16" i="57" s="1"/>
  <c r="F9" i="2"/>
  <c r="F35" i="2" s="1"/>
  <c r="I22" i="36"/>
  <c r="E33" i="57"/>
  <c r="E34" i="57" s="1"/>
  <c r="E40" i="57" s="1"/>
  <c r="E10" i="57"/>
  <c r="E15" i="57" s="1"/>
  <c r="F17" i="2"/>
  <c r="F43" i="2" s="1"/>
  <c r="F6" i="36"/>
  <c r="F5" i="36" s="1"/>
  <c r="F17" i="36" s="1"/>
  <c r="F19" i="36" s="1"/>
  <c r="F4" i="2"/>
  <c r="L6" i="36" s="1"/>
  <c r="L5" i="36" s="1"/>
  <c r="L17" i="36" s="1"/>
  <c r="L19" i="36" s="1"/>
  <c r="F33" i="57"/>
  <c r="F34" i="57" s="1"/>
  <c r="F40" i="57" s="1"/>
  <c r="F10" i="57"/>
  <c r="F15" i="57" s="1"/>
  <c r="F16" i="57" s="1"/>
  <c r="G33" i="57"/>
  <c r="G34" i="57" s="1"/>
  <c r="G40" i="57" s="1"/>
  <c r="G48" i="57" s="1"/>
  <c r="G10" i="57"/>
  <c r="G15" i="57" s="1"/>
  <c r="G16" i="57" s="1"/>
  <c r="I23" i="36"/>
  <c r="F46" i="58"/>
  <c r="F48" i="58" s="1"/>
  <c r="H46" i="58"/>
  <c r="H48" i="58" s="1"/>
  <c r="D46" i="58"/>
  <c r="E46" i="58"/>
  <c r="G46" i="58"/>
  <c r="G48" i="58" s="1"/>
  <c r="D21" i="56"/>
  <c r="H21" i="56"/>
  <c r="H46" i="56" s="1"/>
  <c r="H48" i="56" s="1"/>
  <c r="G21" i="56"/>
  <c r="G46" i="56" s="1"/>
  <c r="E21" i="56"/>
  <c r="E46" i="56" s="1"/>
  <c r="E48" i="56" s="1"/>
  <c r="F21" i="56"/>
  <c r="F46" i="56" s="1"/>
  <c r="F48" i="56" s="1"/>
  <c r="C21" i="43"/>
  <c r="D21" i="43"/>
  <c r="D46" i="43" s="1"/>
  <c r="D48" i="43" s="1"/>
  <c r="H21" i="43"/>
  <c r="H46" i="43" s="1"/>
  <c r="H48" i="43" s="1"/>
  <c r="E21" i="43"/>
  <c r="E46" i="43" s="1"/>
  <c r="F21" i="43"/>
  <c r="F46" i="43" s="1"/>
  <c r="G21" i="43"/>
  <c r="G46" i="43" s="1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H21" i="57"/>
  <c r="H46" i="57" s="1"/>
  <c r="H48" i="57" s="1"/>
  <c r="E21" i="57"/>
  <c r="E46" i="57" s="1"/>
  <c r="D21" i="57"/>
  <c r="D46" i="57" s="1"/>
  <c r="F21" i="57"/>
  <c r="F46" i="57" s="1"/>
  <c r="G21" i="57"/>
  <c r="G46" i="57" s="1"/>
  <c r="D16" i="43"/>
  <c r="E34" i="43"/>
  <c r="E40" i="43" s="1"/>
  <c r="E15" i="43"/>
  <c r="C6" i="2"/>
  <c r="C15" i="56"/>
  <c r="L15" i="56" s="1"/>
  <c r="C18" i="58"/>
  <c r="C17" i="58" s="1"/>
  <c r="C20" i="36"/>
  <c r="D20" i="36" s="1"/>
  <c r="E20" i="36" s="1"/>
  <c r="C16" i="2"/>
  <c r="F16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C21" i="59"/>
  <c r="C46" i="59" s="1"/>
  <c r="C8" i="2"/>
  <c r="C34" i="2" s="1"/>
  <c r="C10" i="2"/>
  <c r="C36" i="2" s="1"/>
  <c r="C15" i="43"/>
  <c r="I27" i="51"/>
  <c r="C19" i="2"/>
  <c r="F19" i="2" s="1"/>
  <c r="C18" i="2"/>
  <c r="C18" i="43" l="1"/>
  <c r="K18" i="43"/>
  <c r="K17" i="43" s="1"/>
  <c r="I18" i="43"/>
  <c r="I17" i="43" s="1"/>
  <c r="I23" i="43" s="1"/>
  <c r="I24" i="43" s="1"/>
  <c r="I25" i="43" s="1"/>
  <c r="I26" i="43" s="1"/>
  <c r="I27" i="43" s="1"/>
  <c r="J18" i="43"/>
  <c r="J17" i="43" s="1"/>
  <c r="I46" i="56"/>
  <c r="I48" i="56" s="1"/>
  <c r="I23" i="56"/>
  <c r="I24" i="56" s="1"/>
  <c r="I25" i="56" s="1"/>
  <c r="I26" i="56" s="1"/>
  <c r="I27" i="56" s="1"/>
  <c r="J46" i="57"/>
  <c r="J48" i="57" s="1"/>
  <c r="E48" i="57"/>
  <c r="E60" i="2"/>
  <c r="K18" i="57"/>
  <c r="K17" i="57" s="1"/>
  <c r="I18" i="57"/>
  <c r="I17" i="57" s="1"/>
  <c r="J18" i="57"/>
  <c r="J17" i="57" s="1"/>
  <c r="J23" i="57" s="1"/>
  <c r="J24" i="57" s="1"/>
  <c r="J25" i="57" s="1"/>
  <c r="J26" i="57" s="1"/>
  <c r="J27" i="57" s="1"/>
  <c r="K46" i="56"/>
  <c r="K48" i="56" s="1"/>
  <c r="K23" i="56"/>
  <c r="K24" i="56" s="1"/>
  <c r="K25" i="56" s="1"/>
  <c r="K26" i="56" s="1"/>
  <c r="K27" i="56" s="1"/>
  <c r="I46" i="57"/>
  <c r="I48" i="57" s="1"/>
  <c r="I23" i="57"/>
  <c r="I24" i="57" s="1"/>
  <c r="I25" i="57" s="1"/>
  <c r="I26" i="57" s="1"/>
  <c r="I27" i="57" s="1"/>
  <c r="K46" i="43"/>
  <c r="K48" i="43" s="1"/>
  <c r="K23" i="43"/>
  <c r="K24" i="43" s="1"/>
  <c r="K25" i="43" s="1"/>
  <c r="K26" i="43" s="1"/>
  <c r="K27" i="43" s="1"/>
  <c r="I46" i="43"/>
  <c r="I48" i="43" s="1"/>
  <c r="F48" i="57"/>
  <c r="J46" i="56"/>
  <c r="J48" i="56" s="1"/>
  <c r="J23" i="56"/>
  <c r="J24" i="56" s="1"/>
  <c r="J25" i="56" s="1"/>
  <c r="J26" i="56" s="1"/>
  <c r="J27" i="56" s="1"/>
  <c r="K46" i="57"/>
  <c r="K48" i="57" s="1"/>
  <c r="K23" i="57"/>
  <c r="K24" i="57" s="1"/>
  <c r="K25" i="57" s="1"/>
  <c r="K26" i="57" s="1"/>
  <c r="K27" i="57" s="1"/>
  <c r="J46" i="43"/>
  <c r="J48" i="43" s="1"/>
  <c r="J23" i="43"/>
  <c r="J24" i="43" s="1"/>
  <c r="J25" i="43" s="1"/>
  <c r="J26" i="43" s="1"/>
  <c r="J27" i="43" s="1"/>
  <c r="L10" i="57"/>
  <c r="E7" i="2" s="1"/>
  <c r="E30" i="2" s="1"/>
  <c r="E16" i="57"/>
  <c r="E18" i="58"/>
  <c r="E17" i="58" s="1"/>
  <c r="E23" i="58" s="1"/>
  <c r="D18" i="58"/>
  <c r="D17" i="58" s="1"/>
  <c r="D23" i="58" s="1"/>
  <c r="D24" i="58" s="1"/>
  <c r="D25" i="58" s="1"/>
  <c r="D26" i="58" s="1"/>
  <c r="D27" i="58" s="1"/>
  <c r="E18" i="57"/>
  <c r="E17" i="57" s="1"/>
  <c r="E23" i="57" s="1"/>
  <c r="E24" i="57" s="1"/>
  <c r="F18" i="58"/>
  <c r="F17" i="58" s="1"/>
  <c r="F23" i="58" s="1"/>
  <c r="G18" i="58"/>
  <c r="G17" i="58" s="1"/>
  <c r="G23" i="58" s="1"/>
  <c r="F18" i="57"/>
  <c r="F17" i="57" s="1"/>
  <c r="F23" i="57" s="1"/>
  <c r="F24" i="57" s="1"/>
  <c r="F25" i="57" s="1"/>
  <c r="H18" i="58"/>
  <c r="H17" i="58" s="1"/>
  <c r="H23" i="58" s="1"/>
  <c r="H24" i="58" s="1"/>
  <c r="H25" i="58" s="1"/>
  <c r="H26" i="58" s="1"/>
  <c r="H27" i="58" s="1"/>
  <c r="C60" i="2"/>
  <c r="H18" i="57"/>
  <c r="H17" i="57" s="1"/>
  <c r="H23" i="57" s="1"/>
  <c r="H24" i="57" s="1"/>
  <c r="H25" i="57" s="1"/>
  <c r="H26" i="57" s="1"/>
  <c r="H27" i="57" s="1"/>
  <c r="G18" i="57"/>
  <c r="G17" i="57" s="1"/>
  <c r="G23" i="57" s="1"/>
  <c r="G24" i="57" s="1"/>
  <c r="C18" i="57"/>
  <c r="C17" i="57" s="1"/>
  <c r="D18" i="57"/>
  <c r="D17" i="57" s="1"/>
  <c r="D31" i="2"/>
  <c r="D32" i="2" s="1"/>
  <c r="E28" i="51"/>
  <c r="F42" i="2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F18" i="2"/>
  <c r="F18" i="36"/>
  <c r="G18" i="36" s="1"/>
  <c r="H18" i="36" s="1"/>
  <c r="E24" i="36" s="1"/>
  <c r="F10" i="2"/>
  <c r="G15" i="59"/>
  <c r="G16" i="59" s="1"/>
  <c r="G10" i="58"/>
  <c r="G15" i="58" s="1"/>
  <c r="G16" i="58" s="1"/>
  <c r="F15" i="59"/>
  <c r="F16" i="59" s="1"/>
  <c r="F10" i="58"/>
  <c r="F15" i="58" s="1"/>
  <c r="F16" i="58" s="1"/>
  <c r="F8" i="2"/>
  <c r="F34" i="2" s="1"/>
  <c r="C10" i="58"/>
  <c r="F6" i="2"/>
  <c r="E15" i="59"/>
  <c r="E16" i="59" s="1"/>
  <c r="E10" i="58"/>
  <c r="E15" i="58" s="1"/>
  <c r="E16" i="58" s="1"/>
  <c r="I17" i="59"/>
  <c r="I23" i="59" s="1"/>
  <c r="E48" i="43"/>
  <c r="C16" i="43"/>
  <c r="E46" i="59"/>
  <c r="E48" i="59" s="1"/>
  <c r="E23" i="59"/>
  <c r="D46" i="59"/>
  <c r="D48" i="59" s="1"/>
  <c r="D23" i="59"/>
  <c r="D24" i="59" s="1"/>
  <c r="H46" i="59"/>
  <c r="H48" i="59" s="1"/>
  <c r="H23" i="59"/>
  <c r="H24" i="59" s="1"/>
  <c r="H25" i="59" s="1"/>
  <c r="H26" i="59" s="1"/>
  <c r="H27" i="59" s="1"/>
  <c r="F46" i="59"/>
  <c r="F48" i="59" s="1"/>
  <c r="F23" i="59"/>
  <c r="D23" i="57"/>
  <c r="D24" i="57" s="1"/>
  <c r="G46" i="59"/>
  <c r="G48" i="59" s="1"/>
  <c r="G23" i="59"/>
  <c r="D46" i="56"/>
  <c r="D48" i="56" s="1"/>
  <c r="C16" i="56"/>
  <c r="L16" i="56"/>
  <c r="D13" i="2" s="1"/>
  <c r="E16" i="43"/>
  <c r="F34" i="43"/>
  <c r="F40" i="43" s="1"/>
  <c r="F48" i="43" s="1"/>
  <c r="F15" i="43"/>
  <c r="C48" i="57"/>
  <c r="C15" i="57"/>
  <c r="L15" i="57" s="1"/>
  <c r="C33" i="58"/>
  <c r="C34" i="58" s="1"/>
  <c r="C40" i="58" s="1"/>
  <c r="C48" i="58" s="1"/>
  <c r="C23" i="59"/>
  <c r="C23" i="58"/>
  <c r="C11" i="2"/>
  <c r="F11" i="2" s="1"/>
  <c r="C46" i="43"/>
  <c r="C48" i="43" s="1"/>
  <c r="G24" i="59" l="1"/>
  <c r="L17" i="57"/>
  <c r="E14" i="2" s="1"/>
  <c r="E41" i="2" s="1"/>
  <c r="I17" i="58"/>
  <c r="I23" i="58" s="1"/>
  <c r="G28" i="51"/>
  <c r="C23" i="57"/>
  <c r="C24" i="57" s="1"/>
  <c r="E31" i="2"/>
  <c r="E32" i="2" s="1"/>
  <c r="I20" i="36"/>
  <c r="J20" i="36" s="1"/>
  <c r="K20" i="36" s="1"/>
  <c r="L20" i="36" s="1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47" i="2"/>
  <c r="F36" i="2"/>
  <c r="E24" i="58"/>
  <c r="E25" i="58" s="1"/>
  <c r="E26" i="58" s="1"/>
  <c r="E27" i="58" s="1"/>
  <c r="F24" i="58"/>
  <c r="E24" i="59"/>
  <c r="E25" i="59" s="1"/>
  <c r="E26" i="59" s="1"/>
  <c r="E27" i="59" s="1"/>
  <c r="D34" i="58"/>
  <c r="D40" i="58" s="1"/>
  <c r="D48" i="58" s="1"/>
  <c r="F29" i="2"/>
  <c r="F51" i="2"/>
  <c r="F49" i="2"/>
  <c r="F50" i="2"/>
  <c r="E25" i="57"/>
  <c r="E26" i="57" s="1"/>
  <c r="E27" i="57" s="1"/>
  <c r="G25" i="59"/>
  <c r="G26" i="59" s="1"/>
  <c r="G27" i="59" s="1"/>
  <c r="G25" i="57"/>
  <c r="G26" i="57" s="1"/>
  <c r="G27" i="57" s="1"/>
  <c r="F26" i="57"/>
  <c r="F27" i="57" s="1"/>
  <c r="D12" i="2"/>
  <c r="D38" i="2" s="1"/>
  <c r="F16" i="43"/>
  <c r="G34" i="43"/>
  <c r="G40" i="43" s="1"/>
  <c r="G48" i="43" s="1"/>
  <c r="G15" i="43"/>
  <c r="L15" i="43" s="1"/>
  <c r="C16" i="57"/>
  <c r="C15" i="58"/>
  <c r="I15" i="58" s="1"/>
  <c r="C34" i="59"/>
  <c r="C40" i="59" s="1"/>
  <c r="C48" i="59" s="1"/>
  <c r="H28" i="51"/>
  <c r="I26" i="51"/>
  <c r="F60" i="2" s="1"/>
  <c r="I24" i="58" l="1"/>
  <c r="I25" i="58" s="1"/>
  <c r="L23" i="57"/>
  <c r="L24" i="57" s="1"/>
  <c r="L25" i="57" s="1"/>
  <c r="L26" i="57" s="1"/>
  <c r="L27" i="57" s="1"/>
  <c r="E24" i="2" s="1"/>
  <c r="E48" i="2"/>
  <c r="C25" i="57"/>
  <c r="C26" i="57" s="1"/>
  <c r="C27" i="57" s="1"/>
  <c r="F25" i="58"/>
  <c r="F26" i="58" s="1"/>
  <c r="F27" i="58" s="1"/>
  <c r="F25" i="59"/>
  <c r="F26" i="59" s="1"/>
  <c r="F27" i="59" s="1"/>
  <c r="E34" i="58"/>
  <c r="E40" i="58" s="1"/>
  <c r="E48" i="58" s="1"/>
  <c r="I10" i="59"/>
  <c r="L16" i="43"/>
  <c r="C12" i="2"/>
  <c r="C38" i="2" s="1"/>
  <c r="I16" i="58"/>
  <c r="G16" i="43"/>
  <c r="C16" i="58"/>
  <c r="E12" i="2"/>
  <c r="E38" i="2" s="1"/>
  <c r="L16" i="57"/>
  <c r="E13" i="2" s="1"/>
  <c r="C24" i="58"/>
  <c r="E20" i="2" l="1"/>
  <c r="E39" i="2" s="1"/>
  <c r="E21" i="2"/>
  <c r="E53" i="2" s="1"/>
  <c r="C25" i="58"/>
  <c r="C26" i="58" s="1"/>
  <c r="E22" i="2"/>
  <c r="C15" i="59"/>
  <c r="I15" i="59" s="1"/>
  <c r="F7" i="2"/>
  <c r="C13" i="2"/>
  <c r="E23" i="2"/>
  <c r="I26" i="58" l="1"/>
  <c r="I27" i="58" s="1"/>
  <c r="C27" i="58"/>
  <c r="E52" i="2"/>
  <c r="E59" i="2"/>
  <c r="E58" i="2" s="1"/>
  <c r="C24" i="59"/>
  <c r="C16" i="59"/>
  <c r="F12" i="2"/>
  <c r="F30" i="2"/>
  <c r="F31" i="2" s="1"/>
  <c r="F32" i="2" s="1"/>
  <c r="I16" i="59"/>
  <c r="I24" i="59"/>
  <c r="I25" i="59" s="1"/>
  <c r="C25" i="59" l="1"/>
  <c r="C26" i="59" s="1"/>
  <c r="F13" i="2"/>
  <c r="F38" i="2"/>
  <c r="I26" i="59" l="1"/>
  <c r="C27" i="59"/>
  <c r="E18" i="43"/>
  <c r="E17" i="43" s="1"/>
  <c r="E23" i="43" s="1"/>
  <c r="E24" i="43" s="1"/>
  <c r="H18" i="43"/>
  <c r="H17" i="43" s="1"/>
  <c r="H23" i="43" s="1"/>
  <c r="H24" i="43" s="1"/>
  <c r="D18" i="43"/>
  <c r="D17" i="43" s="1"/>
  <c r="D23" i="43" s="1"/>
  <c r="D24" i="43" s="1"/>
  <c r="D25" i="43" s="1"/>
  <c r="F18" i="43"/>
  <c r="F17" i="43" s="1"/>
  <c r="C17" i="43"/>
  <c r="G18" i="43"/>
  <c r="G17" i="43" s="1"/>
  <c r="G23" i="43" s="1"/>
  <c r="G24" i="43" s="1"/>
  <c r="F23" i="43" l="1"/>
  <c r="F24" i="43" s="1"/>
  <c r="L17" i="43"/>
  <c r="I27" i="59"/>
  <c r="C23" i="43"/>
  <c r="C24" i="43" s="1"/>
  <c r="C25" i="43" s="1"/>
  <c r="D26" i="43"/>
  <c r="D27" i="43" s="1"/>
  <c r="E25" i="43"/>
  <c r="E26" i="43" s="1"/>
  <c r="E27" i="43" s="1"/>
  <c r="G25" i="43"/>
  <c r="G26" i="43" s="1"/>
  <c r="G27" i="43" s="1"/>
  <c r="H25" i="43"/>
  <c r="H26" i="43" s="1"/>
  <c r="H27" i="43" s="1"/>
  <c r="F25" i="43" l="1"/>
  <c r="F26" i="43" s="1"/>
  <c r="F27" i="43" s="1"/>
  <c r="L23" i="43"/>
  <c r="L24" i="43" s="1"/>
  <c r="L25" i="43" s="1"/>
  <c r="C14" i="2"/>
  <c r="C26" i="43"/>
  <c r="L26" i="43" l="1"/>
  <c r="L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G18" i="56"/>
  <c r="G17" i="56" s="1"/>
  <c r="G23" i="56" s="1"/>
  <c r="G24" i="56" s="1"/>
  <c r="G25" i="56" s="1"/>
  <c r="E18" i="56"/>
  <c r="E17" i="56" s="1"/>
  <c r="E23" i="56" s="1"/>
  <c r="E24" i="56" s="1"/>
  <c r="E25" i="56" s="1"/>
  <c r="F18" i="56"/>
  <c r="F17" i="56" s="1"/>
  <c r="F23" i="56" s="1"/>
  <c r="F24" i="56" s="1"/>
  <c r="F25" i="56" s="1"/>
  <c r="C18" i="56"/>
  <c r="C17" i="56" s="1"/>
  <c r="H18" i="56"/>
  <c r="H17" i="56" s="1"/>
  <c r="H23" i="56" s="1"/>
  <c r="H24" i="56" s="1"/>
  <c r="H25" i="56" s="1"/>
  <c r="F26" i="56" l="1"/>
  <c r="F27" i="56" s="1"/>
  <c r="H26" i="56"/>
  <c r="H27" i="56" s="1"/>
  <c r="E26" i="56"/>
  <c r="E27" i="56" s="1"/>
  <c r="G26" i="56"/>
  <c r="G27" i="56" s="1"/>
  <c r="C23" i="56"/>
  <c r="C24" i="56" s="1"/>
  <c r="C25" i="56" s="1"/>
  <c r="L17" i="56"/>
  <c r="D26" i="56"/>
  <c r="D27" i="56" s="1"/>
  <c r="D14" i="2" l="1"/>
  <c r="L23" i="56"/>
  <c r="C26" i="56"/>
  <c r="D48" i="2" l="1"/>
  <c r="D41" i="2"/>
  <c r="C27" i="56"/>
  <c r="L24" i="56"/>
  <c r="L25" i="56" s="1"/>
  <c r="D20" i="2"/>
  <c r="F14" i="2"/>
  <c r="L26" i="56" l="1"/>
  <c r="F20" i="2"/>
  <c r="D39" i="2"/>
  <c r="F41" i="2"/>
  <c r="F48" i="2"/>
  <c r="D21" i="2"/>
  <c r="D53" i="2" s="1"/>
  <c r="D22" i="2" l="1"/>
  <c r="D23" i="2"/>
  <c r="D52" i="2" s="1"/>
  <c r="L27" i="56"/>
  <c r="D24" i="2" s="1"/>
  <c r="F39" i="2"/>
  <c r="F21" i="2"/>
  <c r="F22" i="2" s="1"/>
  <c r="D59" i="2" l="1"/>
  <c r="D58" i="2" s="1"/>
  <c r="F23" i="2"/>
  <c r="F53" i="2"/>
  <c r="F24" i="2" l="1"/>
  <c r="F52" i="2"/>
  <c r="F59" i="2"/>
  <c r="F58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<sst xmlns="http://schemas.openxmlformats.org/spreadsheetml/2006/main" count="1472" uniqueCount="311">
  <si>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</si>
  <si>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</si>
  <si>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</si>
  <si>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</si>
  <si>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</si>
  <si>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</si>
  <si>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</si>
  <si>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</si>
  <si>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</si>
  <si>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</si>
  <si>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</si>
  <si>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</si>
  <si>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</si>
  <si>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</si>
  <si>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</si>
  <si>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</si>
  <si>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</si>
  <si>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</si>
  <si>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</si>
  <si>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</si>
  <si>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</si>
  <si>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</si>
  <si>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</si>
  <si>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</si>
  <si>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</si>
  <si>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</si>
  <si>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</si>
  <si>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</si>
  <si>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</si>
  <si>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</si>
  <si>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</si>
  <si>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</si>
  <si>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</si>
  <si>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</si>
  <si>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</si>
  <si>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</si>
  <si>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</si>
  <si>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</si>
  <si>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</si>
  <si>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</si>
  <si>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</si>
  <si>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</si>
  <si>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</si>
  <si>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</si>
  <si>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</si>
  <si>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</si>
  <si>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</si>
  <si>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</si>
  <si>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</si>
  <si>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</si>
  <si>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</si>
  <si>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</si>
  <si>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</si>
  <si>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</si>
  <si>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</si>
  <si>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</si>
  <si>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</si>
  <si>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</si>
  <si>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</si>
  <si>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</si>
  <si>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</si>
  <si>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</si>
  <si>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</si>
  <si>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</si>
  <si>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</si>
  <si>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</si>
  <si>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</si>
  <si>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</si>
  <si>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</si>
  <si>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</si>
  <si>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</si>
  <si>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</si>
  <si>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</si>
  <si>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</si>
  <si>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</si>
  <si>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</si>
  <si>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</si>
  <si>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</si>
  <si>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</si>
  <si>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</si>
  <si>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</si>
  <si>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</si>
  <si>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</si>
  <si>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</si>
  <si>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</si>
  <si>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</si>
  <si>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</si>
  <si>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</si>
  <si>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</si>
  <si>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</si>
  <si>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</si>
  <si>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</si>
  <si>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</si>
  <si>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</si>
  <si>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</si>
  <si>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</si>
  <si>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</si>
  <si>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</si>
  <si>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</si>
  <si>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</si>
  <si>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</si>
  <si>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</si>
  <si>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</si>
  <si>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</si>
  <si>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</si>
  <si>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</si>
  <si>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</si>
  <si>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</si>
  <si>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</si>
  <si>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</si>
  <si>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</si>
  <si>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</si>
  <si>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</si>
  <si>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</si>
  <si>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</si>
  <si>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</si>
  <si>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</si>
  <si>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</si>
  <si>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</si>
  <si>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</si>
  <si>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</si>
  <si>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</si>
  <si>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</si>
  <si>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</si>
  <si>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</si>
  <si>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</si>
  <si>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</si>
  <si>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</si>
  <si>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</si>
  <si>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</si>
  <si>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</si>
  <si>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</si>
  <si>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</si>
  <si>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</si>
  <si>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</si>
  <si>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</si>
  <si>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</si>
  <si>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</si>
  <si>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</si>
  <si>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</si>
  <si>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</si>
  <si>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</si>
  <si>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</si>
  <si>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</si>
  <si>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</si>
  <si>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</si>
  <si>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</si>
  <si>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</si>
  <si>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</si>
  <si>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</si>
  <si>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</si>
  <si>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</si>
  <si>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</si>
  <si>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</si>
  <si>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</si>
  <si>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</si>
  <si>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</si>
  <si>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</si>
  <si>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</si>
  <si>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</si>
  <si>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</si>
  <si>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</si>
  <si>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</si>
  <si>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</si>
  <si>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</si>
  <si>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</si>
  <si>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</si>
  <si>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</si>
  <si>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</si>
  <si>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</si>
  <si>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</si>
  <si>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</si>
  <si>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</si>
  <si>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</si>
  <si>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</si>
  <si>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</si>
  <si>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</si>
  <si>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</si>
  <si>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</si>
  <si>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</si>
  <si>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</si>
  <si>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</si>
  <si>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</si>
  <si>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</si>
  <si>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</si>
  <si>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</si>
  <si>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</si>
  <si>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</si>
  <si>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</si>
  <si>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</si>
  <si>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</si>
  <si>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</si>
  <si>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</si>
  <si>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</si>
  <si>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</si>
  <si>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</si>
  <si>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</si>
  <si>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</si>
  <si>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</si>
  <si>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</si>
  <si>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</si>
  <si>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</si>
  <si>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</si>
  <si>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</si>
  <si>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</si>
  <si>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</si>
  <si>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</si>
  <si>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</si>
  <si>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</si>
  <si>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</si>
  <si>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</si>
  <si>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</si>
  <si>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</si>
  <si>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</si>
  <si>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</si>
  <si>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</si>
  <si>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</si>
  <si>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</si>
  <si>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</si>
  <si>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</si>
  <si>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</si>
  <si>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</si>
  <si>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</si>
  <si>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</si>
  <si>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</si>
  <si>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</si>
  <si>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</si>
  <si>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</si>
  <si>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</si>
  <si>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</si>
  <si>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</si>
  <si>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</si>
  <si>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</si>
  <si>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</si>
  <si>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</si>
  <si>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</si>
  <si>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</si>
  <si>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</si>
  <si>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</si>
  <si>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</si>
  <si>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</si>
  <si>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</si>
  <si>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</si>
  <si>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</si>
  <si>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</si>
  <si>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</si>
  <si>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</si>
  <si>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</si>
  <si>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</si>
  <si>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</si>
  <si>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</si>
  <si>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</si>
  <si>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t>材料成本年降汇总表2%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</si>
  <si>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</si>
  <si>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</si>
  <si>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</si>
  <si>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</si>
  <si>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</si>
  <si>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</si>
  <si>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</si>
  <si>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</si>
  <si>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所得税(税率15%）</t>
    <phoneticPr fontId="38" type="noConversion"/>
  </si>
  <si>
    <t>正司机</t>
    <phoneticPr fontId="38" type="noConversion"/>
  </si>
  <si>
    <t>副司机</t>
    <phoneticPr fontId="38" type="noConversion"/>
  </si>
  <si>
    <t>合计</t>
    <phoneticPr fontId="38" type="noConversion"/>
  </si>
  <si>
    <t xml:space="preserve">成都王牌V5/V7座椅项目研发费用预算表 </t>
    <phoneticPr fontId="38" type="noConversion"/>
  </si>
  <si>
    <t>38套</t>
    <phoneticPr fontId="35" type="noConversion"/>
  </si>
  <si>
    <t>1套</t>
    <phoneticPr fontId="35" type="noConversion"/>
  </si>
  <si>
    <t>12套，临时焊胎3万</t>
    <phoneticPr fontId="35" type="noConversion"/>
  </si>
  <si>
    <t>4套</t>
    <phoneticPr fontId="35" type="noConversion"/>
  </si>
  <si>
    <t>0.3*3*5</t>
    <phoneticPr fontId="35" type="noConversion"/>
  </si>
  <si>
    <t>CAE分析费、委外设计费</t>
    <phoneticPr fontId="35" type="noConversion"/>
  </si>
  <si>
    <t>强检、DVP试验</t>
    <phoneticPr fontId="35" type="noConversion"/>
  </si>
  <si>
    <t>成都王牌</t>
    <phoneticPr fontId="38" type="noConversion"/>
  </si>
  <si>
    <r>
      <t xml:space="preserve">成都王牌V5/V7座椅项目可行性分析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</si>
  <si>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 xml:space="preserve">    3年</t>
    <phoneticPr fontId="38" type="noConversion"/>
  </si>
  <si>
    <t>左座椅总成（工程车）</t>
    <phoneticPr fontId="49" type="noConversion"/>
  </si>
  <si>
    <t>左座椅总成（公路车）</t>
    <phoneticPr fontId="49" type="noConversion"/>
  </si>
  <si>
    <t>左座椅总成（豪华版）</t>
    <phoneticPr fontId="49" type="noConversion"/>
  </si>
  <si>
    <t>右座椅总成</t>
    <phoneticPr fontId="49" type="noConversion"/>
  </si>
  <si>
    <t>左座椅盒总成</t>
    <phoneticPr fontId="49" type="noConversion"/>
  </si>
  <si>
    <t>EZ16B251000001</t>
  </si>
  <si>
    <t>EZ16B251000002</t>
  </si>
  <si>
    <t>EZ16B251000003</t>
  </si>
  <si>
    <t>EZ16B251000004</t>
  </si>
  <si>
    <t>EZ164251000001</t>
  </si>
  <si>
    <t>EZ164251000002</t>
  </si>
  <si>
    <t>EZ164251000003</t>
  </si>
  <si>
    <t>EZ164251000004</t>
  </si>
  <si>
    <t>EZ164251000005</t>
  </si>
  <si>
    <t>气囊减震、前后调节、气动高调、靠背角度、调节三点式安全带</t>
    <phoneticPr fontId="35" type="noConversion"/>
  </si>
  <si>
    <t>气囊减震、前后调节、气动高调、靠背角度、调节三点式安全带、右侧单扶手腰部支撑、一键充放阻尼可调、座椅通风</t>
    <phoneticPr fontId="35" type="noConversion"/>
  </si>
  <si>
    <t>气囊减震、前后调节、气动高调、靠背角度、调节三点式安全带、右侧单扶手腰部支撑、一键充放阻尼可调、</t>
    <phoneticPr fontId="35" type="noConversion"/>
  </si>
  <si>
    <t>翻转坐垫（气撑杆</t>
  </si>
  <si>
    <t>金属底座，黑色</t>
  </si>
  <si>
    <t>供应商年降：    3  年2%</t>
    <phoneticPr fontId="38" type="noConversion"/>
  </si>
  <si>
    <t>成都王牌</t>
    <phoneticPr fontId="38" type="noConversion"/>
  </si>
  <si>
    <t>ZY2238</t>
    <phoneticPr fontId="38" type="noConversion"/>
  </si>
  <si>
    <t>左座椅总成（工程车）</t>
  </si>
  <si>
    <t>左座椅总成（公路车）</t>
  </si>
  <si>
    <t>左座椅总成（豪华版）</t>
  </si>
  <si>
    <t>右座椅总成</t>
  </si>
  <si>
    <t>左座椅盒总成</t>
  </si>
  <si>
    <t>配置</t>
    <phoneticPr fontId="38" type="noConversion"/>
  </si>
  <si>
    <t>合计</t>
    <phoneticPr fontId="38" type="noConversion"/>
  </si>
  <si>
    <t>SHT0014764</t>
  </si>
  <si>
    <t>EZ164251000005</t>
    <phoneticPr fontId="38" type="noConversion"/>
  </si>
  <si>
    <t>所得税(税率25%）</t>
    <phoneticPr fontId="38" type="noConversion"/>
  </si>
  <si>
    <t>经与Bom确认，EZ164251000005即为SHT0014764，V7正驾底座，销售赵伟确认从主驾剥离销售。</t>
    <phoneticPr fontId="38" type="noConversion"/>
  </si>
  <si>
    <t>变动费用参考西安工厂2021年实际及集团整体2022预算暂估。</t>
    <phoneticPr fontId="38" type="noConversion"/>
  </si>
  <si>
    <t>财务费用按集团整体预算。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</si>
</sst>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43" fontId="16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vertical="center" wrapText="1"/>
    </xf>
    <xf numFmtId="0" fontId="41" fillId="0" borderId="1" xfId="0" applyFont="1" applyBorder="1">
      <alignment vertical="center"/>
    </xf>
    <xf numFmtId="0" fontId="41" fillId="0" borderId="1" xfId="0" applyFont="1" applyBorder="1" applyAlignment="1">
      <alignment vertical="center" wrapText="1"/>
    </xf>
    <xf numFmtId="0" fontId="27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8" fillId="0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7" fillId="0" borderId="0" xfId="0" applyFont="1">
      <alignment vertical="center"/>
    </xf>
    <xf numFmtId="43" fontId="2" fillId="7" borderId="0" xfId="0" applyNumberFormat="1" applyFont="1" applyFill="1">
      <alignment vertical="center"/>
    </xf>
    <xf numFmtId="43" fontId="17" fillId="0" borderId="6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43" fontId="41" fillId="8" borderId="4" xfId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1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46" fillId="0" borderId="16" xfId="0" applyFont="1" applyFill="1" applyBorder="1" applyAlignment="1">
      <alignment horizontal="center" vertical="center" wrapText="1" readingOrder="1"/>
    </xf>
    <xf numFmtId="43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5" fillId="7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>
      <alignment vertical="center"/>
    </xf>
    <xf numFmtId="0" fontId="15" fillId="7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>
      <alignment vertical="center"/>
    </xf>
    <xf numFmtId="9" fontId="2" fillId="0" borderId="0" xfId="3" applyFo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9</xdr:col>
      <xdr:colOff>810686</xdr:colOff>
      <xdr:row>39</xdr:row>
      <xdr:rowOff>51872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5" y="5334000"/>
          <a:ext cx="10561905" cy="4123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54</xdr:row>
      <xdr:rowOff>9525</xdr:rowOff>
    </xdr:from>
    <xdr:to>
      <xdr:col>11</xdr:col>
      <xdr:colOff>941647</xdr:colOff>
      <xdr:row>71</xdr:row>
      <xdr:rowOff>75747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12382500"/>
          <a:ext cx="10628572" cy="36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E2" sqref="E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9" customFormat="1" ht="35.25" customHeight="1">
      <c r="A2" s="140" t="s">
        <v>0</v>
      </c>
      <c r="B2" s="140" t="s">
        <v>1</v>
      </c>
      <c r="C2" s="140" t="s">
        <v>2</v>
      </c>
      <c r="D2" s="141"/>
    </row>
    <row r="3" spans="1:4" s="139" customFormat="1" ht="33.75" customHeight="1">
      <c r="A3" s="142">
        <v>1</v>
      </c>
      <c r="B3" s="142" t="s">
        <v>3</v>
      </c>
      <c r="C3" s="143" t="s">
        <v>4</v>
      </c>
      <c r="D3" s="141"/>
    </row>
    <row r="4" spans="1:4" s="139" customFormat="1" ht="33.75" customHeight="1">
      <c r="A4" s="142">
        <v>2</v>
      </c>
      <c r="B4" s="142" t="s">
        <v>5</v>
      </c>
      <c r="C4" s="143" t="s">
        <v>6</v>
      </c>
    </row>
    <row r="5" spans="1:4" s="139" customFormat="1" ht="33.75" customHeight="1">
      <c r="A5" s="142">
        <v>3</v>
      </c>
      <c r="B5" s="226" t="s">
        <v>7</v>
      </c>
      <c r="C5" s="144" t="s">
        <v>8</v>
      </c>
    </row>
    <row r="6" spans="1:4" s="139" customFormat="1" ht="33.75" customHeight="1">
      <c r="A6" s="142">
        <v>4</v>
      </c>
      <c r="B6" s="227"/>
      <c r="C6" s="143" t="s">
        <v>9</v>
      </c>
    </row>
    <row r="7" spans="1:4" s="139" customFormat="1" ht="33.75" customHeight="1">
      <c r="A7" s="142">
        <v>5</v>
      </c>
      <c r="B7" s="145" t="s">
        <v>10</v>
      </c>
      <c r="C7" s="143" t="s">
        <v>309</v>
      </c>
    </row>
    <row r="8" spans="1:4" s="139" customFormat="1" ht="33.75" customHeight="1">
      <c r="A8" s="142">
        <v>6</v>
      </c>
      <c r="B8" s="226" t="s">
        <v>11</v>
      </c>
      <c r="C8" s="143" t="s">
        <v>12</v>
      </c>
    </row>
    <row r="9" spans="1:4" s="139" customFormat="1" ht="33.75" customHeight="1">
      <c r="A9" s="142">
        <v>7</v>
      </c>
      <c r="B9" s="227"/>
      <c r="C9" s="143" t="s">
        <v>13</v>
      </c>
    </row>
    <row r="10" spans="1:4" s="139" customFormat="1" ht="33.75" customHeight="1">
      <c r="A10" s="142">
        <v>8</v>
      </c>
      <c r="B10" s="227"/>
      <c r="C10" s="144" t="s">
        <v>310</v>
      </c>
    </row>
    <row r="11" spans="1:4" s="139" customFormat="1" ht="33.75" customHeight="1">
      <c r="A11" s="142">
        <v>9</v>
      </c>
      <c r="B11" s="227"/>
      <c r="C11" s="143" t="s">
        <v>14</v>
      </c>
    </row>
    <row r="12" spans="1:4" s="139" customFormat="1" ht="33.75" customHeight="1">
      <c r="A12" s="142">
        <v>10</v>
      </c>
      <c r="B12" s="145" t="s">
        <v>15</v>
      </c>
      <c r="C12" s="143" t="s">
        <v>16</v>
      </c>
    </row>
    <row r="13" spans="1:4" ht="33.75" customHeight="1"/>
    <row r="14" spans="1:4" ht="33.75" customHeight="1"/>
    <row r="15" spans="1:4" ht="33.75" customHeight="1">
      <c r="C15" s="14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80" zoomScaleNormal="80" workbookViewId="0">
      <selection activeCell="F9" sqref="F9"/>
    </sheetView>
  </sheetViews>
  <sheetFormatPr defaultColWidth="9" defaultRowHeight="16.5"/>
  <cols>
    <col min="1" max="1" width="14" style="6" customWidth="1"/>
    <col min="2" max="2" width="14.125" style="6" customWidth="1"/>
    <col min="3" max="11" width="18.25" style="6" customWidth="1"/>
    <col min="12" max="12" width="11.625" style="6" customWidth="1"/>
    <col min="13" max="13" width="9.25" style="6" customWidth="1"/>
    <col min="14" max="14" width="9.125" style="6" customWidth="1"/>
    <col min="15" max="16384" width="9" style="6"/>
  </cols>
  <sheetData>
    <row r="1" spans="1:15" ht="29.25" customHeight="1">
      <c r="A1" s="16" t="s">
        <v>192</v>
      </c>
      <c r="E1" s="17"/>
      <c r="F1" s="17"/>
      <c r="G1" s="17"/>
      <c r="H1" s="17"/>
      <c r="I1" s="17"/>
      <c r="J1" s="17"/>
      <c r="K1" s="17"/>
      <c r="L1" s="17"/>
    </row>
    <row r="2" spans="1:15" ht="24" customHeight="1">
      <c r="A2" s="18" t="s">
        <v>193</v>
      </c>
      <c r="E2" s="17"/>
      <c r="F2" s="17"/>
      <c r="G2" s="17"/>
      <c r="H2" s="17"/>
      <c r="I2" s="17"/>
      <c r="J2" s="17"/>
      <c r="K2" s="17"/>
      <c r="L2" s="17"/>
    </row>
    <row r="3" spans="1:15" ht="17.25">
      <c r="C3" s="6" t="s">
        <v>194</v>
      </c>
      <c r="D3" s="9" t="s">
        <v>275</v>
      </c>
      <c r="E3" s="165">
        <v>0.02</v>
      </c>
      <c r="F3" s="165"/>
      <c r="G3" s="165"/>
      <c r="H3" s="165"/>
      <c r="K3" s="217" t="s">
        <v>305</v>
      </c>
    </row>
    <row r="4" spans="1:15">
      <c r="K4" s="218"/>
    </row>
    <row r="5" spans="1:15" ht="45" customHeight="1">
      <c r="A5" s="259" t="s">
        <v>195</v>
      </c>
      <c r="B5" s="8" t="s">
        <v>145</v>
      </c>
      <c r="C5" s="208" t="s">
        <v>276</v>
      </c>
      <c r="D5" s="208" t="s">
        <v>277</v>
      </c>
      <c r="E5" s="208" t="s">
        <v>278</v>
      </c>
      <c r="F5" s="208" t="s">
        <v>279</v>
      </c>
      <c r="G5" s="208" t="s">
        <v>276</v>
      </c>
      <c r="H5" s="208" t="s">
        <v>277</v>
      </c>
      <c r="I5" s="208" t="s">
        <v>278</v>
      </c>
      <c r="J5" s="208" t="s">
        <v>279</v>
      </c>
      <c r="K5" s="219" t="s">
        <v>280</v>
      </c>
      <c r="L5" s="258" t="s">
        <v>19</v>
      </c>
    </row>
    <row r="6" spans="1:15" ht="31.5" customHeight="1">
      <c r="A6" s="259"/>
      <c r="B6" s="8" t="s">
        <v>146</v>
      </c>
      <c r="C6" s="209" t="s">
        <v>281</v>
      </c>
      <c r="D6" s="209" t="s">
        <v>282</v>
      </c>
      <c r="E6" s="209" t="s">
        <v>283</v>
      </c>
      <c r="F6" s="209" t="s">
        <v>284</v>
      </c>
      <c r="G6" s="209" t="s">
        <v>285</v>
      </c>
      <c r="H6" s="209" t="s">
        <v>286</v>
      </c>
      <c r="I6" s="209" t="s">
        <v>287</v>
      </c>
      <c r="J6" s="209" t="s">
        <v>288</v>
      </c>
      <c r="K6" s="220" t="s">
        <v>306</v>
      </c>
      <c r="L6" s="258"/>
      <c r="N6" s="6">
        <v>100</v>
      </c>
    </row>
    <row r="7" spans="1:15" ht="16.5" customHeight="1">
      <c r="A7" s="259"/>
      <c r="B7" s="20" t="s">
        <v>196</v>
      </c>
      <c r="C7" s="209" t="s">
        <v>290</v>
      </c>
      <c r="D7" s="209" t="s">
        <v>291</v>
      </c>
      <c r="E7" s="209" t="s">
        <v>292</v>
      </c>
      <c r="F7" s="209" t="s">
        <v>293</v>
      </c>
      <c r="G7" s="209" t="s">
        <v>290</v>
      </c>
      <c r="H7" s="209" t="s">
        <v>291</v>
      </c>
      <c r="I7" s="209" t="s">
        <v>292</v>
      </c>
      <c r="J7" s="209" t="s">
        <v>293</v>
      </c>
      <c r="K7" s="220" t="s">
        <v>294</v>
      </c>
      <c r="L7" s="258"/>
      <c r="N7" s="6">
        <f>N6*(1-$E$3)</f>
        <v>98</v>
      </c>
      <c r="O7" s="6">
        <f>N7/$N$6</f>
        <v>0.98</v>
      </c>
    </row>
    <row r="8" spans="1:15" ht="33">
      <c r="A8" s="259"/>
      <c r="B8" s="20" t="s">
        <v>197</v>
      </c>
      <c r="C8" s="209">
        <v>1170</v>
      </c>
      <c r="D8" s="209">
        <v>1372</v>
      </c>
      <c r="E8" s="209">
        <v>1730</v>
      </c>
      <c r="F8" s="209">
        <v>500</v>
      </c>
      <c r="G8" s="209">
        <v>1170</v>
      </c>
      <c r="H8" s="209">
        <v>1372</v>
      </c>
      <c r="I8" s="209">
        <v>1730</v>
      </c>
      <c r="J8" s="209">
        <v>500</v>
      </c>
      <c r="K8" s="209">
        <v>46</v>
      </c>
      <c r="L8" s="258"/>
      <c r="N8" s="6">
        <f>N7*(1-$E$3)</f>
        <v>96.039999999999992</v>
      </c>
      <c r="O8" s="6">
        <f t="shared" ref="O8:O10" si="0">N8/$N$6</f>
        <v>0.96039999999999992</v>
      </c>
    </row>
    <row r="9" spans="1:15" ht="17.25">
      <c r="A9" s="259" t="s">
        <v>198</v>
      </c>
      <c r="B9" s="178" t="s">
        <v>18</v>
      </c>
      <c r="C9" s="210">
        <v>1428</v>
      </c>
      <c r="D9" s="210">
        <v>340</v>
      </c>
      <c r="E9" s="210">
        <v>272</v>
      </c>
      <c r="F9" s="210">
        <v>2040.0000000000002</v>
      </c>
      <c r="G9" s="210">
        <v>918.00000000000011</v>
      </c>
      <c r="H9" s="210">
        <v>272</v>
      </c>
      <c r="I9" s="210">
        <v>170</v>
      </c>
      <c r="J9" s="210">
        <v>1360</v>
      </c>
      <c r="K9" s="210">
        <v>1360</v>
      </c>
      <c r="L9" s="25">
        <f>SUM(C9:K9)</f>
        <v>8160</v>
      </c>
      <c r="N9" s="6">
        <f t="shared" ref="N9:N10" si="1">N8*(1-$E$3)</f>
        <v>94.119199999999992</v>
      </c>
      <c r="O9" s="6">
        <f t="shared" si="0"/>
        <v>0.94119199999999992</v>
      </c>
    </row>
    <row r="10" spans="1:15" ht="17.25">
      <c r="A10" s="259"/>
      <c r="B10" s="178" t="s">
        <v>187</v>
      </c>
      <c r="C10" s="210">
        <v>6500</v>
      </c>
      <c r="D10" s="210">
        <v>2000</v>
      </c>
      <c r="E10" s="210">
        <v>1500</v>
      </c>
      <c r="F10" s="210">
        <v>10000</v>
      </c>
      <c r="G10" s="210">
        <v>4500</v>
      </c>
      <c r="H10" s="210">
        <v>2000</v>
      </c>
      <c r="I10" s="210">
        <v>1500</v>
      </c>
      <c r="J10" s="211">
        <v>8000</v>
      </c>
      <c r="K10" s="298">
        <v>8000</v>
      </c>
      <c r="L10" s="25">
        <f t="shared" ref="L10:L14" si="2">SUM(C10:K10)</f>
        <v>44000</v>
      </c>
      <c r="N10" s="6">
        <f t="shared" si="1"/>
        <v>92.23681599999999</v>
      </c>
      <c r="O10" s="6">
        <f t="shared" si="0"/>
        <v>0.92236815999999988</v>
      </c>
    </row>
    <row r="11" spans="1:15" ht="17.25">
      <c r="A11" s="259"/>
      <c r="B11" s="178" t="s">
        <v>188</v>
      </c>
      <c r="C11" s="210">
        <v>6500</v>
      </c>
      <c r="D11" s="210">
        <v>2000</v>
      </c>
      <c r="E11" s="210">
        <v>1500</v>
      </c>
      <c r="F11" s="210">
        <v>10000</v>
      </c>
      <c r="G11" s="210">
        <v>4500</v>
      </c>
      <c r="H11" s="210">
        <v>2000</v>
      </c>
      <c r="I11" s="210">
        <v>1500</v>
      </c>
      <c r="J11" s="210">
        <v>8000</v>
      </c>
      <c r="K11" s="210">
        <v>8000</v>
      </c>
      <c r="L11" s="25">
        <f t="shared" si="2"/>
        <v>44000</v>
      </c>
    </row>
    <row r="12" spans="1:15" ht="18.75">
      <c r="A12" s="259"/>
      <c r="B12" s="178"/>
      <c r="C12" s="212"/>
      <c r="D12" s="183"/>
      <c r="E12" s="183"/>
      <c r="F12" s="183"/>
      <c r="G12" s="183"/>
      <c r="H12" s="183"/>
      <c r="I12" s="212"/>
      <c r="J12" s="212"/>
      <c r="K12" s="213"/>
      <c r="L12" s="25">
        <f t="shared" si="2"/>
        <v>0</v>
      </c>
    </row>
    <row r="13" spans="1:15" ht="18.75">
      <c r="A13" s="259"/>
      <c r="B13" s="178"/>
      <c r="C13" s="212"/>
      <c r="D13" s="183"/>
      <c r="E13" s="183"/>
      <c r="F13" s="183"/>
      <c r="G13" s="183"/>
      <c r="H13" s="183"/>
      <c r="I13" s="212"/>
      <c r="J13" s="212"/>
      <c r="K13" s="213"/>
      <c r="L13" s="25">
        <f t="shared" si="2"/>
        <v>0</v>
      </c>
    </row>
    <row r="14" spans="1:15" ht="17.25">
      <c r="A14" s="259"/>
      <c r="B14" s="178"/>
      <c r="C14" s="212"/>
      <c r="D14" s="212"/>
      <c r="E14" s="212"/>
      <c r="F14" s="212"/>
      <c r="G14" s="212"/>
      <c r="H14" s="212"/>
      <c r="I14" s="212"/>
      <c r="J14" s="212"/>
      <c r="K14" s="212"/>
      <c r="L14" s="25">
        <f t="shared" si="2"/>
        <v>0</v>
      </c>
    </row>
    <row r="15" spans="1:15" ht="17.25">
      <c r="A15" s="258" t="s">
        <v>19</v>
      </c>
      <c r="B15" s="258"/>
      <c r="C15" s="23">
        <f t="shared" ref="C15:L15" si="3">SUM(C9:C14)</f>
        <v>14428</v>
      </c>
      <c r="D15" s="23">
        <f t="shared" si="3"/>
        <v>4340</v>
      </c>
      <c r="E15" s="23">
        <f t="shared" si="3"/>
        <v>3272</v>
      </c>
      <c r="F15" s="23">
        <f t="shared" si="3"/>
        <v>22040</v>
      </c>
      <c r="G15" s="23">
        <f t="shared" si="3"/>
        <v>9918</v>
      </c>
      <c r="H15" s="23">
        <f t="shared" si="3"/>
        <v>4272</v>
      </c>
      <c r="I15" s="23">
        <f t="shared" si="3"/>
        <v>3170</v>
      </c>
      <c r="J15" s="23">
        <f t="shared" si="3"/>
        <v>17360</v>
      </c>
      <c r="K15" s="23">
        <f t="shared" si="3"/>
        <v>17360</v>
      </c>
      <c r="L15" s="23">
        <f t="shared" si="3"/>
        <v>96160</v>
      </c>
    </row>
    <row r="16" spans="1:15">
      <c r="A16" s="24"/>
      <c r="B16" s="24"/>
      <c r="C16" s="24"/>
    </row>
    <row r="17" spans="3:9">
      <c r="C17" s="297"/>
      <c r="D17" s="297"/>
      <c r="E17" s="297"/>
      <c r="G17" s="297"/>
      <c r="H17" s="297"/>
      <c r="I17" s="297"/>
    </row>
  </sheetData>
  <mergeCells count="4">
    <mergeCell ref="A15:B15"/>
    <mergeCell ref="A5:A8"/>
    <mergeCell ref="A9:A14"/>
    <mergeCell ref="L5:L8"/>
  </mergeCells>
  <phoneticPr fontId="38" type="noConversion"/>
  <conditionalFormatting sqref="K3">
    <cfRule type="cellIs" dxfId="0" priority="1" operator="equal">
      <formula>"价值版"</formula>
    </cfRule>
  </conditionalFormatting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9"/>
  <sheetViews>
    <sheetView workbookViewId="0">
      <pane xSplit="3" ySplit="5" topLeftCell="D6" activePane="bottomRight" state="frozen"/>
      <selection pane="topRight"/>
      <selection pane="bottomLeft"/>
      <selection pane="bottomRight" activeCell="E10" sqref="E10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12" width="14.375" style="6" customWidth="1"/>
    <col min="13" max="13" width="17.375" style="6" customWidth="1"/>
    <col min="14" max="14" width="16" style="6" customWidth="1"/>
    <col min="15" max="16384" width="9" style="6"/>
  </cols>
  <sheetData>
    <row r="1" spans="1:15" s="5" customFormat="1" ht="28.5" customHeight="1">
      <c r="A1" s="276" t="s">
        <v>7</v>
      </c>
      <c r="B1" s="276"/>
      <c r="C1" s="7"/>
      <c r="N1" s="14"/>
    </row>
    <row r="2" spans="1:15">
      <c r="A2" s="277" t="s">
        <v>199</v>
      </c>
      <c r="B2" s="277"/>
      <c r="C2" s="278"/>
      <c r="D2" s="278"/>
      <c r="E2" s="279" t="s">
        <v>295</v>
      </c>
      <c r="F2" s="280"/>
      <c r="G2" s="280"/>
      <c r="H2" s="280"/>
      <c r="I2" s="280"/>
      <c r="J2" s="280"/>
      <c r="K2" s="280"/>
      <c r="L2" s="280"/>
      <c r="M2" s="281"/>
    </row>
    <row r="3" spans="1:15">
      <c r="A3" s="267" t="s">
        <v>17</v>
      </c>
      <c r="B3" s="267" t="s">
        <v>200</v>
      </c>
      <c r="C3" s="8" t="s">
        <v>201</v>
      </c>
      <c r="D3" s="282" t="s">
        <v>296</v>
      </c>
      <c r="E3" s="282"/>
      <c r="F3" s="8" t="s">
        <v>202</v>
      </c>
      <c r="G3" s="268" t="s">
        <v>297</v>
      </c>
      <c r="H3" s="269"/>
      <c r="I3" s="270"/>
      <c r="J3" s="205"/>
      <c r="K3" s="205"/>
      <c r="L3" s="205"/>
      <c r="M3" s="283" t="s">
        <v>155</v>
      </c>
    </row>
    <row r="4" spans="1:15" ht="33">
      <c r="A4" s="267"/>
      <c r="B4" s="267"/>
      <c r="C4" s="8" t="s">
        <v>145</v>
      </c>
      <c r="D4" s="187" t="str">
        <f>销量!C5</f>
        <v>左座椅总成（工程车）</v>
      </c>
      <c r="E4" s="187" t="str">
        <f>销量!D5</f>
        <v>左座椅总成（公路车）</v>
      </c>
      <c r="F4" s="187" t="str">
        <f>销量!E5</f>
        <v>左座椅总成（豪华版）</v>
      </c>
      <c r="G4" s="187" t="str">
        <f>销量!F5</f>
        <v>右座椅总成</v>
      </c>
      <c r="H4" s="187" t="str">
        <f>销量!G5</f>
        <v>左座椅总成（工程车）</v>
      </c>
      <c r="I4" s="187" t="str">
        <f>销量!H5</f>
        <v>左座椅总成（公路车）</v>
      </c>
      <c r="J4" s="187" t="str">
        <f>销量!I5</f>
        <v>左座椅总成（豪华版）</v>
      </c>
      <c r="K4" s="187" t="str">
        <f>销量!J5</f>
        <v>右座椅总成</v>
      </c>
      <c r="L4" s="187" t="str">
        <f>销量!K5</f>
        <v>左座椅盒总成</v>
      </c>
      <c r="M4" s="284"/>
    </row>
    <row r="5" spans="1:15" ht="33">
      <c r="A5" s="267"/>
      <c r="B5" s="267"/>
      <c r="C5" s="8" t="s">
        <v>146</v>
      </c>
      <c r="D5" s="188" t="str">
        <f>销量!C6</f>
        <v>EZ16B251000001</v>
      </c>
      <c r="E5" s="188" t="str">
        <f>销量!D6</f>
        <v>EZ16B251000002</v>
      </c>
      <c r="F5" s="188" t="str">
        <f>销量!E6</f>
        <v>EZ16B251000003</v>
      </c>
      <c r="G5" s="188" t="str">
        <f>销量!F6</f>
        <v>EZ16B251000004</v>
      </c>
      <c r="H5" s="188" t="str">
        <f>销量!G6</f>
        <v>EZ164251000001</v>
      </c>
      <c r="I5" s="188" t="str">
        <f>销量!H6</f>
        <v>EZ164251000002</v>
      </c>
      <c r="J5" s="188" t="str">
        <f>销量!I6</f>
        <v>EZ164251000003</v>
      </c>
      <c r="K5" s="188" t="str">
        <f>销量!J6</f>
        <v>EZ164251000004</v>
      </c>
      <c r="L5" s="188" t="str">
        <f>销量!K6</f>
        <v>EZ164251000005</v>
      </c>
      <c r="M5" s="285"/>
    </row>
    <row r="6" spans="1:15" ht="16.5" customHeight="1">
      <c r="A6" s="11">
        <v>1</v>
      </c>
      <c r="B6" s="262"/>
      <c r="C6" s="263"/>
      <c r="D6" s="296">
        <v>822.86282732011171</v>
      </c>
      <c r="E6" s="296">
        <v>1150.8073973201122</v>
      </c>
      <c r="F6" s="296">
        <v>1456.5236390801126</v>
      </c>
      <c r="G6" s="296">
        <v>451.03258233309452</v>
      </c>
      <c r="H6" s="296">
        <v>790.54782732011176</v>
      </c>
      <c r="I6" s="296">
        <v>1117.8323973201118</v>
      </c>
      <c r="J6" s="296">
        <v>1422.8980190801121</v>
      </c>
      <c r="K6" s="296">
        <v>446.6225823330945</v>
      </c>
      <c r="L6" s="296">
        <v>47.64</v>
      </c>
      <c r="M6" s="221" t="s">
        <v>308</v>
      </c>
    </row>
    <row r="7" spans="1:15" ht="16.5" customHeight="1">
      <c r="A7" s="11">
        <v>2</v>
      </c>
      <c r="B7" s="262"/>
      <c r="C7" s="263"/>
      <c r="D7" s="10"/>
      <c r="E7" s="10"/>
      <c r="F7" s="10"/>
      <c r="G7" s="10"/>
      <c r="H7" s="10"/>
      <c r="I7" s="10"/>
      <c r="J7" s="10"/>
      <c r="K7" s="10"/>
      <c r="L7" s="10"/>
      <c r="M7" s="15"/>
    </row>
    <row r="8" spans="1:15" ht="16.5" customHeight="1">
      <c r="A8" s="11">
        <v>3</v>
      </c>
      <c r="B8" s="262"/>
      <c r="C8" s="263"/>
      <c r="D8" s="12"/>
      <c r="E8" s="10"/>
      <c r="F8" s="12"/>
      <c r="G8" s="10"/>
      <c r="H8" s="12"/>
      <c r="I8" s="12"/>
      <c r="J8" s="12"/>
      <c r="K8" s="12"/>
      <c r="L8" s="12"/>
      <c r="M8" s="15"/>
    </row>
    <row r="9" spans="1:15">
      <c r="A9" s="11">
        <v>4</v>
      </c>
      <c r="B9" s="262"/>
      <c r="C9" s="263"/>
      <c r="D9" s="12"/>
      <c r="E9" s="10"/>
      <c r="F9" s="12"/>
      <c r="G9" s="10"/>
      <c r="H9" s="10"/>
      <c r="I9" s="10"/>
      <c r="J9" s="10"/>
      <c r="K9" s="10"/>
      <c r="L9" s="10"/>
      <c r="M9" s="15"/>
    </row>
    <row r="10" spans="1:15" ht="16.5" customHeight="1">
      <c r="A10" s="11">
        <v>5</v>
      </c>
      <c r="B10" s="262"/>
      <c r="C10" s="263"/>
      <c r="D10" s="12"/>
      <c r="E10" s="10"/>
      <c r="F10" s="12"/>
      <c r="G10" s="10"/>
      <c r="H10" s="10"/>
      <c r="I10" s="10"/>
      <c r="J10" s="10"/>
      <c r="K10" s="10"/>
      <c r="L10" s="10"/>
      <c r="M10" s="15"/>
      <c r="N10" s="260"/>
      <c r="O10" s="261"/>
    </row>
    <row r="11" spans="1:15" ht="16.5" customHeight="1">
      <c r="A11" s="11">
        <v>6</v>
      </c>
      <c r="B11" s="262"/>
      <c r="C11" s="263"/>
      <c r="D11" s="12"/>
      <c r="E11" s="10"/>
      <c r="F11" s="12"/>
      <c r="G11" s="10"/>
      <c r="H11" s="10"/>
      <c r="I11" s="10"/>
      <c r="J11" s="10"/>
      <c r="K11" s="10"/>
      <c r="L11" s="10"/>
      <c r="M11" s="15"/>
      <c r="N11" s="260"/>
      <c r="O11" s="261"/>
    </row>
    <row r="12" spans="1:15" ht="16.5" customHeight="1">
      <c r="A12" s="11">
        <v>7</v>
      </c>
      <c r="B12" s="262"/>
      <c r="C12" s="263"/>
      <c r="D12" s="12"/>
      <c r="E12" s="10"/>
      <c r="F12" s="12"/>
      <c r="G12" s="10"/>
      <c r="H12" s="10"/>
      <c r="I12" s="10"/>
      <c r="J12" s="10"/>
      <c r="K12" s="10"/>
      <c r="L12" s="10"/>
      <c r="M12" s="15"/>
      <c r="N12" s="260"/>
      <c r="O12" s="261"/>
    </row>
    <row r="13" spans="1:15" ht="16.5" customHeight="1">
      <c r="A13" s="11">
        <v>8</v>
      </c>
      <c r="B13" s="262"/>
      <c r="C13" s="263"/>
      <c r="D13" s="12"/>
      <c r="E13" s="10"/>
      <c r="F13" s="12"/>
      <c r="G13" s="10"/>
      <c r="H13" s="10"/>
      <c r="I13" s="10"/>
      <c r="J13" s="10"/>
      <c r="K13" s="10"/>
      <c r="L13" s="10"/>
      <c r="M13" s="15"/>
      <c r="N13" s="260"/>
      <c r="O13" s="261"/>
    </row>
    <row r="14" spans="1:15" ht="16.5" customHeight="1">
      <c r="A14" s="11">
        <v>9</v>
      </c>
      <c r="B14" s="262"/>
      <c r="C14" s="263"/>
      <c r="D14" s="12"/>
      <c r="E14" s="10"/>
      <c r="F14" s="12"/>
      <c r="G14" s="10"/>
      <c r="H14" s="10"/>
      <c r="I14" s="10"/>
      <c r="J14" s="10"/>
      <c r="K14" s="10"/>
      <c r="L14" s="10"/>
      <c r="M14" s="15"/>
      <c r="N14" s="260"/>
      <c r="O14" s="261"/>
    </row>
    <row r="15" spans="1:15" ht="16.5" customHeight="1">
      <c r="A15" s="11">
        <v>10</v>
      </c>
      <c r="B15" s="262"/>
      <c r="C15" s="263"/>
      <c r="D15" s="12"/>
      <c r="E15" s="10"/>
      <c r="F15" s="12"/>
      <c r="G15" s="10"/>
      <c r="H15" s="10"/>
      <c r="I15" s="10"/>
      <c r="J15" s="10"/>
      <c r="K15" s="10"/>
      <c r="L15" s="10"/>
      <c r="M15" s="15"/>
      <c r="N15" s="260"/>
      <c r="O15" s="261"/>
    </row>
    <row r="16" spans="1:15" ht="16.5" customHeight="1">
      <c r="A16" s="11">
        <v>11</v>
      </c>
      <c r="B16" s="262"/>
      <c r="C16" s="263"/>
      <c r="D16" s="12"/>
      <c r="E16" s="10"/>
      <c r="F16" s="12"/>
      <c r="G16" s="10"/>
      <c r="H16" s="10"/>
      <c r="I16" s="10"/>
      <c r="J16" s="10"/>
      <c r="K16" s="10"/>
      <c r="L16" s="10"/>
      <c r="M16" s="15"/>
      <c r="N16" s="260"/>
      <c r="O16" s="261"/>
    </row>
    <row r="17" spans="1:15" ht="16.5" customHeight="1">
      <c r="A17" s="11">
        <v>12</v>
      </c>
      <c r="B17" s="262"/>
      <c r="C17" s="263"/>
      <c r="D17" s="12"/>
      <c r="E17" s="10"/>
      <c r="F17" s="12"/>
      <c r="G17" s="10"/>
      <c r="H17" s="10"/>
      <c r="I17" s="10"/>
      <c r="J17" s="10"/>
      <c r="K17" s="10"/>
      <c r="L17" s="10"/>
      <c r="M17" s="15"/>
      <c r="N17" s="260"/>
      <c r="O17" s="261"/>
    </row>
    <row r="18" spans="1:15" ht="16.5" customHeight="1">
      <c r="A18" s="11">
        <v>13</v>
      </c>
      <c r="B18" s="262"/>
      <c r="C18" s="263"/>
      <c r="D18" s="12"/>
      <c r="E18" s="10"/>
      <c r="F18" s="12"/>
      <c r="G18" s="10"/>
      <c r="H18" s="10"/>
      <c r="I18" s="10"/>
      <c r="J18" s="10"/>
      <c r="K18" s="10"/>
      <c r="L18" s="10"/>
      <c r="M18" s="15"/>
      <c r="N18" s="260"/>
      <c r="O18" s="261"/>
    </row>
    <row r="19" spans="1:15" ht="16.5" customHeight="1">
      <c r="A19" s="11">
        <v>14</v>
      </c>
      <c r="B19" s="262"/>
      <c r="C19" s="263"/>
      <c r="D19" s="12"/>
      <c r="E19" s="10"/>
      <c r="F19" s="12"/>
      <c r="G19" s="10"/>
      <c r="H19" s="10"/>
      <c r="I19" s="10"/>
      <c r="J19" s="10"/>
      <c r="K19" s="10"/>
      <c r="L19" s="10"/>
      <c r="M19" s="15"/>
      <c r="N19" s="260"/>
      <c r="O19" s="261"/>
    </row>
    <row r="20" spans="1:15" ht="16.5" customHeight="1">
      <c r="A20" s="11">
        <v>15</v>
      </c>
      <c r="B20" s="262"/>
      <c r="C20" s="263"/>
      <c r="D20" s="12"/>
      <c r="E20" s="12"/>
      <c r="F20" s="12"/>
      <c r="G20" s="12"/>
      <c r="H20" s="10"/>
      <c r="I20" s="10"/>
      <c r="J20" s="10"/>
      <c r="K20" s="10"/>
      <c r="L20" s="10"/>
      <c r="M20" s="15"/>
      <c r="N20" s="260"/>
      <c r="O20" s="261"/>
    </row>
    <row r="21" spans="1:15" ht="16.5" customHeight="1">
      <c r="A21" s="11">
        <v>16</v>
      </c>
      <c r="B21" s="262"/>
      <c r="C21" s="263"/>
      <c r="D21" s="10"/>
      <c r="E21" s="12"/>
      <c r="F21" s="10"/>
      <c r="G21" s="12"/>
      <c r="H21" s="10"/>
      <c r="I21" s="10"/>
      <c r="J21" s="10"/>
      <c r="K21" s="10"/>
      <c r="L21" s="10"/>
      <c r="M21" s="15"/>
      <c r="N21" s="260"/>
      <c r="O21" s="261"/>
    </row>
    <row r="22" spans="1:15" ht="16.5" customHeight="1">
      <c r="A22" s="11">
        <v>17</v>
      </c>
      <c r="B22" s="262"/>
      <c r="C22" s="263"/>
      <c r="D22" s="10"/>
      <c r="E22" s="12"/>
      <c r="F22" s="10"/>
      <c r="G22" s="12"/>
      <c r="H22" s="10"/>
      <c r="I22" s="10"/>
      <c r="J22" s="10"/>
      <c r="K22" s="10"/>
      <c r="L22" s="10"/>
      <c r="M22" s="15"/>
      <c r="N22" s="260"/>
      <c r="O22" s="261"/>
    </row>
    <row r="23" spans="1:15" ht="16.5" customHeight="1">
      <c r="A23" s="11">
        <v>18</v>
      </c>
      <c r="B23" s="262"/>
      <c r="C23" s="263"/>
      <c r="D23" s="10"/>
      <c r="E23" s="12"/>
      <c r="F23" s="10"/>
      <c r="G23" s="12"/>
      <c r="H23" s="10"/>
      <c r="I23" s="10"/>
      <c r="J23" s="10"/>
      <c r="K23" s="10"/>
      <c r="L23" s="10"/>
      <c r="M23" s="15"/>
      <c r="N23" s="260"/>
      <c r="O23" s="261"/>
    </row>
    <row r="24" spans="1:15" ht="16.5" customHeight="1">
      <c r="A24" s="11">
        <v>19</v>
      </c>
      <c r="B24" s="262"/>
      <c r="C24" s="263"/>
      <c r="D24" s="10"/>
      <c r="E24" s="12"/>
      <c r="F24" s="10"/>
      <c r="G24" s="12"/>
      <c r="H24" s="10"/>
      <c r="I24" s="10"/>
      <c r="J24" s="10"/>
      <c r="K24" s="10"/>
      <c r="L24" s="10"/>
      <c r="M24" s="15"/>
      <c r="N24" s="260"/>
      <c r="O24" s="261"/>
    </row>
    <row r="25" spans="1:15">
      <c r="A25" s="11">
        <v>20</v>
      </c>
      <c r="B25" s="262"/>
      <c r="C25" s="263"/>
      <c r="D25" s="10"/>
      <c r="E25" s="12"/>
      <c r="F25" s="10"/>
      <c r="G25" s="12"/>
      <c r="H25" s="10"/>
      <c r="I25" s="10"/>
      <c r="J25" s="10"/>
      <c r="K25" s="10"/>
      <c r="L25" s="10"/>
      <c r="M25" s="15"/>
      <c r="N25" s="260"/>
      <c r="O25" s="261"/>
    </row>
    <row r="26" spans="1:15">
      <c r="A26" s="11">
        <v>21</v>
      </c>
      <c r="B26" s="262"/>
      <c r="C26" s="263"/>
      <c r="D26" s="10"/>
      <c r="E26" s="12"/>
      <c r="F26" s="10"/>
      <c r="G26" s="12"/>
      <c r="H26" s="10"/>
      <c r="I26" s="10"/>
      <c r="J26" s="10"/>
      <c r="K26" s="10"/>
      <c r="L26" s="10"/>
      <c r="M26" s="15"/>
      <c r="N26" s="260"/>
      <c r="O26" s="261"/>
    </row>
    <row r="27" spans="1:15">
      <c r="A27" s="11">
        <v>22</v>
      </c>
      <c r="B27" s="262"/>
      <c r="C27" s="263"/>
      <c r="D27" s="10"/>
      <c r="E27" s="12"/>
      <c r="F27" s="10"/>
      <c r="G27" s="12"/>
      <c r="H27" s="10"/>
      <c r="I27" s="10"/>
      <c r="J27" s="10"/>
      <c r="K27" s="10"/>
      <c r="L27" s="10"/>
      <c r="M27" s="15"/>
      <c r="N27" s="260"/>
      <c r="O27" s="261"/>
    </row>
    <row r="28" spans="1:15">
      <c r="A28" s="11">
        <v>23</v>
      </c>
      <c r="B28" s="262"/>
      <c r="C28" s="263"/>
      <c r="D28" s="10"/>
      <c r="E28" s="12"/>
      <c r="F28" s="10"/>
      <c r="G28" s="12"/>
      <c r="H28" s="10"/>
      <c r="I28" s="10"/>
      <c r="J28" s="10"/>
      <c r="K28" s="10"/>
      <c r="L28" s="10"/>
      <c r="M28" s="15"/>
    </row>
    <row r="29" spans="1:15">
      <c r="A29" s="11">
        <v>24</v>
      </c>
      <c r="B29" s="262"/>
      <c r="C29" s="263"/>
      <c r="D29" s="10"/>
      <c r="E29" s="12"/>
      <c r="F29" s="10"/>
      <c r="G29" s="12"/>
      <c r="H29" s="10"/>
      <c r="I29" s="10"/>
      <c r="J29" s="10"/>
      <c r="K29" s="10"/>
      <c r="L29" s="10"/>
      <c r="M29" s="15"/>
    </row>
    <row r="30" spans="1:15">
      <c r="A30" s="11">
        <v>25</v>
      </c>
      <c r="B30" s="262"/>
      <c r="C30" s="263"/>
      <c r="D30" s="12"/>
      <c r="E30" s="12"/>
      <c r="F30" s="12"/>
      <c r="G30" s="12"/>
      <c r="H30" s="10"/>
      <c r="I30" s="10"/>
      <c r="J30" s="10"/>
      <c r="K30" s="10"/>
      <c r="L30" s="10"/>
      <c r="M30" s="15"/>
    </row>
    <row r="31" spans="1:15">
      <c r="A31" s="11">
        <v>26</v>
      </c>
      <c r="B31" s="262"/>
      <c r="C31" s="263"/>
      <c r="D31" s="12"/>
      <c r="E31" s="12"/>
      <c r="F31" s="12"/>
      <c r="G31" s="12"/>
      <c r="H31" s="10"/>
      <c r="I31" s="10"/>
      <c r="J31" s="10"/>
      <c r="K31" s="10"/>
      <c r="L31" s="10"/>
      <c r="M31" s="15"/>
    </row>
    <row r="32" spans="1:15">
      <c r="A32" s="11">
        <v>27</v>
      </c>
      <c r="B32" s="262"/>
      <c r="C32" s="263"/>
      <c r="D32" s="10"/>
      <c r="E32" s="10"/>
      <c r="F32" s="10"/>
      <c r="G32" s="10"/>
      <c r="H32" s="10"/>
      <c r="I32" s="10"/>
      <c r="J32" s="10"/>
      <c r="K32" s="10"/>
      <c r="L32" s="10"/>
      <c r="M32" s="15"/>
    </row>
    <row r="33" spans="1:13" ht="31.5" customHeight="1">
      <c r="A33" s="264" t="s">
        <v>203</v>
      </c>
      <c r="B33" s="265"/>
      <c r="C33" s="266"/>
      <c r="D33" s="13">
        <f t="shared" ref="D33:I33" si="0">SUM(D6:D32)</f>
        <v>822.86282732011171</v>
      </c>
      <c r="E33" s="13">
        <f t="shared" si="0"/>
        <v>1150.8073973201122</v>
      </c>
      <c r="F33" s="13">
        <f t="shared" si="0"/>
        <v>1456.5236390801126</v>
      </c>
      <c r="G33" s="13">
        <f t="shared" si="0"/>
        <v>451.03258233309452</v>
      </c>
      <c r="H33" s="13">
        <f t="shared" si="0"/>
        <v>790.54782732011176</v>
      </c>
      <c r="I33" s="13">
        <f t="shared" si="0"/>
        <v>1117.8323973201118</v>
      </c>
      <c r="J33" s="13"/>
      <c r="K33" s="13"/>
      <c r="L33" s="13"/>
      <c r="M33" s="15"/>
    </row>
    <row r="34" spans="1:13">
      <c r="C34" s="6" t="s">
        <v>262</v>
      </c>
      <c r="D34" s="166">
        <v>908.72333511850672</v>
      </c>
      <c r="E34" s="24">
        <v>850</v>
      </c>
      <c r="F34" s="24">
        <f>D34-E34</f>
        <v>58.723335118506725</v>
      </c>
    </row>
    <row r="35" spans="1:13">
      <c r="C35" s="6" t="s">
        <v>263</v>
      </c>
      <c r="D35" s="24">
        <v>449.57355334714765</v>
      </c>
      <c r="E35" s="24">
        <v>393</v>
      </c>
      <c r="F35" s="24">
        <f>D35-E35</f>
        <v>56.573553347147651</v>
      </c>
    </row>
    <row r="36" spans="1:13">
      <c r="C36" s="6" t="s">
        <v>264</v>
      </c>
      <c r="D36" s="199">
        <f>SUM(D34:D35)</f>
        <v>1358.2968884656543</v>
      </c>
      <c r="E36" s="24">
        <f t="shared" ref="E36:F36" si="1">SUM(E34:E35)</f>
        <v>1243</v>
      </c>
      <c r="F36" s="24">
        <f t="shared" si="1"/>
        <v>115.29688846565438</v>
      </c>
    </row>
    <row r="38" spans="1:13" ht="27.75" customHeight="1">
      <c r="D38" s="259" t="s">
        <v>252</v>
      </c>
      <c r="E38" s="259"/>
      <c r="F38" s="259"/>
      <c r="G38" s="259"/>
      <c r="H38" s="259"/>
      <c r="I38" s="259"/>
      <c r="J38" s="259"/>
      <c r="K38" s="259"/>
      <c r="L38" s="259"/>
      <c r="M38" s="259"/>
    </row>
    <row r="39" spans="1:13">
      <c r="D39" s="271" t="s">
        <v>236</v>
      </c>
      <c r="E39" s="273" t="s">
        <v>237</v>
      </c>
      <c r="F39" s="274"/>
      <c r="G39" s="274"/>
      <c r="H39" s="274"/>
      <c r="I39" s="274"/>
      <c r="J39" s="274"/>
      <c r="K39" s="274"/>
      <c r="L39" s="274"/>
      <c r="M39" s="275"/>
    </row>
    <row r="40" spans="1:13">
      <c r="D40" s="272"/>
      <c r="E40" s="170" t="s">
        <v>247</v>
      </c>
      <c r="F40" s="170" t="s">
        <v>248</v>
      </c>
      <c r="G40" s="170" t="s">
        <v>249</v>
      </c>
      <c r="H40" s="170" t="s">
        <v>250</v>
      </c>
      <c r="I40" s="178" t="s">
        <v>251</v>
      </c>
      <c r="J40" s="204"/>
      <c r="K40" s="204"/>
      <c r="L40" s="204"/>
      <c r="M40" s="170"/>
    </row>
    <row r="41" spans="1:13" ht="33">
      <c r="D41" s="187" t="s">
        <v>298</v>
      </c>
      <c r="E41" s="12">
        <v>952.1</v>
      </c>
      <c r="F41" s="175">
        <f>E41*(1-0.02)</f>
        <v>933.05799999999999</v>
      </c>
      <c r="G41" s="175">
        <f>F41*(1-0.02)</f>
        <v>914.39684</v>
      </c>
      <c r="H41" s="175">
        <f>G41*(1-0.02)</f>
        <v>896.10890319999999</v>
      </c>
      <c r="I41" s="175">
        <f>H41*(1-0.02)</f>
        <v>878.18672513599995</v>
      </c>
      <c r="J41" s="175"/>
      <c r="K41" s="175"/>
      <c r="L41" s="175"/>
      <c r="M41" s="175"/>
    </row>
    <row r="42" spans="1:13" ht="33">
      <c r="D42" s="187" t="s">
        <v>299</v>
      </c>
      <c r="E42" s="12">
        <v>1170.4100000000001</v>
      </c>
      <c r="F42" s="175">
        <f>E42*(1-0.02)</f>
        <v>1147.0018</v>
      </c>
      <c r="G42" s="175">
        <f>F42*(1-0.02)</f>
        <v>1124.061764</v>
      </c>
      <c r="H42" s="175">
        <f t="shared" ref="H42:I46" si="2">G42*(1-0.05)</f>
        <v>1067.8586757999999</v>
      </c>
      <c r="I42" s="175">
        <f t="shared" si="2"/>
        <v>1014.4657420099999</v>
      </c>
      <c r="J42" s="175"/>
      <c r="K42" s="175"/>
      <c r="L42" s="175"/>
      <c r="M42" s="175"/>
    </row>
    <row r="43" spans="1:13" ht="33">
      <c r="D43" s="187" t="s">
        <v>300</v>
      </c>
      <c r="E43" s="12">
        <v>1486.87</v>
      </c>
      <c r="F43" s="175">
        <f>E43*(1-0.02)</f>
        <v>1457.1325999999999</v>
      </c>
      <c r="G43" s="175">
        <f>F43*(1-0.02)</f>
        <v>1427.9899479999999</v>
      </c>
      <c r="H43" s="175">
        <f t="shared" si="2"/>
        <v>1356.5904505999999</v>
      </c>
      <c r="I43" s="175">
        <f t="shared" si="2"/>
        <v>1288.7609280699999</v>
      </c>
      <c r="J43" s="175"/>
      <c r="K43" s="175"/>
      <c r="L43" s="175"/>
      <c r="M43" s="175"/>
    </row>
    <row r="44" spans="1:13">
      <c r="D44" s="187" t="s">
        <v>301</v>
      </c>
      <c r="E44" s="12">
        <v>441.05</v>
      </c>
      <c r="F44" s="175">
        <f>E44*(1-0.02)</f>
        <v>432.22899999999998</v>
      </c>
      <c r="G44" s="175">
        <f t="shared" ref="G44:G49" si="3">F44*(1-0.02)</f>
        <v>423.58441999999997</v>
      </c>
      <c r="H44" s="175">
        <f t="shared" si="2"/>
        <v>402.40519899999993</v>
      </c>
      <c r="I44" s="175">
        <f t="shared" si="2"/>
        <v>382.28493904999993</v>
      </c>
      <c r="J44" s="175"/>
      <c r="K44" s="175"/>
      <c r="L44" s="175"/>
      <c r="M44" s="175"/>
    </row>
    <row r="45" spans="1:13" ht="33">
      <c r="D45" s="187" t="s">
        <v>298</v>
      </c>
      <c r="E45" s="12">
        <v>945.1</v>
      </c>
      <c r="F45" s="175">
        <f>E45*(1-0.02)</f>
        <v>926.19799999999998</v>
      </c>
      <c r="G45" s="175">
        <f t="shared" si="3"/>
        <v>907.67403999999999</v>
      </c>
      <c r="H45" s="175">
        <f t="shared" si="2"/>
        <v>862.29033799999991</v>
      </c>
      <c r="I45" s="175">
        <f t="shared" si="2"/>
        <v>819.17582109999989</v>
      </c>
      <c r="J45" s="175"/>
      <c r="K45" s="175"/>
      <c r="L45" s="175"/>
      <c r="M45" s="175"/>
    </row>
    <row r="46" spans="1:13" ht="33">
      <c r="D46" s="187" t="s">
        <v>299</v>
      </c>
      <c r="E46" s="12">
        <v>1163.4100000000001</v>
      </c>
      <c r="F46" s="175">
        <f>E46*(1-0.02)</f>
        <v>1140.1418000000001</v>
      </c>
      <c r="G46" s="175">
        <f t="shared" si="3"/>
        <v>1117.338964</v>
      </c>
      <c r="H46" s="175">
        <f t="shared" si="2"/>
        <v>1061.4720158</v>
      </c>
      <c r="I46" s="175">
        <f t="shared" si="2"/>
        <v>1008.39841501</v>
      </c>
      <c r="J46" s="175"/>
      <c r="K46" s="175"/>
      <c r="L46" s="175"/>
      <c r="M46" s="175"/>
    </row>
    <row r="47" spans="1:13" ht="33">
      <c r="D47" s="187" t="s">
        <v>300</v>
      </c>
      <c r="E47" s="12">
        <v>1479.87</v>
      </c>
      <c r="F47" s="175">
        <f t="shared" ref="F47:F49" si="4">E47*(1-0.02)</f>
        <v>1450.2725999999998</v>
      </c>
      <c r="G47" s="175">
        <f t="shared" si="3"/>
        <v>1421.2671479999997</v>
      </c>
      <c r="H47" s="15"/>
      <c r="I47" s="15"/>
      <c r="J47" s="15"/>
      <c r="K47" s="15"/>
      <c r="L47" s="15"/>
      <c r="M47" s="15"/>
    </row>
    <row r="48" spans="1:13">
      <c r="D48" s="187" t="s">
        <v>301</v>
      </c>
      <c r="E48" s="12">
        <v>473.05</v>
      </c>
      <c r="F48" s="175">
        <f t="shared" si="4"/>
        <v>463.589</v>
      </c>
      <c r="G48" s="175">
        <f t="shared" si="3"/>
        <v>454.31721999999996</v>
      </c>
      <c r="H48" s="15"/>
      <c r="I48" s="15"/>
      <c r="J48" s="15"/>
      <c r="K48" s="15"/>
      <c r="L48" s="15"/>
      <c r="M48" s="15"/>
    </row>
    <row r="49" spans="4:13">
      <c r="D49" s="187" t="s">
        <v>302</v>
      </c>
      <c r="E49" s="12">
        <v>55</v>
      </c>
      <c r="F49" s="175">
        <f t="shared" si="4"/>
        <v>53.9</v>
      </c>
      <c r="G49" s="175">
        <f t="shared" si="3"/>
        <v>52.821999999999996</v>
      </c>
      <c r="H49" s="15"/>
      <c r="I49" s="15"/>
      <c r="J49" s="15"/>
      <c r="K49" s="15"/>
      <c r="L49" s="15"/>
      <c r="M49" s="15"/>
    </row>
  </sheetData>
  <mergeCells count="57">
    <mergeCell ref="G3:I3"/>
    <mergeCell ref="D38:M38"/>
    <mergeCell ref="D39:D40"/>
    <mergeCell ref="E39:M39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8:C18"/>
    <mergeCell ref="B19:C19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5:O25"/>
    <mergeCell ref="N26:O26"/>
    <mergeCell ref="N27:O27"/>
    <mergeCell ref="B23:C23"/>
    <mergeCell ref="N20:O20"/>
    <mergeCell ref="N21:O21"/>
    <mergeCell ref="N22:O22"/>
    <mergeCell ref="N23:O23"/>
    <mergeCell ref="N24:O24"/>
    <mergeCell ref="B20:C2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D11" sqref="D11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17</v>
      </c>
      <c r="B1" s="1" t="s">
        <v>204</v>
      </c>
      <c r="C1" s="1" t="s">
        <v>205</v>
      </c>
      <c r="D1" s="1" t="s">
        <v>206</v>
      </c>
      <c r="E1" s="1" t="s">
        <v>207</v>
      </c>
    </row>
    <row r="2" spans="1:6" ht="19.5" customHeight="1">
      <c r="A2" s="1">
        <v>1</v>
      </c>
      <c r="B2" s="1" t="s">
        <v>208</v>
      </c>
      <c r="C2" s="163"/>
      <c r="D2" s="1"/>
      <c r="E2" s="1"/>
    </row>
    <row r="3" spans="1:6" ht="19.5" customHeight="1">
      <c r="A3" s="1">
        <v>2</v>
      </c>
      <c r="B3" s="1" t="s">
        <v>209</v>
      </c>
      <c r="C3" s="163"/>
      <c r="D3" s="1"/>
      <c r="E3" s="1"/>
    </row>
    <row r="4" spans="1:6" ht="19.5" customHeight="1">
      <c r="A4" s="1">
        <v>3</v>
      </c>
      <c r="B4" s="1" t="s">
        <v>210</v>
      </c>
      <c r="C4" s="163"/>
      <c r="D4" s="1"/>
      <c r="E4" s="1"/>
    </row>
    <row r="5" spans="1:6" ht="19.5" customHeight="1">
      <c r="A5" s="1">
        <v>4</v>
      </c>
      <c r="B5" s="1" t="s">
        <v>211</v>
      </c>
      <c r="C5" s="163"/>
      <c r="D5" s="1"/>
      <c r="E5" s="1"/>
    </row>
    <row r="6" spans="1:6" ht="35.25" customHeight="1">
      <c r="A6" s="1">
        <v>5</v>
      </c>
      <c r="B6" s="1" t="s">
        <v>212</v>
      </c>
      <c r="C6" s="163"/>
      <c r="D6" s="1"/>
      <c r="E6" s="1"/>
    </row>
    <row r="7" spans="1:6" ht="37.5" customHeight="1">
      <c r="A7" s="1">
        <v>6</v>
      </c>
      <c r="B7" s="1" t="s">
        <v>213</v>
      </c>
      <c r="C7" s="163"/>
      <c r="D7" s="1"/>
      <c r="E7" s="1"/>
    </row>
    <row r="8" spans="1:6" ht="42.75" customHeight="1">
      <c r="A8" s="1">
        <v>7</v>
      </c>
      <c r="B8" s="1" t="s">
        <v>214</v>
      </c>
      <c r="C8" s="163"/>
      <c r="D8" s="1"/>
      <c r="E8" s="1"/>
    </row>
    <row r="9" spans="1:6" ht="39" customHeight="1">
      <c r="A9" s="1">
        <v>8</v>
      </c>
      <c r="B9" s="1" t="s">
        <v>215</v>
      </c>
      <c r="C9" s="163"/>
      <c r="D9" s="1"/>
      <c r="E9" s="1"/>
    </row>
    <row r="10" spans="1:6" ht="36" customHeight="1">
      <c r="A10" s="1">
        <v>9</v>
      </c>
      <c r="B10" s="1" t="s">
        <v>216</v>
      </c>
      <c r="C10" s="163"/>
      <c r="D10" s="1"/>
      <c r="E10" s="1"/>
    </row>
    <row r="11" spans="1:6" ht="35.25" customHeight="1">
      <c r="A11" s="1">
        <v>10</v>
      </c>
      <c r="B11" s="1" t="s">
        <v>217</v>
      </c>
      <c r="C11" s="163"/>
      <c r="D11" s="1"/>
      <c r="E11" s="1"/>
      <c r="F11" s="164" t="s">
        <v>235</v>
      </c>
    </row>
    <row r="12" spans="1:6" ht="19.5" customHeight="1">
      <c r="A12" s="1">
        <v>11</v>
      </c>
      <c r="B12" s="1" t="s">
        <v>218</v>
      </c>
      <c r="C12" s="163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7"/>
  <sheetViews>
    <sheetView workbookViewId="0">
      <selection activeCell="I6" sqref="I6"/>
    </sheetView>
  </sheetViews>
  <sheetFormatPr defaultColWidth="9" defaultRowHeight="13.5"/>
  <cols>
    <col min="1" max="2" width="9" style="67"/>
    <col min="3" max="5" width="15.75" style="67" customWidth="1"/>
    <col min="6" max="8" width="11.125" style="67" customWidth="1"/>
    <col min="9" max="9" width="12.875" style="150" customWidth="1"/>
    <col min="10" max="16384" width="9" style="67"/>
  </cols>
  <sheetData>
    <row r="1" spans="1:12" s="147" customFormat="1" ht="18.75" customHeight="1">
      <c r="G1" s="286" t="s">
        <v>219</v>
      </c>
      <c r="H1" s="286"/>
      <c r="I1" s="148"/>
    </row>
    <row r="2" spans="1:12" ht="39" customHeight="1">
      <c r="A2" s="292" t="s">
        <v>220</v>
      </c>
      <c r="B2" s="292"/>
      <c r="C2" s="288" t="s">
        <v>221</v>
      </c>
      <c r="D2" s="293"/>
      <c r="E2" s="293"/>
      <c r="F2" s="293"/>
      <c r="G2" s="293"/>
      <c r="H2" s="289"/>
      <c r="I2" s="149" t="s">
        <v>228</v>
      </c>
      <c r="K2" s="169"/>
      <c r="L2" s="169"/>
    </row>
    <row r="3" spans="1:12" ht="34.5" customHeight="1">
      <c r="A3" s="292"/>
      <c r="B3" s="292"/>
      <c r="C3" s="158" t="s">
        <v>230</v>
      </c>
      <c r="D3" s="158" t="s">
        <v>231</v>
      </c>
      <c r="E3" s="158" t="s">
        <v>229</v>
      </c>
      <c r="F3" s="159" t="s">
        <v>234</v>
      </c>
      <c r="G3" s="159" t="s">
        <v>233</v>
      </c>
      <c r="H3" s="159" t="s">
        <v>232</v>
      </c>
      <c r="I3" s="162">
        <f>销量!C8</f>
        <v>1170</v>
      </c>
    </row>
    <row r="4" spans="1:12" ht="24" customHeight="1">
      <c r="A4" s="287" t="s">
        <v>222</v>
      </c>
      <c r="B4" s="287"/>
      <c r="C4" s="3"/>
      <c r="D4" s="151"/>
      <c r="E4" s="152">
        <f>$I$3*F4</f>
        <v>65.777384055772757</v>
      </c>
      <c r="F4" s="181">
        <v>5.6219986372455351E-2</v>
      </c>
      <c r="G4" s="152"/>
      <c r="H4" s="153">
        <v>4.48E-2</v>
      </c>
      <c r="I4" s="150">
        <v>4.3099999999999999E-2</v>
      </c>
      <c r="J4" s="167"/>
      <c r="K4" s="68"/>
      <c r="L4" s="68"/>
    </row>
    <row r="5" spans="1:12" ht="24" customHeight="1">
      <c r="A5" s="287" t="s">
        <v>223</v>
      </c>
      <c r="B5" s="154" t="s">
        <v>224</v>
      </c>
      <c r="C5" s="3"/>
      <c r="D5" s="151"/>
      <c r="E5" s="152">
        <v>0</v>
      </c>
      <c r="F5" s="153">
        <v>4.4999999999999998E-2</v>
      </c>
      <c r="G5" s="153"/>
      <c r="H5" s="153">
        <v>4.0399999999999998E-2</v>
      </c>
      <c r="J5" s="168"/>
      <c r="K5" s="68"/>
      <c r="L5" s="68"/>
    </row>
    <row r="6" spans="1:12" ht="24" customHeight="1">
      <c r="A6" s="287"/>
      <c r="B6" s="154" t="s">
        <v>225</v>
      </c>
      <c r="C6" s="3"/>
      <c r="D6" s="151"/>
      <c r="E6" s="152">
        <f t="shared" ref="E6" si="0">$I$3*F6</f>
        <v>17.638907833259626</v>
      </c>
      <c r="F6" s="181">
        <v>1.5075989601076605E-2</v>
      </c>
      <c r="G6" s="152"/>
      <c r="H6" s="153">
        <v>1.66E-2</v>
      </c>
      <c r="I6" s="150">
        <v>2.1700000000000001E-2</v>
      </c>
      <c r="J6" s="167"/>
      <c r="K6" s="68"/>
      <c r="L6" s="68"/>
    </row>
    <row r="7" spans="1:12" ht="24" customHeight="1">
      <c r="A7" s="288" t="s">
        <v>226</v>
      </c>
      <c r="B7" s="289"/>
      <c r="C7" s="155"/>
      <c r="D7" s="156"/>
      <c r="E7" s="152">
        <f>$I$3*F7</f>
        <v>136.06629188903239</v>
      </c>
      <c r="F7" s="180">
        <f>SUM(F4:F6)</f>
        <v>0.11629597597353196</v>
      </c>
      <c r="G7" s="152"/>
      <c r="H7" s="157">
        <f>SUM(H4:H6)</f>
        <v>0.1018</v>
      </c>
      <c r="I7" s="150">
        <f>SUM(I4:I6)</f>
        <v>6.4799999999999996E-2</v>
      </c>
      <c r="J7" s="167"/>
      <c r="K7" s="68"/>
      <c r="L7" s="68"/>
    </row>
    <row r="8" spans="1:12" ht="24" customHeight="1">
      <c r="A8" s="287" t="s">
        <v>49</v>
      </c>
      <c r="B8" s="287"/>
      <c r="C8" s="3"/>
      <c r="D8" s="151"/>
      <c r="E8" s="152">
        <v>0</v>
      </c>
      <c r="F8" s="182">
        <v>0.03</v>
      </c>
      <c r="G8" s="152"/>
      <c r="H8" s="153">
        <f>1.97%+0.75%</f>
        <v>2.7199999999999998E-2</v>
      </c>
      <c r="J8" s="168"/>
      <c r="K8" s="68"/>
      <c r="L8" s="68"/>
    </row>
    <row r="9" spans="1:12" ht="24" customHeight="1">
      <c r="A9" s="290" t="s">
        <v>227</v>
      </c>
      <c r="B9" s="154" t="s">
        <v>224</v>
      </c>
      <c r="C9" s="3"/>
      <c r="D9" s="151"/>
      <c r="E9" s="152">
        <v>0</v>
      </c>
      <c r="F9" s="153">
        <v>7.0000000000000001E-3</v>
      </c>
      <c r="G9" s="152"/>
      <c r="H9" s="153">
        <v>5.3E-3</v>
      </c>
      <c r="J9" s="150"/>
      <c r="K9" s="68"/>
      <c r="L9" s="68"/>
    </row>
    <row r="10" spans="1:12" ht="24" customHeight="1">
      <c r="A10" s="291"/>
      <c r="B10" s="154" t="s">
        <v>225</v>
      </c>
      <c r="C10" s="3"/>
      <c r="D10" s="151"/>
      <c r="E10" s="152">
        <f>$I$3*I10</f>
        <v>46.79999999999999</v>
      </c>
      <c r="F10" s="150">
        <f>2.8%+1.2%</f>
        <v>3.9999999999999994E-2</v>
      </c>
      <c r="G10" s="152"/>
      <c r="H10" s="153">
        <v>3.4099999999999998E-2</v>
      </c>
      <c r="I10" s="150">
        <f>2.8%+1.2%</f>
        <v>3.9999999999999994E-2</v>
      </c>
      <c r="J10" s="150"/>
      <c r="K10" s="68"/>
      <c r="L10" s="68"/>
    </row>
    <row r="11" spans="1:12" ht="24" customHeight="1">
      <c r="A11" s="287" t="s">
        <v>52</v>
      </c>
      <c r="B11" s="287"/>
      <c r="C11" s="3"/>
      <c r="D11" s="151"/>
      <c r="E11" s="152">
        <f t="shared" ref="E11" si="1">$I$3*F11</f>
        <v>46.800000000000004</v>
      </c>
      <c r="F11" s="153">
        <v>0.04</v>
      </c>
      <c r="G11" s="152"/>
      <c r="H11" s="153">
        <v>1.0999999999999999E-2</v>
      </c>
      <c r="I11" s="150">
        <v>0.03</v>
      </c>
      <c r="J11" s="150"/>
      <c r="K11" s="68"/>
      <c r="L11" s="68"/>
    </row>
    <row r="15" spans="1:12">
      <c r="A15" s="147"/>
      <c r="B15" s="147"/>
      <c r="C15" s="147"/>
      <c r="D15" s="147"/>
      <c r="E15" s="147"/>
      <c r="F15" s="147"/>
      <c r="G15" s="286" t="s">
        <v>219</v>
      </c>
      <c r="H15" s="286"/>
      <c r="I15" s="148"/>
    </row>
    <row r="16" spans="1:12">
      <c r="A16" s="292" t="s">
        <v>220</v>
      </c>
      <c r="B16" s="292"/>
      <c r="C16" s="288" t="s">
        <v>221</v>
      </c>
      <c r="D16" s="293"/>
      <c r="E16" s="293"/>
      <c r="F16" s="293"/>
      <c r="G16" s="293"/>
      <c r="H16" s="289"/>
      <c r="I16" s="149" t="s">
        <v>228</v>
      </c>
    </row>
    <row r="17" spans="1:9" ht="27">
      <c r="A17" s="292"/>
      <c r="B17" s="292"/>
      <c r="C17" s="158" t="s">
        <v>230</v>
      </c>
      <c r="D17" s="158" t="s">
        <v>231</v>
      </c>
      <c r="E17" s="158" t="s">
        <v>229</v>
      </c>
      <c r="F17" s="159" t="s">
        <v>234</v>
      </c>
      <c r="G17" s="159" t="s">
        <v>233</v>
      </c>
      <c r="H17" s="159" t="s">
        <v>232</v>
      </c>
      <c r="I17" s="162">
        <f>销量!D8</f>
        <v>1372</v>
      </c>
    </row>
    <row r="18" spans="1:9">
      <c r="A18" s="287" t="s">
        <v>222</v>
      </c>
      <c r="B18" s="287"/>
      <c r="C18" s="3"/>
      <c r="D18" s="151"/>
      <c r="E18" s="152">
        <f>$I$17*F18</f>
        <v>77.133821303008745</v>
      </c>
      <c r="F18" s="181">
        <v>5.6219986372455351E-2</v>
      </c>
      <c r="G18" s="152"/>
      <c r="H18" s="153">
        <v>4.48E-2</v>
      </c>
      <c r="I18" s="150">
        <v>4.3099999999999999E-2</v>
      </c>
    </row>
    <row r="19" spans="1:9">
      <c r="A19" s="287" t="s">
        <v>223</v>
      </c>
      <c r="B19" s="179" t="s">
        <v>224</v>
      </c>
      <c r="C19" s="3"/>
      <c r="D19" s="151"/>
      <c r="E19" s="152">
        <v>0</v>
      </c>
      <c r="F19" s="153">
        <v>4.4999999999999998E-2</v>
      </c>
      <c r="G19" s="152"/>
      <c r="H19" s="153">
        <v>4.0399999999999998E-2</v>
      </c>
    </row>
    <row r="20" spans="1:9">
      <c r="A20" s="287"/>
      <c r="B20" s="179" t="s">
        <v>225</v>
      </c>
      <c r="C20" s="3"/>
      <c r="D20" s="151"/>
      <c r="E20" s="152">
        <f t="shared" ref="E20:E25" si="2">$I$17*F20</f>
        <v>20.684257732677104</v>
      </c>
      <c r="F20" s="181">
        <v>1.5075989601076605E-2</v>
      </c>
      <c r="G20" s="152"/>
      <c r="H20" s="153">
        <v>1.66E-2</v>
      </c>
      <c r="I20" s="150">
        <v>2.1700000000000001E-2</v>
      </c>
    </row>
    <row r="21" spans="1:9">
      <c r="A21" s="288" t="s">
        <v>226</v>
      </c>
      <c r="B21" s="289"/>
      <c r="C21" s="155"/>
      <c r="D21" s="156"/>
      <c r="E21" s="152">
        <f t="shared" si="2"/>
        <v>159.55807903568584</v>
      </c>
      <c r="F21" s="180">
        <f>SUM(F18:F20)</f>
        <v>0.11629597597353196</v>
      </c>
      <c r="G21" s="152"/>
      <c r="H21" s="157">
        <f>SUM(H18:H20)</f>
        <v>0.1018</v>
      </c>
      <c r="I21" s="150">
        <f>SUM(I18:I20)</f>
        <v>6.4799999999999996E-2</v>
      </c>
    </row>
    <row r="22" spans="1:9">
      <c r="A22" s="287" t="s">
        <v>49</v>
      </c>
      <c r="B22" s="287"/>
      <c r="C22" s="3"/>
      <c r="D22" s="151"/>
      <c r="E22" s="152">
        <v>0</v>
      </c>
      <c r="F22" s="182">
        <v>0.03</v>
      </c>
      <c r="G22" s="152"/>
      <c r="H22" s="153">
        <f>1.97%+0.75%</f>
        <v>2.7199999999999998E-2</v>
      </c>
    </row>
    <row r="23" spans="1:9">
      <c r="A23" s="290" t="s">
        <v>227</v>
      </c>
      <c r="B23" s="179" t="s">
        <v>224</v>
      </c>
      <c r="C23" s="3"/>
      <c r="D23" s="151"/>
      <c r="E23" s="152">
        <v>0</v>
      </c>
      <c r="F23" s="153">
        <v>7.0000000000000001E-3</v>
      </c>
      <c r="G23" s="152"/>
      <c r="H23" s="153">
        <v>5.3E-3</v>
      </c>
    </row>
    <row r="24" spans="1:9">
      <c r="A24" s="291"/>
      <c r="B24" s="179" t="s">
        <v>225</v>
      </c>
      <c r="C24" s="3"/>
      <c r="D24" s="151"/>
      <c r="E24" s="152">
        <f>$I$17*I24</f>
        <v>54.879999999999988</v>
      </c>
      <c r="F24" s="150">
        <f>2.8%+1.2%</f>
        <v>3.9999999999999994E-2</v>
      </c>
      <c r="G24" s="152"/>
      <c r="H24" s="153">
        <v>3.4099999999999998E-2</v>
      </c>
      <c r="I24" s="150">
        <f>2.8%+1.2%</f>
        <v>3.9999999999999994E-2</v>
      </c>
    </row>
    <row r="25" spans="1:9">
      <c r="A25" s="287" t="s">
        <v>52</v>
      </c>
      <c r="B25" s="287"/>
      <c r="C25" s="3"/>
      <c r="D25" s="151"/>
      <c r="E25" s="152">
        <f t="shared" si="2"/>
        <v>54.88</v>
      </c>
      <c r="F25" s="153">
        <v>0.04</v>
      </c>
      <c r="G25" s="152"/>
      <c r="H25" s="153">
        <v>1.0999999999999999E-2</v>
      </c>
      <c r="I25" s="150">
        <v>0.03</v>
      </c>
    </row>
    <row r="29" spans="1:9">
      <c r="A29" s="147"/>
      <c r="B29" s="147"/>
      <c r="C29" s="147"/>
      <c r="D29" s="147"/>
      <c r="E29" s="147"/>
      <c r="F29" s="147"/>
      <c r="G29" s="286" t="s">
        <v>219</v>
      </c>
      <c r="H29" s="286"/>
      <c r="I29" s="148"/>
    </row>
    <row r="30" spans="1:9">
      <c r="A30" s="292" t="s">
        <v>220</v>
      </c>
      <c r="B30" s="292"/>
      <c r="C30" s="288" t="s">
        <v>221</v>
      </c>
      <c r="D30" s="293"/>
      <c r="E30" s="293"/>
      <c r="F30" s="293"/>
      <c r="G30" s="293"/>
      <c r="H30" s="289"/>
      <c r="I30" s="149" t="s">
        <v>228</v>
      </c>
    </row>
    <row r="31" spans="1:9" ht="27">
      <c r="A31" s="292"/>
      <c r="B31" s="292"/>
      <c r="C31" s="158" t="s">
        <v>230</v>
      </c>
      <c r="D31" s="158" t="s">
        <v>231</v>
      </c>
      <c r="E31" s="158" t="s">
        <v>229</v>
      </c>
      <c r="F31" s="159" t="s">
        <v>234</v>
      </c>
      <c r="G31" s="159" t="s">
        <v>233</v>
      </c>
      <c r="H31" s="159" t="s">
        <v>232</v>
      </c>
      <c r="I31" s="162">
        <f>销量!E8</f>
        <v>1730</v>
      </c>
    </row>
    <row r="32" spans="1:9">
      <c r="A32" s="287" t="s">
        <v>222</v>
      </c>
      <c r="B32" s="287"/>
      <c r="C32" s="3"/>
      <c r="D32" s="151"/>
      <c r="E32" s="152">
        <f>$I$31*F32</f>
        <v>97.260576424347761</v>
      </c>
      <c r="F32" s="181">
        <v>5.6219986372455351E-2</v>
      </c>
      <c r="G32" s="152"/>
      <c r="H32" s="153">
        <v>4.48E-2</v>
      </c>
      <c r="I32" s="150">
        <v>4.3099999999999999E-2</v>
      </c>
    </row>
    <row r="33" spans="1:9">
      <c r="A33" s="287" t="s">
        <v>223</v>
      </c>
      <c r="B33" s="179" t="s">
        <v>224</v>
      </c>
      <c r="C33" s="3"/>
      <c r="D33" s="151"/>
      <c r="E33" s="152">
        <v>0</v>
      </c>
      <c r="F33" s="153">
        <v>4.4999999999999998E-2</v>
      </c>
      <c r="G33" s="152"/>
      <c r="H33" s="153">
        <v>4.0399999999999998E-2</v>
      </c>
    </row>
    <row r="34" spans="1:9">
      <c r="A34" s="287"/>
      <c r="B34" s="179" t="s">
        <v>225</v>
      </c>
      <c r="C34" s="3"/>
      <c r="D34" s="151"/>
      <c r="E34" s="152">
        <f t="shared" ref="E34:E39" si="3">$I$31*F34</f>
        <v>26.081462009862527</v>
      </c>
      <c r="F34" s="181">
        <v>1.5075989601076605E-2</v>
      </c>
      <c r="G34" s="152"/>
      <c r="H34" s="153">
        <v>1.66E-2</v>
      </c>
      <c r="I34" s="150">
        <v>2.1700000000000001E-2</v>
      </c>
    </row>
    <row r="35" spans="1:9">
      <c r="A35" s="288" t="s">
        <v>226</v>
      </c>
      <c r="B35" s="289"/>
      <c r="C35" s="155"/>
      <c r="D35" s="156"/>
      <c r="E35" s="152">
        <f t="shared" si="3"/>
        <v>201.1920384342103</v>
      </c>
      <c r="F35" s="180">
        <f>SUM(F32:F34)</f>
        <v>0.11629597597353196</v>
      </c>
      <c r="G35" s="157"/>
      <c r="H35" s="157">
        <f>SUM(H32:H34)</f>
        <v>0.1018</v>
      </c>
      <c r="I35" s="150">
        <f>SUM(I32:I34)</f>
        <v>6.4799999999999996E-2</v>
      </c>
    </row>
    <row r="36" spans="1:9">
      <c r="A36" s="287" t="s">
        <v>49</v>
      </c>
      <c r="B36" s="287"/>
      <c r="C36" s="3"/>
      <c r="D36" s="151"/>
      <c r="E36" s="152">
        <v>0</v>
      </c>
      <c r="F36" s="182">
        <v>0.03</v>
      </c>
      <c r="G36" s="152"/>
      <c r="H36" s="153">
        <f>1.97%+0.75%</f>
        <v>2.7199999999999998E-2</v>
      </c>
    </row>
    <row r="37" spans="1:9">
      <c r="A37" s="290" t="s">
        <v>227</v>
      </c>
      <c r="B37" s="179" t="s">
        <v>224</v>
      </c>
      <c r="C37" s="3"/>
      <c r="D37" s="151"/>
      <c r="E37" s="152">
        <v>0</v>
      </c>
      <c r="F37" s="153">
        <v>7.0000000000000001E-3</v>
      </c>
      <c r="G37" s="152"/>
      <c r="H37" s="153">
        <v>5.3E-3</v>
      </c>
    </row>
    <row r="38" spans="1:9">
      <c r="A38" s="291"/>
      <c r="B38" s="179" t="s">
        <v>225</v>
      </c>
      <c r="C38" s="3"/>
      <c r="D38" s="151"/>
      <c r="E38" s="152">
        <f>$I$31*I38</f>
        <v>69.199999999999989</v>
      </c>
      <c r="F38" s="150">
        <f>2.8%+1.2%</f>
        <v>3.9999999999999994E-2</v>
      </c>
      <c r="G38" s="152"/>
      <c r="H38" s="153">
        <v>3.4099999999999998E-2</v>
      </c>
      <c r="I38" s="150">
        <f>2.8%+1.2%</f>
        <v>3.9999999999999994E-2</v>
      </c>
    </row>
    <row r="39" spans="1:9">
      <c r="A39" s="287" t="s">
        <v>52</v>
      </c>
      <c r="B39" s="287"/>
      <c r="C39" s="3"/>
      <c r="D39" s="151"/>
      <c r="E39" s="152">
        <f t="shared" si="3"/>
        <v>69.2</v>
      </c>
      <c r="F39" s="153">
        <v>0.04</v>
      </c>
      <c r="G39" s="152"/>
      <c r="H39" s="153">
        <v>1.0999999999999999E-2</v>
      </c>
      <c r="I39" s="150">
        <v>0.03</v>
      </c>
    </row>
    <row r="42" spans="1:9">
      <c r="A42" s="147"/>
      <c r="B42" s="147"/>
      <c r="C42" s="147"/>
      <c r="D42" s="147"/>
      <c r="E42" s="147"/>
      <c r="F42" s="147"/>
      <c r="G42" s="286" t="s">
        <v>219</v>
      </c>
      <c r="H42" s="286"/>
      <c r="I42" s="148"/>
    </row>
    <row r="43" spans="1:9">
      <c r="A43" s="292" t="s">
        <v>220</v>
      </c>
      <c r="B43" s="292"/>
      <c r="C43" s="288" t="s">
        <v>221</v>
      </c>
      <c r="D43" s="293"/>
      <c r="E43" s="293"/>
      <c r="F43" s="293"/>
      <c r="G43" s="293"/>
      <c r="H43" s="289"/>
      <c r="I43" s="149" t="s">
        <v>228</v>
      </c>
    </row>
    <row r="44" spans="1:9" ht="27">
      <c r="A44" s="292"/>
      <c r="B44" s="292"/>
      <c r="C44" s="158" t="s">
        <v>230</v>
      </c>
      <c r="D44" s="158" t="s">
        <v>231</v>
      </c>
      <c r="E44" s="158" t="s">
        <v>229</v>
      </c>
      <c r="F44" s="159" t="s">
        <v>234</v>
      </c>
      <c r="G44" s="159" t="s">
        <v>233</v>
      </c>
      <c r="H44" s="159" t="s">
        <v>232</v>
      </c>
      <c r="I44" s="162">
        <f>销量!F8</f>
        <v>500</v>
      </c>
    </row>
    <row r="45" spans="1:9">
      <c r="A45" s="287" t="s">
        <v>222</v>
      </c>
      <c r="B45" s="287"/>
      <c r="C45" s="3"/>
      <c r="D45" s="151"/>
      <c r="E45" s="152">
        <f>$I$44*F45</f>
        <v>28.109993186227676</v>
      </c>
      <c r="F45" s="181">
        <v>5.6219986372455351E-2</v>
      </c>
      <c r="G45" s="152"/>
      <c r="H45" s="153">
        <v>4.48E-2</v>
      </c>
      <c r="I45" s="150">
        <v>4.3099999999999999E-2</v>
      </c>
    </row>
    <row r="46" spans="1:9">
      <c r="A46" s="287" t="s">
        <v>223</v>
      </c>
      <c r="B46" s="179" t="s">
        <v>224</v>
      </c>
      <c r="C46" s="3"/>
      <c r="D46" s="151"/>
      <c r="E46" s="152">
        <v>0</v>
      </c>
      <c r="F46" s="153">
        <v>4.4999999999999998E-2</v>
      </c>
      <c r="G46" s="152"/>
      <c r="H46" s="153">
        <v>4.0399999999999998E-2</v>
      </c>
    </row>
    <row r="47" spans="1:9">
      <c r="A47" s="287"/>
      <c r="B47" s="179" t="s">
        <v>225</v>
      </c>
      <c r="C47" s="3"/>
      <c r="D47" s="151"/>
      <c r="E47" s="152">
        <f t="shared" ref="E47:E52" si="4">$I$44*F47</f>
        <v>7.5379948005383026</v>
      </c>
      <c r="F47" s="181">
        <v>1.5075989601076605E-2</v>
      </c>
      <c r="G47" s="152"/>
      <c r="H47" s="153">
        <v>1.66E-2</v>
      </c>
      <c r="I47" s="150">
        <v>2.1700000000000001E-2</v>
      </c>
    </row>
    <row r="48" spans="1:9">
      <c r="A48" s="288" t="s">
        <v>226</v>
      </c>
      <c r="B48" s="289"/>
      <c r="C48" s="155"/>
      <c r="D48" s="156"/>
      <c r="E48" s="152">
        <f t="shared" si="4"/>
        <v>58.147987986765976</v>
      </c>
      <c r="F48" s="180">
        <f>SUM(F45:F47)</f>
        <v>0.11629597597353196</v>
      </c>
      <c r="G48" s="157"/>
      <c r="H48" s="157">
        <f>SUM(H45:H47)</f>
        <v>0.1018</v>
      </c>
      <c r="I48" s="150">
        <f>SUM(I45:I47)</f>
        <v>6.4799999999999996E-2</v>
      </c>
    </row>
    <row r="49" spans="1:9">
      <c r="A49" s="287" t="s">
        <v>49</v>
      </c>
      <c r="B49" s="287"/>
      <c r="C49" s="3"/>
      <c r="D49" s="151"/>
      <c r="E49" s="152">
        <v>0</v>
      </c>
      <c r="F49" s="182">
        <v>0.03</v>
      </c>
      <c r="G49" s="152"/>
      <c r="H49" s="153">
        <f>1.97%+0.75%</f>
        <v>2.7199999999999998E-2</v>
      </c>
    </row>
    <row r="50" spans="1:9">
      <c r="A50" s="290" t="s">
        <v>227</v>
      </c>
      <c r="B50" s="179" t="s">
        <v>224</v>
      </c>
      <c r="C50" s="3"/>
      <c r="D50" s="151"/>
      <c r="E50" s="152">
        <v>0</v>
      </c>
      <c r="F50" s="153">
        <v>7.0000000000000001E-3</v>
      </c>
      <c r="G50" s="152"/>
      <c r="H50" s="153">
        <v>5.3E-3</v>
      </c>
    </row>
    <row r="51" spans="1:9">
      <c r="A51" s="291"/>
      <c r="B51" s="179" t="s">
        <v>225</v>
      </c>
      <c r="C51" s="3"/>
      <c r="D51" s="151"/>
      <c r="E51" s="152">
        <f>$I$44*I51</f>
        <v>19.999999999999996</v>
      </c>
      <c r="F51" s="150">
        <f>2.8%+1.2%</f>
        <v>3.9999999999999994E-2</v>
      </c>
      <c r="G51" s="152"/>
      <c r="H51" s="153">
        <v>3.4099999999999998E-2</v>
      </c>
      <c r="I51" s="150">
        <f>2.8%+1.2%</f>
        <v>3.9999999999999994E-2</v>
      </c>
    </row>
    <row r="52" spans="1:9">
      <c r="A52" s="287" t="s">
        <v>52</v>
      </c>
      <c r="B52" s="287"/>
      <c r="C52" s="3"/>
      <c r="D52" s="151"/>
      <c r="E52" s="152">
        <f t="shared" si="4"/>
        <v>20</v>
      </c>
      <c r="F52" s="153">
        <v>0.04</v>
      </c>
      <c r="G52" s="152"/>
      <c r="H52" s="153">
        <v>1.0999999999999999E-2</v>
      </c>
      <c r="I52" s="150">
        <v>0.03</v>
      </c>
    </row>
    <row r="55" spans="1:9">
      <c r="A55" s="147"/>
      <c r="B55" s="147"/>
      <c r="C55" s="147"/>
      <c r="D55" s="147"/>
      <c r="E55" s="147"/>
      <c r="F55" s="147"/>
      <c r="G55" s="286" t="s">
        <v>219</v>
      </c>
      <c r="H55" s="286"/>
      <c r="I55" s="148"/>
    </row>
    <row r="56" spans="1:9">
      <c r="A56" s="292" t="s">
        <v>220</v>
      </c>
      <c r="B56" s="292"/>
      <c r="C56" s="288" t="s">
        <v>221</v>
      </c>
      <c r="D56" s="293"/>
      <c r="E56" s="293"/>
      <c r="F56" s="293"/>
      <c r="G56" s="293"/>
      <c r="H56" s="289"/>
      <c r="I56" s="149" t="s">
        <v>228</v>
      </c>
    </row>
    <row r="57" spans="1:9" ht="27">
      <c r="A57" s="292"/>
      <c r="B57" s="292"/>
      <c r="C57" s="158" t="s">
        <v>230</v>
      </c>
      <c r="D57" s="158" t="s">
        <v>231</v>
      </c>
      <c r="E57" s="158" t="s">
        <v>229</v>
      </c>
      <c r="F57" s="159" t="s">
        <v>234</v>
      </c>
      <c r="G57" s="159" t="s">
        <v>233</v>
      </c>
      <c r="H57" s="159" t="s">
        <v>232</v>
      </c>
      <c r="I57" s="162">
        <f>销量!G8</f>
        <v>1170</v>
      </c>
    </row>
    <row r="58" spans="1:9">
      <c r="A58" s="287" t="s">
        <v>222</v>
      </c>
      <c r="B58" s="287"/>
      <c r="C58" s="3"/>
      <c r="D58" s="151"/>
      <c r="E58" s="152">
        <f>$I$57*F58</f>
        <v>65.777384055772757</v>
      </c>
      <c r="F58" s="181">
        <v>5.6219986372455351E-2</v>
      </c>
      <c r="G58" s="152"/>
      <c r="H58" s="153">
        <v>4.48E-2</v>
      </c>
      <c r="I58" s="150">
        <v>4.3099999999999999E-2</v>
      </c>
    </row>
    <row r="59" spans="1:9">
      <c r="A59" s="287" t="s">
        <v>223</v>
      </c>
      <c r="B59" s="179" t="s">
        <v>224</v>
      </c>
      <c r="C59" s="3"/>
      <c r="D59" s="151"/>
      <c r="E59" s="152">
        <v>0</v>
      </c>
      <c r="F59" s="153">
        <v>4.4999999999999998E-2</v>
      </c>
      <c r="G59" s="152"/>
      <c r="H59" s="153">
        <v>4.0399999999999998E-2</v>
      </c>
    </row>
    <row r="60" spans="1:9">
      <c r="A60" s="287"/>
      <c r="B60" s="179" t="s">
        <v>225</v>
      </c>
      <c r="C60" s="3"/>
      <c r="D60" s="151"/>
      <c r="E60" s="152">
        <f t="shared" ref="E60:E65" si="5">$I$57*F60</f>
        <v>17.638907833259626</v>
      </c>
      <c r="F60" s="181">
        <v>1.5075989601076605E-2</v>
      </c>
      <c r="G60" s="152"/>
      <c r="H60" s="153">
        <v>1.66E-2</v>
      </c>
      <c r="I60" s="150">
        <v>2.1700000000000001E-2</v>
      </c>
    </row>
    <row r="61" spans="1:9">
      <c r="A61" s="288" t="s">
        <v>226</v>
      </c>
      <c r="B61" s="289"/>
      <c r="C61" s="155"/>
      <c r="D61" s="156"/>
      <c r="E61" s="152">
        <f t="shared" si="5"/>
        <v>136.06629188903239</v>
      </c>
      <c r="F61" s="180">
        <f>SUM(F58:F60)</f>
        <v>0.11629597597353196</v>
      </c>
      <c r="G61" s="157"/>
      <c r="H61" s="157">
        <f>SUM(H58:H60)</f>
        <v>0.1018</v>
      </c>
      <c r="I61" s="150">
        <f>SUM(I58:I60)</f>
        <v>6.4799999999999996E-2</v>
      </c>
    </row>
    <row r="62" spans="1:9">
      <c r="A62" s="287" t="s">
        <v>49</v>
      </c>
      <c r="B62" s="287"/>
      <c r="C62" s="3"/>
      <c r="D62" s="151"/>
      <c r="E62" s="152">
        <v>0</v>
      </c>
      <c r="F62" s="182">
        <v>0.03</v>
      </c>
      <c r="G62" s="152"/>
      <c r="H62" s="153">
        <f>1.97%+0.75%</f>
        <v>2.7199999999999998E-2</v>
      </c>
    </row>
    <row r="63" spans="1:9">
      <c r="A63" s="290" t="s">
        <v>227</v>
      </c>
      <c r="B63" s="179" t="s">
        <v>224</v>
      </c>
      <c r="C63" s="3"/>
      <c r="D63" s="151"/>
      <c r="E63" s="152">
        <v>0</v>
      </c>
      <c r="F63" s="153">
        <v>7.0000000000000001E-3</v>
      </c>
      <c r="G63" s="152"/>
      <c r="H63" s="153">
        <v>5.3E-3</v>
      </c>
    </row>
    <row r="64" spans="1:9">
      <c r="A64" s="291"/>
      <c r="B64" s="179" t="s">
        <v>225</v>
      </c>
      <c r="C64" s="3"/>
      <c r="D64" s="151"/>
      <c r="E64" s="152">
        <f>$I$57*I64</f>
        <v>46.79999999999999</v>
      </c>
      <c r="F64" s="150">
        <f>2.8%+1.2%</f>
        <v>3.9999999999999994E-2</v>
      </c>
      <c r="G64" s="152"/>
      <c r="H64" s="153">
        <v>3.4099999999999998E-2</v>
      </c>
      <c r="I64" s="150">
        <f>2.8%+1.2%</f>
        <v>3.9999999999999994E-2</v>
      </c>
    </row>
    <row r="65" spans="1:9">
      <c r="A65" s="287" t="s">
        <v>52</v>
      </c>
      <c r="B65" s="287"/>
      <c r="C65" s="3"/>
      <c r="D65" s="151"/>
      <c r="E65" s="152">
        <f t="shared" si="5"/>
        <v>46.800000000000004</v>
      </c>
      <c r="F65" s="153">
        <v>0.04</v>
      </c>
      <c r="G65" s="152"/>
      <c r="H65" s="153">
        <v>1.0999999999999999E-2</v>
      </c>
      <c r="I65" s="150">
        <v>0.03</v>
      </c>
    </row>
    <row r="68" spans="1:9">
      <c r="A68" s="147"/>
      <c r="B68" s="147"/>
      <c r="C68" s="147"/>
      <c r="D68" s="147"/>
      <c r="E68" s="147"/>
      <c r="F68" s="147"/>
      <c r="G68" s="286" t="s">
        <v>219</v>
      </c>
      <c r="H68" s="286"/>
      <c r="I68" s="148"/>
    </row>
    <row r="69" spans="1:9">
      <c r="A69" s="292" t="s">
        <v>220</v>
      </c>
      <c r="B69" s="292"/>
      <c r="C69" s="288" t="s">
        <v>221</v>
      </c>
      <c r="D69" s="293"/>
      <c r="E69" s="293"/>
      <c r="F69" s="293"/>
      <c r="G69" s="293"/>
      <c r="H69" s="289"/>
      <c r="I69" s="149" t="s">
        <v>228</v>
      </c>
    </row>
    <row r="70" spans="1:9" ht="27">
      <c r="A70" s="292"/>
      <c r="B70" s="292"/>
      <c r="C70" s="158" t="s">
        <v>230</v>
      </c>
      <c r="D70" s="158" t="s">
        <v>231</v>
      </c>
      <c r="E70" s="158" t="s">
        <v>229</v>
      </c>
      <c r="F70" s="159" t="s">
        <v>234</v>
      </c>
      <c r="G70" s="159" t="s">
        <v>233</v>
      </c>
      <c r="H70" s="159" t="s">
        <v>232</v>
      </c>
      <c r="I70" s="162">
        <f>销量!H8</f>
        <v>1372</v>
      </c>
    </row>
    <row r="71" spans="1:9">
      <c r="A71" s="287" t="s">
        <v>222</v>
      </c>
      <c r="B71" s="287"/>
      <c r="C71" s="3"/>
      <c r="D71" s="151"/>
      <c r="E71" s="152">
        <f>$I$70*F71</f>
        <v>77.133821303008745</v>
      </c>
      <c r="F71" s="181">
        <v>5.6219986372455351E-2</v>
      </c>
      <c r="G71" s="152"/>
      <c r="H71" s="153">
        <v>4.48E-2</v>
      </c>
      <c r="I71" s="150">
        <v>4.3099999999999999E-2</v>
      </c>
    </row>
    <row r="72" spans="1:9">
      <c r="A72" s="287" t="s">
        <v>223</v>
      </c>
      <c r="B72" s="179" t="s">
        <v>224</v>
      </c>
      <c r="C72" s="3"/>
      <c r="D72" s="151"/>
      <c r="E72" s="152">
        <v>0</v>
      </c>
      <c r="F72" s="153">
        <v>4.4999999999999998E-2</v>
      </c>
      <c r="G72" s="152"/>
      <c r="H72" s="153">
        <v>4.0399999999999998E-2</v>
      </c>
    </row>
    <row r="73" spans="1:9">
      <c r="A73" s="287"/>
      <c r="B73" s="179" t="s">
        <v>225</v>
      </c>
      <c r="C73" s="3"/>
      <c r="D73" s="151"/>
      <c r="E73" s="152">
        <f t="shared" ref="E73:E78" si="6">$I$70*F73</f>
        <v>20.684257732677104</v>
      </c>
      <c r="F73" s="181">
        <v>1.5075989601076605E-2</v>
      </c>
      <c r="G73" s="152"/>
      <c r="H73" s="153">
        <v>1.66E-2</v>
      </c>
      <c r="I73" s="150">
        <v>2.1700000000000001E-2</v>
      </c>
    </row>
    <row r="74" spans="1:9">
      <c r="A74" s="288" t="s">
        <v>226</v>
      </c>
      <c r="B74" s="289"/>
      <c r="C74" s="155"/>
      <c r="D74" s="156"/>
      <c r="E74" s="152">
        <f t="shared" si="6"/>
        <v>159.55807903568584</v>
      </c>
      <c r="F74" s="180">
        <f>SUM(F71:F73)</f>
        <v>0.11629597597353196</v>
      </c>
      <c r="G74" s="157"/>
      <c r="H74" s="157">
        <f>SUM(H71:H73)</f>
        <v>0.1018</v>
      </c>
      <c r="I74" s="150">
        <f>SUM(I71:I73)</f>
        <v>6.4799999999999996E-2</v>
      </c>
    </row>
    <row r="75" spans="1:9">
      <c r="A75" s="287" t="s">
        <v>49</v>
      </c>
      <c r="B75" s="287"/>
      <c r="C75" s="3"/>
      <c r="D75" s="151"/>
      <c r="E75" s="152">
        <v>0</v>
      </c>
      <c r="F75" s="182">
        <v>0.03</v>
      </c>
      <c r="G75" s="152"/>
      <c r="H75" s="153">
        <f>1.97%+0.75%</f>
        <v>2.7199999999999998E-2</v>
      </c>
    </row>
    <row r="76" spans="1:9">
      <c r="A76" s="290" t="s">
        <v>227</v>
      </c>
      <c r="B76" s="179" t="s">
        <v>224</v>
      </c>
      <c r="C76" s="3"/>
      <c r="D76" s="151"/>
      <c r="E76" s="152">
        <v>0</v>
      </c>
      <c r="F76" s="153">
        <v>7.0000000000000001E-3</v>
      </c>
      <c r="G76" s="152"/>
      <c r="H76" s="153">
        <v>5.3E-3</v>
      </c>
    </row>
    <row r="77" spans="1:9">
      <c r="A77" s="291"/>
      <c r="B77" s="179" t="s">
        <v>225</v>
      </c>
      <c r="C77" s="3"/>
      <c r="D77" s="151"/>
      <c r="E77" s="152">
        <f>$I$70*I77</f>
        <v>54.879999999999988</v>
      </c>
      <c r="F77" s="150">
        <f>2.8%+1.2%</f>
        <v>3.9999999999999994E-2</v>
      </c>
      <c r="G77" s="152"/>
      <c r="H77" s="153">
        <v>3.4099999999999998E-2</v>
      </c>
      <c r="I77" s="150">
        <f>2.8%+1.2%</f>
        <v>3.9999999999999994E-2</v>
      </c>
    </row>
    <row r="78" spans="1:9">
      <c r="A78" s="287" t="s">
        <v>52</v>
      </c>
      <c r="B78" s="287"/>
      <c r="C78" s="3"/>
      <c r="D78" s="151"/>
      <c r="E78" s="152">
        <f t="shared" si="6"/>
        <v>54.88</v>
      </c>
      <c r="F78" s="153">
        <v>0.04</v>
      </c>
      <c r="G78" s="152"/>
      <c r="H78" s="153">
        <v>1.0999999999999999E-2</v>
      </c>
      <c r="I78" s="150">
        <v>0.03</v>
      </c>
    </row>
    <row r="81" spans="1:9">
      <c r="A81" s="147"/>
      <c r="B81" s="147"/>
      <c r="C81" s="147"/>
      <c r="D81" s="147"/>
      <c r="E81" s="147"/>
      <c r="F81" s="147"/>
      <c r="G81" s="286" t="s">
        <v>219</v>
      </c>
      <c r="H81" s="286"/>
      <c r="I81" s="148"/>
    </row>
    <row r="82" spans="1:9">
      <c r="A82" s="292" t="s">
        <v>220</v>
      </c>
      <c r="B82" s="292"/>
      <c r="C82" s="288" t="s">
        <v>221</v>
      </c>
      <c r="D82" s="293"/>
      <c r="E82" s="293"/>
      <c r="F82" s="293"/>
      <c r="G82" s="293"/>
      <c r="H82" s="289"/>
      <c r="I82" s="149" t="s">
        <v>228</v>
      </c>
    </row>
    <row r="83" spans="1:9" ht="27">
      <c r="A83" s="292"/>
      <c r="B83" s="292"/>
      <c r="C83" s="158" t="s">
        <v>230</v>
      </c>
      <c r="D83" s="158" t="s">
        <v>231</v>
      </c>
      <c r="E83" s="158" t="s">
        <v>229</v>
      </c>
      <c r="F83" s="159" t="s">
        <v>234</v>
      </c>
      <c r="G83" s="159" t="s">
        <v>233</v>
      </c>
      <c r="H83" s="159" t="s">
        <v>232</v>
      </c>
      <c r="I83" s="162">
        <f>销量!I8</f>
        <v>1730</v>
      </c>
    </row>
    <row r="84" spans="1:9">
      <c r="A84" s="287" t="s">
        <v>222</v>
      </c>
      <c r="B84" s="287"/>
      <c r="C84" s="3"/>
      <c r="D84" s="151"/>
      <c r="E84" s="152">
        <f>$I$83*F84</f>
        <v>97.260576424347761</v>
      </c>
      <c r="F84" s="181">
        <v>5.6219986372455351E-2</v>
      </c>
      <c r="G84" s="152"/>
      <c r="H84" s="153">
        <v>4.48E-2</v>
      </c>
      <c r="I84" s="150">
        <v>4.3099999999999999E-2</v>
      </c>
    </row>
    <row r="85" spans="1:9">
      <c r="A85" s="287" t="s">
        <v>223</v>
      </c>
      <c r="B85" s="206" t="s">
        <v>224</v>
      </c>
      <c r="C85" s="3"/>
      <c r="D85" s="151"/>
      <c r="E85" s="152">
        <v>0</v>
      </c>
      <c r="F85" s="153">
        <v>4.4999999999999998E-2</v>
      </c>
      <c r="G85" s="152"/>
      <c r="H85" s="153">
        <v>4.0399999999999998E-2</v>
      </c>
    </row>
    <row r="86" spans="1:9">
      <c r="A86" s="287"/>
      <c r="B86" s="206" t="s">
        <v>225</v>
      </c>
      <c r="C86" s="3"/>
      <c r="D86" s="151"/>
      <c r="E86" s="152">
        <f t="shared" ref="E86" si="7">$I$83*F86</f>
        <v>26.081462009862527</v>
      </c>
      <c r="F86" s="181">
        <v>1.5075989601076605E-2</v>
      </c>
      <c r="G86" s="152"/>
      <c r="H86" s="153">
        <v>1.66E-2</v>
      </c>
      <c r="I86" s="150">
        <v>2.1700000000000001E-2</v>
      </c>
    </row>
    <row r="87" spans="1:9">
      <c r="A87" s="288" t="s">
        <v>226</v>
      </c>
      <c r="B87" s="289"/>
      <c r="C87" s="155"/>
      <c r="D87" s="156"/>
      <c r="E87" s="152">
        <f>$I$83*F87</f>
        <v>201.1920384342103</v>
      </c>
      <c r="F87" s="180">
        <f>SUM(F84:F86)</f>
        <v>0.11629597597353196</v>
      </c>
      <c r="G87" s="157"/>
      <c r="H87" s="157">
        <f>SUM(H84:H86)</f>
        <v>0.1018</v>
      </c>
      <c r="I87" s="150">
        <f>SUM(I84:I86)</f>
        <v>6.4799999999999996E-2</v>
      </c>
    </row>
    <row r="88" spans="1:9">
      <c r="A88" s="287" t="s">
        <v>49</v>
      </c>
      <c r="B88" s="287"/>
      <c r="C88" s="3"/>
      <c r="D88" s="151"/>
      <c r="E88" s="152">
        <v>0</v>
      </c>
      <c r="F88" s="182">
        <v>0.03</v>
      </c>
      <c r="G88" s="152"/>
      <c r="H88" s="153">
        <f>1.97%+0.75%</f>
        <v>2.7199999999999998E-2</v>
      </c>
    </row>
    <row r="89" spans="1:9">
      <c r="A89" s="290" t="s">
        <v>227</v>
      </c>
      <c r="B89" s="206" t="s">
        <v>224</v>
      </c>
      <c r="C89" s="3"/>
      <c r="D89" s="151"/>
      <c r="E89" s="152">
        <v>0</v>
      </c>
      <c r="F89" s="153">
        <v>7.0000000000000001E-3</v>
      </c>
      <c r="G89" s="152"/>
      <c r="H89" s="153">
        <v>5.3E-3</v>
      </c>
    </row>
    <row r="90" spans="1:9">
      <c r="A90" s="291"/>
      <c r="B90" s="206" t="s">
        <v>225</v>
      </c>
      <c r="C90" s="3"/>
      <c r="D90" s="151"/>
      <c r="E90" s="152">
        <f t="shared" ref="E88:E91" si="8">$I$83*F90</f>
        <v>69.199999999999989</v>
      </c>
      <c r="F90" s="150">
        <f>2.8%+1.2%</f>
        <v>3.9999999999999994E-2</v>
      </c>
      <c r="G90" s="152"/>
      <c r="H90" s="153">
        <v>3.4099999999999998E-2</v>
      </c>
      <c r="I90" s="150">
        <f>2.8%+1.2%</f>
        <v>3.9999999999999994E-2</v>
      </c>
    </row>
    <row r="91" spans="1:9">
      <c r="A91" s="287" t="s">
        <v>52</v>
      </c>
      <c r="B91" s="287"/>
      <c r="C91" s="3"/>
      <c r="D91" s="151"/>
      <c r="E91" s="152">
        <f t="shared" si="8"/>
        <v>69.2</v>
      </c>
      <c r="F91" s="153">
        <v>0.04</v>
      </c>
      <c r="G91" s="152"/>
      <c r="H91" s="153">
        <v>1.0999999999999999E-2</v>
      </c>
      <c r="I91" s="150">
        <v>0.03</v>
      </c>
    </row>
    <row r="94" spans="1:9">
      <c r="A94" s="147"/>
      <c r="B94" s="147"/>
      <c r="C94" s="147"/>
      <c r="D94" s="147"/>
      <c r="E94" s="147"/>
      <c r="F94" s="147"/>
      <c r="G94" s="286" t="s">
        <v>219</v>
      </c>
      <c r="H94" s="286"/>
      <c r="I94" s="148"/>
    </row>
    <row r="95" spans="1:9">
      <c r="A95" s="292" t="s">
        <v>220</v>
      </c>
      <c r="B95" s="292"/>
      <c r="C95" s="288" t="s">
        <v>221</v>
      </c>
      <c r="D95" s="293"/>
      <c r="E95" s="293"/>
      <c r="F95" s="293"/>
      <c r="G95" s="293"/>
      <c r="H95" s="289"/>
      <c r="I95" s="149" t="s">
        <v>228</v>
      </c>
    </row>
    <row r="96" spans="1:9" ht="27">
      <c r="A96" s="292"/>
      <c r="B96" s="292"/>
      <c r="C96" s="158" t="s">
        <v>230</v>
      </c>
      <c r="D96" s="158" t="s">
        <v>231</v>
      </c>
      <c r="E96" s="158" t="s">
        <v>229</v>
      </c>
      <c r="F96" s="159" t="s">
        <v>234</v>
      </c>
      <c r="G96" s="159" t="s">
        <v>233</v>
      </c>
      <c r="H96" s="159" t="s">
        <v>232</v>
      </c>
      <c r="I96" s="162">
        <f>销量!J8</f>
        <v>500</v>
      </c>
    </row>
    <row r="97" spans="1:9">
      <c r="A97" s="287" t="s">
        <v>222</v>
      </c>
      <c r="B97" s="287"/>
      <c r="C97" s="3"/>
      <c r="D97" s="151"/>
      <c r="E97" s="152">
        <f>$I$96*F97</f>
        <v>28.109993186227676</v>
      </c>
      <c r="F97" s="181">
        <v>5.6219986372455351E-2</v>
      </c>
      <c r="G97" s="152"/>
      <c r="H97" s="153">
        <v>4.48E-2</v>
      </c>
      <c r="I97" s="150">
        <v>4.3099999999999999E-2</v>
      </c>
    </row>
    <row r="98" spans="1:9">
      <c r="A98" s="287" t="s">
        <v>223</v>
      </c>
      <c r="B98" s="206" t="s">
        <v>224</v>
      </c>
      <c r="C98" s="3"/>
      <c r="D98" s="151"/>
      <c r="E98" s="152">
        <v>0</v>
      </c>
      <c r="F98" s="153">
        <v>4.4999999999999998E-2</v>
      </c>
      <c r="G98" s="152"/>
      <c r="H98" s="153">
        <v>4.0399999999999998E-2</v>
      </c>
    </row>
    <row r="99" spans="1:9">
      <c r="A99" s="287"/>
      <c r="B99" s="206" t="s">
        <v>225</v>
      </c>
      <c r="C99" s="3"/>
      <c r="D99" s="151"/>
      <c r="E99" s="152">
        <f t="shared" ref="E99:E104" si="9">$I$96*F99</f>
        <v>7.5379948005383026</v>
      </c>
      <c r="F99" s="181">
        <v>1.5075989601076605E-2</v>
      </c>
      <c r="G99" s="152"/>
      <c r="H99" s="153">
        <v>1.66E-2</v>
      </c>
      <c r="I99" s="150">
        <v>2.1700000000000001E-2</v>
      </c>
    </row>
    <row r="100" spans="1:9">
      <c r="A100" s="288" t="s">
        <v>226</v>
      </c>
      <c r="B100" s="289"/>
      <c r="C100" s="155"/>
      <c r="D100" s="156"/>
      <c r="E100" s="152">
        <f t="shared" si="9"/>
        <v>58.147987986765976</v>
      </c>
      <c r="F100" s="180">
        <f>SUM(F97:F99)</f>
        <v>0.11629597597353196</v>
      </c>
      <c r="G100" s="157"/>
      <c r="H100" s="157">
        <f>SUM(H97:H99)</f>
        <v>0.1018</v>
      </c>
      <c r="I100" s="150">
        <f>SUM(I97:I99)</f>
        <v>6.4799999999999996E-2</v>
      </c>
    </row>
    <row r="101" spans="1:9">
      <c r="A101" s="287" t="s">
        <v>49</v>
      </c>
      <c r="B101" s="287"/>
      <c r="C101" s="3"/>
      <c r="D101" s="151"/>
      <c r="E101" s="152">
        <v>0</v>
      </c>
      <c r="F101" s="182">
        <v>0.03</v>
      </c>
      <c r="G101" s="152"/>
      <c r="H101" s="153">
        <f>1.97%+0.75%</f>
        <v>2.7199999999999998E-2</v>
      </c>
    </row>
    <row r="102" spans="1:9">
      <c r="A102" s="290" t="s">
        <v>227</v>
      </c>
      <c r="B102" s="206" t="s">
        <v>224</v>
      </c>
      <c r="C102" s="3"/>
      <c r="D102" s="151"/>
      <c r="E102" s="152">
        <v>0</v>
      </c>
      <c r="F102" s="153">
        <v>7.0000000000000001E-3</v>
      </c>
      <c r="G102" s="152"/>
      <c r="H102" s="153">
        <v>5.3E-3</v>
      </c>
    </row>
    <row r="103" spans="1:9">
      <c r="A103" s="291"/>
      <c r="B103" s="206" t="s">
        <v>225</v>
      </c>
      <c r="C103" s="3"/>
      <c r="D103" s="151"/>
      <c r="E103" s="152">
        <f t="shared" si="9"/>
        <v>19.999999999999996</v>
      </c>
      <c r="F103" s="150">
        <f>2.8%+1.2%</f>
        <v>3.9999999999999994E-2</v>
      </c>
      <c r="G103" s="152"/>
      <c r="H103" s="153">
        <v>3.4099999999999998E-2</v>
      </c>
      <c r="I103" s="150">
        <f>2.8%+1.2%</f>
        <v>3.9999999999999994E-2</v>
      </c>
    </row>
    <row r="104" spans="1:9">
      <c r="A104" s="287" t="s">
        <v>52</v>
      </c>
      <c r="B104" s="287"/>
      <c r="C104" s="3"/>
      <c r="D104" s="151"/>
      <c r="E104" s="152">
        <f t="shared" si="9"/>
        <v>20</v>
      </c>
      <c r="F104" s="153">
        <v>0.04</v>
      </c>
      <c r="G104" s="152"/>
      <c r="H104" s="153">
        <v>1.0999999999999999E-2</v>
      </c>
      <c r="I104" s="150">
        <v>0.03</v>
      </c>
    </row>
    <row r="107" spans="1:9">
      <c r="A107" s="147"/>
      <c r="B107" s="147"/>
      <c r="C107" s="147"/>
      <c r="D107" s="147"/>
      <c r="E107" s="147"/>
      <c r="F107" s="147"/>
      <c r="G107" s="286" t="s">
        <v>219</v>
      </c>
      <c r="H107" s="286"/>
      <c r="I107" s="148"/>
    </row>
    <row r="108" spans="1:9">
      <c r="A108" s="292" t="s">
        <v>220</v>
      </c>
      <c r="B108" s="292"/>
      <c r="C108" s="288" t="s">
        <v>221</v>
      </c>
      <c r="D108" s="293"/>
      <c r="E108" s="293"/>
      <c r="F108" s="293"/>
      <c r="G108" s="293"/>
      <c r="H108" s="289"/>
      <c r="I108" s="149" t="s">
        <v>228</v>
      </c>
    </row>
    <row r="109" spans="1:9" ht="27">
      <c r="A109" s="292"/>
      <c r="B109" s="292"/>
      <c r="C109" s="158" t="s">
        <v>230</v>
      </c>
      <c r="D109" s="158" t="s">
        <v>231</v>
      </c>
      <c r="E109" s="158" t="s">
        <v>229</v>
      </c>
      <c r="F109" s="159" t="s">
        <v>234</v>
      </c>
      <c r="G109" s="159" t="s">
        <v>233</v>
      </c>
      <c r="H109" s="159" t="s">
        <v>232</v>
      </c>
      <c r="I109" s="162">
        <f>销量!K8</f>
        <v>46</v>
      </c>
    </row>
    <row r="110" spans="1:9">
      <c r="A110" s="287" t="s">
        <v>222</v>
      </c>
      <c r="B110" s="287"/>
      <c r="C110" s="3"/>
      <c r="D110" s="151"/>
      <c r="E110" s="152">
        <f>$I$109*F110</f>
        <v>2.5861193731329459</v>
      </c>
      <c r="F110" s="181">
        <v>5.6219986372455351E-2</v>
      </c>
      <c r="G110" s="152"/>
      <c r="H110" s="153">
        <v>4.48E-2</v>
      </c>
      <c r="I110" s="150">
        <v>4.3099999999999999E-2</v>
      </c>
    </row>
    <row r="111" spans="1:9">
      <c r="A111" s="287" t="s">
        <v>223</v>
      </c>
      <c r="B111" s="206" t="s">
        <v>224</v>
      </c>
      <c r="C111" s="3"/>
      <c r="D111" s="151"/>
      <c r="E111" s="152">
        <v>0</v>
      </c>
      <c r="F111" s="153">
        <v>4.4999999999999998E-2</v>
      </c>
      <c r="G111" s="152"/>
      <c r="H111" s="153">
        <v>4.0399999999999998E-2</v>
      </c>
    </row>
    <row r="112" spans="1:9">
      <c r="A112" s="287"/>
      <c r="B112" s="206" t="s">
        <v>225</v>
      </c>
      <c r="C112" s="3"/>
      <c r="D112" s="151"/>
      <c r="E112" s="152">
        <f t="shared" ref="E112:E117" si="10">$I$109*F112</f>
        <v>0.69349552164952377</v>
      </c>
      <c r="F112" s="181">
        <v>1.5075989601076605E-2</v>
      </c>
      <c r="G112" s="152"/>
      <c r="H112" s="153">
        <v>1.66E-2</v>
      </c>
      <c r="I112" s="150">
        <v>2.1700000000000001E-2</v>
      </c>
    </row>
    <row r="113" spans="1:9">
      <c r="A113" s="288" t="s">
        <v>226</v>
      </c>
      <c r="B113" s="289"/>
      <c r="C113" s="155"/>
      <c r="D113" s="156"/>
      <c r="E113" s="152">
        <f t="shared" si="10"/>
        <v>5.3496148947824702</v>
      </c>
      <c r="F113" s="180">
        <f>SUM(F110:F112)</f>
        <v>0.11629597597353196</v>
      </c>
      <c r="G113" s="157"/>
      <c r="H113" s="157">
        <f>SUM(H110:H112)</f>
        <v>0.1018</v>
      </c>
      <c r="I113" s="150">
        <f>SUM(I110:I112)</f>
        <v>6.4799999999999996E-2</v>
      </c>
    </row>
    <row r="114" spans="1:9">
      <c r="A114" s="287" t="s">
        <v>49</v>
      </c>
      <c r="B114" s="287"/>
      <c r="C114" s="3"/>
      <c r="D114" s="151"/>
      <c r="E114" s="152">
        <v>0</v>
      </c>
      <c r="F114" s="182">
        <v>0.03</v>
      </c>
      <c r="G114" s="152"/>
      <c r="H114" s="153">
        <f>1.97%+0.75%</f>
        <v>2.7199999999999998E-2</v>
      </c>
    </row>
    <row r="115" spans="1:9">
      <c r="A115" s="290" t="s">
        <v>227</v>
      </c>
      <c r="B115" s="206" t="s">
        <v>224</v>
      </c>
      <c r="C115" s="3"/>
      <c r="D115" s="151"/>
      <c r="E115" s="152">
        <v>0</v>
      </c>
      <c r="F115" s="153">
        <v>7.0000000000000001E-3</v>
      </c>
      <c r="G115" s="152"/>
      <c r="H115" s="153">
        <v>5.3E-3</v>
      </c>
    </row>
    <row r="116" spans="1:9">
      <c r="A116" s="291"/>
      <c r="B116" s="206" t="s">
        <v>225</v>
      </c>
      <c r="C116" s="3"/>
      <c r="D116" s="151"/>
      <c r="E116" s="152">
        <f t="shared" si="10"/>
        <v>1.8399999999999996</v>
      </c>
      <c r="F116" s="150">
        <f>2.8%+1.2%</f>
        <v>3.9999999999999994E-2</v>
      </c>
      <c r="G116" s="152"/>
      <c r="H116" s="153">
        <v>3.4099999999999998E-2</v>
      </c>
      <c r="I116" s="150">
        <f>2.8%+1.2%</f>
        <v>3.9999999999999994E-2</v>
      </c>
    </row>
    <row r="117" spans="1:9">
      <c r="A117" s="287" t="s">
        <v>52</v>
      </c>
      <c r="B117" s="287"/>
      <c r="C117" s="3"/>
      <c r="D117" s="151"/>
      <c r="E117" s="152">
        <f t="shared" si="10"/>
        <v>1.84</v>
      </c>
      <c r="F117" s="153">
        <v>0.04</v>
      </c>
      <c r="G117" s="152"/>
      <c r="H117" s="153">
        <v>1.0999999999999999E-2</v>
      </c>
      <c r="I117" s="150">
        <v>0.03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G107:H107"/>
    <mergeCell ref="A108:B109"/>
    <mergeCell ref="C108:H108"/>
    <mergeCell ref="A95:B96"/>
    <mergeCell ref="C95:H95"/>
    <mergeCell ref="A97:B97"/>
    <mergeCell ref="A98:A99"/>
    <mergeCell ref="A100:B100"/>
    <mergeCell ref="A87:B87"/>
    <mergeCell ref="A88:B88"/>
    <mergeCell ref="A89:A90"/>
    <mergeCell ref="A91:B91"/>
    <mergeCell ref="G94:H94"/>
    <mergeCell ref="G81:H81"/>
    <mergeCell ref="A82:B83"/>
    <mergeCell ref="C82:H82"/>
    <mergeCell ref="A84:B84"/>
    <mergeCell ref="A85:A86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I13"/>
  <sheetViews>
    <sheetView topLeftCell="A7" workbookViewId="0">
      <selection activeCell="F16" sqref="F16"/>
    </sheetView>
  </sheetViews>
  <sheetFormatPr defaultRowHeight="13.5"/>
  <cols>
    <col min="2" max="2" width="18.625" bestFit="1" customWidth="1"/>
    <col min="3" max="3" width="19.375" bestFit="1" customWidth="1"/>
    <col min="4" max="4" width="32.25" customWidth="1"/>
    <col min="5" max="5" width="12.625" style="4" customWidth="1"/>
    <col min="6" max="6" width="16.375" style="4" bestFit="1" customWidth="1"/>
    <col min="7" max="7" width="9.5" style="4" customWidth="1"/>
    <col min="8" max="8" width="14.5" style="4" customWidth="1"/>
    <col min="9" max="9" width="19.5" customWidth="1"/>
  </cols>
  <sheetData>
    <row r="2" spans="2:9" ht="18.75">
      <c r="B2" s="294" t="s">
        <v>253</v>
      </c>
      <c r="C2" s="294"/>
      <c r="D2" s="294"/>
      <c r="E2" s="294"/>
      <c r="F2" s="294"/>
      <c r="G2" s="294"/>
      <c r="H2" s="294"/>
    </row>
    <row r="3" spans="2:9">
      <c r="B3" s="222" t="s">
        <v>255</v>
      </c>
      <c r="C3" s="223" t="s">
        <v>254</v>
      </c>
      <c r="D3" s="222" t="s">
        <v>303</v>
      </c>
      <c r="E3" s="222" t="s">
        <v>256</v>
      </c>
      <c r="F3" s="224" t="s">
        <v>257</v>
      </c>
      <c r="G3" s="224" t="s">
        <v>258</v>
      </c>
      <c r="H3" s="225" t="s">
        <v>259</v>
      </c>
      <c r="I3" s="224" t="s">
        <v>260</v>
      </c>
    </row>
    <row r="4" spans="2:9" ht="33">
      <c r="B4" s="208" t="s">
        <v>276</v>
      </c>
      <c r="C4" s="209" t="s">
        <v>281</v>
      </c>
      <c r="D4" s="209" t="s">
        <v>290</v>
      </c>
      <c r="E4" s="192">
        <v>952.1</v>
      </c>
      <c r="F4" s="209">
        <v>1170</v>
      </c>
      <c r="G4" s="214">
        <f>F4-E4</f>
        <v>217.89999999999998</v>
      </c>
      <c r="H4" s="215">
        <f>G4/F4</f>
        <v>0.18623931623931622</v>
      </c>
      <c r="I4" s="2"/>
    </row>
    <row r="5" spans="2:9" ht="49.5">
      <c r="B5" s="208" t="s">
        <v>277</v>
      </c>
      <c r="C5" s="209" t="s">
        <v>282</v>
      </c>
      <c r="D5" s="209" t="s">
        <v>291</v>
      </c>
      <c r="E5" s="193">
        <v>1170.4100000000001</v>
      </c>
      <c r="F5" s="209">
        <v>1372</v>
      </c>
      <c r="G5" s="214">
        <f t="shared" ref="G5:G12" si="0">F5-E5</f>
        <v>201.58999999999992</v>
      </c>
      <c r="H5" s="215">
        <f t="shared" ref="H5:H13" si="1">G5/F5</f>
        <v>0.14693148688046642</v>
      </c>
      <c r="I5" s="2"/>
    </row>
    <row r="6" spans="2:9" ht="49.5">
      <c r="B6" s="208" t="s">
        <v>278</v>
      </c>
      <c r="C6" s="209" t="s">
        <v>283</v>
      </c>
      <c r="D6" s="209" t="s">
        <v>292</v>
      </c>
      <c r="E6" s="194">
        <v>1486.87</v>
      </c>
      <c r="F6" s="209">
        <v>1730</v>
      </c>
      <c r="G6" s="214">
        <f t="shared" si="0"/>
        <v>243.13000000000011</v>
      </c>
      <c r="H6" s="215">
        <f t="shared" si="1"/>
        <v>0.14053757225433533</v>
      </c>
      <c r="I6" s="2"/>
    </row>
    <row r="7" spans="2:9" ht="16.5">
      <c r="B7" s="208" t="s">
        <v>279</v>
      </c>
      <c r="C7" s="209" t="s">
        <v>284</v>
      </c>
      <c r="D7" s="209" t="s">
        <v>293</v>
      </c>
      <c r="E7" s="195">
        <v>441.05</v>
      </c>
      <c r="F7" s="209">
        <v>500</v>
      </c>
      <c r="G7" s="214">
        <f t="shared" si="0"/>
        <v>58.949999999999989</v>
      </c>
      <c r="H7" s="215">
        <f t="shared" si="1"/>
        <v>0.11789999999999998</v>
      </c>
      <c r="I7" s="2"/>
    </row>
    <row r="8" spans="2:9" ht="33">
      <c r="B8" s="208" t="s">
        <v>276</v>
      </c>
      <c r="C8" s="209" t="s">
        <v>285</v>
      </c>
      <c r="D8" s="209" t="s">
        <v>290</v>
      </c>
      <c r="E8" s="216">
        <f>945.1-55</f>
        <v>890.1</v>
      </c>
      <c r="F8" s="209">
        <v>1170</v>
      </c>
      <c r="G8" s="214">
        <f t="shared" si="0"/>
        <v>279.89999999999998</v>
      </c>
      <c r="H8" s="215">
        <f t="shared" si="1"/>
        <v>0.23923076923076922</v>
      </c>
      <c r="I8" s="2"/>
    </row>
    <row r="9" spans="2:9" ht="49.5">
      <c r="B9" s="208" t="s">
        <v>277</v>
      </c>
      <c r="C9" s="209" t="s">
        <v>286</v>
      </c>
      <c r="D9" s="209" t="s">
        <v>291</v>
      </c>
      <c r="E9" s="216">
        <f>1163.41-55</f>
        <v>1108.4100000000001</v>
      </c>
      <c r="F9" s="209">
        <v>1372</v>
      </c>
      <c r="G9" s="214">
        <f t="shared" si="0"/>
        <v>263.58999999999992</v>
      </c>
      <c r="H9" s="215">
        <f t="shared" si="1"/>
        <v>0.19212099125364426</v>
      </c>
      <c r="I9" s="2"/>
    </row>
    <row r="10" spans="2:9" ht="49.5">
      <c r="B10" s="208" t="s">
        <v>278</v>
      </c>
      <c r="C10" s="209" t="s">
        <v>287</v>
      </c>
      <c r="D10" s="209" t="s">
        <v>292</v>
      </c>
      <c r="E10" s="216">
        <f>1479.87-55</f>
        <v>1424.87</v>
      </c>
      <c r="F10" s="209">
        <v>1730</v>
      </c>
      <c r="G10" s="214">
        <f t="shared" si="0"/>
        <v>305.13000000000011</v>
      </c>
      <c r="H10" s="215">
        <f t="shared" si="1"/>
        <v>0.17637572254335265</v>
      </c>
      <c r="I10" s="2"/>
    </row>
    <row r="11" spans="2:9" ht="16.5">
      <c r="B11" s="208" t="s">
        <v>279</v>
      </c>
      <c r="C11" s="209" t="s">
        <v>288</v>
      </c>
      <c r="D11" s="209" t="s">
        <v>293</v>
      </c>
      <c r="E11" s="216">
        <v>473.05</v>
      </c>
      <c r="F11" s="209">
        <v>500</v>
      </c>
      <c r="G11" s="214">
        <f t="shared" si="0"/>
        <v>26.949999999999989</v>
      </c>
      <c r="H11" s="215">
        <f t="shared" si="1"/>
        <v>5.3899999999999976E-2</v>
      </c>
      <c r="I11" s="2"/>
    </row>
    <row r="12" spans="2:9" ht="67.5">
      <c r="B12" s="208" t="s">
        <v>280</v>
      </c>
      <c r="C12" s="209" t="s">
        <v>289</v>
      </c>
      <c r="D12" s="209" t="s">
        <v>294</v>
      </c>
      <c r="E12" s="216">
        <v>55</v>
      </c>
      <c r="F12" s="209">
        <v>46</v>
      </c>
      <c r="G12" s="214">
        <f t="shared" si="0"/>
        <v>-9</v>
      </c>
      <c r="H12" s="215">
        <f t="shared" si="1"/>
        <v>-0.19565217391304349</v>
      </c>
      <c r="I12" s="221" t="s">
        <v>308</v>
      </c>
    </row>
    <row r="13" spans="2:9" ht="26.25" customHeight="1">
      <c r="B13" s="295" t="s">
        <v>304</v>
      </c>
      <c r="C13" s="295"/>
      <c r="D13" s="295"/>
      <c r="E13" s="216">
        <f>SUM(E4:E12)</f>
        <v>8001.8600000000006</v>
      </c>
      <c r="F13" s="216">
        <f>SUM(F4:F12)</f>
        <v>9590</v>
      </c>
      <c r="G13" s="216">
        <f>SUM(G4:G12)</f>
        <v>1588.14</v>
      </c>
      <c r="H13" s="215">
        <f t="shared" si="1"/>
        <v>0.16560375391032325</v>
      </c>
      <c r="I13" s="2"/>
    </row>
  </sheetData>
  <mergeCells count="2">
    <mergeCell ref="B2:H2"/>
    <mergeCell ref="B13:D13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C39" sqref="C39"/>
    </sheetView>
  </sheetViews>
  <sheetFormatPr defaultColWidth="9" defaultRowHeight="16.5"/>
  <cols>
    <col min="1" max="1" width="5.125" style="110" customWidth="1"/>
    <col min="2" max="2" width="35.75" style="110" customWidth="1"/>
    <col min="3" max="3" width="14.5" style="111" customWidth="1"/>
    <col min="4" max="5" width="13" style="111" customWidth="1"/>
    <col min="6" max="6" width="16.5" style="111" customWidth="1"/>
    <col min="7" max="7" width="15.5" style="110" customWidth="1"/>
    <col min="8" max="33" width="9" style="110"/>
    <col min="34" max="34" width="4.375" style="110" customWidth="1"/>
    <col min="35" max="35" width="13.875" style="110" customWidth="1"/>
    <col min="36" max="16384" width="9" style="110"/>
  </cols>
  <sheetData>
    <row r="1" spans="1:36" ht="27" customHeight="1">
      <c r="A1" s="228" t="s">
        <v>274</v>
      </c>
      <c r="B1" s="228"/>
      <c r="C1" s="228"/>
      <c r="D1" s="228"/>
      <c r="E1" s="228"/>
      <c r="F1" s="228"/>
    </row>
    <row r="2" spans="1:36" ht="15.75" customHeight="1">
      <c r="A2" s="229" t="s">
        <v>17</v>
      </c>
      <c r="B2" s="112" t="s">
        <v>1</v>
      </c>
      <c r="C2" s="112" t="s">
        <v>239</v>
      </c>
      <c r="D2" s="112" t="s">
        <v>240</v>
      </c>
      <c r="E2" s="112" t="s">
        <v>241</v>
      </c>
      <c r="F2" s="51" t="s">
        <v>19</v>
      </c>
      <c r="AJ2" s="110" t="s">
        <v>20</v>
      </c>
    </row>
    <row r="3" spans="1:36" s="48" customFormat="1" ht="15.75" customHeight="1">
      <c r="A3" s="230"/>
      <c r="B3" s="53" t="s">
        <v>3</v>
      </c>
      <c r="C3" s="113">
        <f>'2022年'!L6</f>
        <v>8160</v>
      </c>
      <c r="D3" s="113">
        <f>'2023年'!L6</f>
        <v>44000</v>
      </c>
      <c r="E3" s="113">
        <f>'2024年'!L6</f>
        <v>44000</v>
      </c>
      <c r="F3" s="113">
        <f t="shared" ref="F3:F11" si="0">SUM(C3:E3)</f>
        <v>96160</v>
      </c>
      <c r="G3" s="69"/>
      <c r="AH3" s="52" t="s">
        <v>17</v>
      </c>
      <c r="AI3" s="53" t="s">
        <v>3</v>
      </c>
      <c r="AJ3" s="48" t="s">
        <v>21</v>
      </c>
    </row>
    <row r="4" spans="1:36" s="48" customFormat="1" ht="15.75" customHeight="1">
      <c r="A4" s="62">
        <v>1</v>
      </c>
      <c r="B4" s="53" t="s">
        <v>22</v>
      </c>
      <c r="C4" s="113">
        <f>'2022年'!L7</f>
        <v>6111704</v>
      </c>
      <c r="D4" s="113">
        <f>'2023年'!L7</f>
        <v>32916000</v>
      </c>
      <c r="E4" s="113">
        <f>'2024年'!L7</f>
        <v>32916000</v>
      </c>
      <c r="F4" s="113">
        <f t="shared" si="0"/>
        <v>71943704</v>
      </c>
      <c r="G4" s="69"/>
      <c r="AH4" s="52" t="s">
        <v>23</v>
      </c>
      <c r="AI4" s="53" t="s">
        <v>22</v>
      </c>
      <c r="AJ4" s="48" t="s">
        <v>21</v>
      </c>
    </row>
    <row r="5" spans="1:36" s="48" customFormat="1" ht="15.75" customHeight="1">
      <c r="A5" s="62">
        <v>2</v>
      </c>
      <c r="B5" s="50" t="s">
        <v>24</v>
      </c>
      <c r="C5" s="113">
        <f>'2022年'!L8</f>
        <v>0</v>
      </c>
      <c r="D5" s="113">
        <f>'2023年'!L8</f>
        <v>658320.0000000007</v>
      </c>
      <c r="E5" s="113">
        <f>'2024年'!L8</f>
        <v>1303473.6000000024</v>
      </c>
      <c r="F5" s="113">
        <f t="shared" si="0"/>
        <v>1961793.6000000031</v>
      </c>
      <c r="G5" s="69"/>
      <c r="AH5" s="52" t="s">
        <v>25</v>
      </c>
      <c r="AI5" s="50" t="s">
        <v>26</v>
      </c>
      <c r="AJ5" s="48" t="s">
        <v>21</v>
      </c>
    </row>
    <row r="6" spans="1:36" s="48" customFormat="1" ht="15.75" customHeight="1">
      <c r="A6" s="62">
        <v>3</v>
      </c>
      <c r="B6" s="53" t="s">
        <v>27</v>
      </c>
      <c r="C6" s="114">
        <f>+C4-C5</f>
        <v>6111704</v>
      </c>
      <c r="D6" s="114">
        <f>'2023年'!L9</f>
        <v>32257680</v>
      </c>
      <c r="E6" s="114">
        <f>'2024年'!L9</f>
        <v>31612526.399999995</v>
      </c>
      <c r="F6" s="113">
        <f t="shared" si="0"/>
        <v>69981910.399999991</v>
      </c>
      <c r="G6" s="69"/>
      <c r="AH6" s="52" t="s">
        <v>28</v>
      </c>
      <c r="AI6" s="53" t="s">
        <v>27</v>
      </c>
      <c r="AJ6" s="48" t="s">
        <v>29</v>
      </c>
    </row>
    <row r="7" spans="1:36" s="48" customFormat="1" ht="15.75" customHeight="1">
      <c r="A7" s="62">
        <v>4</v>
      </c>
      <c r="B7" s="52" t="s">
        <v>30</v>
      </c>
      <c r="C7" s="113">
        <f>'2022年'!L10</f>
        <v>5215484.0600000005</v>
      </c>
      <c r="D7" s="113">
        <f>'2023年'!L10</f>
        <v>27630365</v>
      </c>
      <c r="E7" s="113">
        <f>'2024年'!L10</f>
        <v>27077757.699999996</v>
      </c>
      <c r="F7" s="113">
        <f t="shared" si="0"/>
        <v>59923606.759999998</v>
      </c>
      <c r="G7" s="69"/>
      <c r="AH7" s="52" t="s">
        <v>31</v>
      </c>
      <c r="AI7" s="52" t="s">
        <v>30</v>
      </c>
      <c r="AJ7" s="48" t="s">
        <v>32</v>
      </c>
    </row>
    <row r="8" spans="1:36" s="48" customFormat="1" ht="15.75" customHeight="1">
      <c r="A8" s="62">
        <v>5</v>
      </c>
      <c r="B8" s="52" t="s">
        <v>33</v>
      </c>
      <c r="C8" s="113">
        <f>'2022年'!L11</f>
        <v>343599.91559248092</v>
      </c>
      <c r="D8" s="113">
        <f>'2023年'!L11</f>
        <v>1850537.0714357402</v>
      </c>
      <c r="E8" s="113">
        <f>'2024年'!L11</f>
        <v>1850537.0714357402</v>
      </c>
      <c r="F8" s="113">
        <f t="shared" si="0"/>
        <v>4044674.0584639614</v>
      </c>
      <c r="G8" s="69"/>
      <c r="AH8" s="52" t="s">
        <v>34</v>
      </c>
      <c r="AI8" s="52" t="s">
        <v>33</v>
      </c>
    </row>
    <row r="9" spans="1:36" s="48" customFormat="1" ht="15.75" customHeight="1">
      <c r="A9" s="62">
        <v>6</v>
      </c>
      <c r="B9" s="52" t="s">
        <v>35</v>
      </c>
      <c r="C9" s="113">
        <f>'2022年'!L12</f>
        <v>92139.985948858302</v>
      </c>
      <c r="D9" s="113">
        <f>'2023年'!L12</f>
        <v>496241.27370903752</v>
      </c>
      <c r="E9" s="113">
        <f>'2024年'!L12</f>
        <v>496241.27370903752</v>
      </c>
      <c r="F9" s="113">
        <f t="shared" si="0"/>
        <v>1084622.5333669332</v>
      </c>
      <c r="G9" s="69"/>
      <c r="AH9" s="52" t="s">
        <v>36</v>
      </c>
      <c r="AI9" s="52" t="s">
        <v>35</v>
      </c>
    </row>
    <row r="10" spans="1:36" s="48" customFormat="1" ht="15.75" customHeight="1">
      <c r="A10" s="62">
        <v>7</v>
      </c>
      <c r="B10" s="115" t="s">
        <v>37</v>
      </c>
      <c r="C10" s="113">
        <f>'2022年'!L13</f>
        <v>244468.15999999995</v>
      </c>
      <c r="D10" s="113">
        <f>'2023年'!L13</f>
        <v>1316639.9999999998</v>
      </c>
      <c r="E10" s="113">
        <f>'2024年'!L13</f>
        <v>1316639.9999999998</v>
      </c>
      <c r="F10" s="113">
        <f t="shared" si="0"/>
        <v>2877748.1599999992</v>
      </c>
      <c r="G10" s="69"/>
      <c r="AH10" s="52" t="s">
        <v>38</v>
      </c>
      <c r="AI10" s="52" t="s">
        <v>37</v>
      </c>
      <c r="AJ10" s="48" t="s">
        <v>21</v>
      </c>
    </row>
    <row r="11" spans="1:36" s="48" customFormat="1" ht="15.75" customHeight="1">
      <c r="A11" s="62">
        <v>8</v>
      </c>
      <c r="B11" s="116" t="s">
        <v>39</v>
      </c>
      <c r="C11" s="117">
        <f>'2022年'!L14</f>
        <v>680208.06154133915</v>
      </c>
      <c r="D11" s="117">
        <f>'2023年'!L14</f>
        <v>3663418.3451447776</v>
      </c>
      <c r="E11" s="117">
        <f>'2024年'!L14</f>
        <v>3663418.3451447776</v>
      </c>
      <c r="F11" s="117">
        <f t="shared" si="0"/>
        <v>8007044.7518308945</v>
      </c>
      <c r="G11" s="69"/>
      <c r="AH11" s="52" t="s">
        <v>40</v>
      </c>
      <c r="AI11" s="55" t="s">
        <v>39</v>
      </c>
    </row>
    <row r="12" spans="1:36" s="48" customFormat="1" ht="15.75" customHeight="1">
      <c r="A12" s="62">
        <v>9</v>
      </c>
      <c r="B12" s="118" t="s">
        <v>41</v>
      </c>
      <c r="C12" s="113">
        <f>'2022年'!L15</f>
        <v>216011.87845866085</v>
      </c>
      <c r="D12" s="113">
        <f>'2023年'!L15</f>
        <v>963896.65485522232</v>
      </c>
      <c r="E12" s="113">
        <f>'2024年'!L15</f>
        <v>871350.35485522193</v>
      </c>
      <c r="F12" s="113">
        <f>F6-F7-F11</f>
        <v>2051258.8881690986</v>
      </c>
      <c r="G12" s="69"/>
      <c r="I12" s="110"/>
      <c r="J12" s="110"/>
      <c r="K12" s="110"/>
      <c r="L12" s="110"/>
      <c r="M12" s="110"/>
      <c r="N12" s="110"/>
      <c r="AH12" s="52" t="s">
        <v>42</v>
      </c>
      <c r="AI12" s="55" t="s">
        <v>41</v>
      </c>
    </row>
    <row r="13" spans="1:36" ht="15.75" customHeight="1">
      <c r="A13" s="62">
        <v>10</v>
      </c>
      <c r="B13" s="119" t="s">
        <v>43</v>
      </c>
      <c r="C13" s="120">
        <f>+C12/C6</f>
        <v>3.5343969285597084E-2</v>
      </c>
      <c r="D13" s="120">
        <f>'2023年'!L16</f>
        <v>2.98811524838495E-2</v>
      </c>
      <c r="E13" s="120">
        <f>'2024年'!L16</f>
        <v>2.7563452026258237E-2</v>
      </c>
      <c r="F13" s="120">
        <f>+F12/F6</f>
        <v>2.9311273105358079E-2</v>
      </c>
      <c r="G13" s="69"/>
      <c r="AH13" s="119" t="s">
        <v>44</v>
      </c>
      <c r="AI13" s="119" t="s">
        <v>43</v>
      </c>
    </row>
    <row r="14" spans="1:36" ht="15.75" customHeight="1">
      <c r="A14" s="62">
        <v>11</v>
      </c>
      <c r="B14" s="119" t="s">
        <v>45</v>
      </c>
      <c r="C14" s="113">
        <f>'2022年'!L17</f>
        <v>320941.66666666674</v>
      </c>
      <c r="D14" s="113">
        <f>'2023年'!L17</f>
        <v>193294.4128787879</v>
      </c>
      <c r="E14" s="113">
        <f>'2024年'!L17</f>
        <v>320941.66666666674</v>
      </c>
      <c r="F14" s="113">
        <f>SUM(C14:E14)</f>
        <v>835177.74621212133</v>
      </c>
      <c r="G14" s="69"/>
      <c r="AH14" s="119" t="s">
        <v>46</v>
      </c>
      <c r="AI14" s="119" t="s">
        <v>45</v>
      </c>
    </row>
    <row r="15" spans="1:36" ht="15.75" hidden="1" customHeight="1">
      <c r="A15" s="160"/>
      <c r="B15" s="119"/>
      <c r="C15" s="113"/>
      <c r="D15" s="113"/>
      <c r="E15" s="113"/>
      <c r="F15" s="113"/>
      <c r="G15" s="69"/>
      <c r="AH15" s="119"/>
      <c r="AI15" s="119"/>
    </row>
    <row r="16" spans="1:36" ht="15.75" customHeight="1">
      <c r="A16" s="62">
        <v>12</v>
      </c>
      <c r="B16" s="119" t="s">
        <v>47</v>
      </c>
      <c r="C16" s="121">
        <f>'2022年'!L19</f>
        <v>0</v>
      </c>
      <c r="D16" s="121">
        <f>'2023年'!L19</f>
        <v>0</v>
      </c>
      <c r="E16" s="121">
        <f>'2024年'!L19</f>
        <v>0</v>
      </c>
      <c r="F16" s="113">
        <f>SUM(C16:E16)</f>
        <v>0</v>
      </c>
      <c r="G16" s="69"/>
      <c r="O16" s="69"/>
      <c r="AH16" s="119" t="s">
        <v>48</v>
      </c>
      <c r="AI16" s="119" t="s">
        <v>47</v>
      </c>
      <c r="AJ16" s="110" t="s">
        <v>21</v>
      </c>
    </row>
    <row r="17" spans="1:36" ht="15.75" customHeight="1">
      <c r="A17" s="62">
        <v>13</v>
      </c>
      <c r="B17" s="119" t="s">
        <v>49</v>
      </c>
      <c r="C17" s="121">
        <f>'2022年'!L20</f>
        <v>0</v>
      </c>
      <c r="D17" s="121">
        <f>'2023年'!L20</f>
        <v>0</v>
      </c>
      <c r="E17" s="121">
        <f>'2024年'!L20</f>
        <v>0</v>
      </c>
      <c r="F17" s="113">
        <f>SUM(C17:E17)</f>
        <v>0</v>
      </c>
      <c r="G17" s="69"/>
      <c r="AH17" s="119" t="s">
        <v>50</v>
      </c>
      <c r="AI17" s="119" t="s">
        <v>49</v>
      </c>
    </row>
    <row r="18" spans="1:36" s="47" customFormat="1" ht="15.75" customHeight="1">
      <c r="A18" s="62">
        <v>14</v>
      </c>
      <c r="B18" s="60" t="s">
        <v>51</v>
      </c>
      <c r="C18" s="122">
        <f>'2022年'!L21</f>
        <v>250000</v>
      </c>
      <c r="D18" s="122">
        <f>'2023年'!L21</f>
        <v>250000</v>
      </c>
      <c r="E18" s="122">
        <f>'2024年'!L21</f>
        <v>250000</v>
      </c>
      <c r="F18" s="113">
        <f>SUM(C18:E18)</f>
        <v>750000</v>
      </c>
      <c r="G18" s="69"/>
      <c r="AH18" s="60"/>
      <c r="AI18" s="60"/>
    </row>
    <row r="19" spans="1:36" s="48" customFormat="1" ht="15.75" customHeight="1">
      <c r="A19" s="62">
        <v>15</v>
      </c>
      <c r="B19" s="52" t="s">
        <v>52</v>
      </c>
      <c r="C19" s="121">
        <f>'2022年'!L22</f>
        <v>244468.16</v>
      </c>
      <c r="D19" s="121">
        <f>'2023年'!L22</f>
        <v>1038120</v>
      </c>
      <c r="E19" s="121">
        <f>'2024年'!L22</f>
        <v>1316640</v>
      </c>
      <c r="F19" s="113">
        <f>SUM(C19:E19)</f>
        <v>2599228.16</v>
      </c>
      <c r="G19" s="69"/>
      <c r="AH19" s="52" t="s">
        <v>53</v>
      </c>
      <c r="AI19" s="52" t="s">
        <v>52</v>
      </c>
    </row>
    <row r="20" spans="1:36" s="108" customFormat="1" ht="15.75" customHeight="1">
      <c r="A20" s="62">
        <v>16</v>
      </c>
      <c r="B20" s="123" t="s">
        <v>54</v>
      </c>
      <c r="C20" s="117">
        <f t="shared" ref="C20" si="1">+C19+C18+C17+C16+C14</f>
        <v>815409.82666666678</v>
      </c>
      <c r="D20" s="117">
        <f>'2023年'!L23</f>
        <v>1481414.4128787878</v>
      </c>
      <c r="E20" s="117">
        <f>'2024年'!L23</f>
        <v>1887581.6666666667</v>
      </c>
      <c r="F20" s="117">
        <f>SUM(C20:E20)</f>
        <v>4184405.9062121212</v>
      </c>
      <c r="G20" s="69"/>
      <c r="AH20" s="136" t="s">
        <v>55</v>
      </c>
      <c r="AI20" s="137" t="s">
        <v>54</v>
      </c>
    </row>
    <row r="21" spans="1:36" ht="15.75" customHeight="1">
      <c r="A21" s="62">
        <v>17</v>
      </c>
      <c r="B21" s="119" t="s">
        <v>56</v>
      </c>
      <c r="C21" s="124">
        <f>+C12-C20</f>
        <v>-599397.94820800587</v>
      </c>
      <c r="D21" s="124">
        <f>'2023年'!L24</f>
        <v>-517517.75802356552</v>
      </c>
      <c r="E21" s="124">
        <f>'2024年'!L24</f>
        <v>-1016231.3118114448</v>
      </c>
      <c r="F21" s="124">
        <f>+F12-F20</f>
        <v>-2133147.0180430226</v>
      </c>
      <c r="G21" s="69"/>
      <c r="AH21" s="119" t="s">
        <v>57</v>
      </c>
      <c r="AI21" s="119" t="s">
        <v>56</v>
      </c>
    </row>
    <row r="22" spans="1:36" ht="15.75" customHeight="1">
      <c r="A22" s="62">
        <v>18</v>
      </c>
      <c r="B22" s="119" t="s">
        <v>58</v>
      </c>
      <c r="C22" s="124">
        <f>IF(C21&lt;0,0,C21*0.15)</f>
        <v>0</v>
      </c>
      <c r="D22" s="124">
        <f>'2023年'!L25</f>
        <v>0</v>
      </c>
      <c r="E22" s="124">
        <f>'2024年'!L25</f>
        <v>0</v>
      </c>
      <c r="F22" s="124">
        <f>IF(F21&lt;0,0,F21*0.15)</f>
        <v>0</v>
      </c>
      <c r="G22" s="69"/>
      <c r="AH22" s="119" t="s">
        <v>59</v>
      </c>
      <c r="AI22" s="119" t="s">
        <v>58</v>
      </c>
    </row>
    <row r="23" spans="1:36" ht="15.75" customHeight="1">
      <c r="A23" s="62">
        <v>19</v>
      </c>
      <c r="B23" s="119" t="s">
        <v>60</v>
      </c>
      <c r="C23" s="124">
        <f>C21-C22</f>
        <v>-599397.94820800587</v>
      </c>
      <c r="D23" s="124">
        <f>'2023年'!L26</f>
        <v>-517517.75802356552</v>
      </c>
      <c r="E23" s="124">
        <f>'2024年'!L26</f>
        <v>-1016231.3118114448</v>
      </c>
      <c r="F23" s="124">
        <f>F21-F22</f>
        <v>-2133147.0180430226</v>
      </c>
      <c r="G23" s="69"/>
      <c r="AH23" s="119" t="s">
        <v>61</v>
      </c>
      <c r="AI23" s="119" t="s">
        <v>60</v>
      </c>
    </row>
    <row r="24" spans="1:36" ht="15.75" customHeight="1">
      <c r="A24" s="62">
        <v>20</v>
      </c>
      <c r="B24" s="119" t="s">
        <v>62</v>
      </c>
      <c r="C24" s="125">
        <f>(C23/C4)*100%</f>
        <v>-9.8073785675485248E-2</v>
      </c>
      <c r="D24" s="125">
        <f>'2023年'!L27</f>
        <v>-1.5722376899488563E-2</v>
      </c>
      <c r="E24" s="125">
        <f>'2024年'!L27</f>
        <v>-3.0873475264656849E-2</v>
      </c>
      <c r="F24" s="125">
        <f>(F23/F4)*100%</f>
        <v>-2.9650225098822026E-2</v>
      </c>
      <c r="G24" s="69"/>
      <c r="AH24" s="138" t="s">
        <v>63</v>
      </c>
      <c r="AI24" s="138" t="s">
        <v>64</v>
      </c>
    </row>
    <row r="25" spans="1:36" s="109" customFormat="1" ht="15.75" customHeight="1">
      <c r="C25" s="126"/>
      <c r="D25" s="126"/>
      <c r="E25" s="126"/>
      <c r="F25" s="126"/>
      <c r="G25" s="135"/>
    </row>
    <row r="26" spans="1:36" s="109" customFormat="1" ht="15.75" customHeight="1">
      <c r="A26" s="109" t="s">
        <v>65</v>
      </c>
      <c r="C26" s="127"/>
      <c r="D26" s="127"/>
      <c r="E26" s="127"/>
      <c r="F26" s="127"/>
      <c r="G26" s="135"/>
      <c r="AH26" s="109" t="s">
        <v>65</v>
      </c>
    </row>
    <row r="27" spans="1:36" ht="15.75" customHeight="1">
      <c r="A27" s="119" t="s">
        <v>17</v>
      </c>
      <c r="B27" s="128" t="s">
        <v>1</v>
      </c>
      <c r="C27" s="112" t="s">
        <v>66</v>
      </c>
      <c r="D27" s="112" t="s">
        <v>18</v>
      </c>
      <c r="E27" s="112" t="s">
        <v>67</v>
      </c>
      <c r="F27" s="51" t="s">
        <v>19</v>
      </c>
      <c r="AJ27" s="110" t="s">
        <v>20</v>
      </c>
    </row>
    <row r="28" spans="1:36" s="48" customFormat="1" ht="15.75" customHeight="1">
      <c r="A28" s="52" t="s">
        <v>68</v>
      </c>
      <c r="B28" s="55" t="s">
        <v>69</v>
      </c>
      <c r="C28" s="59"/>
      <c r="D28" s="59"/>
      <c r="E28" s="59"/>
      <c r="F28" s="59"/>
      <c r="G28" s="69"/>
      <c r="AH28" s="52" t="s">
        <v>70</v>
      </c>
      <c r="AI28" s="55" t="s">
        <v>69</v>
      </c>
    </row>
    <row r="29" spans="1:36" s="48" customFormat="1" ht="15.75" customHeight="1">
      <c r="A29" s="52" t="s">
        <v>23</v>
      </c>
      <c r="B29" s="52" t="s">
        <v>71</v>
      </c>
      <c r="C29" s="54">
        <f>+C6/C3</f>
        <v>748.98333333333335</v>
      </c>
      <c r="D29" s="54">
        <f t="shared" ref="D29:E29" si="2">+D6/D3</f>
        <v>733.12909090909091</v>
      </c>
      <c r="E29" s="54">
        <f t="shared" si="2"/>
        <v>718.46650909090897</v>
      </c>
      <c r="F29" s="54">
        <f>+F6/F3</f>
        <v>727.76529118136432</v>
      </c>
      <c r="G29" s="69"/>
      <c r="AH29" s="52" t="s">
        <v>23</v>
      </c>
      <c r="AI29" s="52" t="s">
        <v>71</v>
      </c>
    </row>
    <row r="30" spans="1:36" s="48" customFormat="1" ht="15.75" customHeight="1">
      <c r="A30" s="52" t="s">
        <v>25</v>
      </c>
      <c r="B30" s="52" t="s">
        <v>72</v>
      </c>
      <c r="C30" s="54">
        <f>+C7/C3</f>
        <v>639.15245833333336</v>
      </c>
      <c r="D30" s="54">
        <f t="shared" ref="D30:E30" si="3">+D7/D3</f>
        <v>627.96284090909091</v>
      </c>
      <c r="E30" s="54">
        <f t="shared" si="3"/>
        <v>615.40358409090902</v>
      </c>
      <c r="F30" s="54">
        <f>+F7/F3</f>
        <v>623.16562770382689</v>
      </c>
      <c r="G30" s="69"/>
      <c r="AH30" s="52" t="s">
        <v>25</v>
      </c>
      <c r="AI30" s="52" t="s">
        <v>72</v>
      </c>
    </row>
    <row r="31" spans="1:36" s="48" customFormat="1" ht="15.75" customHeight="1">
      <c r="A31" s="52" t="s">
        <v>73</v>
      </c>
      <c r="B31" s="52" t="s">
        <v>74</v>
      </c>
      <c r="C31" s="59">
        <f t="shared" ref="C31:F31" si="4">C29-C30</f>
        <v>109.83087499999999</v>
      </c>
      <c r="D31" s="59">
        <f t="shared" si="4"/>
        <v>105.16624999999999</v>
      </c>
      <c r="E31" s="59">
        <f t="shared" si="4"/>
        <v>103.06292499999995</v>
      </c>
      <c r="F31" s="59">
        <f t="shared" si="4"/>
        <v>104.59966347753743</v>
      </c>
      <c r="G31" s="69"/>
      <c r="AH31" s="52" t="s">
        <v>73</v>
      </c>
      <c r="AI31" s="52" t="s">
        <v>74</v>
      </c>
    </row>
    <row r="32" spans="1:36" s="48" customFormat="1" ht="15.75" customHeight="1">
      <c r="A32" s="52">
        <v>3.1</v>
      </c>
      <c r="B32" s="52" t="s">
        <v>75</v>
      </c>
      <c r="C32" s="129">
        <f t="shared" ref="C32:F32" si="5">C31/C29</f>
        <v>0.14663994525912902</v>
      </c>
      <c r="D32" s="129">
        <f t="shared" si="5"/>
        <v>0.14344847490582086</v>
      </c>
      <c r="E32" s="129">
        <f t="shared" si="5"/>
        <v>0.14344847490582083</v>
      </c>
      <c r="F32" s="129">
        <f t="shared" si="5"/>
        <v>0.14372719439222398</v>
      </c>
      <c r="G32" s="69"/>
      <c r="AH32" s="52"/>
      <c r="AI32" s="52"/>
    </row>
    <row r="33" spans="1:35" s="48" customFormat="1" ht="15.75" customHeight="1">
      <c r="A33" s="52" t="s">
        <v>70</v>
      </c>
      <c r="B33" s="55" t="s">
        <v>10</v>
      </c>
      <c r="C33" s="59"/>
      <c r="D33" s="59"/>
      <c r="E33" s="59"/>
      <c r="F33" s="59"/>
      <c r="G33" s="69"/>
      <c r="AH33" s="52" t="s">
        <v>76</v>
      </c>
      <c r="AI33" s="55" t="s">
        <v>10</v>
      </c>
    </row>
    <row r="34" spans="1:35" s="48" customFormat="1" ht="15.75" customHeight="1">
      <c r="A34" s="52" t="s">
        <v>23</v>
      </c>
      <c r="B34" s="60" t="s">
        <v>77</v>
      </c>
      <c r="C34" s="54">
        <f>+C8/C3</f>
        <v>42.107832793196188</v>
      </c>
      <c r="D34" s="54">
        <f t="shared" ref="D34:E34" si="6">+D8/D3</f>
        <v>42.057660714448645</v>
      </c>
      <c r="E34" s="54">
        <f t="shared" si="6"/>
        <v>42.057660714448645</v>
      </c>
      <c r="F34" s="54">
        <f>+F8/F3</f>
        <v>42.061918245257502</v>
      </c>
      <c r="G34" s="69"/>
      <c r="AH34" s="52" t="s">
        <v>73</v>
      </c>
      <c r="AI34" s="52" t="s">
        <v>77</v>
      </c>
    </row>
    <row r="35" spans="1:35" s="48" customFormat="1" ht="15.75" customHeight="1">
      <c r="A35" s="52" t="s">
        <v>25</v>
      </c>
      <c r="B35" s="60" t="s">
        <v>78</v>
      </c>
      <c r="C35" s="54">
        <f>+C9/C3</f>
        <v>11.291664944713027</v>
      </c>
      <c r="D35" s="54">
        <f t="shared" ref="D35:E35" si="7">+D9/D3</f>
        <v>11.278210766114489</v>
      </c>
      <c r="E35" s="54">
        <f t="shared" si="7"/>
        <v>11.278210766114489</v>
      </c>
      <c r="F35" s="54">
        <f>+F9/F3</f>
        <v>11.279352468458125</v>
      </c>
      <c r="G35" s="69"/>
      <c r="AH35" s="52" t="s">
        <v>28</v>
      </c>
      <c r="AI35" s="52" t="s">
        <v>78</v>
      </c>
    </row>
    <row r="36" spans="1:35" s="48" customFormat="1" ht="15.75" customHeight="1">
      <c r="A36" s="52" t="s">
        <v>73</v>
      </c>
      <c r="B36" s="60" t="s">
        <v>79</v>
      </c>
      <c r="C36" s="54">
        <f>+C10/C3</f>
        <v>29.959333333333326</v>
      </c>
      <c r="D36" s="54">
        <f t="shared" ref="D36:E36" si="8">+D10/D3</f>
        <v>29.923636363636358</v>
      </c>
      <c r="E36" s="54">
        <f t="shared" si="8"/>
        <v>29.923636363636358</v>
      </c>
      <c r="F36" s="54">
        <f>+F10/F3</f>
        <v>29.926665557404316</v>
      </c>
      <c r="G36" s="69"/>
      <c r="AH36" s="52" t="s">
        <v>34</v>
      </c>
      <c r="AI36" s="52" t="s">
        <v>79</v>
      </c>
    </row>
    <row r="37" spans="1:35" s="48" customFormat="1" ht="15.75" customHeight="1">
      <c r="A37" s="52" t="s">
        <v>80</v>
      </c>
      <c r="B37" s="118" t="s">
        <v>81</v>
      </c>
      <c r="C37" s="54"/>
      <c r="D37" s="54"/>
      <c r="E37" s="54"/>
      <c r="F37" s="54"/>
      <c r="G37" s="69"/>
      <c r="AH37" s="52" t="s">
        <v>80</v>
      </c>
      <c r="AI37" s="55" t="s">
        <v>81</v>
      </c>
    </row>
    <row r="38" spans="1:35" s="48" customFormat="1">
      <c r="A38" s="52" t="s">
        <v>23</v>
      </c>
      <c r="B38" s="60" t="s">
        <v>82</v>
      </c>
      <c r="C38" s="54">
        <f>+C12/C3</f>
        <v>26.472043928757458</v>
      </c>
      <c r="D38" s="54">
        <f t="shared" ref="D38:E38" si="9">+D12/D3</f>
        <v>21.906742155800508</v>
      </c>
      <c r="E38" s="54">
        <f t="shared" si="9"/>
        <v>19.803417155800499</v>
      </c>
      <c r="F38" s="54">
        <f>+F12/F3</f>
        <v>21.331727206417415</v>
      </c>
      <c r="G38" s="69"/>
      <c r="AH38" s="52" t="s">
        <v>23</v>
      </c>
      <c r="AI38" s="52" t="s">
        <v>83</v>
      </c>
    </row>
    <row r="39" spans="1:35" s="48" customFormat="1" ht="15.75" customHeight="1">
      <c r="A39" s="52" t="s">
        <v>25</v>
      </c>
      <c r="B39" s="60" t="s">
        <v>84</v>
      </c>
      <c r="C39" s="113">
        <f t="shared" ref="C39:E39" si="10">+C20/C38</f>
        <v>30802.677302180662</v>
      </c>
      <c r="D39" s="113">
        <f t="shared" si="10"/>
        <v>67623.675046841061</v>
      </c>
      <c r="E39" s="113">
        <f t="shared" si="10"/>
        <v>95315.957433830379</v>
      </c>
      <c r="F39" s="185">
        <f t="shared" ref="F39" si="11">+F20/F38</f>
        <v>196158.7950999715</v>
      </c>
      <c r="G39" s="69"/>
      <c r="AH39" s="52" t="s">
        <v>25</v>
      </c>
      <c r="AI39" s="52" t="s">
        <v>84</v>
      </c>
    </row>
    <row r="40" spans="1:35" s="48" customFormat="1" ht="15.75" hidden="1" customHeight="1">
      <c r="A40" s="52" t="s">
        <v>85</v>
      </c>
      <c r="B40" s="55" t="s">
        <v>86</v>
      </c>
      <c r="C40" s="59"/>
      <c r="D40" s="59"/>
      <c r="E40" s="59"/>
      <c r="F40" s="59"/>
      <c r="G40" s="69"/>
      <c r="AH40" s="52" t="s">
        <v>85</v>
      </c>
      <c r="AI40" s="55" t="s">
        <v>86</v>
      </c>
    </row>
    <row r="41" spans="1:35" s="48" customFormat="1" ht="15.75" hidden="1" customHeight="1">
      <c r="A41" s="52" t="s">
        <v>23</v>
      </c>
      <c r="B41" s="52" t="s">
        <v>87</v>
      </c>
      <c r="C41" s="59">
        <f>+C14/C3</f>
        <v>39.331086601307199</v>
      </c>
      <c r="D41" s="59">
        <f t="shared" ref="D41:E41" si="12">+D14/D3</f>
        <v>4.3930548381542707</v>
      </c>
      <c r="E41" s="59">
        <f t="shared" si="12"/>
        <v>7.2941287878787895</v>
      </c>
      <c r="F41" s="59">
        <f>+F14/F3</f>
        <v>8.6852927018731414</v>
      </c>
      <c r="G41" s="69"/>
      <c r="AH41" s="52" t="s">
        <v>23</v>
      </c>
      <c r="AI41" s="52" t="s">
        <v>87</v>
      </c>
    </row>
    <row r="42" spans="1:35" s="48" customFormat="1" ht="15.75" hidden="1" customHeight="1">
      <c r="A42" s="52" t="s">
        <v>25</v>
      </c>
      <c r="B42" s="52" t="s">
        <v>88</v>
      </c>
      <c r="C42" s="59">
        <f>+C16/C3</f>
        <v>0</v>
      </c>
      <c r="D42" s="59">
        <f t="shared" ref="D42:E42" si="13">+D16/D3</f>
        <v>0</v>
      </c>
      <c r="E42" s="59">
        <f t="shared" si="13"/>
        <v>0</v>
      </c>
      <c r="F42" s="59">
        <f>+F16/F3</f>
        <v>0</v>
      </c>
      <c r="G42" s="69"/>
      <c r="AH42" s="52" t="s">
        <v>25</v>
      </c>
      <c r="AI42" s="52" t="s">
        <v>88</v>
      </c>
    </row>
    <row r="43" spans="1:35" s="48" customFormat="1" ht="15.75" hidden="1" customHeight="1">
      <c r="A43" s="52" t="s">
        <v>73</v>
      </c>
      <c r="B43" s="52" t="s">
        <v>89</v>
      </c>
      <c r="C43" s="59">
        <f>+C17/C3</f>
        <v>0</v>
      </c>
      <c r="D43" s="59">
        <f t="shared" ref="D43:E43" si="14">+D17/D3</f>
        <v>0</v>
      </c>
      <c r="E43" s="59">
        <f t="shared" si="14"/>
        <v>0</v>
      </c>
      <c r="F43" s="59">
        <f>+F17/F3</f>
        <v>0</v>
      </c>
      <c r="G43" s="69"/>
      <c r="AH43" s="52" t="s">
        <v>73</v>
      </c>
      <c r="AI43" s="52" t="s">
        <v>89</v>
      </c>
    </row>
    <row r="44" spans="1:35" s="48" customFormat="1" ht="15.75" hidden="1" customHeight="1">
      <c r="A44" s="52" t="s">
        <v>28</v>
      </c>
      <c r="B44" s="52" t="s">
        <v>90</v>
      </c>
      <c r="C44" s="59"/>
      <c r="D44" s="59"/>
      <c r="E44" s="59"/>
      <c r="F44" s="59"/>
      <c r="G44" s="69"/>
      <c r="AH44" s="52" t="s">
        <v>28</v>
      </c>
      <c r="AI44" s="52" t="s">
        <v>91</v>
      </c>
    </row>
    <row r="45" spans="1:35" s="48" customFormat="1" ht="15.75" hidden="1" customHeight="1">
      <c r="A45" s="52" t="s">
        <v>31</v>
      </c>
      <c r="B45" s="52" t="s">
        <v>92</v>
      </c>
      <c r="C45" s="59"/>
      <c r="D45" s="59"/>
      <c r="E45" s="59"/>
      <c r="F45" s="59"/>
      <c r="G45" s="69"/>
      <c r="AH45" s="52" t="s">
        <v>31</v>
      </c>
      <c r="AI45" s="52" t="s">
        <v>92</v>
      </c>
    </row>
    <row r="46" spans="1:35" s="48" customFormat="1" ht="15.75" hidden="1" customHeight="1">
      <c r="A46" s="52" t="s">
        <v>93</v>
      </c>
      <c r="B46" s="55" t="s">
        <v>94</v>
      </c>
      <c r="C46" s="59"/>
      <c r="D46" s="59"/>
      <c r="E46" s="59"/>
      <c r="F46" s="59"/>
      <c r="G46" s="69"/>
      <c r="AH46" s="52" t="s">
        <v>93</v>
      </c>
      <c r="AI46" s="55" t="s">
        <v>94</v>
      </c>
    </row>
    <row r="47" spans="1:35" s="48" customFormat="1" ht="15.75" hidden="1" customHeight="1">
      <c r="A47" s="52" t="s">
        <v>23</v>
      </c>
      <c r="B47" s="52" t="s">
        <v>95</v>
      </c>
      <c r="C47" s="130">
        <f>+(C10+C16)/C6</f>
        <v>3.9999999999999994E-2</v>
      </c>
      <c r="D47" s="130">
        <f t="shared" ref="D47:E47" si="15">+(D10+D16)/D6</f>
        <v>4.0816326530612235E-2</v>
      </c>
      <c r="E47" s="130">
        <f t="shared" si="15"/>
        <v>4.1649312786339023E-2</v>
      </c>
      <c r="F47" s="130">
        <f>+(F10+F16)/F6</f>
        <v>4.1121314687631041E-2</v>
      </c>
      <c r="G47" s="69"/>
      <c r="AH47" s="52" t="s">
        <v>23</v>
      </c>
      <c r="AI47" s="52" t="s">
        <v>95</v>
      </c>
    </row>
    <row r="48" spans="1:35" s="48" customFormat="1" ht="15.75" hidden="1" customHeight="1">
      <c r="A48" s="52" t="s">
        <v>25</v>
      </c>
      <c r="B48" s="52" t="s">
        <v>96</v>
      </c>
      <c r="C48" s="130">
        <f>+(C8+C9+C14)/C6</f>
        <v>0.12380860856612264</v>
      </c>
      <c r="D48" s="130">
        <f t="shared" ref="D48:E48" si="16">+(D8+D9+D14)/D6</f>
        <v>7.8743194117604415E-2</v>
      </c>
      <c r="E48" s="130">
        <f t="shared" si="16"/>
        <v>8.4388067503881781E-2</v>
      </c>
      <c r="F48" s="130">
        <f>+(F8+F9+F14)/F6</f>
        <v>8.5228801328107451E-2</v>
      </c>
      <c r="G48" s="69"/>
      <c r="AH48" s="52" t="s">
        <v>25</v>
      </c>
      <c r="AI48" s="52" t="s">
        <v>96</v>
      </c>
    </row>
    <row r="49" spans="1:35" s="48" customFormat="1" ht="15.75" hidden="1" customHeight="1">
      <c r="A49" s="52" t="s">
        <v>73</v>
      </c>
      <c r="B49" s="52" t="s">
        <v>97</v>
      </c>
      <c r="C49" s="130">
        <f>+C17/C6</f>
        <v>0</v>
      </c>
      <c r="D49" s="130">
        <f t="shared" ref="D49:E49" si="17">+D17/D6</f>
        <v>0</v>
      </c>
      <c r="E49" s="130">
        <f t="shared" si="17"/>
        <v>0</v>
      </c>
      <c r="F49" s="130">
        <f>+F17/F6</f>
        <v>0</v>
      </c>
      <c r="G49" s="69"/>
      <c r="AH49" s="52" t="s">
        <v>73</v>
      </c>
      <c r="AI49" s="52" t="s">
        <v>97</v>
      </c>
    </row>
    <row r="50" spans="1:35" s="48" customFormat="1" ht="15.75" hidden="1" customHeight="1">
      <c r="A50" s="52" t="s">
        <v>28</v>
      </c>
      <c r="B50" s="52" t="s">
        <v>98</v>
      </c>
      <c r="C50" s="130">
        <f>+C18/C6</f>
        <v>4.090512236849167E-2</v>
      </c>
      <c r="D50" s="130">
        <f t="shared" ref="D50:E50" si="18">+D18/D6</f>
        <v>7.7500923811011828E-3</v>
      </c>
      <c r="E50" s="130">
        <f t="shared" si="18"/>
        <v>7.908257531735902E-3</v>
      </c>
      <c r="F50" s="130">
        <f>+F18/F6</f>
        <v>1.0717055246322629E-2</v>
      </c>
      <c r="G50" s="69"/>
      <c r="AH50" s="52" t="s">
        <v>28</v>
      </c>
      <c r="AI50" s="52" t="s">
        <v>98</v>
      </c>
    </row>
    <row r="51" spans="1:35" s="48" customFormat="1" ht="15.75" hidden="1" customHeight="1">
      <c r="A51" s="52" t="s">
        <v>31</v>
      </c>
      <c r="B51" s="52" t="s">
        <v>99</v>
      </c>
      <c r="C51" s="130">
        <f>+C19/C6</f>
        <v>0.04</v>
      </c>
      <c r="D51" s="130">
        <f t="shared" ref="D51:E51" si="19">+D19/D6</f>
        <v>3.2182103610675042E-2</v>
      </c>
      <c r="E51" s="130">
        <f t="shared" si="19"/>
        <v>4.1649312786339029E-2</v>
      </c>
      <c r="F51" s="130">
        <f>+F19/F6</f>
        <v>3.7141429051356686E-2</v>
      </c>
      <c r="G51" s="69"/>
      <c r="AH51" s="52" t="s">
        <v>31</v>
      </c>
      <c r="AI51" s="52" t="s">
        <v>99</v>
      </c>
    </row>
    <row r="52" spans="1:35" s="48" customFormat="1" ht="15.75" hidden="1" customHeight="1">
      <c r="A52" s="52" t="s">
        <v>34</v>
      </c>
      <c r="B52" s="52" t="s">
        <v>100</v>
      </c>
      <c r="C52" s="130">
        <f>+C23/C6</f>
        <v>-9.8073785675485248E-2</v>
      </c>
      <c r="D52" s="130">
        <f t="shared" ref="D52:E52" si="20">+D23/D6</f>
        <v>-1.6043241734172001E-2</v>
      </c>
      <c r="E52" s="130">
        <f t="shared" si="20"/>
        <v>-3.2146475702474857E-2</v>
      </c>
      <c r="F52" s="130">
        <f>+F23/F6</f>
        <v>-3.0481405921193926E-2</v>
      </c>
      <c r="G52" s="69"/>
      <c r="AH52" s="52" t="s">
        <v>34</v>
      </c>
      <c r="AI52" s="52" t="s">
        <v>101</v>
      </c>
    </row>
    <row r="53" spans="1:35" s="48" customFormat="1" ht="15.75" hidden="1" customHeight="1">
      <c r="A53" s="52" t="s">
        <v>102</v>
      </c>
      <c r="B53" s="55" t="s">
        <v>103</v>
      </c>
      <c r="C53" s="59">
        <f>+C21/C3</f>
        <v>-73.455630907843855</v>
      </c>
      <c r="D53" s="59">
        <f t="shared" ref="D53:E53" si="21">+D21/D3</f>
        <v>-11.761767227808308</v>
      </c>
      <c r="E53" s="59">
        <f t="shared" si="21"/>
        <v>-23.096166177532837</v>
      </c>
      <c r="F53" s="59">
        <f>+F21/F3</f>
        <v>-22.183309255855061</v>
      </c>
      <c r="G53" s="69"/>
      <c r="AH53" s="52" t="s">
        <v>102</v>
      </c>
      <c r="AI53" s="55" t="s">
        <v>103</v>
      </c>
    </row>
    <row r="54" spans="1:35" s="48" customFormat="1" ht="15.75" hidden="1" customHeight="1">
      <c r="A54" s="52" t="s">
        <v>104</v>
      </c>
      <c r="B54" s="131" t="s">
        <v>105</v>
      </c>
      <c r="C54" s="59"/>
      <c r="D54" s="59"/>
      <c r="E54" s="59"/>
      <c r="F54" s="59"/>
      <c r="G54" s="69"/>
      <c r="AH54" s="52"/>
      <c r="AI54" s="55"/>
    </row>
    <row r="55" spans="1:35" s="48" customFormat="1" ht="15.75" hidden="1" customHeight="1">
      <c r="A55" s="52" t="s">
        <v>23</v>
      </c>
      <c r="B55" s="52" t="s">
        <v>106</v>
      </c>
      <c r="C55" s="59">
        <f>C56+C57</f>
        <v>1763500</v>
      </c>
      <c r="D55" s="59"/>
      <c r="E55" s="59"/>
      <c r="F55" s="59"/>
      <c r="G55" s="69"/>
    </row>
    <row r="56" spans="1:35" s="48" customFormat="1" ht="15.75" hidden="1" customHeight="1">
      <c r="A56" s="52">
        <v>1.1000000000000001</v>
      </c>
      <c r="B56" s="132" t="s">
        <v>107</v>
      </c>
      <c r="C56" s="59">
        <f>项目投资!B27</f>
        <v>750000</v>
      </c>
      <c r="D56" s="59"/>
      <c r="E56" s="59"/>
      <c r="F56" s="59"/>
      <c r="G56" s="69"/>
    </row>
    <row r="57" spans="1:35" s="48" customFormat="1" ht="15.75" hidden="1" customHeight="1">
      <c r="A57" s="52">
        <v>1.2</v>
      </c>
      <c r="B57" s="52" t="s">
        <v>108</v>
      </c>
      <c r="C57" s="59">
        <f>项目投资!B26</f>
        <v>1013500</v>
      </c>
      <c r="D57" s="59"/>
      <c r="E57" s="59"/>
      <c r="F57" s="59"/>
      <c r="G57" s="69"/>
    </row>
    <row r="58" spans="1:35" ht="15.75" hidden="1" customHeight="1">
      <c r="A58" s="119" t="s">
        <v>25</v>
      </c>
      <c r="B58" s="119" t="s">
        <v>109</v>
      </c>
      <c r="C58" s="133">
        <f t="shared" ref="C58:E58" si="22">C59+C60</f>
        <v>-278456.28154133918</v>
      </c>
      <c r="D58" s="133">
        <f t="shared" si="22"/>
        <v>-196576.09135689883</v>
      </c>
      <c r="E58" s="133">
        <f t="shared" si="22"/>
        <v>-695289.64514477807</v>
      </c>
      <c r="F58" s="133">
        <f t="shared" ref="F58" si="23">F59+F60</f>
        <v>-1170322.0180430226</v>
      </c>
      <c r="G58" s="69"/>
    </row>
    <row r="59" spans="1:35" ht="15.75" hidden="1" customHeight="1">
      <c r="A59" s="119" t="s">
        <v>73</v>
      </c>
      <c r="B59" s="119" t="s">
        <v>110</v>
      </c>
      <c r="C59" s="133">
        <f t="shared" ref="C59:E59" si="24">C23</f>
        <v>-599397.94820800587</v>
      </c>
      <c r="D59" s="133">
        <f t="shared" si="24"/>
        <v>-517517.75802356552</v>
      </c>
      <c r="E59" s="133">
        <f t="shared" si="24"/>
        <v>-1016231.3118114448</v>
      </c>
      <c r="F59" s="133">
        <f t="shared" ref="F59" si="25">F23</f>
        <v>-2133147.0180430226</v>
      </c>
      <c r="G59" s="69"/>
    </row>
    <row r="60" spans="1:35" ht="15.75" hidden="1" customHeight="1">
      <c r="A60" s="119" t="s">
        <v>28</v>
      </c>
      <c r="B60" s="119" t="s">
        <v>111</v>
      </c>
      <c r="C60" s="133">
        <f>'2022年'!L18</f>
        <v>320941.66666666669</v>
      </c>
      <c r="D60" s="133">
        <f>'2023年'!L18</f>
        <v>320941.66666666669</v>
      </c>
      <c r="E60" s="133">
        <f>'2024年'!L18</f>
        <v>320941.66666666669</v>
      </c>
      <c r="F60" s="133">
        <f>项目投资!I26</f>
        <v>962825</v>
      </c>
      <c r="G60" s="69"/>
    </row>
    <row r="61" spans="1:35" ht="15.75" hidden="1" customHeight="1">
      <c r="A61" s="119" t="s">
        <v>31</v>
      </c>
      <c r="B61" s="119" t="s">
        <v>112</v>
      </c>
      <c r="C61" s="134"/>
      <c r="D61" s="134"/>
      <c r="E61" s="134"/>
      <c r="F61" s="133"/>
      <c r="G61" s="69"/>
    </row>
    <row r="63" spans="1:35">
      <c r="B63"/>
    </row>
  </sheetData>
  <mergeCells count="2">
    <mergeCell ref="A1:F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113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114</v>
      </c>
      <c r="B2" s="77"/>
    </row>
    <row r="3" spans="1:13" ht="16.899999999999999" customHeight="1">
      <c r="A3" s="78" t="s">
        <v>17</v>
      </c>
      <c r="B3" s="78" t="s">
        <v>115</v>
      </c>
      <c r="C3" s="231" t="s">
        <v>116</v>
      </c>
      <c r="D3" s="231"/>
      <c r="E3" s="231"/>
      <c r="F3" s="80"/>
      <c r="G3" s="81"/>
      <c r="H3" s="82"/>
      <c r="I3" s="82"/>
      <c r="J3" s="82" t="s">
        <v>117</v>
      </c>
      <c r="K3" s="82"/>
      <c r="L3" s="82"/>
      <c r="M3" s="103"/>
    </row>
    <row r="4" spans="1:13" ht="16.149999999999999" customHeight="1">
      <c r="A4" s="83"/>
      <c r="B4" s="83" t="s">
        <v>118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119</v>
      </c>
    </row>
    <row r="5" spans="1:13" ht="15.6" customHeight="1">
      <c r="A5" s="85">
        <v>1</v>
      </c>
      <c r="B5" s="86" t="s">
        <v>120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6111704</v>
      </c>
      <c r="G5" s="87">
        <f t="shared" si="1"/>
        <v>32916000</v>
      </c>
      <c r="H5" s="87">
        <f t="shared" si="1"/>
        <v>32916000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71943704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121</v>
      </c>
      <c r="C6" s="89"/>
      <c r="D6" s="89"/>
      <c r="E6" s="89" t="e">
        <f>损益表!#REF!</f>
        <v>#REF!</v>
      </c>
      <c r="F6" s="89">
        <f>损益表!C4</f>
        <v>6111704</v>
      </c>
      <c r="G6" s="89">
        <f>损益表!D4</f>
        <v>32916000</v>
      </c>
      <c r="H6" s="89">
        <f>损益表!E4</f>
        <v>32916000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损益表!F4</f>
        <v>71943704</v>
      </c>
      <c r="M6" s="91" t="e">
        <f t="shared" si="2"/>
        <v>#REF!</v>
      </c>
    </row>
    <row r="7" spans="1:13" ht="15.6" customHeight="1">
      <c r="A7" s="85">
        <v>1.2</v>
      </c>
      <c r="B7" s="88" t="s">
        <v>122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123</v>
      </c>
      <c r="C8" s="89" t="s">
        <v>124</v>
      </c>
      <c r="D8" s="89" t="s">
        <v>124</v>
      </c>
      <c r="E8" s="89" t="s">
        <v>124</v>
      </c>
      <c r="F8" s="89" t="s">
        <v>124</v>
      </c>
      <c r="G8" s="89" t="s">
        <v>124</v>
      </c>
      <c r="H8" s="89" t="s">
        <v>124</v>
      </c>
      <c r="I8" s="89" t="s">
        <v>124</v>
      </c>
      <c r="J8" s="89" t="s">
        <v>124</v>
      </c>
      <c r="K8" s="89" t="s">
        <v>124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125</v>
      </c>
      <c r="C9" s="89" t="s">
        <v>124</v>
      </c>
      <c r="D9" s="89" t="s">
        <v>124</v>
      </c>
      <c r="E9" s="89" t="s">
        <v>124</v>
      </c>
      <c r="F9" s="89" t="s">
        <v>124</v>
      </c>
      <c r="G9" s="89" t="s">
        <v>124</v>
      </c>
      <c r="H9" s="89" t="s">
        <v>124</v>
      </c>
      <c r="I9" s="89" t="s">
        <v>124</v>
      </c>
      <c r="J9" s="89" t="s">
        <v>124</v>
      </c>
      <c r="K9" s="89" t="s">
        <v>124</v>
      </c>
      <c r="L9" s="89" t="s">
        <v>124</v>
      </c>
      <c r="M9" s="91">
        <f t="shared" si="2"/>
        <v>0</v>
      </c>
    </row>
    <row r="10" spans="1:13" ht="15.6" customHeight="1">
      <c r="A10" s="90">
        <v>2</v>
      </c>
      <c r="B10" s="86" t="s">
        <v>126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127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128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129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130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58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131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132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6111704</v>
      </c>
      <c r="G17" s="87">
        <f t="shared" si="4"/>
        <v>32916000</v>
      </c>
      <c r="H17" s="87">
        <f t="shared" si="4"/>
        <v>32916000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71943704</v>
      </c>
      <c r="M17" s="91" t="e">
        <f t="shared" si="2"/>
        <v>#REF!</v>
      </c>
    </row>
    <row r="18" spans="1:18" ht="12">
      <c r="A18" s="92">
        <v>4</v>
      </c>
      <c r="B18" s="88" t="s">
        <v>133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124</v>
      </c>
    </row>
    <row r="19" spans="1:18" s="72" customFormat="1" ht="12">
      <c r="A19" s="92">
        <v>5</v>
      </c>
      <c r="B19" s="88" t="s">
        <v>134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6111704</v>
      </c>
      <c r="G19" s="89">
        <f t="shared" si="6"/>
        <v>32916000</v>
      </c>
      <c r="H19" s="89">
        <f t="shared" si="6"/>
        <v>32916000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71943704</v>
      </c>
      <c r="M19" s="91" t="e">
        <f>SUM(C19:L19)</f>
        <v>#REF!</v>
      </c>
    </row>
    <row r="20" spans="1:18" s="72" customFormat="1" ht="12">
      <c r="A20" s="85">
        <v>6</v>
      </c>
      <c r="B20" s="88" t="s">
        <v>135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124</v>
      </c>
    </row>
    <row r="21" spans="1:18" ht="12">
      <c r="A21" s="93"/>
      <c r="B21" s="94" t="s">
        <v>136</v>
      </c>
      <c r="C21" s="94"/>
      <c r="D21" s="94"/>
      <c r="E21" s="94" t="s">
        <v>137</v>
      </c>
      <c r="F21" s="94"/>
      <c r="G21" s="94"/>
      <c r="H21" s="94"/>
      <c r="I21" s="94" t="s">
        <v>138</v>
      </c>
      <c r="J21" s="94"/>
      <c r="K21" s="94"/>
      <c r="L21" s="94"/>
      <c r="M21" s="105"/>
    </row>
    <row r="22" spans="1:18" ht="12">
      <c r="A22" s="95"/>
      <c r="B22" s="96" t="s">
        <v>139</v>
      </c>
      <c r="C22" s="96"/>
      <c r="D22" s="97" t="s">
        <v>140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141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142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B26" sqref="B26"/>
    </sheetView>
  </sheetViews>
  <sheetFormatPr defaultColWidth="9" defaultRowHeight="16.5"/>
  <cols>
    <col min="1" max="1" width="5.125" style="48" customWidth="1"/>
    <col min="2" max="2" width="17.5" style="48" customWidth="1"/>
    <col min="3" max="11" width="13.25" style="49" customWidth="1"/>
    <col min="12" max="12" width="18.75" style="49" customWidth="1"/>
    <col min="13" max="13" width="12.375" style="48" customWidth="1"/>
    <col min="14" max="14" width="10.125" style="48" customWidth="1"/>
    <col min="15" max="21" width="9" style="48" customWidth="1"/>
    <col min="22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32" t="s">
        <v>143</v>
      </c>
      <c r="B1" s="232"/>
      <c r="C1" s="236" t="s">
        <v>242</v>
      </c>
      <c r="D1" s="237"/>
      <c r="E1" s="237"/>
      <c r="F1" s="237"/>
      <c r="G1" s="237"/>
      <c r="H1" s="237"/>
      <c r="I1" s="237"/>
      <c r="J1" s="237"/>
      <c r="K1" s="237"/>
      <c r="L1" s="238"/>
    </row>
    <row r="2" spans="1:38">
      <c r="A2" s="232" t="s">
        <v>144</v>
      </c>
      <c r="B2" s="232"/>
      <c r="C2" s="239" t="s">
        <v>273</v>
      </c>
      <c r="D2" s="239"/>
      <c r="E2" s="239"/>
      <c r="F2" s="239"/>
      <c r="G2" s="239"/>
      <c r="H2" s="239"/>
      <c r="I2" s="239"/>
      <c r="J2" s="239"/>
      <c r="K2" s="239"/>
      <c r="L2" s="239"/>
    </row>
    <row r="3" spans="1:38" ht="28.5">
      <c r="A3" s="232" t="s">
        <v>145</v>
      </c>
      <c r="B3" s="232"/>
      <c r="C3" s="161" t="str">
        <f>销量!C5</f>
        <v>左座椅总成（工程车）</v>
      </c>
      <c r="D3" s="161" t="str">
        <f>销量!D5</f>
        <v>左座椅总成（公路车）</v>
      </c>
      <c r="E3" s="161" t="str">
        <f>销量!E5</f>
        <v>左座椅总成（豪华版）</v>
      </c>
      <c r="F3" s="161" t="str">
        <f>销量!F5</f>
        <v>右座椅总成</v>
      </c>
      <c r="G3" s="161" t="str">
        <f>销量!G5</f>
        <v>左座椅总成（工程车）</v>
      </c>
      <c r="H3" s="161" t="str">
        <f>销量!H5</f>
        <v>左座椅总成（公路车）</v>
      </c>
      <c r="I3" s="161" t="str">
        <f>销量!I5</f>
        <v>左座椅总成（豪华版）</v>
      </c>
      <c r="J3" s="161" t="str">
        <f>销量!J5</f>
        <v>右座椅总成</v>
      </c>
      <c r="K3" s="161" t="str">
        <f>销量!K5</f>
        <v>左座椅盒总成</v>
      </c>
      <c r="L3" s="233" t="s">
        <v>19</v>
      </c>
    </row>
    <row r="4" spans="1:38">
      <c r="A4" s="232" t="s">
        <v>146</v>
      </c>
      <c r="B4" s="232"/>
      <c r="C4" s="161" t="str">
        <f>销量!C6</f>
        <v>EZ16B251000001</v>
      </c>
      <c r="D4" s="161" t="str">
        <f>销量!D6</f>
        <v>EZ16B251000002</v>
      </c>
      <c r="E4" s="161" t="str">
        <f>销量!E6</f>
        <v>EZ16B251000003</v>
      </c>
      <c r="F4" s="161" t="str">
        <f>销量!F6</f>
        <v>EZ16B251000004</v>
      </c>
      <c r="G4" s="161" t="str">
        <f>销量!G6</f>
        <v>EZ164251000001</v>
      </c>
      <c r="H4" s="161" t="str">
        <f>销量!H6</f>
        <v>EZ164251000002</v>
      </c>
      <c r="I4" s="161" t="str">
        <f>销量!I6</f>
        <v>EZ164251000003</v>
      </c>
      <c r="J4" s="161" t="str">
        <f>销量!J6</f>
        <v>EZ164251000004</v>
      </c>
      <c r="K4" s="161" t="str">
        <f>销量!K6</f>
        <v>EZ164251000005</v>
      </c>
      <c r="L4" s="234"/>
    </row>
    <row r="5" spans="1:38">
      <c r="A5" s="232" t="s">
        <v>147</v>
      </c>
      <c r="B5" s="232"/>
      <c r="C5" s="51"/>
      <c r="D5" s="51"/>
      <c r="E5" s="51"/>
      <c r="F5" s="51"/>
      <c r="G5" s="51"/>
      <c r="H5" s="51"/>
      <c r="I5" s="200"/>
      <c r="J5" s="200"/>
      <c r="K5" s="200"/>
      <c r="L5" s="235"/>
      <c r="AL5" s="48" t="s">
        <v>20</v>
      </c>
    </row>
    <row r="6" spans="1:38" ht="17.25">
      <c r="A6" s="52" t="s">
        <v>17</v>
      </c>
      <c r="B6" s="53" t="s">
        <v>148</v>
      </c>
      <c r="C6" s="22">
        <f>销量!C9</f>
        <v>1428</v>
      </c>
      <c r="D6" s="22">
        <f>销量!D9</f>
        <v>340</v>
      </c>
      <c r="E6" s="22">
        <f>销量!E9</f>
        <v>272</v>
      </c>
      <c r="F6" s="22">
        <f>销量!F9</f>
        <v>2040.0000000000002</v>
      </c>
      <c r="G6" s="22">
        <f>销量!G9</f>
        <v>918.00000000000011</v>
      </c>
      <c r="H6" s="22">
        <f>销量!H9</f>
        <v>272</v>
      </c>
      <c r="I6" s="22">
        <f>销量!I9</f>
        <v>170</v>
      </c>
      <c r="J6" s="22">
        <f>销量!J9</f>
        <v>1360</v>
      </c>
      <c r="K6" s="22">
        <f>销量!K9</f>
        <v>1360</v>
      </c>
      <c r="L6" s="54">
        <f>SUM(C6:K6)</f>
        <v>8160</v>
      </c>
      <c r="AJ6" s="52" t="s">
        <v>17</v>
      </c>
      <c r="AK6" s="53" t="s">
        <v>3</v>
      </c>
      <c r="AL6" s="48" t="s">
        <v>21</v>
      </c>
    </row>
    <row r="7" spans="1:38">
      <c r="A7" s="50">
        <v>1</v>
      </c>
      <c r="B7" s="53" t="s">
        <v>22</v>
      </c>
      <c r="C7" s="54">
        <f>C6*销量!C8</f>
        <v>1670760</v>
      </c>
      <c r="D7" s="54">
        <f>D6*销量!D8</f>
        <v>466480</v>
      </c>
      <c r="E7" s="54">
        <f>E6*销量!E8</f>
        <v>470560</v>
      </c>
      <c r="F7" s="54">
        <f>F6*销量!F8</f>
        <v>1020000.0000000001</v>
      </c>
      <c r="G7" s="54">
        <f>G6*销量!G8</f>
        <v>1074060.0000000002</v>
      </c>
      <c r="H7" s="54">
        <f>H6*销量!H8</f>
        <v>373184</v>
      </c>
      <c r="I7" s="54">
        <f>I6*销量!I8</f>
        <v>294100</v>
      </c>
      <c r="J7" s="54">
        <f>J6*销量!J8</f>
        <v>680000</v>
      </c>
      <c r="K7" s="54">
        <f>K6*销量!K8</f>
        <v>62560</v>
      </c>
      <c r="L7" s="54">
        <f t="shared" ref="L7:L15" si="0">SUM(C7:K7)</f>
        <v>6111704</v>
      </c>
      <c r="M7" s="49"/>
      <c r="AJ7" s="52" t="s">
        <v>23</v>
      </c>
      <c r="AK7" s="53" t="s">
        <v>22</v>
      </c>
      <c r="AL7" s="48" t="s">
        <v>21</v>
      </c>
    </row>
    <row r="8" spans="1:38">
      <c r="A8" s="50">
        <v>2</v>
      </c>
      <c r="B8" s="50" t="s">
        <v>24</v>
      </c>
      <c r="C8" s="54"/>
      <c r="D8" s="54"/>
      <c r="E8" s="54"/>
      <c r="F8" s="54"/>
      <c r="G8" s="54"/>
      <c r="H8" s="54"/>
      <c r="I8" s="54"/>
      <c r="J8" s="54"/>
      <c r="K8" s="54"/>
      <c r="L8" s="54">
        <f t="shared" si="0"/>
        <v>0</v>
      </c>
      <c r="M8" s="69"/>
      <c r="AJ8" s="52" t="s">
        <v>25</v>
      </c>
      <c r="AK8" s="50" t="s">
        <v>26</v>
      </c>
      <c r="AL8" s="48" t="s">
        <v>21</v>
      </c>
    </row>
    <row r="9" spans="1:38">
      <c r="A9" s="50">
        <v>3</v>
      </c>
      <c r="B9" s="53" t="s">
        <v>27</v>
      </c>
      <c r="C9" s="54">
        <f>+C7-C8</f>
        <v>1670760</v>
      </c>
      <c r="D9" s="54">
        <f t="shared" ref="D9:K9" si="1">+D7-D8</f>
        <v>466480</v>
      </c>
      <c r="E9" s="54">
        <f t="shared" si="1"/>
        <v>470560</v>
      </c>
      <c r="F9" s="54">
        <f t="shared" si="1"/>
        <v>1020000.0000000001</v>
      </c>
      <c r="G9" s="54">
        <f t="shared" si="1"/>
        <v>1074060.0000000002</v>
      </c>
      <c r="H9" s="54">
        <f t="shared" si="1"/>
        <v>373184</v>
      </c>
      <c r="I9" s="54">
        <f t="shared" si="1"/>
        <v>294100</v>
      </c>
      <c r="J9" s="54">
        <f t="shared" si="1"/>
        <v>680000</v>
      </c>
      <c r="K9" s="54">
        <f t="shared" si="1"/>
        <v>62560</v>
      </c>
      <c r="L9" s="54">
        <f t="shared" si="0"/>
        <v>6111704</v>
      </c>
      <c r="AJ9" s="52" t="s">
        <v>28</v>
      </c>
      <c r="AK9" s="53" t="s">
        <v>27</v>
      </c>
      <c r="AL9" s="48" t="s">
        <v>29</v>
      </c>
    </row>
    <row r="10" spans="1:38">
      <c r="A10" s="50">
        <v>4</v>
      </c>
      <c r="B10" s="52" t="s">
        <v>30</v>
      </c>
      <c r="C10" s="54">
        <f>C6*材料成本!E41</f>
        <v>1359598.8</v>
      </c>
      <c r="D10" s="54">
        <f>D6*材料成本!E42</f>
        <v>397939.4</v>
      </c>
      <c r="E10" s="54">
        <f>E6*材料成本!E43</f>
        <v>404428.63999999996</v>
      </c>
      <c r="F10" s="54">
        <f>F6*材料成本!E44</f>
        <v>899742.00000000012</v>
      </c>
      <c r="G10" s="54">
        <f>G6*材料成本!E45</f>
        <v>867601.80000000016</v>
      </c>
      <c r="H10" s="54">
        <f>H6*材料成本!E46</f>
        <v>316447.52</v>
      </c>
      <c r="I10" s="54">
        <f>I6*材料成本!E47</f>
        <v>251577.9</v>
      </c>
      <c r="J10" s="54">
        <f>J6*材料成本!E48</f>
        <v>643348</v>
      </c>
      <c r="K10" s="54">
        <f>K6*材料成本!E49</f>
        <v>74800</v>
      </c>
      <c r="L10" s="54">
        <f t="shared" si="0"/>
        <v>5215484.0600000005</v>
      </c>
      <c r="AJ10" s="52" t="s">
        <v>31</v>
      </c>
      <c r="AK10" s="52" t="s">
        <v>30</v>
      </c>
      <c r="AL10" s="48" t="s">
        <v>32</v>
      </c>
    </row>
    <row r="11" spans="1:38">
      <c r="A11" s="50">
        <v>5</v>
      </c>
      <c r="B11" s="52" t="s">
        <v>33</v>
      </c>
      <c r="C11" s="54">
        <f>+C6*C36</f>
        <v>93930.1044316435</v>
      </c>
      <c r="D11" s="54">
        <f t="shared" ref="D11:H11" si="2">+D6*D36</f>
        <v>26225.499243022972</v>
      </c>
      <c r="E11" s="54">
        <f t="shared" si="2"/>
        <v>26454.876787422592</v>
      </c>
      <c r="F11" s="54">
        <f t="shared" si="2"/>
        <v>57344.386099904463</v>
      </c>
      <c r="G11" s="54">
        <f t="shared" si="2"/>
        <v>60383.638563199398</v>
      </c>
      <c r="H11" s="54">
        <f t="shared" si="2"/>
        <v>20980.399394418379</v>
      </c>
      <c r="I11" s="54">
        <f t="shared" ref="I11:K11" si="3">+I6*I36</f>
        <v>16534.29799213912</v>
      </c>
      <c r="J11" s="54">
        <f t="shared" si="3"/>
        <v>38229.590733269637</v>
      </c>
      <c r="K11" s="54">
        <f t="shared" si="3"/>
        <v>3517.1223474608064</v>
      </c>
      <c r="L11" s="54">
        <f t="shared" si="0"/>
        <v>343599.91559248092</v>
      </c>
      <c r="AJ11" s="52" t="s">
        <v>34</v>
      </c>
      <c r="AK11" s="52" t="s">
        <v>33</v>
      </c>
    </row>
    <row r="12" spans="1:38">
      <c r="A12" s="50">
        <v>6</v>
      </c>
      <c r="B12" s="52" t="s">
        <v>35</v>
      </c>
      <c r="C12" s="54">
        <f>+C6*C37</f>
        <v>25188.360385894746</v>
      </c>
      <c r="D12" s="54">
        <f t="shared" ref="D12:H12" si="4">+D6*D37</f>
        <v>7032.6476291102153</v>
      </c>
      <c r="E12" s="54">
        <f t="shared" si="4"/>
        <v>7094.1576666826077</v>
      </c>
      <c r="F12" s="54">
        <f t="shared" si="4"/>
        <v>15377.509393098138</v>
      </c>
      <c r="G12" s="54">
        <f t="shared" si="4"/>
        <v>16192.517390932338</v>
      </c>
      <c r="H12" s="54">
        <f t="shared" si="4"/>
        <v>5626.1181032881723</v>
      </c>
      <c r="I12" s="54">
        <f t="shared" ref="I12:K12" si="5">+I6*I37</f>
        <v>4433.8485416766298</v>
      </c>
      <c r="J12" s="54">
        <f t="shared" si="5"/>
        <v>10251.672928732092</v>
      </c>
      <c r="K12" s="54">
        <f t="shared" si="5"/>
        <v>943.15390944335229</v>
      </c>
      <c r="L12" s="54">
        <f t="shared" si="0"/>
        <v>92139.985948858302</v>
      </c>
      <c r="AJ12" s="52" t="s">
        <v>36</v>
      </c>
      <c r="AK12" s="52" t="s">
        <v>35</v>
      </c>
    </row>
    <row r="13" spans="1:38">
      <c r="A13" s="50">
        <v>7</v>
      </c>
      <c r="B13" s="52" t="s">
        <v>37</v>
      </c>
      <c r="C13" s="54">
        <f>+C6*C38</f>
        <v>66830.39999999998</v>
      </c>
      <c r="D13" s="54">
        <f t="shared" ref="D13:H13" si="6">+D6*D38</f>
        <v>18659.199999999997</v>
      </c>
      <c r="E13" s="54">
        <f t="shared" si="6"/>
        <v>18822.399999999998</v>
      </c>
      <c r="F13" s="54">
        <f t="shared" si="6"/>
        <v>40800</v>
      </c>
      <c r="G13" s="54">
        <f t="shared" si="6"/>
        <v>42962.399999999994</v>
      </c>
      <c r="H13" s="54">
        <f t="shared" si="6"/>
        <v>14927.359999999997</v>
      </c>
      <c r="I13" s="54">
        <f t="shared" ref="I13:K13" si="7">+I6*I38</f>
        <v>11763.999999999998</v>
      </c>
      <c r="J13" s="54">
        <f t="shared" si="7"/>
        <v>27199.999999999996</v>
      </c>
      <c r="K13" s="54">
        <f t="shared" si="7"/>
        <v>2502.3999999999996</v>
      </c>
      <c r="L13" s="54">
        <f t="shared" si="0"/>
        <v>244468.15999999995</v>
      </c>
      <c r="AJ13" s="52" t="s">
        <v>38</v>
      </c>
      <c r="AK13" s="52" t="s">
        <v>37</v>
      </c>
      <c r="AL13" s="48" t="s">
        <v>21</v>
      </c>
    </row>
    <row r="14" spans="1:38">
      <c r="A14" s="50">
        <v>8</v>
      </c>
      <c r="B14" s="55" t="s">
        <v>39</v>
      </c>
      <c r="C14" s="54">
        <f>SUM(C11:C13)</f>
        <v>185948.86481753824</v>
      </c>
      <c r="D14" s="54">
        <f t="shared" ref="D14:K14" si="8">SUM(D11:D13)</f>
        <v>51917.346872133188</v>
      </c>
      <c r="E14" s="54">
        <f t="shared" si="8"/>
        <v>52371.434454105198</v>
      </c>
      <c r="F14" s="54">
        <f t="shared" si="8"/>
        <v>113521.89549300261</v>
      </c>
      <c r="G14" s="54">
        <f t="shared" si="8"/>
        <v>119538.55595413173</v>
      </c>
      <c r="H14" s="54">
        <f t="shared" si="8"/>
        <v>41533.877497706548</v>
      </c>
      <c r="I14" s="54">
        <f t="shared" si="8"/>
        <v>32732.14653381575</v>
      </c>
      <c r="J14" s="54">
        <f t="shared" si="8"/>
        <v>75681.263662001729</v>
      </c>
      <c r="K14" s="54">
        <f t="shared" si="8"/>
        <v>6962.6762569041584</v>
      </c>
      <c r="L14" s="54">
        <f t="shared" si="0"/>
        <v>680208.06154133915</v>
      </c>
      <c r="AJ14" s="52" t="s">
        <v>40</v>
      </c>
      <c r="AK14" s="55" t="s">
        <v>39</v>
      </c>
    </row>
    <row r="15" spans="1:38">
      <c r="A15" s="50">
        <v>9</v>
      </c>
      <c r="B15" s="55" t="s">
        <v>41</v>
      </c>
      <c r="C15" s="54">
        <f>+C9-C10-C14</f>
        <v>125212.33518246171</v>
      </c>
      <c r="D15" s="54">
        <f t="shared" ref="D15:K15" si="9">+D9-D10-D14</f>
        <v>16623.253127866788</v>
      </c>
      <c r="E15" s="54">
        <f t="shared" si="9"/>
        <v>13759.925545894846</v>
      </c>
      <c r="F15" s="54">
        <f t="shared" si="9"/>
        <v>6736.1045069973916</v>
      </c>
      <c r="G15" s="54">
        <f t="shared" si="9"/>
        <v>86919.644045868336</v>
      </c>
      <c r="H15" s="54">
        <f t="shared" si="9"/>
        <v>15202.602502293434</v>
      </c>
      <c r="I15" s="54">
        <f t="shared" si="9"/>
        <v>9789.9534661842554</v>
      </c>
      <c r="J15" s="54">
        <f t="shared" si="9"/>
        <v>-39029.263662001729</v>
      </c>
      <c r="K15" s="54">
        <f t="shared" si="9"/>
        <v>-19202.67625690416</v>
      </c>
      <c r="L15" s="54">
        <f t="shared" si="0"/>
        <v>216011.87845866085</v>
      </c>
      <c r="AJ15" s="52" t="s">
        <v>42</v>
      </c>
      <c r="AK15" s="55" t="s">
        <v>41</v>
      </c>
    </row>
    <row r="16" spans="1:38">
      <c r="A16" s="50">
        <v>10</v>
      </c>
      <c r="B16" s="52" t="s">
        <v>43</v>
      </c>
      <c r="C16" s="56">
        <f>+C15/C9</f>
        <v>7.4943340265784267E-2</v>
      </c>
      <c r="D16" s="56">
        <f t="shared" ref="D16:K16" si="10">+D15/D9</f>
        <v>3.563551090693446E-2</v>
      </c>
      <c r="E16" s="56">
        <f t="shared" si="10"/>
        <v>2.9241596280803396E-2</v>
      </c>
      <c r="F16" s="56">
        <f t="shared" si="10"/>
        <v>6.60402402646803E-3</v>
      </c>
      <c r="G16" s="56">
        <f t="shared" si="10"/>
        <v>8.0926246248690312E-2</v>
      </c>
      <c r="H16" s="56">
        <f t="shared" si="10"/>
        <v>4.0737551723261003E-2</v>
      </c>
      <c r="I16" s="56">
        <f t="shared" si="10"/>
        <v>3.3287839055369792E-2</v>
      </c>
      <c r="J16" s="56">
        <f t="shared" si="10"/>
        <v>-5.7395975973531951E-2</v>
      </c>
      <c r="K16" s="56">
        <f t="shared" si="10"/>
        <v>-0.30694814988657543</v>
      </c>
      <c r="L16" s="56">
        <f t="shared" ref="L16" si="11">+L15/L9</f>
        <v>3.5343969285597084E-2</v>
      </c>
      <c r="AJ16" s="52" t="s">
        <v>44</v>
      </c>
      <c r="AK16" s="52" t="s">
        <v>43</v>
      </c>
    </row>
    <row r="17" spans="1:38">
      <c r="A17" s="50">
        <v>11</v>
      </c>
      <c r="B17" s="52" t="s">
        <v>45</v>
      </c>
      <c r="C17" s="54">
        <f>C6*C43+C18</f>
        <v>56164.791666666672</v>
      </c>
      <c r="D17" s="54">
        <f t="shared" ref="D17:H17" si="12">D6*D43+D18</f>
        <v>13372.569444444445</v>
      </c>
      <c r="E17" s="54">
        <f t="shared" si="12"/>
        <v>10698.055555555557</v>
      </c>
      <c r="F17" s="54">
        <f t="shared" si="12"/>
        <v>80235.416666666686</v>
      </c>
      <c r="G17" s="54">
        <f t="shared" si="12"/>
        <v>36105.937500000007</v>
      </c>
      <c r="H17" s="54">
        <f t="shared" si="12"/>
        <v>10698.055555555557</v>
      </c>
      <c r="I17" s="54">
        <f t="shared" ref="I17:K17" si="13">I6*I43+I18</f>
        <v>6686.2847222222226</v>
      </c>
      <c r="J17" s="54">
        <f t="shared" si="13"/>
        <v>53490.277777777781</v>
      </c>
      <c r="K17" s="54">
        <f t="shared" si="13"/>
        <v>53490.277777777781</v>
      </c>
      <c r="L17" s="54">
        <f>SUM(C17:K17)</f>
        <v>320941.66666666674</v>
      </c>
      <c r="M17" s="171"/>
      <c r="N17" s="172"/>
      <c r="O17" s="172"/>
      <c r="AJ17" s="52" t="s">
        <v>46</v>
      </c>
      <c r="AK17" s="52" t="s">
        <v>45</v>
      </c>
    </row>
    <row r="18" spans="1:38" s="46" customFormat="1">
      <c r="A18" s="50">
        <v>12</v>
      </c>
      <c r="B18" s="57" t="s">
        <v>149</v>
      </c>
      <c r="C18" s="58">
        <f>$L$18/$L$6*C6</f>
        <v>56164.791666666672</v>
      </c>
      <c r="D18" s="58">
        <f t="shared" ref="D18:H18" si="14">$L$18/$L$6*D6</f>
        <v>13372.569444444445</v>
      </c>
      <c r="E18" s="58">
        <f t="shared" si="14"/>
        <v>10698.055555555557</v>
      </c>
      <c r="F18" s="58">
        <f t="shared" si="14"/>
        <v>80235.416666666686</v>
      </c>
      <c r="G18" s="58">
        <f t="shared" si="14"/>
        <v>36105.937500000007</v>
      </c>
      <c r="H18" s="58">
        <f t="shared" si="14"/>
        <v>10698.055555555557</v>
      </c>
      <c r="I18" s="58">
        <f t="shared" ref="I18:K18" si="15">$L$18/$L$6*I6</f>
        <v>6686.2847222222226</v>
      </c>
      <c r="J18" s="58">
        <f t="shared" si="15"/>
        <v>53490.277777777781</v>
      </c>
      <c r="K18" s="58">
        <f t="shared" si="15"/>
        <v>53490.277777777781</v>
      </c>
      <c r="L18" s="58">
        <f>项目投资!D26</f>
        <v>320941.66666666669</v>
      </c>
      <c r="M18" s="173" t="s">
        <v>150</v>
      </c>
      <c r="N18" s="173"/>
      <c r="O18" s="173"/>
    </row>
    <row r="19" spans="1:38">
      <c r="A19" s="50">
        <v>13</v>
      </c>
      <c r="B19" s="52" t="s">
        <v>47</v>
      </c>
      <c r="C19" s="54">
        <f>C6*C44</f>
        <v>0</v>
      </c>
      <c r="D19" s="54">
        <f t="shared" ref="D19:H19" si="16">D6*D44</f>
        <v>0</v>
      </c>
      <c r="E19" s="54">
        <f t="shared" si="16"/>
        <v>0</v>
      </c>
      <c r="F19" s="54">
        <f>F6*F44</f>
        <v>0</v>
      </c>
      <c r="G19" s="54">
        <f t="shared" si="16"/>
        <v>0</v>
      </c>
      <c r="H19" s="54">
        <f t="shared" si="16"/>
        <v>0</v>
      </c>
      <c r="I19" s="54">
        <f t="shared" ref="I19:K19" si="17">I6*I44</f>
        <v>0</v>
      </c>
      <c r="J19" s="54">
        <f t="shared" si="17"/>
        <v>0</v>
      </c>
      <c r="K19" s="54">
        <f t="shared" si="17"/>
        <v>0</v>
      </c>
      <c r="L19" s="54">
        <f>SUM(C19:K19)</f>
        <v>0</v>
      </c>
      <c r="M19" s="174"/>
      <c r="N19" s="172"/>
      <c r="O19" s="172"/>
      <c r="AJ19" s="52" t="s">
        <v>48</v>
      </c>
      <c r="AK19" s="52" t="s">
        <v>47</v>
      </c>
      <c r="AL19" s="48" t="s">
        <v>21</v>
      </c>
    </row>
    <row r="20" spans="1:38">
      <c r="A20" s="50">
        <v>14</v>
      </c>
      <c r="B20" s="52" t="s">
        <v>49</v>
      </c>
      <c r="C20" s="54">
        <f>C6*C45</f>
        <v>0</v>
      </c>
      <c r="D20" s="54">
        <f t="shared" ref="D20:H20" si="18">D6*D45</f>
        <v>0</v>
      </c>
      <c r="E20" s="54">
        <f t="shared" si="18"/>
        <v>0</v>
      </c>
      <c r="F20" s="54">
        <f t="shared" si="18"/>
        <v>0</v>
      </c>
      <c r="G20" s="54">
        <f t="shared" si="18"/>
        <v>0</v>
      </c>
      <c r="H20" s="54">
        <f t="shared" si="18"/>
        <v>0</v>
      </c>
      <c r="I20" s="54">
        <f t="shared" ref="I20:K20" si="19">I6*I45</f>
        <v>0</v>
      </c>
      <c r="J20" s="54">
        <f t="shared" si="19"/>
        <v>0</v>
      </c>
      <c r="K20" s="54">
        <f t="shared" si="19"/>
        <v>0</v>
      </c>
      <c r="L20" s="54">
        <f>SUM(C20:K20)</f>
        <v>0</v>
      </c>
      <c r="AJ20" s="52" t="s">
        <v>50</v>
      </c>
      <c r="AK20" s="52" t="s">
        <v>49</v>
      </c>
    </row>
    <row r="21" spans="1:38">
      <c r="A21" s="50">
        <v>15</v>
      </c>
      <c r="B21" s="52" t="s">
        <v>51</v>
      </c>
      <c r="C21" s="59">
        <f>$L$21/$L$6*C6</f>
        <v>43750</v>
      </c>
      <c r="D21" s="59">
        <f t="shared" ref="D21:H21" si="20">$L$21/$L$6*D6</f>
        <v>10416.666666666666</v>
      </c>
      <c r="E21" s="59">
        <f t="shared" si="20"/>
        <v>8333.3333333333339</v>
      </c>
      <c r="F21" s="59">
        <f t="shared" si="20"/>
        <v>62500.000000000007</v>
      </c>
      <c r="G21" s="59">
        <f t="shared" si="20"/>
        <v>28125.000000000004</v>
      </c>
      <c r="H21" s="59">
        <f t="shared" si="20"/>
        <v>8333.3333333333339</v>
      </c>
      <c r="I21" s="59">
        <f t="shared" ref="I21:K21" si="21">$L$21/$L$6*I6</f>
        <v>5208.333333333333</v>
      </c>
      <c r="J21" s="59">
        <f t="shared" si="21"/>
        <v>41666.666666666664</v>
      </c>
      <c r="K21" s="59">
        <f t="shared" si="21"/>
        <v>41666.666666666664</v>
      </c>
      <c r="L21" s="54">
        <f>项目投资!D27</f>
        <v>250000</v>
      </c>
      <c r="AJ21" s="52"/>
      <c r="AK21" s="52"/>
    </row>
    <row r="22" spans="1:38">
      <c r="A22" s="50">
        <v>16</v>
      </c>
      <c r="B22" s="52" t="s">
        <v>52</v>
      </c>
      <c r="C22" s="54">
        <f>C6*C47</f>
        <v>66830.400000000009</v>
      </c>
      <c r="D22" s="54">
        <f t="shared" ref="D22:H22" si="22">D6*D47</f>
        <v>18659.2</v>
      </c>
      <c r="E22" s="54">
        <f t="shared" si="22"/>
        <v>18822.400000000001</v>
      </c>
      <c r="F22" s="54">
        <f t="shared" si="22"/>
        <v>40800.000000000007</v>
      </c>
      <c r="G22" s="54">
        <f t="shared" si="22"/>
        <v>42962.400000000009</v>
      </c>
      <c r="H22" s="54">
        <f t="shared" si="22"/>
        <v>14927.36</v>
      </c>
      <c r="I22" s="54">
        <f t="shared" ref="I22:K22" si="23">I6*I47</f>
        <v>11764</v>
      </c>
      <c r="J22" s="54">
        <f t="shared" si="23"/>
        <v>27200</v>
      </c>
      <c r="K22" s="54">
        <f t="shared" si="23"/>
        <v>2502.4</v>
      </c>
      <c r="L22" s="54">
        <f>SUM(C22:K22)</f>
        <v>244468.16</v>
      </c>
      <c r="AJ22" s="52" t="s">
        <v>53</v>
      </c>
      <c r="AK22" s="52" t="s">
        <v>52</v>
      </c>
    </row>
    <row r="23" spans="1:38">
      <c r="A23" s="50">
        <v>17</v>
      </c>
      <c r="B23" s="55" t="s">
        <v>54</v>
      </c>
      <c r="C23" s="59">
        <f>+C22+C21+C20+C19+C17</f>
        <v>166745.19166666668</v>
      </c>
      <c r="D23" s="59">
        <f t="shared" ref="D23:K23" si="24">+D22+D21+D20+D19+D17</f>
        <v>42448.436111111114</v>
      </c>
      <c r="E23" s="59">
        <f t="shared" si="24"/>
        <v>37853.788888888892</v>
      </c>
      <c r="F23" s="59">
        <f t="shared" si="24"/>
        <v>183535.41666666669</v>
      </c>
      <c r="G23" s="59">
        <f t="shared" si="24"/>
        <v>107193.33750000002</v>
      </c>
      <c r="H23" s="59">
        <f t="shared" si="24"/>
        <v>33958.748888888891</v>
      </c>
      <c r="I23" s="59">
        <f t="shared" si="24"/>
        <v>23658.618055555555</v>
      </c>
      <c r="J23" s="59">
        <f t="shared" si="24"/>
        <v>122356.94444444444</v>
      </c>
      <c r="K23" s="59">
        <f t="shared" si="24"/>
        <v>97659.344444444447</v>
      </c>
      <c r="L23" s="59">
        <f t="shared" ref="L23" si="25">+L22+L21+L20+L19+L17</f>
        <v>815409.82666666678</v>
      </c>
      <c r="AJ23" s="52" t="s">
        <v>55</v>
      </c>
      <c r="AK23" s="55" t="s">
        <v>54</v>
      </c>
    </row>
    <row r="24" spans="1:38">
      <c r="A24" s="50">
        <v>18</v>
      </c>
      <c r="B24" s="60" t="s">
        <v>56</v>
      </c>
      <c r="C24" s="59">
        <f>+C15-C23</f>
        <v>-41532.856484204967</v>
      </c>
      <c r="D24" s="59">
        <f t="shared" ref="D24:H24" si="26">+D15-D23</f>
        <v>-25825.182983244325</v>
      </c>
      <c r="E24" s="59">
        <f t="shared" si="26"/>
        <v>-24093.863342994046</v>
      </c>
      <c r="F24" s="59">
        <f t="shared" si="26"/>
        <v>-176799.31215966929</v>
      </c>
      <c r="G24" s="59">
        <f t="shared" si="26"/>
        <v>-20273.693454131688</v>
      </c>
      <c r="H24" s="59">
        <f t="shared" si="26"/>
        <v>-18756.146386595457</v>
      </c>
      <c r="I24" s="59">
        <f t="shared" ref="I24:K24" si="27">+I15-I23</f>
        <v>-13868.664589371299</v>
      </c>
      <c r="J24" s="59">
        <f t="shared" si="27"/>
        <v>-161386.20810644617</v>
      </c>
      <c r="K24" s="59">
        <f t="shared" si="27"/>
        <v>-116862.02070134861</v>
      </c>
      <c r="L24" s="59">
        <f t="shared" ref="L24" si="28">+L15-L23</f>
        <v>-599397.94820800587</v>
      </c>
      <c r="N24" s="71"/>
      <c r="AJ24" s="52" t="s">
        <v>57</v>
      </c>
      <c r="AK24" s="52" t="s">
        <v>56</v>
      </c>
    </row>
    <row r="25" spans="1:38">
      <c r="A25" s="50">
        <v>19</v>
      </c>
      <c r="B25" s="52" t="s">
        <v>307</v>
      </c>
      <c r="C25" s="59">
        <f>IF(C24&lt;0,0,C24*0.25)</f>
        <v>0</v>
      </c>
      <c r="D25" s="59">
        <f>IF(D24&lt;0,0,D24*0.25)</f>
        <v>0</v>
      </c>
      <c r="E25" s="59">
        <f t="shared" ref="E25:H25" si="29">IF(E24&lt;0,0,E24*0.25)</f>
        <v>0</v>
      </c>
      <c r="F25" s="59">
        <f>IF(F24&lt;0,0,F24*0.25)</f>
        <v>0</v>
      </c>
      <c r="G25" s="59">
        <f t="shared" si="29"/>
        <v>0</v>
      </c>
      <c r="H25" s="59">
        <f t="shared" si="29"/>
        <v>0</v>
      </c>
      <c r="I25" s="59">
        <f t="shared" ref="I25:K25" si="30">IF(I24&lt;0,0,I24*0.25)</f>
        <v>0</v>
      </c>
      <c r="J25" s="59">
        <f t="shared" si="30"/>
        <v>0</v>
      </c>
      <c r="K25" s="59">
        <f t="shared" si="30"/>
        <v>0</v>
      </c>
      <c r="L25" s="59">
        <f>IF(L24&lt;0,0,L24*0.25)</f>
        <v>0</v>
      </c>
      <c r="M25" s="67"/>
      <c r="N25" s="67"/>
      <c r="O25" s="67"/>
      <c r="AJ25" s="52" t="s">
        <v>59</v>
      </c>
      <c r="AK25" s="52" t="s">
        <v>58</v>
      </c>
    </row>
    <row r="26" spans="1:38">
      <c r="A26" s="50">
        <v>20</v>
      </c>
      <c r="B26" s="52" t="s">
        <v>60</v>
      </c>
      <c r="C26" s="59">
        <f t="shared" ref="C26:H26" si="31">C24-C25</f>
        <v>-41532.856484204967</v>
      </c>
      <c r="D26" s="59">
        <f t="shared" si="31"/>
        <v>-25825.182983244325</v>
      </c>
      <c r="E26" s="59">
        <f t="shared" si="31"/>
        <v>-24093.863342994046</v>
      </c>
      <c r="F26" s="59">
        <f t="shared" si="31"/>
        <v>-176799.31215966929</v>
      </c>
      <c r="G26" s="59">
        <f t="shared" si="31"/>
        <v>-20273.693454131688</v>
      </c>
      <c r="H26" s="59">
        <f t="shared" si="31"/>
        <v>-18756.146386595457</v>
      </c>
      <c r="I26" s="59">
        <f t="shared" ref="I26:K26" si="32">I24-I25</f>
        <v>-13868.664589371299</v>
      </c>
      <c r="J26" s="59">
        <f t="shared" si="32"/>
        <v>-161386.20810644617</v>
      </c>
      <c r="K26" s="59">
        <f t="shared" si="32"/>
        <v>-116862.02070134861</v>
      </c>
      <c r="L26" s="54">
        <f>L24-L25</f>
        <v>-599397.94820800587</v>
      </c>
      <c r="M26" s="67"/>
      <c r="N26" s="67"/>
      <c r="O26" s="67"/>
      <c r="AJ26" s="52" t="s">
        <v>61</v>
      </c>
      <c r="AK26" s="52" t="s">
        <v>60</v>
      </c>
    </row>
    <row r="27" spans="1:38">
      <c r="A27" s="50">
        <v>21</v>
      </c>
      <c r="B27" s="52" t="s">
        <v>64</v>
      </c>
      <c r="C27" s="61">
        <f t="shared" ref="C27:L27" si="33">C26/C7</f>
        <v>-2.4858661019060167E-2</v>
      </c>
      <c r="D27" s="61">
        <f t="shared" ref="D27:K27" si="34">D26/D7</f>
        <v>-5.5361822550257941E-2</v>
      </c>
      <c r="E27" s="61">
        <f t="shared" si="34"/>
        <v>-5.1202531755767694E-2</v>
      </c>
      <c r="F27" s="61">
        <f t="shared" si="34"/>
        <v>-0.17333265898006792</v>
      </c>
      <c r="G27" s="61">
        <f t="shared" si="34"/>
        <v>-1.8875755036154108E-2</v>
      </c>
      <c r="H27" s="61">
        <f t="shared" si="34"/>
        <v>-5.0259781733931405E-2</v>
      </c>
      <c r="I27" s="61">
        <f t="shared" si="34"/>
        <v>-4.7156288981201291E-2</v>
      </c>
      <c r="J27" s="61">
        <f t="shared" si="34"/>
        <v>-0.23733265898006789</v>
      </c>
      <c r="K27" s="61">
        <f t="shared" si="34"/>
        <v>-1.8679990521315315</v>
      </c>
      <c r="L27" s="61">
        <f t="shared" si="33"/>
        <v>-9.8073785675485248E-2</v>
      </c>
      <c r="M27" s="67"/>
      <c r="N27" s="67"/>
      <c r="O27" s="67"/>
      <c r="AJ27" s="52" t="s">
        <v>63</v>
      </c>
      <c r="AK27" s="52" t="s">
        <v>64</v>
      </c>
    </row>
    <row r="28" spans="1:38">
      <c r="M28" s="67"/>
      <c r="N28" s="67"/>
      <c r="O28" s="67"/>
    </row>
    <row r="29" spans="1:38">
      <c r="A29" s="48" t="s">
        <v>65</v>
      </c>
      <c r="L29" s="49" t="s">
        <v>151</v>
      </c>
      <c r="M29" s="67"/>
      <c r="N29" s="67"/>
      <c r="O29" s="67"/>
      <c r="AJ29" s="48" t="s">
        <v>65</v>
      </c>
    </row>
    <row r="30" spans="1:38">
      <c r="A30" s="52" t="s">
        <v>68</v>
      </c>
      <c r="B30" s="55" t="s">
        <v>69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7"/>
      <c r="N30" s="67"/>
      <c r="O30" s="67"/>
      <c r="Q30" s="67"/>
      <c r="AJ30" s="52" t="s">
        <v>70</v>
      </c>
      <c r="AK30" s="55" t="s">
        <v>69</v>
      </c>
    </row>
    <row r="31" spans="1:38">
      <c r="A31" s="62">
        <v>1</v>
      </c>
      <c r="B31" s="57" t="s">
        <v>71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销量!F8</f>
        <v>500</v>
      </c>
      <c r="G31" s="63">
        <f>销量!G8</f>
        <v>1170</v>
      </c>
      <c r="H31" s="63">
        <f>销量!H8</f>
        <v>1372</v>
      </c>
      <c r="I31" s="63">
        <f>销量!I8</f>
        <v>1730</v>
      </c>
      <c r="J31" s="63">
        <f>销量!J8</f>
        <v>500</v>
      </c>
      <c r="K31" s="63">
        <f>销量!K8</f>
        <v>46</v>
      </c>
      <c r="L31" s="59"/>
      <c r="M31" s="67"/>
      <c r="N31" s="67"/>
      <c r="O31" s="67"/>
      <c r="Q31" s="67"/>
      <c r="AJ31" s="52" t="s">
        <v>23</v>
      </c>
      <c r="AK31" s="52" t="s">
        <v>71</v>
      </c>
    </row>
    <row r="32" spans="1:38">
      <c r="A32" s="62">
        <v>2</v>
      </c>
      <c r="B32" s="52" t="s">
        <v>152</v>
      </c>
      <c r="C32" s="54">
        <f>C31*1</f>
        <v>1170</v>
      </c>
      <c r="D32" s="54">
        <f t="shared" ref="D32:K32" si="35">D31*1</f>
        <v>1372</v>
      </c>
      <c r="E32" s="54">
        <f t="shared" si="35"/>
        <v>1730</v>
      </c>
      <c r="F32" s="54">
        <f t="shared" si="35"/>
        <v>500</v>
      </c>
      <c r="G32" s="54">
        <f t="shared" si="35"/>
        <v>1170</v>
      </c>
      <c r="H32" s="54">
        <f t="shared" si="35"/>
        <v>1372</v>
      </c>
      <c r="I32" s="54">
        <f t="shared" si="35"/>
        <v>1730</v>
      </c>
      <c r="J32" s="54">
        <f t="shared" si="35"/>
        <v>500</v>
      </c>
      <c r="K32" s="54">
        <f t="shared" si="35"/>
        <v>46</v>
      </c>
      <c r="L32" s="59"/>
      <c r="M32" s="67"/>
      <c r="N32" s="67"/>
      <c r="O32" s="67"/>
      <c r="P32" s="67"/>
      <c r="Q32" s="67"/>
      <c r="R32" s="67"/>
      <c r="S32" s="67"/>
      <c r="AJ32" s="52"/>
      <c r="AK32" s="52"/>
    </row>
    <row r="33" spans="1:37">
      <c r="A33" s="62">
        <v>3</v>
      </c>
      <c r="B33" s="57" t="s">
        <v>72</v>
      </c>
      <c r="C33" s="54">
        <f>材料成本!E41</f>
        <v>952.1</v>
      </c>
      <c r="D33" s="54">
        <f>材料成本!E42</f>
        <v>1170.4100000000001</v>
      </c>
      <c r="E33" s="54">
        <f>材料成本!E43</f>
        <v>1486.87</v>
      </c>
      <c r="F33" s="54">
        <f>材料成本!E44</f>
        <v>441.05</v>
      </c>
      <c r="G33" s="54">
        <f>材料成本!E45</f>
        <v>945.1</v>
      </c>
      <c r="H33" s="54">
        <f>材料成本!E46</f>
        <v>1163.4100000000001</v>
      </c>
      <c r="I33" s="54">
        <f>材料成本!E47</f>
        <v>1479.87</v>
      </c>
      <c r="J33" s="54">
        <f>材料成本!E48</f>
        <v>473.05</v>
      </c>
      <c r="K33" s="54">
        <f>材料成本!E49</f>
        <v>55</v>
      </c>
      <c r="L33" s="59"/>
      <c r="N33" s="67"/>
      <c r="O33" s="67"/>
      <c r="P33" s="67"/>
      <c r="Q33" s="67"/>
      <c r="R33" s="67"/>
      <c r="S33" s="67"/>
      <c r="AJ33" s="52" t="s">
        <v>25</v>
      </c>
      <c r="AK33" s="52" t="s">
        <v>72</v>
      </c>
    </row>
    <row r="34" spans="1:37" ht="17.25" customHeight="1">
      <c r="A34" s="62">
        <v>4</v>
      </c>
      <c r="B34" s="52" t="s">
        <v>74</v>
      </c>
      <c r="C34" s="64">
        <f>C32-C33</f>
        <v>217.89999999999998</v>
      </c>
      <c r="D34" s="64">
        <f t="shared" ref="D34:K34" si="36">D32-D33</f>
        <v>201.58999999999992</v>
      </c>
      <c r="E34" s="64">
        <f t="shared" si="36"/>
        <v>243.13000000000011</v>
      </c>
      <c r="F34" s="64">
        <f t="shared" si="36"/>
        <v>58.949999999999989</v>
      </c>
      <c r="G34" s="64">
        <f t="shared" si="36"/>
        <v>224.89999999999998</v>
      </c>
      <c r="H34" s="64">
        <f t="shared" si="36"/>
        <v>208.58999999999992</v>
      </c>
      <c r="I34" s="64">
        <f t="shared" si="36"/>
        <v>250.13000000000011</v>
      </c>
      <c r="J34" s="64">
        <f t="shared" si="36"/>
        <v>26.949999999999989</v>
      </c>
      <c r="K34" s="64">
        <f t="shared" si="36"/>
        <v>-9</v>
      </c>
      <c r="L34" s="59"/>
      <c r="N34" s="67"/>
      <c r="O34" s="67"/>
      <c r="P34" s="67"/>
      <c r="Q34" s="67"/>
      <c r="R34" s="67"/>
      <c r="S34" s="67"/>
      <c r="AJ34" s="52" t="s">
        <v>73</v>
      </c>
      <c r="AK34" s="52" t="s">
        <v>74</v>
      </c>
    </row>
    <row r="35" spans="1:37">
      <c r="A35" s="52" t="s">
        <v>70</v>
      </c>
      <c r="B35" s="55" t="s">
        <v>10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7"/>
      <c r="N35" s="67"/>
      <c r="O35" s="67"/>
      <c r="P35" s="67"/>
      <c r="Q35" s="67"/>
      <c r="R35" s="67"/>
      <c r="S35" s="67"/>
      <c r="T35" s="67"/>
      <c r="U35" s="67"/>
      <c r="AJ35" s="52" t="s">
        <v>76</v>
      </c>
      <c r="AK35" s="55" t="s">
        <v>10</v>
      </c>
    </row>
    <row r="36" spans="1:37">
      <c r="A36" s="62">
        <v>1</v>
      </c>
      <c r="B36" s="52" t="s">
        <v>77</v>
      </c>
      <c r="C36" s="58">
        <f>标准成本!E4</f>
        <v>65.777384055772757</v>
      </c>
      <c r="D36" s="58">
        <f>标准成本!E18</f>
        <v>77.133821303008745</v>
      </c>
      <c r="E36" s="58">
        <f>标准成本!E32</f>
        <v>97.260576424347761</v>
      </c>
      <c r="F36" s="58">
        <f>标准成本!E45</f>
        <v>28.109993186227676</v>
      </c>
      <c r="G36" s="58">
        <f>标准成本!E58</f>
        <v>65.777384055772757</v>
      </c>
      <c r="H36" s="58">
        <f>标准成本!E71</f>
        <v>77.133821303008745</v>
      </c>
      <c r="I36" s="58">
        <f>标准成本!E84</f>
        <v>97.260576424347761</v>
      </c>
      <c r="J36" s="58">
        <f>标准成本!E97</f>
        <v>28.109993186227676</v>
      </c>
      <c r="K36" s="58">
        <f>标准成本!E110</f>
        <v>2.5861193731329459</v>
      </c>
      <c r="L36" s="63"/>
      <c r="M36" s="67"/>
      <c r="N36" s="67"/>
      <c r="O36" s="67"/>
      <c r="P36" s="67"/>
      <c r="Q36" s="67"/>
      <c r="R36" s="67"/>
      <c r="S36" s="67"/>
      <c r="T36" s="67"/>
      <c r="U36" s="67"/>
      <c r="AJ36" s="52" t="s">
        <v>73</v>
      </c>
      <c r="AK36" s="52" t="s">
        <v>77</v>
      </c>
    </row>
    <row r="37" spans="1:37">
      <c r="A37" s="62">
        <v>2</v>
      </c>
      <c r="B37" s="52" t="s">
        <v>78</v>
      </c>
      <c r="C37" s="58">
        <f>标准成本!E6</f>
        <v>17.638907833259626</v>
      </c>
      <c r="D37" s="58">
        <f>标准成本!E20</f>
        <v>20.684257732677104</v>
      </c>
      <c r="E37" s="58">
        <f>标准成本!E34</f>
        <v>26.081462009862527</v>
      </c>
      <c r="F37" s="58">
        <f>标准成本!E47</f>
        <v>7.5379948005383026</v>
      </c>
      <c r="G37" s="58">
        <f>标准成本!E60</f>
        <v>17.638907833259626</v>
      </c>
      <c r="H37" s="58">
        <f>标准成本!E73</f>
        <v>20.684257732677104</v>
      </c>
      <c r="I37" s="58">
        <f>标准成本!E86</f>
        <v>26.081462009862527</v>
      </c>
      <c r="J37" s="58">
        <f>标准成本!E99</f>
        <v>7.5379948005383026</v>
      </c>
      <c r="K37" s="58">
        <f>标准成本!E112</f>
        <v>0.69349552164952377</v>
      </c>
      <c r="L37" s="63"/>
      <c r="M37" s="67"/>
      <c r="N37" s="67"/>
      <c r="O37" s="67"/>
      <c r="P37" s="67"/>
      <c r="Q37" s="67"/>
      <c r="R37" s="67"/>
      <c r="S37" s="67"/>
      <c r="T37" s="67"/>
      <c r="U37" s="67"/>
      <c r="AJ37" s="52" t="s">
        <v>28</v>
      </c>
      <c r="AK37" s="52" t="s">
        <v>78</v>
      </c>
    </row>
    <row r="38" spans="1:37">
      <c r="A38" s="62">
        <v>3</v>
      </c>
      <c r="B38" s="52" t="s">
        <v>79</v>
      </c>
      <c r="C38" s="58">
        <f>标准成本!E10</f>
        <v>46.79999999999999</v>
      </c>
      <c r="D38" s="58">
        <f>标准成本!E24</f>
        <v>54.879999999999988</v>
      </c>
      <c r="E38" s="58">
        <f>标准成本!E38</f>
        <v>69.199999999999989</v>
      </c>
      <c r="F38" s="58">
        <f>标准成本!E51</f>
        <v>19.999999999999996</v>
      </c>
      <c r="G38" s="58">
        <f>标准成本!E64</f>
        <v>46.79999999999999</v>
      </c>
      <c r="H38" s="58">
        <f>标准成本!E77</f>
        <v>54.879999999999988</v>
      </c>
      <c r="I38" s="58">
        <f>标准成本!E90</f>
        <v>69.199999999999989</v>
      </c>
      <c r="J38" s="58">
        <f>标准成本!E103</f>
        <v>19.999999999999996</v>
      </c>
      <c r="K38" s="58">
        <f>标准成本!E116</f>
        <v>1.8399999999999996</v>
      </c>
      <c r="L38" s="63"/>
      <c r="M38" s="67"/>
      <c r="N38" s="67"/>
      <c r="O38" s="67"/>
      <c r="P38" s="67"/>
      <c r="Q38" s="67"/>
      <c r="R38" s="67"/>
      <c r="S38" s="67"/>
      <c r="T38" s="67"/>
      <c r="U38" s="67"/>
      <c r="AJ38" s="52" t="s">
        <v>34</v>
      </c>
      <c r="AK38" s="52" t="s">
        <v>79</v>
      </c>
    </row>
    <row r="39" spans="1:37">
      <c r="A39" s="52" t="s">
        <v>76</v>
      </c>
      <c r="B39" s="55" t="s">
        <v>81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AJ39" s="52" t="s">
        <v>80</v>
      </c>
      <c r="AK39" s="55" t="s">
        <v>81</v>
      </c>
    </row>
    <row r="40" spans="1:37">
      <c r="A40" s="62">
        <v>1</v>
      </c>
      <c r="B40" s="52" t="s">
        <v>83</v>
      </c>
      <c r="C40" s="59">
        <f>C34-C36-C37-C38</f>
        <v>87.683708110967615</v>
      </c>
      <c r="D40" s="59">
        <f t="shared" ref="D40:K40" si="37">D34-D36-D37-D38</f>
        <v>48.891920964314075</v>
      </c>
      <c r="E40" s="59">
        <f t="shared" si="37"/>
        <v>50.58796156578984</v>
      </c>
      <c r="F40" s="59">
        <f t="shared" si="37"/>
        <v>3.3020120132340125</v>
      </c>
      <c r="G40" s="59">
        <f t="shared" si="37"/>
        <v>94.683708110967615</v>
      </c>
      <c r="H40" s="59">
        <f t="shared" si="37"/>
        <v>55.891920964314075</v>
      </c>
      <c r="I40" s="59">
        <f t="shared" si="37"/>
        <v>57.58796156578984</v>
      </c>
      <c r="J40" s="59">
        <f t="shared" si="37"/>
        <v>-28.697987986765988</v>
      </c>
      <c r="K40" s="59">
        <f t="shared" si="37"/>
        <v>-14.119614894782469</v>
      </c>
      <c r="L40" s="59"/>
      <c r="AJ40" s="52" t="s">
        <v>23</v>
      </c>
      <c r="AK40" s="52" t="s">
        <v>83</v>
      </c>
    </row>
    <row r="41" spans="1:37">
      <c r="A41" s="62">
        <v>2</v>
      </c>
      <c r="B41" s="52" t="s">
        <v>84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AJ41" s="52" t="s">
        <v>25</v>
      </c>
      <c r="AK41" s="52" t="s">
        <v>84</v>
      </c>
    </row>
    <row r="42" spans="1:37">
      <c r="A42" s="52" t="s">
        <v>80</v>
      </c>
      <c r="B42" s="55" t="s">
        <v>86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AJ42" s="52" t="s">
        <v>85</v>
      </c>
      <c r="AK42" s="55" t="s">
        <v>86</v>
      </c>
    </row>
    <row r="43" spans="1:37">
      <c r="A43" s="62">
        <v>1</v>
      </c>
      <c r="B43" s="60" t="s">
        <v>87</v>
      </c>
      <c r="C43" s="58">
        <f>标准成本!E5</f>
        <v>0</v>
      </c>
      <c r="D43" s="58">
        <f>标准成本!E19</f>
        <v>0</v>
      </c>
      <c r="E43" s="58">
        <f>标准成本!E33</f>
        <v>0</v>
      </c>
      <c r="F43" s="58">
        <f>标准成本!E46</f>
        <v>0</v>
      </c>
      <c r="G43" s="58">
        <f>标准成本!E59</f>
        <v>0</v>
      </c>
      <c r="H43" s="58">
        <f>标准成本!E72</f>
        <v>0</v>
      </c>
      <c r="I43" s="58">
        <f>标准成本!E85</f>
        <v>0</v>
      </c>
      <c r="J43" s="58">
        <f>标准成本!E98</f>
        <v>0</v>
      </c>
      <c r="K43" s="58">
        <f>标准成本!E111</f>
        <v>0</v>
      </c>
      <c r="L43" s="59"/>
      <c r="AJ43" s="52" t="s">
        <v>23</v>
      </c>
      <c r="AK43" s="52" t="s">
        <v>87</v>
      </c>
    </row>
    <row r="44" spans="1:37">
      <c r="A44" s="62">
        <v>2</v>
      </c>
      <c r="B44" s="60" t="s">
        <v>88</v>
      </c>
      <c r="C44" s="58">
        <f>标准成本!E9</f>
        <v>0</v>
      </c>
      <c r="D44" s="58">
        <f>标准成本!E23</f>
        <v>0</v>
      </c>
      <c r="E44" s="58">
        <f>标准成本!E37</f>
        <v>0</v>
      </c>
      <c r="F44" s="58">
        <f>标准成本!E50</f>
        <v>0</v>
      </c>
      <c r="G44" s="58">
        <f>标准成本!E63</f>
        <v>0</v>
      </c>
      <c r="H44" s="58">
        <f>标准成本!E76</f>
        <v>0</v>
      </c>
      <c r="I44" s="58">
        <f>标准成本!E89</f>
        <v>0</v>
      </c>
      <c r="J44" s="58">
        <f>标准成本!E102</f>
        <v>0</v>
      </c>
      <c r="K44" s="58">
        <f>标准成本!E115</f>
        <v>0</v>
      </c>
      <c r="L44" s="59"/>
      <c r="AJ44" s="52" t="s">
        <v>25</v>
      </c>
      <c r="AK44" s="52" t="s">
        <v>88</v>
      </c>
    </row>
    <row r="45" spans="1:37">
      <c r="A45" s="62">
        <v>3</v>
      </c>
      <c r="B45" s="60" t="s">
        <v>89</v>
      </c>
      <c r="C45" s="65">
        <f>标准成本!E8</f>
        <v>0</v>
      </c>
      <c r="D45" s="65">
        <f>标准成本!E22</f>
        <v>0</v>
      </c>
      <c r="E45" s="65">
        <f>标准成本!E36</f>
        <v>0</v>
      </c>
      <c r="F45" s="65">
        <f>标准成本!E49</f>
        <v>0</v>
      </c>
      <c r="G45" s="65">
        <f>标准成本!E62</f>
        <v>0</v>
      </c>
      <c r="H45" s="65">
        <f>标准成本!E75</f>
        <v>0</v>
      </c>
      <c r="I45" s="65">
        <f>标准成本!E88</f>
        <v>0</v>
      </c>
      <c r="J45" s="65">
        <f>标准成本!E101</f>
        <v>0</v>
      </c>
      <c r="K45" s="65">
        <f>标准成本!E114</f>
        <v>0</v>
      </c>
      <c r="L45" s="59"/>
      <c r="AJ45" s="52" t="s">
        <v>73</v>
      </c>
      <c r="AK45" s="52" t="s">
        <v>89</v>
      </c>
    </row>
    <row r="46" spans="1:37" s="47" customFormat="1">
      <c r="A46" s="62">
        <v>4</v>
      </c>
      <c r="B46" s="60" t="s">
        <v>90</v>
      </c>
      <c r="C46" s="65">
        <f>C21/C6</f>
        <v>30.637254901960784</v>
      </c>
      <c r="D46" s="65">
        <f t="shared" ref="D46:K46" si="38">D21/D6</f>
        <v>30.637254901960784</v>
      </c>
      <c r="E46" s="65">
        <f t="shared" si="38"/>
        <v>30.637254901960787</v>
      </c>
      <c r="F46" s="65">
        <f t="shared" si="38"/>
        <v>30.637254901960784</v>
      </c>
      <c r="G46" s="65">
        <f t="shared" si="38"/>
        <v>30.637254901960784</v>
      </c>
      <c r="H46" s="65">
        <f t="shared" si="38"/>
        <v>30.637254901960787</v>
      </c>
      <c r="I46" s="65">
        <f t="shared" si="38"/>
        <v>30.637254901960784</v>
      </c>
      <c r="J46" s="65">
        <f t="shared" si="38"/>
        <v>30.637254901960784</v>
      </c>
      <c r="K46" s="65">
        <f t="shared" si="38"/>
        <v>30.637254901960784</v>
      </c>
      <c r="L46" s="65"/>
      <c r="AJ46" s="60" t="s">
        <v>31</v>
      </c>
      <c r="AK46" s="60" t="s">
        <v>92</v>
      </c>
    </row>
    <row r="47" spans="1:37" s="47" customFormat="1">
      <c r="A47" s="62">
        <v>5</v>
      </c>
      <c r="B47" s="60" t="s">
        <v>92</v>
      </c>
      <c r="C47" s="65">
        <f>标准成本!E11</f>
        <v>46.800000000000004</v>
      </c>
      <c r="D47" s="65">
        <f>标准成本!E25</f>
        <v>54.88</v>
      </c>
      <c r="E47" s="65">
        <f>标准成本!E39</f>
        <v>69.2</v>
      </c>
      <c r="F47" s="65">
        <f>标准成本!E52</f>
        <v>20</v>
      </c>
      <c r="G47" s="65">
        <f>标准成本!E65</f>
        <v>46.800000000000004</v>
      </c>
      <c r="H47" s="65">
        <f>标准成本!E78</f>
        <v>54.88</v>
      </c>
      <c r="I47" s="65">
        <f>标准成本!E91</f>
        <v>69.2</v>
      </c>
      <c r="J47" s="65">
        <f>标准成本!E104</f>
        <v>20</v>
      </c>
      <c r="K47" s="65">
        <f>标准成本!E117</f>
        <v>1.84</v>
      </c>
      <c r="L47" s="65"/>
      <c r="AJ47" s="60" t="s">
        <v>31</v>
      </c>
      <c r="AK47" s="60" t="s">
        <v>92</v>
      </c>
    </row>
    <row r="48" spans="1:37">
      <c r="A48" s="52" t="s">
        <v>85</v>
      </c>
      <c r="B48" s="55" t="s">
        <v>103</v>
      </c>
      <c r="C48" s="59">
        <f>C40-C43-C44-C45-C47-C46</f>
        <v>10.246453209006827</v>
      </c>
      <c r="D48" s="59">
        <f t="shared" ref="D48:K48" si="39">D40-D43-D44-D45-D47-D46</f>
        <v>-36.625333937646715</v>
      </c>
      <c r="E48" s="59">
        <f t="shared" si="39"/>
        <v>-49.24929333617095</v>
      </c>
      <c r="F48" s="59">
        <f t="shared" si="39"/>
        <v>-47.335242888726768</v>
      </c>
      <c r="G48" s="59">
        <f t="shared" si="39"/>
        <v>17.246453209006827</v>
      </c>
      <c r="H48" s="59">
        <f t="shared" si="39"/>
        <v>-29.625333937646715</v>
      </c>
      <c r="I48" s="59">
        <f t="shared" si="39"/>
        <v>-42.24929333617095</v>
      </c>
      <c r="J48" s="59">
        <f t="shared" si="39"/>
        <v>-79.335242888726768</v>
      </c>
      <c r="K48" s="59">
        <f t="shared" si="39"/>
        <v>-46.596869796743249</v>
      </c>
      <c r="L48" s="59"/>
      <c r="AJ48" s="52" t="s">
        <v>102</v>
      </c>
      <c r="AK48" s="55" t="s">
        <v>103</v>
      </c>
    </row>
    <row r="51" spans="2:17">
      <c r="C51" s="66"/>
      <c r="D51" s="66"/>
      <c r="E51" s="66"/>
      <c r="F51" s="66"/>
      <c r="G51" s="66"/>
      <c r="H51" s="66"/>
      <c r="I51" s="66"/>
      <c r="J51" s="66"/>
      <c r="K51" s="66"/>
    </row>
    <row r="54" spans="2:17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7"/>
      <c r="N54" s="67"/>
      <c r="O54" s="67"/>
      <c r="P54" s="67"/>
      <c r="Q54" s="67"/>
    </row>
    <row r="55" spans="2:17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7"/>
      <c r="N55" s="67"/>
      <c r="O55" s="67"/>
      <c r="P55" s="67"/>
      <c r="Q55" s="67"/>
    </row>
    <row r="56" spans="2:17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7"/>
      <c r="N56" s="67"/>
      <c r="O56" s="67"/>
      <c r="P56" s="67"/>
      <c r="Q56" s="67"/>
    </row>
    <row r="57" spans="2:17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7"/>
      <c r="N57" s="67"/>
      <c r="O57" s="67"/>
      <c r="P57" s="67"/>
      <c r="Q57" s="67"/>
    </row>
    <row r="58" spans="2:17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7"/>
      <c r="N58" s="67"/>
      <c r="O58" s="67"/>
      <c r="P58" s="67"/>
      <c r="Q58" s="67"/>
    </row>
    <row r="59" spans="2:17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7"/>
      <c r="N59" s="67"/>
      <c r="O59" s="67"/>
      <c r="P59" s="67"/>
      <c r="Q59" s="67"/>
    </row>
    <row r="60" spans="2:17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7"/>
      <c r="N60" s="67"/>
      <c r="O60" s="67"/>
      <c r="P60" s="67"/>
      <c r="Q60" s="67"/>
    </row>
    <row r="61" spans="2:17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7"/>
      <c r="N61" s="67"/>
      <c r="O61" s="67"/>
      <c r="P61" s="67"/>
      <c r="Q61" s="67"/>
    </row>
    <row r="62" spans="2:17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7"/>
      <c r="N62" s="67"/>
      <c r="O62" s="67"/>
      <c r="P62" s="67"/>
      <c r="Q62" s="67"/>
    </row>
    <row r="63" spans="2:17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7"/>
      <c r="N63" s="67"/>
      <c r="O63" s="67"/>
      <c r="P63" s="67"/>
      <c r="Q63" s="67"/>
    </row>
    <row r="64" spans="2:17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7"/>
      <c r="N64" s="67"/>
      <c r="O64" s="67"/>
      <c r="P64" s="67"/>
      <c r="Q64" s="67"/>
    </row>
    <row r="65" spans="2:17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7"/>
      <c r="N65" s="67"/>
      <c r="O65" s="67"/>
      <c r="P65" s="67"/>
      <c r="Q65" s="67"/>
    </row>
    <row r="66" spans="2:17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7"/>
      <c r="N66" s="67"/>
      <c r="O66" s="67"/>
      <c r="P66" s="67"/>
      <c r="Q66" s="67"/>
    </row>
    <row r="67" spans="2:17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7"/>
    </row>
    <row r="68" spans="2:17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7"/>
    </row>
    <row r="69" spans="2:17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7"/>
    </row>
    <row r="70" spans="2:17"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7"/>
    </row>
    <row r="71" spans="2:17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7"/>
    </row>
    <row r="72" spans="2:17"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7"/>
    </row>
    <row r="73" spans="2:17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7"/>
    </row>
    <row r="74" spans="2:17"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7"/>
    </row>
  </sheetData>
  <mergeCells count="8">
    <mergeCell ref="A4:B4"/>
    <mergeCell ref="A5:B5"/>
    <mergeCell ref="L3:L5"/>
    <mergeCell ref="A1:B1"/>
    <mergeCell ref="C1:L1"/>
    <mergeCell ref="A2:B2"/>
    <mergeCell ref="C2:L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20" activePane="bottomRight" state="frozen"/>
      <selection pane="topRight"/>
      <selection pane="bottomLeft"/>
      <selection pane="bottomRight" activeCell="L25" sqref="L25"/>
    </sheetView>
  </sheetViews>
  <sheetFormatPr defaultColWidth="9" defaultRowHeight="16.5"/>
  <cols>
    <col min="1" max="1" width="5.125" style="48" customWidth="1"/>
    <col min="2" max="2" width="17.5" style="48" customWidth="1"/>
    <col min="3" max="11" width="13.25" style="49" customWidth="1"/>
    <col min="12" max="12" width="18.75" style="49" customWidth="1"/>
    <col min="13" max="13" width="12.375" style="48" customWidth="1"/>
    <col min="14" max="14" width="10.125" style="48" customWidth="1"/>
    <col min="15" max="21" width="9" style="48" customWidth="1"/>
    <col min="22" max="38" width="9" style="48"/>
    <col min="39" max="39" width="4.375" style="48" customWidth="1"/>
    <col min="40" max="40" width="13.875" style="48" customWidth="1"/>
    <col min="41" max="16384" width="9" style="48"/>
  </cols>
  <sheetData>
    <row r="1" spans="1:41">
      <c r="A1" s="232" t="s">
        <v>143</v>
      </c>
      <c r="B1" s="232"/>
      <c r="C1" s="236" t="s">
        <v>243</v>
      </c>
      <c r="D1" s="237"/>
      <c r="E1" s="237"/>
      <c r="F1" s="237"/>
      <c r="G1" s="237"/>
      <c r="H1" s="237"/>
      <c r="I1" s="237"/>
      <c r="J1" s="237"/>
      <c r="K1" s="237"/>
      <c r="L1" s="238"/>
    </row>
    <row r="2" spans="1:41">
      <c r="A2" s="232" t="s">
        <v>144</v>
      </c>
      <c r="B2" s="232"/>
      <c r="C2" s="239" t="str">
        <f>'2022年'!C2:L2</f>
        <v>成都王牌</v>
      </c>
      <c r="D2" s="239"/>
      <c r="E2" s="239"/>
      <c r="F2" s="239"/>
      <c r="G2" s="239"/>
      <c r="H2" s="239"/>
      <c r="I2" s="239"/>
      <c r="J2" s="239"/>
      <c r="K2" s="239"/>
      <c r="L2" s="239"/>
    </row>
    <row r="3" spans="1:41" ht="28.5">
      <c r="A3" s="232" t="s">
        <v>145</v>
      </c>
      <c r="B3" s="232"/>
      <c r="C3" s="161" t="str">
        <f>销量!C5</f>
        <v>左座椅总成（工程车）</v>
      </c>
      <c r="D3" s="161" t="str">
        <f>销量!D5</f>
        <v>左座椅总成（公路车）</v>
      </c>
      <c r="E3" s="161" t="str">
        <f>销量!E5</f>
        <v>左座椅总成（豪华版）</v>
      </c>
      <c r="F3" s="161" t="str">
        <f>销量!F5</f>
        <v>右座椅总成</v>
      </c>
      <c r="G3" s="161" t="str">
        <f>销量!G5</f>
        <v>左座椅总成（工程车）</v>
      </c>
      <c r="H3" s="161" t="str">
        <f>销量!H5</f>
        <v>左座椅总成（公路车）</v>
      </c>
      <c r="I3" s="161" t="str">
        <f>销量!I5</f>
        <v>左座椅总成（豪华版）</v>
      </c>
      <c r="J3" s="161" t="str">
        <f>销量!J5</f>
        <v>右座椅总成</v>
      </c>
      <c r="K3" s="161" t="str">
        <f>销量!K5</f>
        <v>左座椅盒总成</v>
      </c>
      <c r="L3" s="233" t="s">
        <v>19</v>
      </c>
    </row>
    <row r="4" spans="1:41">
      <c r="A4" s="232" t="s">
        <v>146</v>
      </c>
      <c r="B4" s="232"/>
      <c r="C4" s="161" t="str">
        <f>销量!C6</f>
        <v>EZ16B251000001</v>
      </c>
      <c r="D4" s="161" t="str">
        <f>销量!D6</f>
        <v>EZ16B251000002</v>
      </c>
      <c r="E4" s="161" t="str">
        <f>销量!E6</f>
        <v>EZ16B251000003</v>
      </c>
      <c r="F4" s="161" t="str">
        <f>销量!F6</f>
        <v>EZ16B251000004</v>
      </c>
      <c r="G4" s="161" t="str">
        <f>销量!G6</f>
        <v>EZ164251000001</v>
      </c>
      <c r="H4" s="161" t="str">
        <f>销量!H6</f>
        <v>EZ164251000002</v>
      </c>
      <c r="I4" s="161" t="str">
        <f>销量!I6</f>
        <v>EZ164251000003</v>
      </c>
      <c r="J4" s="161" t="str">
        <f>销量!J6</f>
        <v>EZ164251000004</v>
      </c>
      <c r="K4" s="161" t="str">
        <f>销量!K6</f>
        <v>EZ164251000005</v>
      </c>
      <c r="L4" s="234"/>
    </row>
    <row r="5" spans="1:41">
      <c r="A5" s="232" t="s">
        <v>147</v>
      </c>
      <c r="B5" s="232"/>
      <c r="C5" s="51"/>
      <c r="D5" s="51"/>
      <c r="E5" s="51"/>
      <c r="F5" s="51"/>
      <c r="G5" s="51"/>
      <c r="H5" s="51"/>
      <c r="I5" s="51"/>
      <c r="J5" s="51"/>
      <c r="K5" s="51"/>
      <c r="L5" s="235"/>
      <c r="AO5" s="48" t="s">
        <v>20</v>
      </c>
    </row>
    <row r="6" spans="1:41" ht="17.25">
      <c r="A6" s="52" t="s">
        <v>17</v>
      </c>
      <c r="B6" s="53" t="s">
        <v>148</v>
      </c>
      <c r="C6" s="22">
        <f>销量!C10</f>
        <v>6500</v>
      </c>
      <c r="D6" s="22">
        <f>销量!D10</f>
        <v>2000</v>
      </c>
      <c r="E6" s="22">
        <f>销量!E10</f>
        <v>1500</v>
      </c>
      <c r="F6" s="22">
        <f>销量!F10</f>
        <v>10000</v>
      </c>
      <c r="G6" s="22">
        <f>销量!G10</f>
        <v>4500</v>
      </c>
      <c r="H6" s="22">
        <f>销量!H10</f>
        <v>2000</v>
      </c>
      <c r="I6" s="22">
        <f>销量!I10</f>
        <v>1500</v>
      </c>
      <c r="J6" s="22">
        <f>销量!J10</f>
        <v>8000</v>
      </c>
      <c r="K6" s="22">
        <f>销量!K10</f>
        <v>8000</v>
      </c>
      <c r="L6" s="54">
        <f>SUM(C6:K6)</f>
        <v>44000</v>
      </c>
      <c r="W6" s="53" t="s">
        <v>3</v>
      </c>
      <c r="AM6" s="52" t="s">
        <v>17</v>
      </c>
      <c r="AN6" s="53" t="s">
        <v>3</v>
      </c>
      <c r="AO6" s="48" t="s">
        <v>21</v>
      </c>
    </row>
    <row r="7" spans="1:41">
      <c r="A7" s="160">
        <v>1</v>
      </c>
      <c r="B7" s="53" t="s">
        <v>22</v>
      </c>
      <c r="C7" s="54">
        <f>C6*销量!C8</f>
        <v>7605000</v>
      </c>
      <c r="D7" s="54">
        <f>D6*销量!D8</f>
        <v>2744000</v>
      </c>
      <c r="E7" s="54">
        <f>E6*销量!E8</f>
        <v>2595000</v>
      </c>
      <c r="F7" s="54">
        <f>F6*销量!F8</f>
        <v>5000000</v>
      </c>
      <c r="G7" s="54">
        <f>G6*销量!G8</f>
        <v>5265000</v>
      </c>
      <c r="H7" s="54">
        <f>H6*销量!H8</f>
        <v>2744000</v>
      </c>
      <c r="I7" s="54">
        <f>I6*销量!I8</f>
        <v>2595000</v>
      </c>
      <c r="J7" s="54">
        <f>J6*销量!J8</f>
        <v>4000000</v>
      </c>
      <c r="K7" s="54">
        <f>K6*销量!K8</f>
        <v>368000</v>
      </c>
      <c r="L7" s="54">
        <f t="shared" ref="L7:L15" si="0">SUM(C7:K7)</f>
        <v>32916000</v>
      </c>
      <c r="M7" s="49"/>
      <c r="W7" s="53" t="s">
        <v>22</v>
      </c>
      <c r="AM7" s="52" t="s">
        <v>23</v>
      </c>
      <c r="AN7" s="53" t="s">
        <v>22</v>
      </c>
      <c r="AO7" s="48" t="s">
        <v>21</v>
      </c>
    </row>
    <row r="8" spans="1:41">
      <c r="A8" s="160">
        <v>2</v>
      </c>
      <c r="B8" s="160" t="s">
        <v>24</v>
      </c>
      <c r="C8" s="54">
        <f>C7*(1-销量!$O$7)</f>
        <v>152100.00000000015</v>
      </c>
      <c r="D8" s="54">
        <f>D7*(1-销量!$O$7)</f>
        <v>54880.000000000051</v>
      </c>
      <c r="E8" s="54">
        <f>E7*(1-销量!$O$7)</f>
        <v>51900.000000000044</v>
      </c>
      <c r="F8" s="54">
        <f>F7*(1-销量!$O$7)</f>
        <v>100000.00000000009</v>
      </c>
      <c r="G8" s="54">
        <f>G7*(1-销量!$O$7)</f>
        <v>105300.00000000009</v>
      </c>
      <c r="H8" s="54">
        <f>H7*(1-销量!$O$7)</f>
        <v>54880.000000000051</v>
      </c>
      <c r="I8" s="54">
        <f>I7*(1-销量!$O$7)</f>
        <v>51900.000000000044</v>
      </c>
      <c r="J8" s="54">
        <f>J7*(1-销量!$O$7)</f>
        <v>80000.000000000073</v>
      </c>
      <c r="K8" s="54">
        <f>K7*(1-销量!$O$7)</f>
        <v>7360.0000000000064</v>
      </c>
      <c r="L8" s="54">
        <f t="shared" si="0"/>
        <v>658320.0000000007</v>
      </c>
      <c r="M8" s="69"/>
      <c r="W8" s="160" t="s">
        <v>26</v>
      </c>
      <c r="AM8" s="52" t="s">
        <v>25</v>
      </c>
      <c r="AN8" s="160" t="s">
        <v>26</v>
      </c>
      <c r="AO8" s="48" t="s">
        <v>21</v>
      </c>
    </row>
    <row r="9" spans="1:41">
      <c r="A9" s="160">
        <v>3</v>
      </c>
      <c r="B9" s="53" t="s">
        <v>27</v>
      </c>
      <c r="C9" s="54">
        <f>+C7-C8</f>
        <v>7452900</v>
      </c>
      <c r="D9" s="54">
        <f t="shared" ref="D9:K9" si="1">+D7-D8</f>
        <v>2689120</v>
      </c>
      <c r="E9" s="54">
        <f t="shared" si="1"/>
        <v>2543100</v>
      </c>
      <c r="F9" s="54">
        <f t="shared" si="1"/>
        <v>4900000</v>
      </c>
      <c r="G9" s="54">
        <f t="shared" si="1"/>
        <v>5159700</v>
      </c>
      <c r="H9" s="54">
        <f t="shared" si="1"/>
        <v>2689120</v>
      </c>
      <c r="I9" s="54">
        <f t="shared" si="1"/>
        <v>2543100</v>
      </c>
      <c r="J9" s="54">
        <f t="shared" si="1"/>
        <v>3920000</v>
      </c>
      <c r="K9" s="54">
        <f t="shared" si="1"/>
        <v>360640</v>
      </c>
      <c r="L9" s="54">
        <f t="shared" si="0"/>
        <v>32257680</v>
      </c>
      <c r="W9" s="53" t="s">
        <v>27</v>
      </c>
      <c r="AM9" s="52" t="s">
        <v>28</v>
      </c>
      <c r="AN9" s="53" t="s">
        <v>27</v>
      </c>
      <c r="AO9" s="48" t="s">
        <v>29</v>
      </c>
    </row>
    <row r="10" spans="1:41">
      <c r="A10" s="160">
        <v>4</v>
      </c>
      <c r="B10" s="52" t="s">
        <v>30</v>
      </c>
      <c r="C10" s="54">
        <f>C6*材料成本!F41</f>
        <v>6064877</v>
      </c>
      <c r="D10" s="54">
        <f>D6*材料成本!F42</f>
        <v>2294003.6</v>
      </c>
      <c r="E10" s="54">
        <f>E6*材料成本!F43</f>
        <v>2185698.9</v>
      </c>
      <c r="F10" s="54">
        <f>F6*材料成本!F44</f>
        <v>4322290</v>
      </c>
      <c r="G10" s="54">
        <f>G6*材料成本!F45</f>
        <v>4167891</v>
      </c>
      <c r="H10" s="54">
        <f>H6*材料成本!F46</f>
        <v>2280283.6</v>
      </c>
      <c r="I10" s="54">
        <f>I6*材料成本!F47</f>
        <v>2175408.9</v>
      </c>
      <c r="J10" s="54">
        <f>J6*材料成本!F48</f>
        <v>3708712</v>
      </c>
      <c r="K10" s="54">
        <f>K6*材料成本!F49</f>
        <v>431200</v>
      </c>
      <c r="L10" s="54">
        <f t="shared" si="0"/>
        <v>27630365</v>
      </c>
      <c r="W10" s="52" t="s">
        <v>30</v>
      </c>
      <c r="AM10" s="52" t="s">
        <v>31</v>
      </c>
      <c r="AN10" s="52" t="s">
        <v>30</v>
      </c>
      <c r="AO10" s="48" t="s">
        <v>32</v>
      </c>
    </row>
    <row r="11" spans="1:41">
      <c r="A11" s="160">
        <v>5</v>
      </c>
      <c r="B11" s="52" t="s">
        <v>33</v>
      </c>
      <c r="C11" s="54">
        <f>+C6*C36</f>
        <v>427552.99636252294</v>
      </c>
      <c r="D11" s="54">
        <f>+D6*D36</f>
        <v>154267.6426060175</v>
      </c>
      <c r="E11" s="54">
        <f t="shared" ref="E11:H11" si="2">+E6*E36</f>
        <v>145890.86463652164</v>
      </c>
      <c r="F11" s="54">
        <f t="shared" si="2"/>
        <v>281099.93186227675</v>
      </c>
      <c r="G11" s="54">
        <f t="shared" si="2"/>
        <v>295998.22825097741</v>
      </c>
      <c r="H11" s="54">
        <f t="shared" si="2"/>
        <v>154267.6426060175</v>
      </c>
      <c r="I11" s="54">
        <f t="shared" ref="I11:K11" si="3">+I6*I36</f>
        <v>145890.86463652164</v>
      </c>
      <c r="J11" s="54">
        <f t="shared" si="3"/>
        <v>224879.9454898214</v>
      </c>
      <c r="K11" s="54">
        <f t="shared" si="3"/>
        <v>20688.954985063567</v>
      </c>
      <c r="L11" s="54">
        <f t="shared" si="0"/>
        <v>1850537.0714357402</v>
      </c>
      <c r="W11" s="52" t="s">
        <v>33</v>
      </c>
      <c r="AM11" s="52" t="s">
        <v>34</v>
      </c>
      <c r="AN11" s="52" t="s">
        <v>33</v>
      </c>
    </row>
    <row r="12" spans="1:41">
      <c r="A12" s="160">
        <v>6</v>
      </c>
      <c r="B12" s="52" t="s">
        <v>35</v>
      </c>
      <c r="C12" s="54">
        <f>+C6*C37</f>
        <v>114652.90091618757</v>
      </c>
      <c r="D12" s="54">
        <f t="shared" ref="D12:H12" si="4">+D6*D37</f>
        <v>41368.515465354205</v>
      </c>
      <c r="E12" s="54">
        <f t="shared" si="4"/>
        <v>39122.193014793789</v>
      </c>
      <c r="F12" s="54">
        <f t="shared" si="4"/>
        <v>75379.948005383019</v>
      </c>
      <c r="G12" s="54">
        <f t="shared" si="4"/>
        <v>79375.085249668322</v>
      </c>
      <c r="H12" s="54">
        <f t="shared" si="4"/>
        <v>41368.515465354205</v>
      </c>
      <c r="I12" s="54">
        <f t="shared" ref="I12:K12" si="5">+I6*I37</f>
        <v>39122.193014793789</v>
      </c>
      <c r="J12" s="54">
        <f t="shared" si="5"/>
        <v>60303.958404306424</v>
      </c>
      <c r="K12" s="54">
        <f t="shared" si="5"/>
        <v>5547.9641731961901</v>
      </c>
      <c r="L12" s="54">
        <f t="shared" si="0"/>
        <v>496241.27370903752</v>
      </c>
      <c r="W12" s="52" t="s">
        <v>35</v>
      </c>
      <c r="AM12" s="52" t="s">
        <v>36</v>
      </c>
      <c r="AN12" s="52" t="s">
        <v>35</v>
      </c>
    </row>
    <row r="13" spans="1:41">
      <c r="A13" s="160">
        <v>7</v>
      </c>
      <c r="B13" s="52" t="s">
        <v>37</v>
      </c>
      <c r="C13" s="54">
        <f>+C6*C38</f>
        <v>304199.99999999994</v>
      </c>
      <c r="D13" s="54">
        <f t="shared" ref="D13:H13" si="6">+D6*D38</f>
        <v>109759.99999999997</v>
      </c>
      <c r="E13" s="54">
        <f t="shared" si="6"/>
        <v>103799.99999999999</v>
      </c>
      <c r="F13" s="54">
        <f t="shared" si="6"/>
        <v>199999.99999999997</v>
      </c>
      <c r="G13" s="54">
        <f t="shared" si="6"/>
        <v>210599.99999999994</v>
      </c>
      <c r="H13" s="54">
        <f t="shared" si="6"/>
        <v>109759.99999999997</v>
      </c>
      <c r="I13" s="54">
        <f t="shared" ref="I13:K13" si="7">+I6*I38</f>
        <v>103799.99999999999</v>
      </c>
      <c r="J13" s="54">
        <f t="shared" si="7"/>
        <v>159999.99999999997</v>
      </c>
      <c r="K13" s="54">
        <f t="shared" si="7"/>
        <v>14719.999999999996</v>
      </c>
      <c r="L13" s="54">
        <f t="shared" si="0"/>
        <v>1316639.9999999998</v>
      </c>
      <c r="W13" s="52" t="s">
        <v>37</v>
      </c>
      <c r="AM13" s="52" t="s">
        <v>38</v>
      </c>
      <c r="AN13" s="52" t="s">
        <v>37</v>
      </c>
      <c r="AO13" s="48" t="s">
        <v>21</v>
      </c>
    </row>
    <row r="14" spans="1:41">
      <c r="A14" s="160">
        <v>8</v>
      </c>
      <c r="B14" s="55" t="s">
        <v>39</v>
      </c>
      <c r="C14" s="54">
        <f>SUM(C11:C13)</f>
        <v>846405.8972787105</v>
      </c>
      <c r="D14" s="54">
        <f t="shared" ref="D14:H14" si="8">SUM(D11:D13)</f>
        <v>305396.15807137167</v>
      </c>
      <c r="E14" s="54">
        <f t="shared" si="8"/>
        <v>288813.05765131541</v>
      </c>
      <c r="F14" s="54">
        <f t="shared" si="8"/>
        <v>556479.87986765977</v>
      </c>
      <c r="G14" s="54">
        <f t="shared" si="8"/>
        <v>585973.31350064569</v>
      </c>
      <c r="H14" s="54">
        <f t="shared" si="8"/>
        <v>305396.15807137167</v>
      </c>
      <c r="I14" s="54">
        <f t="shared" ref="I14:K14" si="9">SUM(I11:I13)</f>
        <v>288813.05765131541</v>
      </c>
      <c r="J14" s="54">
        <f t="shared" si="9"/>
        <v>445183.90389412781</v>
      </c>
      <c r="K14" s="54">
        <f t="shared" si="9"/>
        <v>40956.919158259756</v>
      </c>
      <c r="L14" s="54">
        <f t="shared" si="0"/>
        <v>3663418.3451447776</v>
      </c>
      <c r="W14" s="55" t="s">
        <v>39</v>
      </c>
      <c r="AM14" s="52" t="s">
        <v>40</v>
      </c>
      <c r="AN14" s="55" t="s">
        <v>39</v>
      </c>
    </row>
    <row r="15" spans="1:41">
      <c r="A15" s="160">
        <v>9</v>
      </c>
      <c r="B15" s="55" t="s">
        <v>41</v>
      </c>
      <c r="C15" s="54">
        <f>+C9-C10-C14</f>
        <v>541617.1027212895</v>
      </c>
      <c r="D15" s="54">
        <f t="shared" ref="D15:H15" si="10">+D9-D10-D14</f>
        <v>89720.241928628238</v>
      </c>
      <c r="E15" s="54">
        <f t="shared" si="10"/>
        <v>68588.042348684685</v>
      </c>
      <c r="F15" s="54">
        <f t="shared" si="10"/>
        <v>21230.120132340235</v>
      </c>
      <c r="G15" s="54">
        <f t="shared" si="10"/>
        <v>405835.68649935431</v>
      </c>
      <c r="H15" s="54">
        <f t="shared" si="10"/>
        <v>103440.24192862824</v>
      </c>
      <c r="I15" s="54">
        <f t="shared" ref="I15:K15" si="11">+I9-I10-I14</f>
        <v>78878.042348684685</v>
      </c>
      <c r="J15" s="54">
        <f t="shared" si="11"/>
        <v>-233895.90389412781</v>
      </c>
      <c r="K15" s="54">
        <f t="shared" si="11"/>
        <v>-111516.91915825976</v>
      </c>
      <c r="L15" s="54">
        <f t="shared" si="0"/>
        <v>963896.65485522232</v>
      </c>
      <c r="W15" s="55" t="s">
        <v>41</v>
      </c>
      <c r="AM15" s="52" t="s">
        <v>42</v>
      </c>
      <c r="AN15" s="55" t="s">
        <v>41</v>
      </c>
    </row>
    <row r="16" spans="1:41">
      <c r="A16" s="160">
        <v>10</v>
      </c>
      <c r="B16" s="52" t="s">
        <v>43</v>
      </c>
      <c r="C16" s="56">
        <f>+C15/C9</f>
        <v>7.2671993817344863E-2</v>
      </c>
      <c r="D16" s="56">
        <f t="shared" ref="D16:K16" si="12">+D15/D9</f>
        <v>3.3364164458495063E-2</v>
      </c>
      <c r="E16" s="56">
        <f t="shared" si="12"/>
        <v>2.6970249832363919E-2</v>
      </c>
      <c r="F16" s="56">
        <f t="shared" si="12"/>
        <v>4.3326775780286189E-3</v>
      </c>
      <c r="G16" s="56">
        <f t="shared" si="12"/>
        <v>7.8654899800250852E-2</v>
      </c>
      <c r="H16" s="56">
        <f t="shared" si="12"/>
        <v>3.8466205274821592E-2</v>
      </c>
      <c r="I16" s="56">
        <f t="shared" si="12"/>
        <v>3.1016492606930395E-2</v>
      </c>
      <c r="J16" s="56">
        <f t="shared" si="12"/>
        <v>-5.9667322421971383E-2</v>
      </c>
      <c r="K16" s="56">
        <f t="shared" si="12"/>
        <v>-0.30921949633501483</v>
      </c>
      <c r="L16" s="56">
        <f t="shared" ref="L16" si="13">+L15/L9</f>
        <v>2.98811524838495E-2</v>
      </c>
      <c r="W16" s="52" t="s">
        <v>43</v>
      </c>
      <c r="AM16" s="52" t="s">
        <v>44</v>
      </c>
      <c r="AN16" s="52" t="s">
        <v>43</v>
      </c>
    </row>
    <row r="17" spans="1:41">
      <c r="A17" s="160">
        <v>11</v>
      </c>
      <c r="B17" s="52" t="s">
        <v>45</v>
      </c>
      <c r="C17" s="54">
        <f>C6*C43+C18</f>
        <v>47411.837121212127</v>
      </c>
      <c r="D17" s="54">
        <f t="shared" ref="D17:H17" si="14">D6*D43+D18</f>
        <v>14588.257575757578</v>
      </c>
      <c r="E17" s="54">
        <f t="shared" si="14"/>
        <v>10941.193181818184</v>
      </c>
      <c r="F17" s="54">
        <f t="shared" si="14"/>
        <v>72941.287878787887</v>
      </c>
      <c r="G17" s="54">
        <f t="shared" si="14"/>
        <v>32823.579545454551</v>
      </c>
      <c r="H17" s="54">
        <f t="shared" si="14"/>
        <v>14588.257575757578</v>
      </c>
      <c r="I17" s="54">
        <f t="shared" ref="I17:K17" si="15">I6*I43+I18</f>
        <v>10941.193181818184</v>
      </c>
      <c r="J17" s="54">
        <f t="shared" si="15"/>
        <v>58353.030303030311</v>
      </c>
      <c r="K17" s="54">
        <f t="shared" si="15"/>
        <v>58353.030303030311</v>
      </c>
      <c r="L17" s="54">
        <f t="shared" ref="L17:L20" si="16">SUM(C17:H17)</f>
        <v>193294.4128787879</v>
      </c>
      <c r="M17" s="69"/>
      <c r="W17" s="52" t="s">
        <v>45</v>
      </c>
      <c r="AM17" s="52" t="s">
        <v>46</v>
      </c>
      <c r="AN17" s="52" t="s">
        <v>45</v>
      </c>
    </row>
    <row r="18" spans="1:41" s="46" customFormat="1">
      <c r="A18" s="160">
        <v>12</v>
      </c>
      <c r="B18" s="57" t="s">
        <v>149</v>
      </c>
      <c r="C18" s="58">
        <f>$L$18/$L$6*C6</f>
        <v>47411.837121212127</v>
      </c>
      <c r="D18" s="58">
        <f t="shared" ref="D18:H18" si="17">$L$18/$L$6*D6</f>
        <v>14588.257575757578</v>
      </c>
      <c r="E18" s="58">
        <f t="shared" si="17"/>
        <v>10941.193181818184</v>
      </c>
      <c r="F18" s="58">
        <f t="shared" si="17"/>
        <v>72941.287878787887</v>
      </c>
      <c r="G18" s="58">
        <f t="shared" si="17"/>
        <v>32823.579545454551</v>
      </c>
      <c r="H18" s="58">
        <f t="shared" si="17"/>
        <v>14588.257575757578</v>
      </c>
      <c r="I18" s="58">
        <f t="shared" ref="I18:K18" si="18">$L$18/$L$6*I6</f>
        <v>10941.193181818184</v>
      </c>
      <c r="J18" s="58">
        <f t="shared" si="18"/>
        <v>58353.030303030311</v>
      </c>
      <c r="K18" s="58">
        <f t="shared" si="18"/>
        <v>58353.030303030311</v>
      </c>
      <c r="L18" s="58">
        <f>项目投资!D26</f>
        <v>320941.66666666669</v>
      </c>
      <c r="M18" s="70" t="s">
        <v>150</v>
      </c>
      <c r="N18" s="70"/>
      <c r="O18" s="70"/>
    </row>
    <row r="19" spans="1:41">
      <c r="A19" s="160">
        <v>13</v>
      </c>
      <c r="B19" s="52" t="s">
        <v>47</v>
      </c>
      <c r="C19" s="54">
        <f>C6*C44</f>
        <v>0</v>
      </c>
      <c r="D19" s="54">
        <f t="shared" ref="D19:H19" si="19">D6*D44</f>
        <v>0</v>
      </c>
      <c r="E19" s="54">
        <f t="shared" si="19"/>
        <v>0</v>
      </c>
      <c r="F19" s="54">
        <f t="shared" si="19"/>
        <v>0</v>
      </c>
      <c r="G19" s="54">
        <f t="shared" si="19"/>
        <v>0</v>
      </c>
      <c r="H19" s="54">
        <f t="shared" si="19"/>
        <v>0</v>
      </c>
      <c r="I19" s="54">
        <f t="shared" ref="I19:K19" si="20">I6*I44</f>
        <v>0</v>
      </c>
      <c r="J19" s="54">
        <f t="shared" si="20"/>
        <v>0</v>
      </c>
      <c r="K19" s="54">
        <f t="shared" si="20"/>
        <v>0</v>
      </c>
      <c r="L19" s="54">
        <f>SUM(C19:H19)</f>
        <v>0</v>
      </c>
      <c r="M19" s="46"/>
      <c r="W19" s="52" t="s">
        <v>47</v>
      </c>
      <c r="AM19" s="52" t="s">
        <v>48</v>
      </c>
      <c r="AN19" s="52" t="s">
        <v>47</v>
      </c>
      <c r="AO19" s="48" t="s">
        <v>21</v>
      </c>
    </row>
    <row r="20" spans="1:41">
      <c r="A20" s="160">
        <v>14</v>
      </c>
      <c r="B20" s="52" t="s">
        <v>49</v>
      </c>
      <c r="C20" s="54">
        <f>C6*C45</f>
        <v>0</v>
      </c>
      <c r="D20" s="54">
        <f t="shared" ref="D20:H20" si="21">D6*D45</f>
        <v>0</v>
      </c>
      <c r="E20" s="54">
        <f t="shared" si="21"/>
        <v>0</v>
      </c>
      <c r="F20" s="54">
        <f t="shared" si="21"/>
        <v>0</v>
      </c>
      <c r="G20" s="54">
        <f t="shared" si="21"/>
        <v>0</v>
      </c>
      <c r="H20" s="54">
        <f t="shared" si="21"/>
        <v>0</v>
      </c>
      <c r="I20" s="54">
        <f t="shared" ref="I20:K20" si="22">I6*I45</f>
        <v>0</v>
      </c>
      <c r="J20" s="54">
        <f t="shared" si="22"/>
        <v>0</v>
      </c>
      <c r="K20" s="54">
        <f t="shared" si="22"/>
        <v>0</v>
      </c>
      <c r="L20" s="54">
        <f t="shared" si="16"/>
        <v>0</v>
      </c>
      <c r="W20" s="52" t="s">
        <v>49</v>
      </c>
      <c r="AM20" s="52" t="s">
        <v>50</v>
      </c>
      <c r="AN20" s="52" t="s">
        <v>49</v>
      </c>
    </row>
    <row r="21" spans="1:41">
      <c r="A21" s="160">
        <v>15</v>
      </c>
      <c r="B21" s="52" t="s">
        <v>51</v>
      </c>
      <c r="C21" s="59">
        <f>$L$21/$L$6*C6</f>
        <v>36931.818181818184</v>
      </c>
      <c r="D21" s="59">
        <f t="shared" ref="D21:H21" si="23">$L$21/$L$6*D6</f>
        <v>11363.636363636364</v>
      </c>
      <c r="E21" s="59">
        <f t="shared" si="23"/>
        <v>8522.7272727272721</v>
      </c>
      <c r="F21" s="59">
        <f t="shared" si="23"/>
        <v>56818.181818181816</v>
      </c>
      <c r="G21" s="59">
        <f t="shared" si="23"/>
        <v>25568.181818181816</v>
      </c>
      <c r="H21" s="59">
        <f t="shared" si="23"/>
        <v>11363.636363636364</v>
      </c>
      <c r="I21" s="59">
        <f t="shared" ref="I21:K21" si="24">$L$21/$L$6*I6</f>
        <v>8522.7272727272721</v>
      </c>
      <c r="J21" s="59">
        <f t="shared" si="24"/>
        <v>45454.545454545456</v>
      </c>
      <c r="K21" s="59">
        <f t="shared" si="24"/>
        <v>45454.545454545456</v>
      </c>
      <c r="L21" s="54">
        <f>项目投资!D27</f>
        <v>250000</v>
      </c>
      <c r="W21" s="52" t="s">
        <v>51</v>
      </c>
      <c r="AM21" s="52"/>
      <c r="AN21" s="52"/>
    </row>
    <row r="22" spans="1:41">
      <c r="A22" s="160">
        <v>16</v>
      </c>
      <c r="B22" s="52" t="s">
        <v>52</v>
      </c>
      <c r="C22" s="54">
        <f>C6*C47</f>
        <v>304200</v>
      </c>
      <c r="D22" s="54">
        <f t="shared" ref="D22:H22" si="25">D6*D47</f>
        <v>109760</v>
      </c>
      <c r="E22" s="54">
        <f t="shared" si="25"/>
        <v>103800</v>
      </c>
      <c r="F22" s="54">
        <f t="shared" si="25"/>
        <v>200000</v>
      </c>
      <c r="G22" s="54">
        <f t="shared" si="25"/>
        <v>210600.00000000003</v>
      </c>
      <c r="H22" s="54">
        <f t="shared" si="25"/>
        <v>109760</v>
      </c>
      <c r="I22" s="54">
        <f t="shared" ref="I22:K22" si="26">I6*I47</f>
        <v>103800</v>
      </c>
      <c r="J22" s="54">
        <f t="shared" si="26"/>
        <v>160000</v>
      </c>
      <c r="K22" s="54">
        <f t="shared" si="26"/>
        <v>14720</v>
      </c>
      <c r="L22" s="54">
        <f>SUM(C22:H22)</f>
        <v>1038120</v>
      </c>
      <c r="W22" s="52" t="s">
        <v>52</v>
      </c>
      <c r="AM22" s="52" t="s">
        <v>53</v>
      </c>
      <c r="AN22" s="52" t="s">
        <v>52</v>
      </c>
    </row>
    <row r="23" spans="1:41">
      <c r="A23" s="160">
        <v>17</v>
      </c>
      <c r="B23" s="55" t="s">
        <v>54</v>
      </c>
      <c r="C23" s="59">
        <f>+C22+C21+C20+C19+C17</f>
        <v>388543.65530303027</v>
      </c>
      <c r="D23" s="59">
        <f t="shared" ref="D23:H23" si="27">+D22+D21+D20+D19+D17</f>
        <v>135711.89393939395</v>
      </c>
      <c r="E23" s="59">
        <f t="shared" si="27"/>
        <v>123263.92045454544</v>
      </c>
      <c r="F23" s="59">
        <f t="shared" si="27"/>
        <v>329759.46969696973</v>
      </c>
      <c r="G23" s="59">
        <f t="shared" si="27"/>
        <v>268991.76136363641</v>
      </c>
      <c r="H23" s="59">
        <f t="shared" si="27"/>
        <v>135711.89393939395</v>
      </c>
      <c r="I23" s="59">
        <f t="shared" ref="I23:K23" si="28">+I22+I21+I20+I19+I17</f>
        <v>123263.92045454544</v>
      </c>
      <c r="J23" s="59">
        <f t="shared" si="28"/>
        <v>263807.5757575758</v>
      </c>
      <c r="K23" s="59">
        <f t="shared" si="28"/>
        <v>118527.57575757577</v>
      </c>
      <c r="L23" s="59">
        <f t="shared" ref="L23" si="29">+L22+L21+L20+L19+L17</f>
        <v>1481414.4128787878</v>
      </c>
      <c r="W23" s="55" t="s">
        <v>54</v>
      </c>
      <c r="AM23" s="52" t="s">
        <v>55</v>
      </c>
      <c r="AN23" s="55" t="s">
        <v>54</v>
      </c>
    </row>
    <row r="24" spans="1:41">
      <c r="A24" s="160">
        <v>18</v>
      </c>
      <c r="B24" s="60" t="s">
        <v>56</v>
      </c>
      <c r="C24" s="59">
        <f>+C15-C23</f>
        <v>153073.44741825922</v>
      </c>
      <c r="D24" s="59">
        <f t="shared" ref="D24:H24" si="30">+D15-D23</f>
        <v>-45991.652010765712</v>
      </c>
      <c r="E24" s="59">
        <f t="shared" si="30"/>
        <v>-54675.878105860756</v>
      </c>
      <c r="F24" s="59">
        <f t="shared" si="30"/>
        <v>-308529.34956462949</v>
      </c>
      <c r="G24" s="59">
        <f t="shared" si="30"/>
        <v>136843.9251357179</v>
      </c>
      <c r="H24" s="59">
        <f t="shared" si="30"/>
        <v>-32271.652010765712</v>
      </c>
      <c r="I24" s="59">
        <f t="shared" ref="I24:K24" si="31">+I15-I23</f>
        <v>-44385.878105860756</v>
      </c>
      <c r="J24" s="59">
        <f t="shared" si="31"/>
        <v>-497703.47965170362</v>
      </c>
      <c r="K24" s="59">
        <f t="shared" si="31"/>
        <v>-230044.49491583553</v>
      </c>
      <c r="L24" s="59">
        <f t="shared" ref="L24" si="32">+L15-L23</f>
        <v>-517517.75802356552</v>
      </c>
      <c r="N24" s="71"/>
      <c r="W24" s="52" t="s">
        <v>56</v>
      </c>
      <c r="AM24" s="52" t="s">
        <v>57</v>
      </c>
      <c r="AN24" s="52" t="s">
        <v>56</v>
      </c>
    </row>
    <row r="25" spans="1:41">
      <c r="A25" s="160">
        <v>19</v>
      </c>
      <c r="B25" s="52" t="s">
        <v>307</v>
      </c>
      <c r="C25" s="59">
        <f t="shared" ref="C25:L25" si="33">IF(C24&lt;0,0,C24*0.25)</f>
        <v>38268.361854564806</v>
      </c>
      <c r="D25" s="59">
        <f t="shared" si="33"/>
        <v>0</v>
      </c>
      <c r="E25" s="59">
        <f t="shared" si="33"/>
        <v>0</v>
      </c>
      <c r="F25" s="59">
        <f t="shared" si="33"/>
        <v>0</v>
      </c>
      <c r="G25" s="59">
        <f t="shared" si="33"/>
        <v>34210.981283929475</v>
      </c>
      <c r="H25" s="59">
        <f t="shared" si="33"/>
        <v>0</v>
      </c>
      <c r="I25" s="59">
        <f t="shared" si="33"/>
        <v>0</v>
      </c>
      <c r="J25" s="59">
        <f t="shared" si="33"/>
        <v>0</v>
      </c>
      <c r="K25" s="59">
        <f t="shared" si="33"/>
        <v>0</v>
      </c>
      <c r="L25" s="59">
        <f t="shared" si="33"/>
        <v>0</v>
      </c>
      <c r="M25" s="67"/>
      <c r="N25" s="67"/>
      <c r="O25" s="67"/>
      <c r="W25" s="52" t="s">
        <v>58</v>
      </c>
      <c r="AM25" s="52" t="s">
        <v>59</v>
      </c>
      <c r="AN25" s="52" t="s">
        <v>58</v>
      </c>
    </row>
    <row r="26" spans="1:41">
      <c r="A26" s="160">
        <v>20</v>
      </c>
      <c r="B26" s="52" t="s">
        <v>60</v>
      </c>
      <c r="C26" s="59">
        <f t="shared" ref="C26:H26" si="34">C24-C25</f>
        <v>114805.08556369442</v>
      </c>
      <c r="D26" s="59">
        <f t="shared" si="34"/>
        <v>-45991.652010765712</v>
      </c>
      <c r="E26" s="59">
        <f t="shared" si="34"/>
        <v>-54675.878105860756</v>
      </c>
      <c r="F26" s="59">
        <f t="shared" si="34"/>
        <v>-308529.34956462949</v>
      </c>
      <c r="G26" s="59">
        <f t="shared" si="34"/>
        <v>102632.94385178843</v>
      </c>
      <c r="H26" s="59">
        <f t="shared" si="34"/>
        <v>-32271.652010765712</v>
      </c>
      <c r="I26" s="59">
        <f t="shared" ref="I26:K26" si="35">I24-I25</f>
        <v>-44385.878105860756</v>
      </c>
      <c r="J26" s="59">
        <f t="shared" si="35"/>
        <v>-497703.47965170362</v>
      </c>
      <c r="K26" s="59">
        <f t="shared" si="35"/>
        <v>-230044.49491583553</v>
      </c>
      <c r="L26" s="54">
        <f>L24-L25</f>
        <v>-517517.75802356552</v>
      </c>
      <c r="M26" s="67"/>
      <c r="N26" s="67"/>
      <c r="O26" s="67"/>
      <c r="W26" s="52" t="s">
        <v>60</v>
      </c>
      <c r="AM26" s="52" t="s">
        <v>61</v>
      </c>
      <c r="AN26" s="52" t="s">
        <v>60</v>
      </c>
    </row>
    <row r="27" spans="1:41">
      <c r="A27" s="160">
        <v>21</v>
      </c>
      <c r="B27" s="52" t="s">
        <v>64</v>
      </c>
      <c r="C27" s="61">
        <f t="shared" ref="C27:L27" si="36">C26/C7</f>
        <v>1.509600073158375E-2</v>
      </c>
      <c r="D27" s="61">
        <f t="shared" ref="D27:K27" si="37">D26/D7</f>
        <v>-1.6760806126372343E-2</v>
      </c>
      <c r="E27" s="61">
        <f t="shared" si="37"/>
        <v>-2.106970254561108E-2</v>
      </c>
      <c r="F27" s="61">
        <f t="shared" si="37"/>
        <v>-6.1705869912925898E-2</v>
      </c>
      <c r="G27" s="61">
        <f t="shared" si="37"/>
        <v>1.9493436629019645E-2</v>
      </c>
      <c r="H27" s="61">
        <f t="shared" si="37"/>
        <v>-1.1760806126372344E-2</v>
      </c>
      <c r="I27" s="61">
        <f t="shared" si="37"/>
        <v>-1.7104384626535938E-2</v>
      </c>
      <c r="J27" s="61">
        <f t="shared" si="37"/>
        <v>-0.12442586991292591</v>
      </c>
      <c r="K27" s="61">
        <f t="shared" si="37"/>
        <v>-0.62512091009737913</v>
      </c>
      <c r="L27" s="61">
        <f t="shared" si="36"/>
        <v>-1.5722376899488563E-2</v>
      </c>
      <c r="M27" s="67"/>
      <c r="N27" s="67"/>
      <c r="O27" s="67"/>
      <c r="W27" s="52" t="s">
        <v>64</v>
      </c>
      <c r="AM27" s="52" t="s">
        <v>63</v>
      </c>
      <c r="AN27" s="52" t="s">
        <v>64</v>
      </c>
    </row>
    <row r="28" spans="1:41">
      <c r="M28" s="67"/>
      <c r="N28" s="67"/>
      <c r="O28" s="67"/>
      <c r="W28" s="52"/>
    </row>
    <row r="29" spans="1:41">
      <c r="A29" s="48" t="s">
        <v>65</v>
      </c>
      <c r="L29" s="49" t="s">
        <v>151</v>
      </c>
      <c r="M29" s="67"/>
      <c r="N29" s="67"/>
      <c r="O29" s="67"/>
      <c r="W29" s="52"/>
      <c r="AM29" s="48" t="s">
        <v>65</v>
      </c>
    </row>
    <row r="30" spans="1:41">
      <c r="A30" s="52" t="s">
        <v>68</v>
      </c>
      <c r="B30" s="55" t="s">
        <v>69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7"/>
      <c r="N30" s="67"/>
      <c r="O30" s="67"/>
      <c r="Q30" s="67"/>
      <c r="W30" s="55" t="s">
        <v>69</v>
      </c>
      <c r="AM30" s="52" t="s">
        <v>70</v>
      </c>
      <c r="AN30" s="55" t="s">
        <v>69</v>
      </c>
    </row>
    <row r="31" spans="1:41">
      <c r="A31" s="160">
        <v>1</v>
      </c>
      <c r="B31" s="57" t="s">
        <v>71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销量!F8</f>
        <v>500</v>
      </c>
      <c r="G31" s="63">
        <f>销量!G8</f>
        <v>1170</v>
      </c>
      <c r="H31" s="63">
        <f>销量!H8</f>
        <v>1372</v>
      </c>
      <c r="I31" s="63">
        <f>销量!I8</f>
        <v>1730</v>
      </c>
      <c r="J31" s="63">
        <f>销量!J8</f>
        <v>500</v>
      </c>
      <c r="K31" s="63">
        <f>销量!K8</f>
        <v>46</v>
      </c>
      <c r="L31" s="59"/>
      <c r="M31" s="67"/>
      <c r="N31" s="67"/>
      <c r="O31" s="67"/>
      <c r="Q31" s="67"/>
      <c r="W31" s="52" t="s">
        <v>71</v>
      </c>
      <c r="AM31" s="52" t="s">
        <v>23</v>
      </c>
      <c r="AN31" s="52" t="s">
        <v>71</v>
      </c>
    </row>
    <row r="32" spans="1:41">
      <c r="A32" s="160">
        <v>2</v>
      </c>
      <c r="B32" s="52" t="s">
        <v>152</v>
      </c>
      <c r="C32" s="54">
        <f>C9/C6</f>
        <v>1146.5999999999999</v>
      </c>
      <c r="D32" s="54">
        <f t="shared" ref="D32:K32" si="38">D9/D6</f>
        <v>1344.56</v>
      </c>
      <c r="E32" s="54">
        <f t="shared" si="38"/>
        <v>1695.4</v>
      </c>
      <c r="F32" s="54">
        <f t="shared" si="38"/>
        <v>490</v>
      </c>
      <c r="G32" s="54">
        <f t="shared" si="38"/>
        <v>1146.5999999999999</v>
      </c>
      <c r="H32" s="54">
        <f t="shared" si="38"/>
        <v>1344.56</v>
      </c>
      <c r="I32" s="54">
        <f t="shared" si="38"/>
        <v>1695.4</v>
      </c>
      <c r="J32" s="54">
        <f t="shared" si="38"/>
        <v>490</v>
      </c>
      <c r="K32" s="54">
        <f t="shared" si="38"/>
        <v>45.08</v>
      </c>
      <c r="L32" s="59"/>
      <c r="M32" s="67"/>
      <c r="N32" s="67"/>
      <c r="O32" s="67"/>
      <c r="P32" s="67"/>
      <c r="Q32" s="67"/>
      <c r="R32" s="67"/>
      <c r="S32" s="67"/>
      <c r="AM32" s="52"/>
      <c r="AN32" s="52"/>
    </row>
    <row r="33" spans="1:40">
      <c r="A33" s="160">
        <v>3</v>
      </c>
      <c r="B33" s="57" t="s">
        <v>72</v>
      </c>
      <c r="C33" s="54">
        <f>材料成本!F41</f>
        <v>933.05799999999999</v>
      </c>
      <c r="D33" s="54">
        <f>材料成本!F42</f>
        <v>1147.0018</v>
      </c>
      <c r="E33" s="54">
        <f>材料成本!F43</f>
        <v>1457.1325999999999</v>
      </c>
      <c r="F33" s="54">
        <f>材料成本!F44</f>
        <v>432.22899999999998</v>
      </c>
      <c r="G33" s="54">
        <f>材料成本!F45</f>
        <v>926.19799999999998</v>
      </c>
      <c r="H33" s="54">
        <f>材料成本!F46</f>
        <v>1140.1418000000001</v>
      </c>
      <c r="I33" s="54">
        <f>材料成本!F47</f>
        <v>1450.2725999999998</v>
      </c>
      <c r="J33" s="54">
        <f>材料成本!F48</f>
        <v>463.589</v>
      </c>
      <c r="K33" s="54">
        <f>材料成本!F49</f>
        <v>53.9</v>
      </c>
      <c r="L33" s="59"/>
      <c r="N33" s="67"/>
      <c r="O33" s="67"/>
      <c r="P33" s="67"/>
      <c r="Q33" s="67"/>
      <c r="R33" s="67"/>
      <c r="S33" s="67"/>
      <c r="W33" s="52" t="s">
        <v>72</v>
      </c>
      <c r="AM33" s="52" t="s">
        <v>25</v>
      </c>
      <c r="AN33" s="52" t="s">
        <v>72</v>
      </c>
    </row>
    <row r="34" spans="1:40" ht="17.25" customHeight="1">
      <c r="A34" s="160">
        <v>4</v>
      </c>
      <c r="B34" s="52" t="s">
        <v>74</v>
      </c>
      <c r="C34" s="64">
        <f>C32-C33</f>
        <v>213.54199999999992</v>
      </c>
      <c r="D34" s="64">
        <f t="shared" ref="D34:K34" si="39">D32-D33</f>
        <v>197.55819999999994</v>
      </c>
      <c r="E34" s="64">
        <f t="shared" si="39"/>
        <v>238.26740000000018</v>
      </c>
      <c r="F34" s="64">
        <f t="shared" si="39"/>
        <v>57.771000000000015</v>
      </c>
      <c r="G34" s="64">
        <f t="shared" si="39"/>
        <v>220.40199999999993</v>
      </c>
      <c r="H34" s="64">
        <f t="shared" si="39"/>
        <v>204.41819999999984</v>
      </c>
      <c r="I34" s="64">
        <f t="shared" si="39"/>
        <v>245.12740000000031</v>
      </c>
      <c r="J34" s="64">
        <f t="shared" si="39"/>
        <v>26.411000000000001</v>
      </c>
      <c r="K34" s="64">
        <f t="shared" si="39"/>
        <v>-8.82</v>
      </c>
      <c r="L34" s="59"/>
      <c r="N34" s="67"/>
      <c r="O34" s="67"/>
      <c r="P34" s="67"/>
      <c r="Q34" s="67"/>
      <c r="R34" s="67"/>
      <c r="S34" s="67"/>
      <c r="W34" s="52" t="s">
        <v>74</v>
      </c>
      <c r="AM34" s="52" t="s">
        <v>73</v>
      </c>
      <c r="AN34" s="52" t="s">
        <v>74</v>
      </c>
    </row>
    <row r="35" spans="1:40">
      <c r="A35" s="52" t="s">
        <v>70</v>
      </c>
      <c r="B35" s="55" t="s">
        <v>10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55" t="s">
        <v>10</v>
      </c>
      <c r="AM35" s="52" t="s">
        <v>76</v>
      </c>
      <c r="AN35" s="55" t="s">
        <v>10</v>
      </c>
    </row>
    <row r="36" spans="1:40">
      <c r="A36" s="160">
        <v>1</v>
      </c>
      <c r="B36" s="52" t="s">
        <v>77</v>
      </c>
      <c r="C36" s="58">
        <f>'2022年'!C36</f>
        <v>65.777384055772757</v>
      </c>
      <c r="D36" s="58">
        <f>'2022年'!D36</f>
        <v>77.133821303008745</v>
      </c>
      <c r="E36" s="58">
        <f>'2022年'!E36</f>
        <v>97.260576424347761</v>
      </c>
      <c r="F36" s="58">
        <f>'2022年'!F36</f>
        <v>28.109993186227676</v>
      </c>
      <c r="G36" s="58">
        <f>'2022年'!G36</f>
        <v>65.777384055772757</v>
      </c>
      <c r="H36" s="58">
        <f>'2022年'!H36</f>
        <v>77.133821303008745</v>
      </c>
      <c r="I36" s="58">
        <f>'2022年'!I36</f>
        <v>97.260576424347761</v>
      </c>
      <c r="J36" s="58">
        <f>'2022年'!J36</f>
        <v>28.109993186227676</v>
      </c>
      <c r="K36" s="58">
        <f>'2022年'!K36</f>
        <v>2.5861193731329459</v>
      </c>
      <c r="L36" s="63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52" t="s">
        <v>77</v>
      </c>
      <c r="AM36" s="52" t="s">
        <v>73</v>
      </c>
      <c r="AN36" s="52" t="s">
        <v>77</v>
      </c>
    </row>
    <row r="37" spans="1:40">
      <c r="A37" s="160">
        <v>2</v>
      </c>
      <c r="B37" s="52" t="s">
        <v>78</v>
      </c>
      <c r="C37" s="58">
        <f>'2022年'!C37</f>
        <v>17.638907833259626</v>
      </c>
      <c r="D37" s="58">
        <f>'2022年'!D37</f>
        <v>20.684257732677104</v>
      </c>
      <c r="E37" s="58">
        <f>'2022年'!E37</f>
        <v>26.081462009862527</v>
      </c>
      <c r="F37" s="58">
        <f>'2022年'!F37</f>
        <v>7.5379948005383026</v>
      </c>
      <c r="G37" s="58">
        <f>'2022年'!G37</f>
        <v>17.638907833259626</v>
      </c>
      <c r="H37" s="58">
        <f>'2022年'!H37</f>
        <v>20.684257732677104</v>
      </c>
      <c r="I37" s="58">
        <f>'2022年'!I37</f>
        <v>26.081462009862527</v>
      </c>
      <c r="J37" s="58">
        <f>'2022年'!J37</f>
        <v>7.5379948005383026</v>
      </c>
      <c r="K37" s="58">
        <f>'2022年'!K37</f>
        <v>0.69349552164952377</v>
      </c>
      <c r="L37" s="63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52" t="s">
        <v>78</v>
      </c>
      <c r="AM37" s="52" t="s">
        <v>28</v>
      </c>
      <c r="AN37" s="52" t="s">
        <v>78</v>
      </c>
    </row>
    <row r="38" spans="1:40">
      <c r="A38" s="160">
        <v>3</v>
      </c>
      <c r="B38" s="52" t="s">
        <v>79</v>
      </c>
      <c r="C38" s="58">
        <f>'2022年'!C38</f>
        <v>46.79999999999999</v>
      </c>
      <c r="D38" s="58">
        <f>'2022年'!D38</f>
        <v>54.879999999999988</v>
      </c>
      <c r="E38" s="58">
        <f>'2022年'!E38</f>
        <v>69.199999999999989</v>
      </c>
      <c r="F38" s="58">
        <f>'2022年'!F38</f>
        <v>19.999999999999996</v>
      </c>
      <c r="G38" s="58">
        <f>'2022年'!G38</f>
        <v>46.79999999999999</v>
      </c>
      <c r="H38" s="58">
        <f>'2022年'!H38</f>
        <v>54.879999999999988</v>
      </c>
      <c r="I38" s="58">
        <f>'2022年'!I38</f>
        <v>69.199999999999989</v>
      </c>
      <c r="J38" s="58">
        <f>'2022年'!J38</f>
        <v>19.999999999999996</v>
      </c>
      <c r="K38" s="58">
        <f>'2022年'!K38</f>
        <v>1.8399999999999996</v>
      </c>
      <c r="L38" s="63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52" t="s">
        <v>79</v>
      </c>
      <c r="AM38" s="52" t="s">
        <v>34</v>
      </c>
      <c r="AN38" s="52" t="s">
        <v>79</v>
      </c>
    </row>
    <row r="39" spans="1:40">
      <c r="A39" s="52" t="s">
        <v>76</v>
      </c>
      <c r="B39" s="55" t="s">
        <v>81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W39" s="55" t="s">
        <v>81</v>
      </c>
      <c r="AM39" s="52" t="s">
        <v>80</v>
      </c>
      <c r="AN39" s="55" t="s">
        <v>81</v>
      </c>
    </row>
    <row r="40" spans="1:40">
      <c r="A40" s="160">
        <v>1</v>
      </c>
      <c r="B40" s="52" t="s">
        <v>83</v>
      </c>
      <c r="C40" s="59">
        <f>C34-C36-C37-C38</f>
        <v>83.325708110967554</v>
      </c>
      <c r="D40" s="59">
        <f t="shared" ref="D40:K40" si="40">D34-D36-D37-D38</f>
        <v>44.860120964314099</v>
      </c>
      <c r="E40" s="59">
        <f t="shared" si="40"/>
        <v>45.72536156578991</v>
      </c>
      <c r="F40" s="59">
        <f t="shared" si="40"/>
        <v>2.1230120132340389</v>
      </c>
      <c r="G40" s="59">
        <f t="shared" si="40"/>
        <v>90.185708110967568</v>
      </c>
      <c r="H40" s="59">
        <f t="shared" si="40"/>
        <v>51.720120964313999</v>
      </c>
      <c r="I40" s="59">
        <f t="shared" si="40"/>
        <v>52.585361565790038</v>
      </c>
      <c r="J40" s="59">
        <f t="shared" si="40"/>
        <v>-29.236987986765975</v>
      </c>
      <c r="K40" s="59">
        <f t="shared" si="40"/>
        <v>-13.939614894782469</v>
      </c>
      <c r="L40" s="59"/>
      <c r="W40" s="52" t="s">
        <v>83</v>
      </c>
      <c r="AM40" s="52" t="s">
        <v>23</v>
      </c>
      <c r="AN40" s="52" t="s">
        <v>83</v>
      </c>
    </row>
    <row r="41" spans="1:40">
      <c r="A41" s="160">
        <v>2</v>
      </c>
      <c r="B41" s="52" t="s">
        <v>84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W41" s="52" t="s">
        <v>84</v>
      </c>
      <c r="AM41" s="52" t="s">
        <v>25</v>
      </c>
      <c r="AN41" s="52" t="s">
        <v>84</v>
      </c>
    </row>
    <row r="42" spans="1:40">
      <c r="A42" s="52" t="s">
        <v>80</v>
      </c>
      <c r="B42" s="55" t="s">
        <v>86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W42" s="55" t="s">
        <v>86</v>
      </c>
      <c r="AM42" s="52" t="s">
        <v>85</v>
      </c>
      <c r="AN42" s="55" t="s">
        <v>86</v>
      </c>
    </row>
    <row r="43" spans="1:40">
      <c r="A43" s="160">
        <v>1</v>
      </c>
      <c r="B43" s="60" t="s">
        <v>87</v>
      </c>
      <c r="C43" s="58">
        <f>'2022年'!C43</f>
        <v>0</v>
      </c>
      <c r="D43" s="58">
        <f>'2022年'!D43</f>
        <v>0</v>
      </c>
      <c r="E43" s="58">
        <f>'2022年'!E43</f>
        <v>0</v>
      </c>
      <c r="F43" s="58">
        <f>'2022年'!F43</f>
        <v>0</v>
      </c>
      <c r="G43" s="58">
        <f>'2022年'!G43</f>
        <v>0</v>
      </c>
      <c r="H43" s="58">
        <f>'2022年'!H43</f>
        <v>0</v>
      </c>
      <c r="I43" s="58">
        <f>'2022年'!I43</f>
        <v>0</v>
      </c>
      <c r="J43" s="58">
        <f>'2022年'!J43</f>
        <v>0</v>
      </c>
      <c r="K43" s="58">
        <f>'2022年'!K43</f>
        <v>0</v>
      </c>
      <c r="L43" s="59"/>
      <c r="W43" s="52" t="s">
        <v>87</v>
      </c>
      <c r="AM43" s="52" t="s">
        <v>23</v>
      </c>
      <c r="AN43" s="52" t="s">
        <v>87</v>
      </c>
    </row>
    <row r="44" spans="1:40">
      <c r="A44" s="160">
        <v>2</v>
      </c>
      <c r="B44" s="60" t="s">
        <v>88</v>
      </c>
      <c r="C44" s="58">
        <f>'2022年'!C44</f>
        <v>0</v>
      </c>
      <c r="D44" s="58">
        <f>'2022年'!D44</f>
        <v>0</v>
      </c>
      <c r="E44" s="58">
        <f>'2022年'!E44</f>
        <v>0</v>
      </c>
      <c r="F44" s="58">
        <f>'2022年'!F44</f>
        <v>0</v>
      </c>
      <c r="G44" s="58">
        <f>'2022年'!G44</f>
        <v>0</v>
      </c>
      <c r="H44" s="58">
        <f>'2022年'!H44</f>
        <v>0</v>
      </c>
      <c r="I44" s="58">
        <f>'2022年'!I44</f>
        <v>0</v>
      </c>
      <c r="J44" s="58">
        <f>'2022年'!J44</f>
        <v>0</v>
      </c>
      <c r="K44" s="58">
        <f>'2022年'!K44</f>
        <v>0</v>
      </c>
      <c r="L44" s="59"/>
      <c r="W44" s="52" t="s">
        <v>88</v>
      </c>
      <c r="AM44" s="52" t="s">
        <v>25</v>
      </c>
      <c r="AN44" s="52" t="s">
        <v>88</v>
      </c>
    </row>
    <row r="45" spans="1:40">
      <c r="A45" s="160">
        <v>3</v>
      </c>
      <c r="B45" s="60" t="s">
        <v>89</v>
      </c>
      <c r="C45" s="58">
        <f>'2022年'!C45</f>
        <v>0</v>
      </c>
      <c r="D45" s="58">
        <f>'2022年'!D45</f>
        <v>0</v>
      </c>
      <c r="E45" s="58">
        <f>'2022年'!E45</f>
        <v>0</v>
      </c>
      <c r="F45" s="58">
        <f>'2022年'!F45</f>
        <v>0</v>
      </c>
      <c r="G45" s="58">
        <f>'2022年'!G45</f>
        <v>0</v>
      </c>
      <c r="H45" s="58">
        <f>'2022年'!H45</f>
        <v>0</v>
      </c>
      <c r="I45" s="58">
        <f>'2022年'!I45</f>
        <v>0</v>
      </c>
      <c r="J45" s="58">
        <f>'2022年'!J45</f>
        <v>0</v>
      </c>
      <c r="K45" s="58">
        <f>'2022年'!K45</f>
        <v>0</v>
      </c>
      <c r="L45" s="59"/>
      <c r="W45" s="52" t="s">
        <v>89</v>
      </c>
      <c r="AM45" s="52" t="s">
        <v>73</v>
      </c>
      <c r="AN45" s="52" t="s">
        <v>89</v>
      </c>
    </row>
    <row r="46" spans="1:40" s="47" customFormat="1">
      <c r="A46" s="160">
        <v>4</v>
      </c>
      <c r="B46" s="60" t="s">
        <v>90</v>
      </c>
      <c r="C46" s="65">
        <f>C21/C6</f>
        <v>5.6818181818181825</v>
      </c>
      <c r="D46" s="65">
        <f t="shared" ref="D46:K46" si="41">D21/D6</f>
        <v>5.6818181818181817</v>
      </c>
      <c r="E46" s="65">
        <f t="shared" si="41"/>
        <v>5.6818181818181817</v>
      </c>
      <c r="F46" s="65">
        <f t="shared" si="41"/>
        <v>5.6818181818181817</v>
      </c>
      <c r="G46" s="65">
        <f t="shared" si="41"/>
        <v>5.6818181818181817</v>
      </c>
      <c r="H46" s="65">
        <f t="shared" si="41"/>
        <v>5.6818181818181817</v>
      </c>
      <c r="I46" s="65">
        <f t="shared" si="41"/>
        <v>5.6818181818181817</v>
      </c>
      <c r="J46" s="65">
        <f t="shared" si="41"/>
        <v>5.6818181818181817</v>
      </c>
      <c r="K46" s="65">
        <f t="shared" si="41"/>
        <v>5.6818181818181817</v>
      </c>
      <c r="L46" s="65"/>
      <c r="W46" s="60" t="s">
        <v>92</v>
      </c>
      <c r="AM46" s="60" t="s">
        <v>31</v>
      </c>
      <c r="AN46" s="60" t="s">
        <v>92</v>
      </c>
    </row>
    <row r="47" spans="1:40" s="47" customFormat="1">
      <c r="A47" s="160">
        <v>5</v>
      </c>
      <c r="B47" s="60" t="s">
        <v>92</v>
      </c>
      <c r="C47" s="65">
        <f>'2022年'!C47</f>
        <v>46.800000000000004</v>
      </c>
      <c r="D47" s="65">
        <f>'2022年'!D47</f>
        <v>54.88</v>
      </c>
      <c r="E47" s="65">
        <f>'2022年'!E47</f>
        <v>69.2</v>
      </c>
      <c r="F47" s="65">
        <f>'2022年'!F47</f>
        <v>20</v>
      </c>
      <c r="G47" s="65">
        <f>'2022年'!G47</f>
        <v>46.800000000000004</v>
      </c>
      <c r="H47" s="65">
        <f>'2022年'!H47</f>
        <v>54.88</v>
      </c>
      <c r="I47" s="65">
        <f>'2022年'!I47</f>
        <v>69.2</v>
      </c>
      <c r="J47" s="65">
        <f>'2022年'!J47</f>
        <v>20</v>
      </c>
      <c r="K47" s="65">
        <f>'2022年'!K47</f>
        <v>1.84</v>
      </c>
      <c r="L47" s="65"/>
      <c r="W47" s="60" t="s">
        <v>92</v>
      </c>
      <c r="AM47" s="60" t="s">
        <v>31</v>
      </c>
      <c r="AN47" s="60" t="s">
        <v>92</v>
      </c>
    </row>
    <row r="48" spans="1:40">
      <c r="A48" s="52" t="s">
        <v>85</v>
      </c>
      <c r="B48" s="55" t="s">
        <v>103</v>
      </c>
      <c r="C48" s="59">
        <f>C40-C43-C44-C45-C47-C46</f>
        <v>30.843889929149366</v>
      </c>
      <c r="D48" s="59">
        <f t="shared" ref="D48:K48" si="42">D40-D43-D44-D45-D47-D46</f>
        <v>-15.701697217504085</v>
      </c>
      <c r="E48" s="59">
        <f t="shared" si="42"/>
        <v>-29.156456616028272</v>
      </c>
      <c r="F48" s="59">
        <f t="shared" si="42"/>
        <v>-23.558806168584141</v>
      </c>
      <c r="G48" s="59">
        <f t="shared" si="42"/>
        <v>37.703889929149383</v>
      </c>
      <c r="H48" s="59">
        <f t="shared" si="42"/>
        <v>-8.8416972175041852</v>
      </c>
      <c r="I48" s="59">
        <f t="shared" si="42"/>
        <v>-22.296456616028145</v>
      </c>
      <c r="J48" s="59">
        <f t="shared" si="42"/>
        <v>-54.918806168584155</v>
      </c>
      <c r="K48" s="59">
        <f t="shared" si="42"/>
        <v>-21.461433076600649</v>
      </c>
      <c r="L48" s="59"/>
      <c r="W48" s="55" t="s">
        <v>103</v>
      </c>
      <c r="AM48" s="52" t="s">
        <v>102</v>
      </c>
      <c r="AN48" s="55" t="s">
        <v>103</v>
      </c>
    </row>
    <row r="51" spans="2:17">
      <c r="C51" s="66"/>
      <c r="D51" s="66"/>
      <c r="E51" s="66"/>
      <c r="F51" s="66"/>
      <c r="G51" s="66"/>
      <c r="H51" s="66"/>
      <c r="I51" s="66"/>
      <c r="J51" s="66"/>
      <c r="K51" s="66"/>
    </row>
    <row r="54" spans="2:17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7"/>
      <c r="N54" s="67"/>
      <c r="O54" s="67"/>
      <c r="P54" s="67"/>
      <c r="Q54" s="67"/>
    </row>
    <row r="55" spans="2:17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7"/>
      <c r="N55" s="67"/>
      <c r="O55" s="67"/>
      <c r="P55" s="67"/>
      <c r="Q55" s="67"/>
    </row>
    <row r="56" spans="2:17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7"/>
      <c r="N56" s="67"/>
      <c r="O56" s="67"/>
      <c r="P56" s="67"/>
      <c r="Q56" s="67"/>
    </row>
    <row r="57" spans="2:17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7"/>
      <c r="N57" s="67"/>
      <c r="O57" s="67"/>
      <c r="P57" s="67"/>
      <c r="Q57" s="67"/>
    </row>
    <row r="58" spans="2:17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7"/>
      <c r="N58" s="67"/>
      <c r="O58" s="67"/>
      <c r="P58" s="67"/>
      <c r="Q58" s="67"/>
    </row>
    <row r="59" spans="2:17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7"/>
      <c r="N59" s="67"/>
      <c r="O59" s="67"/>
      <c r="P59" s="67"/>
      <c r="Q59" s="67"/>
    </row>
    <row r="60" spans="2:17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7"/>
      <c r="N60" s="67"/>
      <c r="O60" s="67"/>
      <c r="P60" s="67"/>
      <c r="Q60" s="67"/>
    </row>
    <row r="61" spans="2:17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7"/>
      <c r="N61" s="67"/>
      <c r="O61" s="67"/>
      <c r="P61" s="67"/>
      <c r="Q61" s="67"/>
    </row>
    <row r="62" spans="2:17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7"/>
      <c r="N62" s="67"/>
      <c r="O62" s="67"/>
      <c r="P62" s="67"/>
      <c r="Q62" s="67"/>
    </row>
    <row r="63" spans="2:17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7"/>
      <c r="N63" s="67"/>
      <c r="O63" s="67"/>
      <c r="P63" s="67"/>
      <c r="Q63" s="67"/>
    </row>
    <row r="64" spans="2:17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7"/>
      <c r="N64" s="67"/>
      <c r="O64" s="67"/>
      <c r="P64" s="67"/>
      <c r="Q64" s="67"/>
    </row>
    <row r="65" spans="2:17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7"/>
      <c r="N65" s="67"/>
      <c r="O65" s="67"/>
      <c r="P65" s="67"/>
      <c r="Q65" s="67"/>
    </row>
    <row r="66" spans="2:17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7"/>
      <c r="N66" s="67"/>
      <c r="O66" s="67"/>
      <c r="P66" s="67"/>
      <c r="Q66" s="67"/>
    </row>
    <row r="67" spans="2:17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7"/>
    </row>
    <row r="68" spans="2:17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7"/>
    </row>
    <row r="69" spans="2:17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7"/>
    </row>
    <row r="70" spans="2:17"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7"/>
    </row>
    <row r="71" spans="2:17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7"/>
    </row>
    <row r="72" spans="2:17"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7"/>
    </row>
    <row r="73" spans="2:17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7"/>
    </row>
    <row r="74" spans="2:17"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7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8" activePane="bottomRight" state="frozen"/>
      <selection pane="topRight"/>
      <selection pane="bottomLeft"/>
      <selection pane="bottomRight" activeCell="L13" sqref="L13"/>
    </sheetView>
  </sheetViews>
  <sheetFormatPr defaultColWidth="9" defaultRowHeight="16.5"/>
  <cols>
    <col min="1" max="1" width="5.125" style="48" customWidth="1"/>
    <col min="2" max="2" width="17.5" style="48" customWidth="1"/>
    <col min="3" max="11" width="13.25" style="49" customWidth="1"/>
    <col min="12" max="12" width="18.75" style="49" customWidth="1"/>
    <col min="13" max="13" width="12.375" style="48" customWidth="1"/>
    <col min="14" max="14" width="10.125" style="48" customWidth="1"/>
    <col min="15" max="21" width="9" style="48" customWidth="1"/>
    <col min="22" max="38" width="9" style="48"/>
    <col min="39" max="39" width="4.375" style="48" customWidth="1"/>
    <col min="40" max="40" width="13.875" style="48" customWidth="1"/>
    <col min="41" max="16384" width="9" style="48"/>
  </cols>
  <sheetData>
    <row r="1" spans="1:41">
      <c r="A1" s="232" t="s">
        <v>143</v>
      </c>
      <c r="B1" s="232"/>
      <c r="C1" s="236" t="s">
        <v>244</v>
      </c>
      <c r="D1" s="237"/>
      <c r="E1" s="237"/>
      <c r="F1" s="237"/>
      <c r="G1" s="237"/>
      <c r="H1" s="237"/>
      <c r="I1" s="237"/>
      <c r="J1" s="237"/>
      <c r="K1" s="237"/>
      <c r="L1" s="238"/>
    </row>
    <row r="2" spans="1:41">
      <c r="A2" s="232" t="s">
        <v>144</v>
      </c>
      <c r="B2" s="232"/>
      <c r="C2" s="239" t="str">
        <f>'2022年'!C2:L2</f>
        <v>成都王牌</v>
      </c>
      <c r="D2" s="239"/>
      <c r="E2" s="239"/>
      <c r="F2" s="239"/>
      <c r="G2" s="239"/>
      <c r="H2" s="239"/>
      <c r="I2" s="239"/>
      <c r="J2" s="239"/>
      <c r="K2" s="239"/>
      <c r="L2" s="239"/>
    </row>
    <row r="3" spans="1:41" ht="28.5">
      <c r="A3" s="232" t="s">
        <v>145</v>
      </c>
      <c r="B3" s="232"/>
      <c r="C3" s="161" t="str">
        <f>销量!C5</f>
        <v>左座椅总成（工程车）</v>
      </c>
      <c r="D3" s="161" t="str">
        <f>销量!D5</f>
        <v>左座椅总成（公路车）</v>
      </c>
      <c r="E3" s="161" t="str">
        <f>销量!E5</f>
        <v>左座椅总成（豪华版）</v>
      </c>
      <c r="F3" s="161" t="str">
        <f>销量!F5</f>
        <v>右座椅总成</v>
      </c>
      <c r="G3" s="161" t="str">
        <f>销量!G5</f>
        <v>左座椅总成（工程车）</v>
      </c>
      <c r="H3" s="161" t="str">
        <f>销量!H5</f>
        <v>左座椅总成（公路车）</v>
      </c>
      <c r="I3" s="161" t="str">
        <f>销量!I5</f>
        <v>左座椅总成（豪华版）</v>
      </c>
      <c r="J3" s="161" t="str">
        <f>销量!J5</f>
        <v>右座椅总成</v>
      </c>
      <c r="K3" s="161" t="str">
        <f>销量!K5</f>
        <v>左座椅盒总成</v>
      </c>
      <c r="L3" s="233" t="s">
        <v>19</v>
      </c>
    </row>
    <row r="4" spans="1:41">
      <c r="A4" s="232" t="s">
        <v>146</v>
      </c>
      <c r="B4" s="232"/>
      <c r="C4" s="161" t="str">
        <f>销量!C6</f>
        <v>EZ16B251000001</v>
      </c>
      <c r="D4" s="161" t="str">
        <f>销量!D6</f>
        <v>EZ16B251000002</v>
      </c>
      <c r="E4" s="161" t="str">
        <f>销量!E6</f>
        <v>EZ16B251000003</v>
      </c>
      <c r="F4" s="161" t="str">
        <f>销量!F6</f>
        <v>EZ16B251000004</v>
      </c>
      <c r="G4" s="161" t="str">
        <f>销量!G6</f>
        <v>EZ164251000001</v>
      </c>
      <c r="H4" s="161" t="str">
        <f>销量!H6</f>
        <v>EZ164251000002</v>
      </c>
      <c r="I4" s="161" t="str">
        <f>销量!I6</f>
        <v>EZ164251000003</v>
      </c>
      <c r="J4" s="161" t="str">
        <f>销量!J6</f>
        <v>EZ164251000004</v>
      </c>
      <c r="K4" s="161" t="str">
        <f>销量!K6</f>
        <v>EZ164251000005</v>
      </c>
      <c r="L4" s="234"/>
    </row>
    <row r="5" spans="1:41">
      <c r="A5" s="232" t="s">
        <v>147</v>
      </c>
      <c r="B5" s="232"/>
      <c r="C5" s="51"/>
      <c r="D5" s="51"/>
      <c r="E5" s="51"/>
      <c r="F5" s="51"/>
      <c r="G5" s="51"/>
      <c r="H5" s="51"/>
      <c r="I5" s="200"/>
      <c r="J5" s="200"/>
      <c r="K5" s="200"/>
      <c r="L5" s="235"/>
      <c r="AO5" s="48" t="s">
        <v>20</v>
      </c>
    </row>
    <row r="6" spans="1:41" ht="17.25">
      <c r="A6" s="52" t="s">
        <v>17</v>
      </c>
      <c r="B6" s="53" t="s">
        <v>148</v>
      </c>
      <c r="C6" s="22">
        <f>销量!C11</f>
        <v>6500</v>
      </c>
      <c r="D6" s="22">
        <f>销量!D11</f>
        <v>2000</v>
      </c>
      <c r="E6" s="22">
        <f>销量!E11</f>
        <v>1500</v>
      </c>
      <c r="F6" s="22">
        <f>销量!F11</f>
        <v>10000</v>
      </c>
      <c r="G6" s="22">
        <f>销量!G11</f>
        <v>4500</v>
      </c>
      <c r="H6" s="22">
        <f>销量!H11</f>
        <v>2000</v>
      </c>
      <c r="I6" s="22">
        <f>销量!I11</f>
        <v>1500</v>
      </c>
      <c r="J6" s="22">
        <f>销量!J11</f>
        <v>8000</v>
      </c>
      <c r="K6" s="22">
        <f>销量!K11</f>
        <v>8000</v>
      </c>
      <c r="L6" s="54">
        <f>SUM(C6:K6)</f>
        <v>44000</v>
      </c>
      <c r="W6" s="53" t="s">
        <v>3</v>
      </c>
      <c r="AM6" s="52" t="s">
        <v>17</v>
      </c>
      <c r="AN6" s="53" t="s">
        <v>3</v>
      </c>
      <c r="AO6" s="48" t="s">
        <v>21</v>
      </c>
    </row>
    <row r="7" spans="1:41">
      <c r="A7" s="160">
        <v>1</v>
      </c>
      <c r="B7" s="53" t="s">
        <v>22</v>
      </c>
      <c r="C7" s="54">
        <f>C6*销量!C8</f>
        <v>7605000</v>
      </c>
      <c r="D7" s="54">
        <f>D6*销量!D8</f>
        <v>2744000</v>
      </c>
      <c r="E7" s="54">
        <f>E6*销量!E8</f>
        <v>2595000</v>
      </c>
      <c r="F7" s="54">
        <f>F6*销量!F8</f>
        <v>5000000</v>
      </c>
      <c r="G7" s="54">
        <f>G6*销量!G8</f>
        <v>5265000</v>
      </c>
      <c r="H7" s="54">
        <f>H6*销量!H8</f>
        <v>2744000</v>
      </c>
      <c r="I7" s="54">
        <f>I6*销量!I8</f>
        <v>2595000</v>
      </c>
      <c r="J7" s="54">
        <f>J6*销量!J8</f>
        <v>4000000</v>
      </c>
      <c r="K7" s="54">
        <f>K6*销量!K8</f>
        <v>368000</v>
      </c>
      <c r="L7" s="54">
        <f t="shared" ref="L7:L15" si="0">SUM(C7:K7)</f>
        <v>32916000</v>
      </c>
      <c r="M7" s="49"/>
      <c r="W7" s="53" t="s">
        <v>22</v>
      </c>
      <c r="AM7" s="52" t="s">
        <v>23</v>
      </c>
      <c r="AN7" s="53" t="s">
        <v>22</v>
      </c>
      <c r="AO7" s="48" t="s">
        <v>21</v>
      </c>
    </row>
    <row r="8" spans="1:41">
      <c r="A8" s="160">
        <v>2</v>
      </c>
      <c r="B8" s="160" t="s">
        <v>24</v>
      </c>
      <c r="C8" s="54">
        <f>C7*(1-销量!$O$8)</f>
        <v>301158.00000000058</v>
      </c>
      <c r="D8" s="54">
        <f>D7*(1-销量!$O$8)</f>
        <v>108662.40000000021</v>
      </c>
      <c r="E8" s="54">
        <f>E7*(1-销量!$O$8)</f>
        <v>102762.0000000002</v>
      </c>
      <c r="F8" s="54">
        <f>F7*(1-销量!$O$8)</f>
        <v>198000.00000000041</v>
      </c>
      <c r="G8" s="54">
        <f>G7*(1-销量!$O$8)</f>
        <v>208494.00000000041</v>
      </c>
      <c r="H8" s="54">
        <f>H7*(1-销量!$O$8)</f>
        <v>108662.40000000021</v>
      </c>
      <c r="I8" s="54">
        <f>I7*(1-销量!$O$8)</f>
        <v>102762.0000000002</v>
      </c>
      <c r="J8" s="54">
        <f>J7*(1-销量!$O$8)</f>
        <v>158400.00000000032</v>
      </c>
      <c r="K8" s="54">
        <f>K7*(1-销量!$O$8)</f>
        <v>14572.800000000028</v>
      </c>
      <c r="L8" s="54">
        <f t="shared" si="0"/>
        <v>1303473.6000000024</v>
      </c>
      <c r="M8" s="69"/>
      <c r="W8" s="160" t="s">
        <v>26</v>
      </c>
      <c r="AM8" s="52" t="s">
        <v>25</v>
      </c>
      <c r="AN8" s="160" t="s">
        <v>26</v>
      </c>
      <c r="AO8" s="48" t="s">
        <v>21</v>
      </c>
    </row>
    <row r="9" spans="1:41">
      <c r="A9" s="160">
        <v>3</v>
      </c>
      <c r="B9" s="53" t="s">
        <v>27</v>
      </c>
      <c r="C9" s="54">
        <f>+C7-C8</f>
        <v>7303841.9999999991</v>
      </c>
      <c r="D9" s="54">
        <f t="shared" ref="D9:K9" si="1">+D7-D8</f>
        <v>2635337.5999999996</v>
      </c>
      <c r="E9" s="54">
        <f t="shared" si="1"/>
        <v>2492238</v>
      </c>
      <c r="F9" s="54">
        <f t="shared" si="1"/>
        <v>4802000</v>
      </c>
      <c r="G9" s="54">
        <f t="shared" si="1"/>
        <v>5056506</v>
      </c>
      <c r="H9" s="54">
        <f t="shared" si="1"/>
        <v>2635337.5999999996</v>
      </c>
      <c r="I9" s="54">
        <f t="shared" si="1"/>
        <v>2492238</v>
      </c>
      <c r="J9" s="54">
        <f t="shared" si="1"/>
        <v>3841599.9999999995</v>
      </c>
      <c r="K9" s="54">
        <f t="shared" si="1"/>
        <v>353427.19999999995</v>
      </c>
      <c r="L9" s="54">
        <f t="shared" si="0"/>
        <v>31612526.399999995</v>
      </c>
      <c r="W9" s="53" t="s">
        <v>27</v>
      </c>
      <c r="AM9" s="52" t="s">
        <v>28</v>
      </c>
      <c r="AN9" s="53" t="s">
        <v>27</v>
      </c>
      <c r="AO9" s="48" t="s">
        <v>29</v>
      </c>
    </row>
    <row r="10" spans="1:41">
      <c r="A10" s="160">
        <v>4</v>
      </c>
      <c r="B10" s="52" t="s">
        <v>30</v>
      </c>
      <c r="C10" s="54">
        <f>C6*材料成本!G41</f>
        <v>5943579.46</v>
      </c>
      <c r="D10" s="54">
        <f>D6*材料成本!G42</f>
        <v>2248123.5279999999</v>
      </c>
      <c r="E10" s="54">
        <f>E6*材料成本!G43</f>
        <v>2141984.9219999998</v>
      </c>
      <c r="F10" s="54">
        <f>F6*材料成本!G44</f>
        <v>4235844.1999999993</v>
      </c>
      <c r="G10" s="54">
        <f>G6*材料成本!G45</f>
        <v>4084533.18</v>
      </c>
      <c r="H10" s="54">
        <f>H6*材料成本!G46</f>
        <v>2234677.9279999998</v>
      </c>
      <c r="I10" s="54">
        <f>I6*材料成本!G47</f>
        <v>2131900.7219999996</v>
      </c>
      <c r="J10" s="54">
        <f>J6*材料成本!G48</f>
        <v>3634537.76</v>
      </c>
      <c r="K10" s="54">
        <f>K6*材料成本!G49</f>
        <v>422575.99999999994</v>
      </c>
      <c r="L10" s="54">
        <f t="shared" si="0"/>
        <v>27077757.699999996</v>
      </c>
      <c r="W10" s="52" t="s">
        <v>30</v>
      </c>
      <c r="AM10" s="52" t="s">
        <v>31</v>
      </c>
      <c r="AN10" s="52" t="s">
        <v>30</v>
      </c>
      <c r="AO10" s="48" t="s">
        <v>32</v>
      </c>
    </row>
    <row r="11" spans="1:41">
      <c r="A11" s="160">
        <v>5</v>
      </c>
      <c r="B11" s="52" t="s">
        <v>33</v>
      </c>
      <c r="C11" s="54">
        <f>+C6*C36</f>
        <v>427552.99636252294</v>
      </c>
      <c r="D11" s="54">
        <f t="shared" ref="D11:H11" si="2">+D6*D36</f>
        <v>154267.6426060175</v>
      </c>
      <c r="E11" s="54">
        <f t="shared" si="2"/>
        <v>145890.86463652164</v>
      </c>
      <c r="F11" s="54">
        <f t="shared" si="2"/>
        <v>281099.93186227675</v>
      </c>
      <c r="G11" s="54">
        <f t="shared" si="2"/>
        <v>295998.22825097741</v>
      </c>
      <c r="H11" s="54">
        <f t="shared" si="2"/>
        <v>154267.6426060175</v>
      </c>
      <c r="I11" s="54">
        <f t="shared" ref="I11:K11" si="3">+I6*I36</f>
        <v>145890.86463652164</v>
      </c>
      <c r="J11" s="54">
        <f t="shared" si="3"/>
        <v>224879.9454898214</v>
      </c>
      <c r="K11" s="54">
        <f t="shared" si="3"/>
        <v>20688.954985063567</v>
      </c>
      <c r="L11" s="54">
        <f t="shared" si="0"/>
        <v>1850537.0714357402</v>
      </c>
      <c r="W11" s="52" t="s">
        <v>33</v>
      </c>
      <c r="AM11" s="52" t="s">
        <v>34</v>
      </c>
      <c r="AN11" s="52" t="s">
        <v>33</v>
      </c>
    </row>
    <row r="12" spans="1:41">
      <c r="A12" s="160">
        <v>6</v>
      </c>
      <c r="B12" s="52" t="s">
        <v>35</v>
      </c>
      <c r="C12" s="54">
        <f>+C6*C37</f>
        <v>114652.90091618757</v>
      </c>
      <c r="D12" s="54">
        <f t="shared" ref="D12:H12" si="4">+D6*D37</f>
        <v>41368.515465354205</v>
      </c>
      <c r="E12" s="54">
        <f t="shared" si="4"/>
        <v>39122.193014793789</v>
      </c>
      <c r="F12" s="54">
        <f t="shared" si="4"/>
        <v>75379.948005383019</v>
      </c>
      <c r="G12" s="54">
        <f t="shared" si="4"/>
        <v>79375.085249668322</v>
      </c>
      <c r="H12" s="54">
        <f t="shared" si="4"/>
        <v>41368.515465354205</v>
      </c>
      <c r="I12" s="54">
        <f t="shared" ref="I12:K12" si="5">+I6*I37</f>
        <v>39122.193014793789</v>
      </c>
      <c r="J12" s="54">
        <f t="shared" si="5"/>
        <v>60303.958404306424</v>
      </c>
      <c r="K12" s="54">
        <f t="shared" si="5"/>
        <v>5547.9641731961901</v>
      </c>
      <c r="L12" s="54">
        <f t="shared" si="0"/>
        <v>496241.27370903752</v>
      </c>
      <c r="W12" s="52" t="s">
        <v>35</v>
      </c>
      <c r="AM12" s="52" t="s">
        <v>36</v>
      </c>
      <c r="AN12" s="52" t="s">
        <v>35</v>
      </c>
    </row>
    <row r="13" spans="1:41">
      <c r="A13" s="160">
        <v>7</v>
      </c>
      <c r="B13" s="52" t="s">
        <v>37</v>
      </c>
      <c r="C13" s="54">
        <f>+C6*C38</f>
        <v>304199.99999999994</v>
      </c>
      <c r="D13" s="54">
        <f t="shared" ref="D13:H13" si="6">+D6*D38</f>
        <v>109759.99999999997</v>
      </c>
      <c r="E13" s="54">
        <f t="shared" si="6"/>
        <v>103799.99999999999</v>
      </c>
      <c r="F13" s="54">
        <f t="shared" si="6"/>
        <v>199999.99999999997</v>
      </c>
      <c r="G13" s="54">
        <f t="shared" si="6"/>
        <v>210599.99999999994</v>
      </c>
      <c r="H13" s="54">
        <f t="shared" si="6"/>
        <v>109759.99999999997</v>
      </c>
      <c r="I13" s="54">
        <f t="shared" ref="I13:K13" si="7">+I6*I38</f>
        <v>103799.99999999999</v>
      </c>
      <c r="J13" s="54">
        <f t="shared" si="7"/>
        <v>159999.99999999997</v>
      </c>
      <c r="K13" s="54">
        <f t="shared" si="7"/>
        <v>14719.999999999996</v>
      </c>
      <c r="L13" s="54">
        <f t="shared" si="0"/>
        <v>1316639.9999999998</v>
      </c>
      <c r="W13" s="52" t="s">
        <v>37</v>
      </c>
      <c r="AM13" s="52" t="s">
        <v>38</v>
      </c>
      <c r="AN13" s="52" t="s">
        <v>37</v>
      </c>
      <c r="AO13" s="48" t="s">
        <v>21</v>
      </c>
    </row>
    <row r="14" spans="1:41">
      <c r="A14" s="160">
        <v>8</v>
      </c>
      <c r="B14" s="55" t="s">
        <v>39</v>
      </c>
      <c r="C14" s="54">
        <f>SUM(C11:C13)</f>
        <v>846405.8972787105</v>
      </c>
      <c r="D14" s="54">
        <f t="shared" ref="D14:H14" si="8">SUM(D11:D13)</f>
        <v>305396.15807137167</v>
      </c>
      <c r="E14" s="54">
        <f t="shared" si="8"/>
        <v>288813.05765131541</v>
      </c>
      <c r="F14" s="54">
        <f t="shared" si="8"/>
        <v>556479.87986765977</v>
      </c>
      <c r="G14" s="54">
        <f t="shared" si="8"/>
        <v>585973.31350064569</v>
      </c>
      <c r="H14" s="54">
        <f t="shared" si="8"/>
        <v>305396.15807137167</v>
      </c>
      <c r="I14" s="54">
        <f t="shared" ref="I14:K14" si="9">SUM(I11:I13)</f>
        <v>288813.05765131541</v>
      </c>
      <c r="J14" s="54">
        <f t="shared" si="9"/>
        <v>445183.90389412781</v>
      </c>
      <c r="K14" s="54">
        <f t="shared" si="9"/>
        <v>40956.919158259756</v>
      </c>
      <c r="L14" s="54">
        <f t="shared" si="0"/>
        <v>3663418.3451447776</v>
      </c>
      <c r="W14" s="55" t="s">
        <v>39</v>
      </c>
      <c r="AM14" s="52" t="s">
        <v>40</v>
      </c>
      <c r="AN14" s="55" t="s">
        <v>39</v>
      </c>
    </row>
    <row r="15" spans="1:41">
      <c r="A15" s="160">
        <v>9</v>
      </c>
      <c r="B15" s="55" t="s">
        <v>41</v>
      </c>
      <c r="C15" s="54">
        <f>+C9-C10-C14</f>
        <v>513856.6427212886</v>
      </c>
      <c r="D15" s="54">
        <f t="shared" ref="D15:H15" si="10">+D9-D10-D14</f>
        <v>81817.913928628026</v>
      </c>
      <c r="E15" s="54">
        <f t="shared" si="10"/>
        <v>61440.020348684804</v>
      </c>
      <c r="F15" s="54">
        <f t="shared" si="10"/>
        <v>9675.9201323409798</v>
      </c>
      <c r="G15" s="54">
        <f t="shared" si="10"/>
        <v>385999.50649935415</v>
      </c>
      <c r="H15" s="54">
        <f t="shared" si="10"/>
        <v>95263.513928628119</v>
      </c>
      <c r="I15" s="54">
        <f t="shared" ref="I15:K15" si="11">+I9-I10-I14</f>
        <v>71524.22034868499</v>
      </c>
      <c r="J15" s="54">
        <f t="shared" si="11"/>
        <v>-238121.66389412805</v>
      </c>
      <c r="K15" s="54">
        <f t="shared" si="11"/>
        <v>-110105.71915825974</v>
      </c>
      <c r="L15" s="54">
        <f t="shared" si="0"/>
        <v>871350.35485522193</v>
      </c>
      <c r="W15" s="55" t="s">
        <v>41</v>
      </c>
      <c r="AM15" s="52" t="s">
        <v>42</v>
      </c>
      <c r="AN15" s="55" t="s">
        <v>41</v>
      </c>
    </row>
    <row r="16" spans="1:41">
      <c r="A16" s="160">
        <v>10</v>
      </c>
      <c r="B16" s="52" t="s">
        <v>43</v>
      </c>
      <c r="C16" s="56">
        <f>+C15/C9</f>
        <v>7.0354293359753489E-2</v>
      </c>
      <c r="D16" s="56">
        <f t="shared" ref="D16:H16" si="12">+D15/D9</f>
        <v>3.1046464000903731E-2</v>
      </c>
      <c r="E16" s="56">
        <f t="shared" si="12"/>
        <v>2.4652549374772716E-2</v>
      </c>
      <c r="F16" s="56">
        <f t="shared" si="12"/>
        <v>2.0149771204375218E-3</v>
      </c>
      <c r="G16" s="56">
        <f t="shared" si="12"/>
        <v>7.6337199342659562E-2</v>
      </c>
      <c r="H16" s="56">
        <f t="shared" si="12"/>
        <v>3.6148504817230295E-2</v>
      </c>
      <c r="I16" s="56">
        <f t="shared" ref="I16:K16" si="13">+I15/I9</f>
        <v>2.8698792149339264E-2</v>
      </c>
      <c r="J16" s="56">
        <f t="shared" si="13"/>
        <v>-6.1985022879562701E-2</v>
      </c>
      <c r="K16" s="56">
        <f t="shared" si="13"/>
        <v>-0.31153719679260611</v>
      </c>
      <c r="L16" s="56">
        <f t="shared" ref="L16" si="14">+L15/L9</f>
        <v>2.7563452026258237E-2</v>
      </c>
      <c r="W16" s="52" t="s">
        <v>43</v>
      </c>
      <c r="AM16" s="52" t="s">
        <v>44</v>
      </c>
      <c r="AN16" s="52" t="s">
        <v>43</v>
      </c>
    </row>
    <row r="17" spans="1:41">
      <c r="A17" s="160">
        <v>11</v>
      </c>
      <c r="B17" s="52" t="s">
        <v>45</v>
      </c>
      <c r="C17" s="54">
        <f>C6*C43+C18</f>
        <v>47411.837121212127</v>
      </c>
      <c r="D17" s="54">
        <f t="shared" ref="D17:H17" si="15">D6*D43+D18</f>
        <v>14588.257575757578</v>
      </c>
      <c r="E17" s="54">
        <f t="shared" si="15"/>
        <v>10941.193181818184</v>
      </c>
      <c r="F17" s="54">
        <f t="shared" si="15"/>
        <v>72941.287878787887</v>
      </c>
      <c r="G17" s="54">
        <f t="shared" si="15"/>
        <v>32823.579545454551</v>
      </c>
      <c r="H17" s="54">
        <f t="shared" si="15"/>
        <v>14588.257575757578</v>
      </c>
      <c r="I17" s="54">
        <f t="shared" ref="I17:K17" si="16">I6*I43+I18</f>
        <v>10941.193181818184</v>
      </c>
      <c r="J17" s="54">
        <f t="shared" si="16"/>
        <v>58353.030303030311</v>
      </c>
      <c r="K17" s="54">
        <f t="shared" si="16"/>
        <v>58353.030303030311</v>
      </c>
      <c r="L17" s="54">
        <f>SUM(C17:K17)</f>
        <v>320941.66666666674</v>
      </c>
      <c r="M17" s="69"/>
      <c r="W17" s="52" t="s">
        <v>45</v>
      </c>
      <c r="AM17" s="52" t="s">
        <v>46</v>
      </c>
      <c r="AN17" s="52" t="s">
        <v>45</v>
      </c>
    </row>
    <row r="18" spans="1:41" s="46" customFormat="1">
      <c r="A18" s="160">
        <v>12</v>
      </c>
      <c r="B18" s="57" t="s">
        <v>149</v>
      </c>
      <c r="C18" s="58">
        <f>$L$18/$L$6*C6</f>
        <v>47411.837121212127</v>
      </c>
      <c r="D18" s="58">
        <f t="shared" ref="D18:H18" si="17">$L$18/$L$6*D6</f>
        <v>14588.257575757578</v>
      </c>
      <c r="E18" s="58">
        <f t="shared" si="17"/>
        <v>10941.193181818184</v>
      </c>
      <c r="F18" s="58">
        <f t="shared" si="17"/>
        <v>72941.287878787887</v>
      </c>
      <c r="G18" s="58">
        <f t="shared" si="17"/>
        <v>32823.579545454551</v>
      </c>
      <c r="H18" s="58">
        <f t="shared" si="17"/>
        <v>14588.257575757578</v>
      </c>
      <c r="I18" s="58">
        <f t="shared" ref="I18:K18" si="18">$L$18/$L$6*I6</f>
        <v>10941.193181818184</v>
      </c>
      <c r="J18" s="58">
        <f t="shared" si="18"/>
        <v>58353.030303030311</v>
      </c>
      <c r="K18" s="58">
        <f t="shared" si="18"/>
        <v>58353.030303030311</v>
      </c>
      <c r="L18" s="58">
        <f>项目投资!D26</f>
        <v>320941.66666666669</v>
      </c>
      <c r="M18" s="70" t="s">
        <v>150</v>
      </c>
      <c r="N18" s="70"/>
      <c r="O18" s="70"/>
    </row>
    <row r="19" spans="1:41">
      <c r="A19" s="160">
        <v>13</v>
      </c>
      <c r="B19" s="52" t="s">
        <v>47</v>
      </c>
      <c r="C19" s="54">
        <f>C6*C44</f>
        <v>0</v>
      </c>
      <c r="D19" s="54">
        <f t="shared" ref="D19:H19" si="19">D6*D44</f>
        <v>0</v>
      </c>
      <c r="E19" s="54">
        <f t="shared" si="19"/>
        <v>0</v>
      </c>
      <c r="F19" s="54">
        <f t="shared" si="19"/>
        <v>0</v>
      </c>
      <c r="G19" s="54">
        <f t="shared" si="19"/>
        <v>0</v>
      </c>
      <c r="H19" s="54">
        <f t="shared" si="19"/>
        <v>0</v>
      </c>
      <c r="I19" s="54">
        <f t="shared" ref="I19:K19" si="20">I6*I44</f>
        <v>0</v>
      </c>
      <c r="J19" s="54">
        <f t="shared" si="20"/>
        <v>0</v>
      </c>
      <c r="K19" s="54">
        <f t="shared" si="20"/>
        <v>0</v>
      </c>
      <c r="L19" s="54">
        <f>SUM(C19:K19)</f>
        <v>0</v>
      </c>
      <c r="M19" s="46"/>
      <c r="W19" s="52" t="s">
        <v>47</v>
      </c>
      <c r="AM19" s="52" t="s">
        <v>48</v>
      </c>
      <c r="AN19" s="52" t="s">
        <v>47</v>
      </c>
      <c r="AO19" s="48" t="s">
        <v>21</v>
      </c>
    </row>
    <row r="20" spans="1:41">
      <c r="A20" s="160">
        <v>14</v>
      </c>
      <c r="B20" s="52" t="s">
        <v>49</v>
      </c>
      <c r="C20" s="54">
        <f>C6*C45</f>
        <v>0</v>
      </c>
      <c r="D20" s="54">
        <f t="shared" ref="D20:H20" si="21">D6*D45</f>
        <v>0</v>
      </c>
      <c r="E20" s="54">
        <f t="shared" si="21"/>
        <v>0</v>
      </c>
      <c r="F20" s="54">
        <f t="shared" si="21"/>
        <v>0</v>
      </c>
      <c r="G20" s="54">
        <f t="shared" si="21"/>
        <v>0</v>
      </c>
      <c r="H20" s="54">
        <f t="shared" si="21"/>
        <v>0</v>
      </c>
      <c r="I20" s="54">
        <f t="shared" ref="I20:K20" si="22">I6*I45</f>
        <v>0</v>
      </c>
      <c r="J20" s="54">
        <f t="shared" si="22"/>
        <v>0</v>
      </c>
      <c r="K20" s="54">
        <f t="shared" si="22"/>
        <v>0</v>
      </c>
      <c r="L20" s="54">
        <f>SUM(C20:K20)</f>
        <v>0</v>
      </c>
      <c r="W20" s="52" t="s">
        <v>49</v>
      </c>
      <c r="AM20" s="52" t="s">
        <v>50</v>
      </c>
      <c r="AN20" s="52" t="s">
        <v>49</v>
      </c>
    </row>
    <row r="21" spans="1:41">
      <c r="A21" s="160">
        <v>15</v>
      </c>
      <c r="B21" s="52" t="s">
        <v>51</v>
      </c>
      <c r="C21" s="59">
        <f>$L$21/$L$6*C6</f>
        <v>36931.818181818184</v>
      </c>
      <c r="D21" s="59">
        <f t="shared" ref="D21:H21" si="23">$L$21/$L$6*D6</f>
        <v>11363.636363636364</v>
      </c>
      <c r="E21" s="59">
        <f t="shared" si="23"/>
        <v>8522.7272727272721</v>
      </c>
      <c r="F21" s="59">
        <f t="shared" si="23"/>
        <v>56818.181818181816</v>
      </c>
      <c r="G21" s="59">
        <f t="shared" si="23"/>
        <v>25568.181818181816</v>
      </c>
      <c r="H21" s="59">
        <f t="shared" si="23"/>
        <v>11363.636363636364</v>
      </c>
      <c r="I21" s="59">
        <f t="shared" ref="I21:K21" si="24">$L$21/$L$6*I6</f>
        <v>8522.7272727272721</v>
      </c>
      <c r="J21" s="59">
        <f t="shared" si="24"/>
        <v>45454.545454545456</v>
      </c>
      <c r="K21" s="59">
        <f t="shared" si="24"/>
        <v>45454.545454545456</v>
      </c>
      <c r="L21" s="54">
        <f>项目投资!D27</f>
        <v>250000</v>
      </c>
      <c r="W21" s="52" t="s">
        <v>51</v>
      </c>
      <c r="AM21" s="52"/>
      <c r="AN21" s="52"/>
    </row>
    <row r="22" spans="1:41">
      <c r="A22" s="160">
        <v>16</v>
      </c>
      <c r="B22" s="52" t="s">
        <v>52</v>
      </c>
      <c r="C22" s="54">
        <f>C6*C47</f>
        <v>304200</v>
      </c>
      <c r="D22" s="54">
        <f t="shared" ref="D22:H22" si="25">D6*D47</f>
        <v>109760</v>
      </c>
      <c r="E22" s="54">
        <f t="shared" si="25"/>
        <v>103800</v>
      </c>
      <c r="F22" s="54">
        <f t="shared" si="25"/>
        <v>200000</v>
      </c>
      <c r="G22" s="54">
        <f t="shared" si="25"/>
        <v>210600.00000000003</v>
      </c>
      <c r="H22" s="54">
        <f t="shared" si="25"/>
        <v>109760</v>
      </c>
      <c r="I22" s="54">
        <f t="shared" ref="I22:K22" si="26">I6*I47</f>
        <v>103800</v>
      </c>
      <c r="J22" s="54">
        <f t="shared" si="26"/>
        <v>160000</v>
      </c>
      <c r="K22" s="54">
        <f t="shared" si="26"/>
        <v>14720</v>
      </c>
      <c r="L22" s="54">
        <f>SUM(C22:K22)</f>
        <v>1316640</v>
      </c>
      <c r="W22" s="52" t="s">
        <v>52</v>
      </c>
      <c r="AM22" s="52" t="s">
        <v>53</v>
      </c>
      <c r="AN22" s="52" t="s">
        <v>52</v>
      </c>
    </row>
    <row r="23" spans="1:41">
      <c r="A23" s="160">
        <v>17</v>
      </c>
      <c r="B23" s="55" t="s">
        <v>54</v>
      </c>
      <c r="C23" s="59">
        <f>+C22+C21+C20+C19+C17</f>
        <v>388543.65530303027</v>
      </c>
      <c r="D23" s="59">
        <f t="shared" ref="D23:H23" si="27">+D22+D21+D20+D19+D17</f>
        <v>135711.89393939395</v>
      </c>
      <c r="E23" s="59">
        <f t="shared" si="27"/>
        <v>123263.92045454544</v>
      </c>
      <c r="F23" s="59">
        <f t="shared" si="27"/>
        <v>329759.46969696973</v>
      </c>
      <c r="G23" s="59">
        <f t="shared" si="27"/>
        <v>268991.76136363641</v>
      </c>
      <c r="H23" s="59">
        <f t="shared" si="27"/>
        <v>135711.89393939395</v>
      </c>
      <c r="I23" s="59">
        <f t="shared" ref="I23:K23" si="28">+I22+I21+I20+I19+I17</f>
        <v>123263.92045454544</v>
      </c>
      <c r="J23" s="59">
        <f t="shared" si="28"/>
        <v>263807.5757575758</v>
      </c>
      <c r="K23" s="59">
        <f t="shared" si="28"/>
        <v>118527.57575757577</v>
      </c>
      <c r="L23" s="59">
        <f t="shared" ref="L23" si="29">+L22+L21+L20+L19+L17</f>
        <v>1887581.6666666667</v>
      </c>
      <c r="W23" s="55" t="s">
        <v>54</v>
      </c>
      <c r="AM23" s="52" t="s">
        <v>55</v>
      </c>
      <c r="AN23" s="55" t="s">
        <v>54</v>
      </c>
    </row>
    <row r="24" spans="1:41">
      <c r="A24" s="160">
        <v>18</v>
      </c>
      <c r="B24" s="60" t="s">
        <v>56</v>
      </c>
      <c r="C24" s="59">
        <f>+C15-C23</f>
        <v>125312.98741825833</v>
      </c>
      <c r="D24" s="59">
        <f t="shared" ref="D24:H24" si="30">+D15-D23</f>
        <v>-53893.980010765925</v>
      </c>
      <c r="E24" s="59">
        <f t="shared" si="30"/>
        <v>-61823.900105860637</v>
      </c>
      <c r="F24" s="59">
        <f t="shared" si="30"/>
        <v>-320083.54956462875</v>
      </c>
      <c r="G24" s="59">
        <f t="shared" si="30"/>
        <v>117007.74513571773</v>
      </c>
      <c r="H24" s="59">
        <f t="shared" si="30"/>
        <v>-40448.380010765832</v>
      </c>
      <c r="I24" s="59">
        <f t="shared" ref="I24:K24" si="31">+I15-I23</f>
        <v>-51739.700105860451</v>
      </c>
      <c r="J24" s="59">
        <f t="shared" si="31"/>
        <v>-501929.23965170386</v>
      </c>
      <c r="K24" s="59">
        <f t="shared" si="31"/>
        <v>-228633.29491583552</v>
      </c>
      <c r="L24" s="59">
        <f t="shared" ref="L24" si="32">+L15-L23</f>
        <v>-1016231.3118114448</v>
      </c>
      <c r="N24" s="71"/>
      <c r="W24" s="52" t="s">
        <v>56</v>
      </c>
      <c r="AM24" s="52" t="s">
        <v>57</v>
      </c>
      <c r="AN24" s="52" t="s">
        <v>56</v>
      </c>
    </row>
    <row r="25" spans="1:41">
      <c r="A25" s="160">
        <v>19</v>
      </c>
      <c r="B25" s="52" t="s">
        <v>307</v>
      </c>
      <c r="C25" s="59">
        <f>IF(C24&lt;0,0,C24*0.15)</f>
        <v>18796.948112738748</v>
      </c>
      <c r="D25" s="59">
        <f>IF(D24&lt;0,0,D24*0.15)</f>
        <v>0</v>
      </c>
      <c r="E25" s="59">
        <f t="shared" ref="E25:H25" si="33">IF(E24&lt;0,0,E24*0.25)</f>
        <v>0</v>
      </c>
      <c r="F25" s="59">
        <f>IF(F24&lt;0,0,F24*0.15)</f>
        <v>0</v>
      </c>
      <c r="G25" s="59">
        <f t="shared" si="33"/>
        <v>29251.936283929434</v>
      </c>
      <c r="H25" s="59">
        <f t="shared" si="33"/>
        <v>0</v>
      </c>
      <c r="I25" s="59">
        <f t="shared" ref="I25:K25" si="34">IF(I24&lt;0,0,I24*0.25)</f>
        <v>0</v>
      </c>
      <c r="J25" s="59">
        <f t="shared" si="34"/>
        <v>0</v>
      </c>
      <c r="K25" s="59">
        <f t="shared" si="34"/>
        <v>0</v>
      </c>
      <c r="L25" s="59">
        <f>IF(L24&lt;0,0,L24*0.15)</f>
        <v>0</v>
      </c>
      <c r="M25" s="67"/>
      <c r="N25" s="67"/>
      <c r="O25" s="67"/>
      <c r="W25" s="52" t="s">
        <v>58</v>
      </c>
      <c r="AM25" s="52" t="s">
        <v>59</v>
      </c>
      <c r="AN25" s="52" t="s">
        <v>58</v>
      </c>
    </row>
    <row r="26" spans="1:41">
      <c r="A26" s="160">
        <v>20</v>
      </c>
      <c r="B26" s="52" t="s">
        <v>60</v>
      </c>
      <c r="C26" s="59">
        <f t="shared" ref="C26:H26" si="35">C24-C25</f>
        <v>106516.03930551957</v>
      </c>
      <c r="D26" s="59">
        <f t="shared" si="35"/>
        <v>-53893.980010765925</v>
      </c>
      <c r="E26" s="59">
        <f t="shared" si="35"/>
        <v>-61823.900105860637</v>
      </c>
      <c r="F26" s="59">
        <f t="shared" si="35"/>
        <v>-320083.54956462875</v>
      </c>
      <c r="G26" s="59">
        <f t="shared" si="35"/>
        <v>87755.808851788301</v>
      </c>
      <c r="H26" s="59">
        <f t="shared" si="35"/>
        <v>-40448.380010765832</v>
      </c>
      <c r="I26" s="59">
        <f t="shared" ref="I26:K26" si="36">I24-I25</f>
        <v>-51739.700105860451</v>
      </c>
      <c r="J26" s="59">
        <f t="shared" si="36"/>
        <v>-501929.23965170386</v>
      </c>
      <c r="K26" s="59">
        <f t="shared" si="36"/>
        <v>-228633.29491583552</v>
      </c>
      <c r="L26" s="54">
        <f>L24-L25</f>
        <v>-1016231.3118114448</v>
      </c>
      <c r="M26" s="186"/>
      <c r="N26" s="67"/>
      <c r="O26" s="67"/>
      <c r="W26" s="52" t="s">
        <v>60</v>
      </c>
      <c r="AM26" s="52" t="s">
        <v>61</v>
      </c>
      <c r="AN26" s="52" t="s">
        <v>60</v>
      </c>
    </row>
    <row r="27" spans="1:41">
      <c r="A27" s="160">
        <v>21</v>
      </c>
      <c r="B27" s="52" t="s">
        <v>64</v>
      </c>
      <c r="C27" s="61">
        <f t="shared" ref="C27:L27" si="37">C26/C7</f>
        <v>1.400605382058114E-2</v>
      </c>
      <c r="D27" s="61">
        <f t="shared" ref="D27:H27" si="38">D26/D7</f>
        <v>-1.9640663269229565E-2</v>
      </c>
      <c r="E27" s="61">
        <f t="shared" si="38"/>
        <v>-2.3824238961796005E-2</v>
      </c>
      <c r="F27" s="61">
        <f t="shared" si="38"/>
        <v>-6.4016709912925754E-2</v>
      </c>
      <c r="G27" s="61">
        <f t="shared" si="38"/>
        <v>1.6667769962352953E-2</v>
      </c>
      <c r="H27" s="61">
        <f t="shared" si="38"/>
        <v>-1.474066326922953E-2</v>
      </c>
      <c r="I27" s="61">
        <f t="shared" ref="I27:K27" si="39">I26/I7</f>
        <v>-1.9938227401102293E-2</v>
      </c>
      <c r="J27" s="61">
        <f t="shared" si="39"/>
        <v>-0.12548230991292597</v>
      </c>
      <c r="K27" s="61">
        <f t="shared" si="39"/>
        <v>-0.6212861274886835</v>
      </c>
      <c r="L27" s="61">
        <f t="shared" si="37"/>
        <v>-3.0873475264656849E-2</v>
      </c>
      <c r="M27" s="184"/>
      <c r="N27" s="67"/>
      <c r="O27" s="67"/>
      <c r="W27" s="52" t="s">
        <v>64</v>
      </c>
      <c r="AM27" s="52" t="s">
        <v>63</v>
      </c>
      <c r="AN27" s="52" t="s">
        <v>64</v>
      </c>
    </row>
    <row r="28" spans="1:41">
      <c r="M28" s="67"/>
      <c r="N28" s="67"/>
      <c r="O28" s="67"/>
      <c r="W28" s="52"/>
    </row>
    <row r="29" spans="1:41">
      <c r="A29" s="48" t="s">
        <v>65</v>
      </c>
      <c r="L29" s="49" t="s">
        <v>151</v>
      </c>
      <c r="M29" s="67"/>
      <c r="N29" s="67"/>
      <c r="O29" s="67"/>
      <c r="W29" s="52"/>
      <c r="AM29" s="48" t="s">
        <v>65</v>
      </c>
    </row>
    <row r="30" spans="1:41">
      <c r="A30" s="52" t="s">
        <v>68</v>
      </c>
      <c r="B30" s="55" t="s">
        <v>69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7"/>
      <c r="N30" s="67"/>
      <c r="O30" s="67"/>
      <c r="Q30" s="67"/>
      <c r="W30" s="55" t="s">
        <v>69</v>
      </c>
      <c r="AM30" s="52" t="s">
        <v>70</v>
      </c>
      <c r="AN30" s="55" t="s">
        <v>69</v>
      </c>
    </row>
    <row r="31" spans="1:41">
      <c r="A31" s="160">
        <v>1</v>
      </c>
      <c r="B31" s="57" t="s">
        <v>71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销量!F8</f>
        <v>500</v>
      </c>
      <c r="G31" s="63">
        <f>销量!G8</f>
        <v>1170</v>
      </c>
      <c r="H31" s="63">
        <f>销量!H8</f>
        <v>1372</v>
      </c>
      <c r="I31" s="63">
        <f>销量!I8</f>
        <v>1730</v>
      </c>
      <c r="J31" s="63">
        <f>销量!J8</f>
        <v>500</v>
      </c>
      <c r="K31" s="63">
        <f>销量!K8</f>
        <v>46</v>
      </c>
      <c r="L31" s="59"/>
      <c r="M31" s="67"/>
      <c r="N31" s="67"/>
      <c r="O31" s="67"/>
      <c r="Q31" s="67"/>
      <c r="W31" s="52" t="s">
        <v>71</v>
      </c>
      <c r="AM31" s="52" t="s">
        <v>23</v>
      </c>
      <c r="AN31" s="52" t="s">
        <v>71</v>
      </c>
    </row>
    <row r="32" spans="1:41">
      <c r="A32" s="160">
        <v>2</v>
      </c>
      <c r="B32" s="52" t="s">
        <v>152</v>
      </c>
      <c r="C32" s="54">
        <f>C9/C6</f>
        <v>1123.6679999999999</v>
      </c>
      <c r="D32" s="54">
        <f t="shared" ref="D32:E32" si="40">D9/D6</f>
        <v>1317.6687999999999</v>
      </c>
      <c r="E32" s="54">
        <f t="shared" si="40"/>
        <v>1661.492</v>
      </c>
      <c r="F32" s="54">
        <f t="shared" ref="F32:K32" si="41">F9/F6</f>
        <v>480.2</v>
      </c>
      <c r="G32" s="54">
        <f t="shared" si="41"/>
        <v>1123.6679999999999</v>
      </c>
      <c r="H32" s="54">
        <f t="shared" si="41"/>
        <v>1317.6687999999999</v>
      </c>
      <c r="I32" s="54">
        <f t="shared" si="41"/>
        <v>1661.492</v>
      </c>
      <c r="J32" s="54">
        <f t="shared" si="41"/>
        <v>480.19999999999993</v>
      </c>
      <c r="K32" s="54">
        <f t="shared" si="41"/>
        <v>44.178399999999996</v>
      </c>
      <c r="L32" s="59"/>
      <c r="M32" s="67"/>
      <c r="N32" s="67"/>
      <c r="O32" s="67"/>
      <c r="P32" s="67"/>
      <c r="Q32" s="67"/>
      <c r="R32" s="67"/>
      <c r="S32" s="67"/>
      <c r="AM32" s="52"/>
      <c r="AN32" s="52"/>
    </row>
    <row r="33" spans="1:40">
      <c r="A33" s="160">
        <v>3</v>
      </c>
      <c r="B33" s="57" t="s">
        <v>72</v>
      </c>
      <c r="C33" s="54">
        <f>材料成本!G41</f>
        <v>914.39684</v>
      </c>
      <c r="D33" s="54">
        <f>材料成本!G42</f>
        <v>1124.061764</v>
      </c>
      <c r="E33" s="54">
        <f>材料成本!G43</f>
        <v>1427.9899479999999</v>
      </c>
      <c r="F33" s="54">
        <f>材料成本!G44</f>
        <v>423.58441999999997</v>
      </c>
      <c r="G33" s="54">
        <f>材料成本!G45</f>
        <v>907.67403999999999</v>
      </c>
      <c r="H33" s="54">
        <f>材料成本!G46</f>
        <v>1117.338964</v>
      </c>
      <c r="I33" s="54">
        <f>材料成本!G47</f>
        <v>1421.2671479999997</v>
      </c>
      <c r="J33" s="54">
        <f>材料成本!G48</f>
        <v>454.31721999999996</v>
      </c>
      <c r="K33" s="54">
        <f>材料成本!G49</f>
        <v>52.821999999999996</v>
      </c>
      <c r="L33" s="59"/>
      <c r="N33" s="67"/>
      <c r="O33" s="67"/>
      <c r="P33" s="67"/>
      <c r="Q33" s="67"/>
      <c r="R33" s="67"/>
      <c r="S33" s="67"/>
      <c r="W33" s="52" t="s">
        <v>72</v>
      </c>
      <c r="AM33" s="52" t="s">
        <v>25</v>
      </c>
      <c r="AN33" s="52" t="s">
        <v>72</v>
      </c>
    </row>
    <row r="34" spans="1:40" ht="17.25" customHeight="1">
      <c r="A34" s="160">
        <v>4</v>
      </c>
      <c r="B34" s="52" t="s">
        <v>74</v>
      </c>
      <c r="C34" s="64">
        <f>C32-C33</f>
        <v>209.2711599999999</v>
      </c>
      <c r="D34" s="64">
        <f t="shared" ref="D34:K34" si="42">D32-D33</f>
        <v>193.60703599999988</v>
      </c>
      <c r="E34" s="64">
        <f t="shared" si="42"/>
        <v>233.50205200000005</v>
      </c>
      <c r="F34" s="64">
        <f t="shared" si="42"/>
        <v>56.615580000000023</v>
      </c>
      <c r="G34" s="64">
        <f t="shared" si="42"/>
        <v>215.9939599999999</v>
      </c>
      <c r="H34" s="64">
        <f t="shared" si="42"/>
        <v>200.32983599999989</v>
      </c>
      <c r="I34" s="64">
        <f t="shared" si="42"/>
        <v>240.22485200000028</v>
      </c>
      <c r="J34" s="64">
        <f t="shared" si="42"/>
        <v>25.882779999999968</v>
      </c>
      <c r="K34" s="64">
        <f t="shared" si="42"/>
        <v>-8.6435999999999993</v>
      </c>
      <c r="L34" s="59"/>
      <c r="N34" s="67"/>
      <c r="O34" s="67"/>
      <c r="P34" s="67"/>
      <c r="Q34" s="67"/>
      <c r="R34" s="67"/>
      <c r="S34" s="67"/>
      <c r="W34" s="52" t="s">
        <v>74</v>
      </c>
      <c r="AM34" s="52" t="s">
        <v>73</v>
      </c>
      <c r="AN34" s="52" t="s">
        <v>74</v>
      </c>
    </row>
    <row r="35" spans="1:40">
      <c r="A35" s="52" t="s">
        <v>70</v>
      </c>
      <c r="B35" s="55" t="s">
        <v>10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55" t="s">
        <v>10</v>
      </c>
      <c r="AM35" s="52" t="s">
        <v>76</v>
      </c>
      <c r="AN35" s="55" t="s">
        <v>10</v>
      </c>
    </row>
    <row r="36" spans="1:40">
      <c r="A36" s="160">
        <v>1</v>
      </c>
      <c r="B36" s="52" t="s">
        <v>77</v>
      </c>
      <c r="C36" s="58">
        <f>'2022年'!C36</f>
        <v>65.777384055772757</v>
      </c>
      <c r="D36" s="58">
        <f>'2022年'!D36</f>
        <v>77.133821303008745</v>
      </c>
      <c r="E36" s="58">
        <f>'2022年'!E36</f>
        <v>97.260576424347761</v>
      </c>
      <c r="F36" s="58">
        <f>'2022年'!F36</f>
        <v>28.109993186227676</v>
      </c>
      <c r="G36" s="58">
        <f>'2022年'!G36</f>
        <v>65.777384055772757</v>
      </c>
      <c r="H36" s="58">
        <f>'2022年'!H36</f>
        <v>77.133821303008745</v>
      </c>
      <c r="I36" s="58">
        <f>'2022年'!I36</f>
        <v>97.260576424347761</v>
      </c>
      <c r="J36" s="58">
        <f>'2022年'!J36</f>
        <v>28.109993186227676</v>
      </c>
      <c r="K36" s="58">
        <f>'2022年'!K36</f>
        <v>2.5861193731329459</v>
      </c>
      <c r="L36" s="63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52" t="s">
        <v>77</v>
      </c>
      <c r="AM36" s="52" t="s">
        <v>73</v>
      </c>
      <c r="AN36" s="52" t="s">
        <v>77</v>
      </c>
    </row>
    <row r="37" spans="1:40">
      <c r="A37" s="160">
        <v>2</v>
      </c>
      <c r="B37" s="52" t="s">
        <v>78</v>
      </c>
      <c r="C37" s="58">
        <f>'2022年'!C37</f>
        <v>17.638907833259626</v>
      </c>
      <c r="D37" s="58">
        <f>'2022年'!D37</f>
        <v>20.684257732677104</v>
      </c>
      <c r="E37" s="58">
        <f>'2022年'!E37</f>
        <v>26.081462009862527</v>
      </c>
      <c r="F37" s="58">
        <f>'2022年'!F37</f>
        <v>7.5379948005383026</v>
      </c>
      <c r="G37" s="58">
        <f>'2022年'!G37</f>
        <v>17.638907833259626</v>
      </c>
      <c r="H37" s="58">
        <f>'2022年'!H37</f>
        <v>20.684257732677104</v>
      </c>
      <c r="I37" s="58">
        <f>'2022年'!I37</f>
        <v>26.081462009862527</v>
      </c>
      <c r="J37" s="58">
        <f>'2022年'!J37</f>
        <v>7.5379948005383026</v>
      </c>
      <c r="K37" s="58">
        <f>'2022年'!K37</f>
        <v>0.69349552164952377</v>
      </c>
      <c r="L37" s="63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52" t="s">
        <v>78</v>
      </c>
      <c r="AM37" s="52" t="s">
        <v>28</v>
      </c>
      <c r="AN37" s="52" t="s">
        <v>78</v>
      </c>
    </row>
    <row r="38" spans="1:40">
      <c r="A38" s="160">
        <v>3</v>
      </c>
      <c r="B38" s="52" t="s">
        <v>79</v>
      </c>
      <c r="C38" s="58">
        <f>'2022年'!C38</f>
        <v>46.79999999999999</v>
      </c>
      <c r="D38" s="58">
        <f>'2022年'!D38</f>
        <v>54.879999999999988</v>
      </c>
      <c r="E38" s="58">
        <f>'2022年'!E38</f>
        <v>69.199999999999989</v>
      </c>
      <c r="F38" s="58">
        <f>'2022年'!F38</f>
        <v>19.999999999999996</v>
      </c>
      <c r="G38" s="58">
        <f>'2022年'!G38</f>
        <v>46.79999999999999</v>
      </c>
      <c r="H38" s="58">
        <f>'2022年'!H38</f>
        <v>54.879999999999988</v>
      </c>
      <c r="I38" s="58">
        <f>'2022年'!I38</f>
        <v>69.199999999999989</v>
      </c>
      <c r="J38" s="58">
        <f>'2022年'!J38</f>
        <v>19.999999999999996</v>
      </c>
      <c r="K38" s="58">
        <f>'2022年'!K38</f>
        <v>1.8399999999999996</v>
      </c>
      <c r="L38" s="63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52" t="s">
        <v>79</v>
      </c>
      <c r="AM38" s="52" t="s">
        <v>34</v>
      </c>
      <c r="AN38" s="52" t="s">
        <v>79</v>
      </c>
    </row>
    <row r="39" spans="1:40">
      <c r="A39" s="52" t="s">
        <v>76</v>
      </c>
      <c r="B39" s="55" t="s">
        <v>81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W39" s="55" t="s">
        <v>81</v>
      </c>
      <c r="AM39" s="52" t="s">
        <v>80</v>
      </c>
      <c r="AN39" s="55" t="s">
        <v>81</v>
      </c>
    </row>
    <row r="40" spans="1:40">
      <c r="A40" s="160">
        <v>1</v>
      </c>
      <c r="B40" s="52" t="s">
        <v>83</v>
      </c>
      <c r="C40" s="59">
        <f>C34-C36-C37-C38</f>
        <v>79.054868110967533</v>
      </c>
      <c r="D40" s="59">
        <f t="shared" ref="D40:K40" si="43">D34-D36-D37-D38</f>
        <v>40.908956964314036</v>
      </c>
      <c r="E40" s="59">
        <f t="shared" si="43"/>
        <v>40.960013565789779</v>
      </c>
      <c r="F40" s="59">
        <f t="shared" si="43"/>
        <v>0.96759201323404653</v>
      </c>
      <c r="G40" s="59">
        <f t="shared" si="43"/>
        <v>85.777668110967539</v>
      </c>
      <c r="H40" s="59">
        <f t="shared" si="43"/>
        <v>47.631756964314043</v>
      </c>
      <c r="I40" s="59">
        <f t="shared" si="43"/>
        <v>47.682813565790013</v>
      </c>
      <c r="J40" s="59">
        <f t="shared" si="43"/>
        <v>-29.765207986766008</v>
      </c>
      <c r="K40" s="59">
        <f t="shared" si="43"/>
        <v>-13.763214894782468</v>
      </c>
      <c r="L40" s="59"/>
      <c r="W40" s="52" t="s">
        <v>83</v>
      </c>
      <c r="AM40" s="52" t="s">
        <v>23</v>
      </c>
      <c r="AN40" s="52" t="s">
        <v>83</v>
      </c>
    </row>
    <row r="41" spans="1:40">
      <c r="A41" s="160">
        <v>2</v>
      </c>
      <c r="B41" s="52" t="s">
        <v>84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W41" s="52" t="s">
        <v>84</v>
      </c>
      <c r="AM41" s="52" t="s">
        <v>25</v>
      </c>
      <c r="AN41" s="52" t="s">
        <v>84</v>
      </c>
    </row>
    <row r="42" spans="1:40">
      <c r="A42" s="52" t="s">
        <v>80</v>
      </c>
      <c r="B42" s="55" t="s">
        <v>86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W42" s="55" t="s">
        <v>86</v>
      </c>
      <c r="AM42" s="52" t="s">
        <v>85</v>
      </c>
      <c r="AN42" s="55" t="s">
        <v>86</v>
      </c>
    </row>
    <row r="43" spans="1:40">
      <c r="A43" s="160">
        <v>1</v>
      </c>
      <c r="B43" s="60" t="s">
        <v>87</v>
      </c>
      <c r="C43" s="58">
        <f>'2022年'!C43</f>
        <v>0</v>
      </c>
      <c r="D43" s="58">
        <f>'2022年'!D43</f>
        <v>0</v>
      </c>
      <c r="E43" s="58">
        <f>'2022年'!E43</f>
        <v>0</v>
      </c>
      <c r="F43" s="58">
        <f>'2022年'!F43</f>
        <v>0</v>
      </c>
      <c r="G43" s="58">
        <f>'2022年'!G43</f>
        <v>0</v>
      </c>
      <c r="H43" s="58">
        <f>'2022年'!H43</f>
        <v>0</v>
      </c>
      <c r="I43" s="58">
        <f>'2022年'!I43</f>
        <v>0</v>
      </c>
      <c r="J43" s="58">
        <f>'2022年'!J43</f>
        <v>0</v>
      </c>
      <c r="K43" s="58">
        <f>'2022年'!K43</f>
        <v>0</v>
      </c>
      <c r="L43" s="59"/>
      <c r="W43" s="52" t="s">
        <v>87</v>
      </c>
      <c r="AM43" s="52" t="s">
        <v>23</v>
      </c>
      <c r="AN43" s="52" t="s">
        <v>87</v>
      </c>
    </row>
    <row r="44" spans="1:40">
      <c r="A44" s="160">
        <v>2</v>
      </c>
      <c r="B44" s="60" t="s">
        <v>88</v>
      </c>
      <c r="C44" s="58">
        <f>'2022年'!C44</f>
        <v>0</v>
      </c>
      <c r="D44" s="58">
        <f>'2022年'!D44</f>
        <v>0</v>
      </c>
      <c r="E44" s="58">
        <f>'2022年'!E44</f>
        <v>0</v>
      </c>
      <c r="F44" s="58">
        <f>'2022年'!F44</f>
        <v>0</v>
      </c>
      <c r="G44" s="58">
        <f>'2022年'!G44</f>
        <v>0</v>
      </c>
      <c r="H44" s="58">
        <f>'2022年'!H44</f>
        <v>0</v>
      </c>
      <c r="I44" s="58">
        <f>'2022年'!I44</f>
        <v>0</v>
      </c>
      <c r="J44" s="58">
        <f>'2022年'!J44</f>
        <v>0</v>
      </c>
      <c r="K44" s="58">
        <f>'2022年'!K44</f>
        <v>0</v>
      </c>
      <c r="L44" s="59"/>
      <c r="W44" s="52" t="s">
        <v>88</v>
      </c>
      <c r="AM44" s="52" t="s">
        <v>25</v>
      </c>
      <c r="AN44" s="52" t="s">
        <v>88</v>
      </c>
    </row>
    <row r="45" spans="1:40">
      <c r="A45" s="160">
        <v>3</v>
      </c>
      <c r="B45" s="60" t="s">
        <v>89</v>
      </c>
      <c r="C45" s="58">
        <f>'2022年'!C45</f>
        <v>0</v>
      </c>
      <c r="D45" s="58">
        <f>'2022年'!D45</f>
        <v>0</v>
      </c>
      <c r="E45" s="58">
        <f>'2022年'!E45</f>
        <v>0</v>
      </c>
      <c r="F45" s="58">
        <f>'2022年'!F45</f>
        <v>0</v>
      </c>
      <c r="G45" s="58">
        <f>'2022年'!G45</f>
        <v>0</v>
      </c>
      <c r="H45" s="58">
        <f>'2022年'!H45</f>
        <v>0</v>
      </c>
      <c r="I45" s="58">
        <f>'2022年'!I45</f>
        <v>0</v>
      </c>
      <c r="J45" s="58">
        <f>'2022年'!J45</f>
        <v>0</v>
      </c>
      <c r="K45" s="58">
        <f>'2022年'!K45</f>
        <v>0</v>
      </c>
      <c r="L45" s="59"/>
      <c r="W45" s="52" t="s">
        <v>89</v>
      </c>
      <c r="AM45" s="52" t="s">
        <v>73</v>
      </c>
      <c r="AN45" s="52" t="s">
        <v>89</v>
      </c>
    </row>
    <row r="46" spans="1:40" s="47" customFormat="1">
      <c r="A46" s="160">
        <v>4</v>
      </c>
      <c r="B46" s="60" t="s">
        <v>90</v>
      </c>
      <c r="C46" s="65">
        <f>C21/C6</f>
        <v>5.6818181818181825</v>
      </c>
      <c r="D46" s="65">
        <f t="shared" ref="D46:K46" si="44">D21/D6</f>
        <v>5.6818181818181817</v>
      </c>
      <c r="E46" s="65">
        <f t="shared" si="44"/>
        <v>5.6818181818181817</v>
      </c>
      <c r="F46" s="65">
        <f t="shared" si="44"/>
        <v>5.6818181818181817</v>
      </c>
      <c r="G46" s="65">
        <f t="shared" si="44"/>
        <v>5.6818181818181817</v>
      </c>
      <c r="H46" s="65">
        <f t="shared" si="44"/>
        <v>5.6818181818181817</v>
      </c>
      <c r="I46" s="65">
        <f t="shared" si="44"/>
        <v>5.6818181818181817</v>
      </c>
      <c r="J46" s="65">
        <f t="shared" si="44"/>
        <v>5.6818181818181817</v>
      </c>
      <c r="K46" s="65">
        <f t="shared" si="44"/>
        <v>5.6818181818181817</v>
      </c>
      <c r="L46" s="65"/>
      <c r="W46" s="60" t="s">
        <v>92</v>
      </c>
      <c r="AM46" s="60" t="s">
        <v>31</v>
      </c>
      <c r="AN46" s="60" t="s">
        <v>92</v>
      </c>
    </row>
    <row r="47" spans="1:40" s="47" customFormat="1">
      <c r="A47" s="160">
        <v>5</v>
      </c>
      <c r="B47" s="60" t="s">
        <v>92</v>
      </c>
      <c r="C47" s="65">
        <f>'2022年'!C47</f>
        <v>46.800000000000004</v>
      </c>
      <c r="D47" s="65">
        <f>'2022年'!D47</f>
        <v>54.88</v>
      </c>
      <c r="E47" s="65">
        <f>'2022年'!E47</f>
        <v>69.2</v>
      </c>
      <c r="F47" s="65">
        <f>'2022年'!F47</f>
        <v>20</v>
      </c>
      <c r="G47" s="65">
        <f>'2022年'!G47</f>
        <v>46.800000000000004</v>
      </c>
      <c r="H47" s="65">
        <f>'2022年'!H47</f>
        <v>54.88</v>
      </c>
      <c r="I47" s="65">
        <f>'2022年'!I47</f>
        <v>69.2</v>
      </c>
      <c r="J47" s="65">
        <f>'2022年'!J47</f>
        <v>20</v>
      </c>
      <c r="K47" s="65">
        <f>'2022年'!K47</f>
        <v>1.84</v>
      </c>
      <c r="L47" s="65"/>
      <c r="W47" s="60" t="s">
        <v>92</v>
      </c>
      <c r="AM47" s="60" t="s">
        <v>31</v>
      </c>
      <c r="AN47" s="60" t="s">
        <v>92</v>
      </c>
    </row>
    <row r="48" spans="1:40">
      <c r="A48" s="52" t="s">
        <v>85</v>
      </c>
      <c r="B48" s="55" t="s">
        <v>103</v>
      </c>
      <c r="C48" s="59">
        <f>C40-C43-C44-C45-C47-C46</f>
        <v>26.573049929149345</v>
      </c>
      <c r="D48" s="59">
        <f t="shared" ref="D48:K48" si="45">D40-D43-D44-D45-D47-D46</f>
        <v>-19.652861217504146</v>
      </c>
      <c r="E48" s="59">
        <f t="shared" si="45"/>
        <v>-33.921804616028403</v>
      </c>
      <c r="F48" s="59">
        <f t="shared" si="45"/>
        <v>-24.714226168584133</v>
      </c>
      <c r="G48" s="59">
        <f t="shared" si="45"/>
        <v>33.295849929149355</v>
      </c>
      <c r="H48" s="59">
        <f t="shared" si="45"/>
        <v>-12.930061217504141</v>
      </c>
      <c r="I48" s="59">
        <f t="shared" si="45"/>
        <v>-27.199004616028169</v>
      </c>
      <c r="J48" s="59">
        <f t="shared" si="45"/>
        <v>-55.447026168584188</v>
      </c>
      <c r="K48" s="59">
        <f t="shared" si="45"/>
        <v>-21.285033076600648</v>
      </c>
      <c r="L48" s="59"/>
      <c r="W48" s="55" t="s">
        <v>103</v>
      </c>
      <c r="AM48" s="52" t="s">
        <v>102</v>
      </c>
      <c r="AN48" s="55" t="s">
        <v>103</v>
      </c>
    </row>
    <row r="51" spans="2:17">
      <c r="C51" s="66"/>
      <c r="D51" s="66"/>
      <c r="E51" s="66"/>
      <c r="F51" s="66"/>
      <c r="G51" s="66"/>
      <c r="H51" s="66"/>
      <c r="I51" s="66"/>
      <c r="J51" s="66"/>
      <c r="K51" s="66"/>
    </row>
    <row r="54" spans="2:17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7"/>
      <c r="N54" s="67"/>
      <c r="O54" s="67"/>
      <c r="P54" s="67"/>
      <c r="Q54" s="67"/>
    </row>
    <row r="55" spans="2:17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7"/>
      <c r="N55" s="67"/>
      <c r="O55" s="67"/>
      <c r="P55" s="67"/>
      <c r="Q55" s="67"/>
    </row>
    <row r="56" spans="2:17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7"/>
      <c r="N56" s="67"/>
      <c r="O56" s="67"/>
      <c r="P56" s="67"/>
      <c r="Q56" s="67"/>
    </row>
    <row r="57" spans="2:17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7"/>
      <c r="N57" s="67"/>
      <c r="O57" s="67"/>
      <c r="P57" s="67"/>
      <c r="Q57" s="67"/>
    </row>
    <row r="58" spans="2:17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7"/>
      <c r="N58" s="67"/>
      <c r="O58" s="67"/>
      <c r="P58" s="67"/>
      <c r="Q58" s="67"/>
    </row>
    <row r="59" spans="2:17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7"/>
      <c r="N59" s="67"/>
      <c r="O59" s="67"/>
      <c r="P59" s="67"/>
      <c r="Q59" s="67"/>
    </row>
    <row r="60" spans="2:17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7"/>
      <c r="N60" s="67"/>
      <c r="O60" s="67"/>
      <c r="P60" s="67"/>
      <c r="Q60" s="67"/>
    </row>
    <row r="61" spans="2:17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7"/>
      <c r="N61" s="67"/>
      <c r="O61" s="67"/>
      <c r="P61" s="67"/>
      <c r="Q61" s="67"/>
    </row>
    <row r="62" spans="2:17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7"/>
      <c r="N62" s="67"/>
      <c r="O62" s="67"/>
      <c r="P62" s="67"/>
      <c r="Q62" s="67"/>
    </row>
    <row r="63" spans="2:17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7"/>
      <c r="N63" s="67"/>
      <c r="O63" s="67"/>
      <c r="P63" s="67"/>
      <c r="Q63" s="67"/>
    </row>
    <row r="64" spans="2:17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7"/>
      <c r="N64" s="67"/>
      <c r="O64" s="67"/>
      <c r="P64" s="67"/>
      <c r="Q64" s="67"/>
    </row>
    <row r="65" spans="2:17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7"/>
      <c r="N65" s="67"/>
      <c r="O65" s="67"/>
      <c r="P65" s="67"/>
      <c r="Q65" s="67"/>
    </row>
    <row r="66" spans="2:17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7"/>
      <c r="N66" s="67"/>
      <c r="O66" s="67"/>
      <c r="P66" s="67"/>
      <c r="Q66" s="67"/>
    </row>
    <row r="67" spans="2:17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7"/>
    </row>
    <row r="68" spans="2:17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7"/>
    </row>
    <row r="69" spans="2:17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7"/>
    </row>
    <row r="70" spans="2:17"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7"/>
    </row>
    <row r="71" spans="2:17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7"/>
    </row>
    <row r="72" spans="2:17"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7"/>
    </row>
    <row r="73" spans="2:17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7"/>
    </row>
    <row r="74" spans="2:17"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7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8" activePane="bottomRight" state="frozen"/>
      <selection pane="topRight"/>
      <selection pane="bottomLeft"/>
      <selection pane="bottomRight" activeCell="G12" sqref="G1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7" width="9" style="48" customWidth="1"/>
    <col min="18" max="30" width="9" style="48"/>
    <col min="31" max="31" width="4.375" style="48" customWidth="1"/>
    <col min="32" max="32" width="13.875" style="48" customWidth="1"/>
    <col min="33" max="16384" width="9" style="48"/>
  </cols>
  <sheetData>
    <row r="1" spans="1:33">
      <c r="A1" s="232" t="s">
        <v>143</v>
      </c>
      <c r="B1" s="232"/>
      <c r="C1" s="236" t="s">
        <v>245</v>
      </c>
      <c r="D1" s="237"/>
      <c r="E1" s="237"/>
      <c r="F1" s="237"/>
      <c r="G1" s="237"/>
      <c r="H1" s="237"/>
      <c r="I1" s="238"/>
    </row>
    <row r="2" spans="1:33">
      <c r="A2" s="232" t="s">
        <v>144</v>
      </c>
      <c r="B2" s="232"/>
      <c r="C2" s="240" t="str">
        <f>'2022年'!C2:L2</f>
        <v>成都王牌</v>
      </c>
      <c r="D2" s="241"/>
      <c r="E2" s="241"/>
      <c r="F2" s="241"/>
      <c r="G2" s="241"/>
      <c r="H2" s="241"/>
      <c r="I2" s="242"/>
    </row>
    <row r="3" spans="1:33" ht="28.5">
      <c r="A3" s="232" t="s">
        <v>145</v>
      </c>
      <c r="B3" s="232"/>
      <c r="C3" s="161" t="str">
        <f>销量!C5</f>
        <v>左座椅总成（工程车）</v>
      </c>
      <c r="D3" s="161" t="str">
        <f>销量!D5</f>
        <v>左座椅总成（公路车）</v>
      </c>
      <c r="E3" s="161" t="str">
        <f>销量!E5</f>
        <v>左座椅总成（豪华版）</v>
      </c>
      <c r="F3" s="161" t="str">
        <f>销量!I5</f>
        <v>左座椅总成（豪华版）</v>
      </c>
      <c r="G3" s="161" t="str">
        <f>销量!J5</f>
        <v>右座椅总成</v>
      </c>
      <c r="H3" s="161" t="str">
        <f>销量!K5</f>
        <v>左座椅盒总成</v>
      </c>
      <c r="I3" s="233" t="s">
        <v>19</v>
      </c>
    </row>
    <row r="4" spans="1:33" ht="16.5" customHeight="1">
      <c r="A4" s="232" t="s">
        <v>146</v>
      </c>
      <c r="B4" s="232"/>
      <c r="C4" s="161" t="str">
        <f>销量!C6</f>
        <v>EZ16B251000001</v>
      </c>
      <c r="D4" s="161" t="str">
        <f>销量!D6</f>
        <v>EZ16B251000002</v>
      </c>
      <c r="E4" s="161" t="str">
        <f>销量!E6</f>
        <v>EZ16B251000003</v>
      </c>
      <c r="F4" s="161" t="str">
        <f>销量!I6</f>
        <v>EZ164251000003</v>
      </c>
      <c r="G4" s="161" t="str">
        <f>销量!J6</f>
        <v>EZ164251000004</v>
      </c>
      <c r="H4" s="161" t="str">
        <f>销量!K6</f>
        <v>EZ164251000005</v>
      </c>
      <c r="I4" s="234"/>
    </row>
    <row r="5" spans="1:33">
      <c r="A5" s="232" t="s">
        <v>147</v>
      </c>
      <c r="B5" s="232"/>
      <c r="C5" s="51"/>
      <c r="D5" s="51"/>
      <c r="E5" s="51"/>
      <c r="F5" s="51"/>
      <c r="G5" s="51"/>
      <c r="H5" s="51"/>
      <c r="I5" s="235"/>
      <c r="AG5" s="48" t="s">
        <v>20</v>
      </c>
    </row>
    <row r="6" spans="1:33" ht="17.25">
      <c r="A6" s="52" t="s">
        <v>17</v>
      </c>
      <c r="B6" s="53" t="s">
        <v>148</v>
      </c>
      <c r="C6" s="22">
        <f>销量!C12</f>
        <v>0</v>
      </c>
      <c r="D6" s="22">
        <f>销量!D12</f>
        <v>0</v>
      </c>
      <c r="E6" s="22">
        <f>销量!E12</f>
        <v>0</v>
      </c>
      <c r="F6" s="22">
        <f>销量!I12</f>
        <v>0</v>
      </c>
      <c r="G6" s="22">
        <f>销量!J12</f>
        <v>0</v>
      </c>
      <c r="H6" s="22">
        <f>销量!K12</f>
        <v>0</v>
      </c>
      <c r="I6" s="54">
        <f>SUM(C6:H6)</f>
        <v>0</v>
      </c>
      <c r="AE6" s="52" t="s">
        <v>17</v>
      </c>
      <c r="AF6" s="53" t="s">
        <v>3</v>
      </c>
      <c r="AG6" s="48" t="s">
        <v>21</v>
      </c>
    </row>
    <row r="7" spans="1:33">
      <c r="A7" s="160">
        <v>1</v>
      </c>
      <c r="B7" s="53" t="s">
        <v>22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F6*销量!I8</f>
        <v>0</v>
      </c>
      <c r="G7" s="54">
        <f>G6*销量!J8</f>
        <v>0</v>
      </c>
      <c r="H7" s="54">
        <f>H6*销量!K8</f>
        <v>0</v>
      </c>
      <c r="I7" s="54">
        <f t="shared" ref="I7:I17" si="0">SUM(C7:H7)</f>
        <v>0</v>
      </c>
      <c r="J7" s="49"/>
      <c r="AE7" s="52" t="s">
        <v>23</v>
      </c>
      <c r="AF7" s="53" t="s">
        <v>22</v>
      </c>
      <c r="AG7" s="48" t="s">
        <v>21</v>
      </c>
    </row>
    <row r="8" spans="1:33">
      <c r="A8" s="160">
        <v>2</v>
      </c>
      <c r="B8" s="160" t="s">
        <v>24</v>
      </c>
      <c r="C8" s="54">
        <f>C7*(1-销量!$O$9)</f>
        <v>0</v>
      </c>
      <c r="D8" s="54">
        <f>D7*(1-销量!$O$9)</f>
        <v>0</v>
      </c>
      <c r="E8" s="54">
        <f>E7*(1-销量!$O$9)</f>
        <v>0</v>
      </c>
      <c r="F8" s="54">
        <f>F7*(1-销量!$O$9)</f>
        <v>0</v>
      </c>
      <c r="G8" s="54">
        <f>G7*(1-销量!$O$9)</f>
        <v>0</v>
      </c>
      <c r="H8" s="54">
        <f>H7*(1-销量!$O$9)</f>
        <v>0</v>
      </c>
      <c r="I8" s="54">
        <f t="shared" si="0"/>
        <v>0</v>
      </c>
      <c r="J8" s="69"/>
      <c r="AE8" s="52" t="s">
        <v>25</v>
      </c>
      <c r="AF8" s="160" t="s">
        <v>26</v>
      </c>
      <c r="AG8" s="48" t="s">
        <v>21</v>
      </c>
    </row>
    <row r="9" spans="1:33">
      <c r="A9" s="160">
        <v>3</v>
      </c>
      <c r="B9" s="53" t="s">
        <v>27</v>
      </c>
      <c r="C9" s="54">
        <f>+C7-C8</f>
        <v>0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0</v>
      </c>
      <c r="AE9" s="52" t="s">
        <v>28</v>
      </c>
      <c r="AF9" s="53" t="s">
        <v>27</v>
      </c>
      <c r="AG9" s="48" t="s">
        <v>29</v>
      </c>
    </row>
    <row r="10" spans="1:33">
      <c r="A10" s="160">
        <v>4</v>
      </c>
      <c r="B10" s="52" t="s">
        <v>30</v>
      </c>
      <c r="C10" s="54">
        <f>C6*材料成本!H41</f>
        <v>0</v>
      </c>
      <c r="D10" s="54">
        <f>D6*材料成本!H42</f>
        <v>0</v>
      </c>
      <c r="E10" s="54">
        <f>E6*材料成本!H43</f>
        <v>0</v>
      </c>
      <c r="F10" s="54">
        <f>F6*材料成本!H44</f>
        <v>0</v>
      </c>
      <c r="G10" s="54">
        <f>G6*材料成本!H45</f>
        <v>0</v>
      </c>
      <c r="H10" s="54">
        <f>H6*材料成本!H46</f>
        <v>0</v>
      </c>
      <c r="I10" s="54">
        <f t="shared" si="0"/>
        <v>0</v>
      </c>
      <c r="AE10" s="52" t="s">
        <v>31</v>
      </c>
      <c r="AF10" s="52" t="s">
        <v>30</v>
      </c>
      <c r="AG10" s="48" t="s">
        <v>32</v>
      </c>
    </row>
    <row r="11" spans="1:33">
      <c r="A11" s="160">
        <v>5</v>
      </c>
      <c r="B11" s="52" t="s">
        <v>33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AE11" s="52" t="s">
        <v>34</v>
      </c>
      <c r="AF11" s="52" t="s">
        <v>33</v>
      </c>
    </row>
    <row r="12" spans="1:33">
      <c r="A12" s="160">
        <v>6</v>
      </c>
      <c r="B12" s="52" t="s">
        <v>35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AE12" s="52" t="s">
        <v>36</v>
      </c>
      <c r="AF12" s="52" t="s">
        <v>35</v>
      </c>
    </row>
    <row r="13" spans="1:33">
      <c r="A13" s="160">
        <v>7</v>
      </c>
      <c r="B13" s="52" t="s">
        <v>37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AE13" s="52" t="s">
        <v>38</v>
      </c>
      <c r="AF13" s="52" t="s">
        <v>37</v>
      </c>
      <c r="AG13" s="48" t="s">
        <v>21</v>
      </c>
    </row>
    <row r="14" spans="1:33">
      <c r="A14" s="160">
        <v>8</v>
      </c>
      <c r="B14" s="55" t="s">
        <v>39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AE14" s="52" t="s">
        <v>40</v>
      </c>
      <c r="AF14" s="55" t="s">
        <v>39</v>
      </c>
    </row>
    <row r="15" spans="1:33">
      <c r="A15" s="160">
        <v>9</v>
      </c>
      <c r="B15" s="55" t="s">
        <v>41</v>
      </c>
      <c r="C15" s="54">
        <f>+C9-C10-C14</f>
        <v>0</v>
      </c>
      <c r="D15" s="54">
        <f t="shared" ref="D15:H15" si="6">+D9-D10-D14</f>
        <v>0</v>
      </c>
      <c r="E15" s="54">
        <f t="shared" si="6"/>
        <v>0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0</v>
      </c>
      <c r="AE15" s="52" t="s">
        <v>42</v>
      </c>
      <c r="AF15" s="55" t="s">
        <v>41</v>
      </c>
    </row>
    <row r="16" spans="1:33">
      <c r="A16" s="160">
        <v>10</v>
      </c>
      <c r="B16" s="52" t="s">
        <v>43</v>
      </c>
      <c r="C16" s="56" t="e">
        <f>+C15/C9</f>
        <v>#DIV/0!</v>
      </c>
      <c r="D16" s="56" t="e">
        <f t="shared" ref="D16:H16" si="7">+D15/D9</f>
        <v>#DIV/0!</v>
      </c>
      <c r="E16" s="56" t="e">
        <f t="shared" si="7"/>
        <v>#DIV/0!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 t="e">
        <f t="shared" ref="I16" si="8">+I15/I9</f>
        <v>#DIV/0!</v>
      </c>
      <c r="AE16" s="52" t="s">
        <v>44</v>
      </c>
      <c r="AF16" s="52" t="s">
        <v>43</v>
      </c>
    </row>
    <row r="17" spans="1:33">
      <c r="A17" s="160">
        <v>11</v>
      </c>
      <c r="B17" s="52" t="s">
        <v>45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AE17" s="52" t="s">
        <v>46</v>
      </c>
      <c r="AF17" s="52" t="s">
        <v>45</v>
      </c>
    </row>
    <row r="18" spans="1:33" s="46" customFormat="1">
      <c r="A18" s="160">
        <v>12</v>
      </c>
      <c r="B18" s="57" t="s">
        <v>149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320941.66666666669</v>
      </c>
      <c r="J18" s="70" t="s">
        <v>150</v>
      </c>
      <c r="K18" s="70"/>
      <c r="L18" s="70"/>
    </row>
    <row r="19" spans="1:33">
      <c r="A19" s="160">
        <v>13</v>
      </c>
      <c r="B19" s="52" t="s">
        <v>47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ref="I19:I20" si="12">SUM(C19:H19)</f>
        <v>0</v>
      </c>
      <c r="J19" s="46"/>
      <c r="AE19" s="52" t="s">
        <v>48</v>
      </c>
      <c r="AF19" s="52" t="s">
        <v>47</v>
      </c>
      <c r="AG19" s="48" t="s">
        <v>21</v>
      </c>
    </row>
    <row r="20" spans="1:33">
      <c r="A20" s="160">
        <v>14</v>
      </c>
      <c r="B20" s="52" t="s">
        <v>49</v>
      </c>
      <c r="C20" s="54">
        <f>C6*C45</f>
        <v>0</v>
      </c>
      <c r="D20" s="54">
        <f t="shared" ref="D20:H20" si="13">D6*D45</f>
        <v>0</v>
      </c>
      <c r="E20" s="54">
        <f t="shared" si="13"/>
        <v>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 t="shared" si="12"/>
        <v>0</v>
      </c>
      <c r="AE20" s="52" t="s">
        <v>50</v>
      </c>
      <c r="AF20" s="52" t="s">
        <v>49</v>
      </c>
    </row>
    <row r="21" spans="1:33">
      <c r="A21" s="160">
        <v>15</v>
      </c>
      <c r="B21" s="52" t="s">
        <v>51</v>
      </c>
      <c r="C21" s="59" t="e">
        <f>$I$21/$I$6*C6</f>
        <v>#DIV/0!</v>
      </c>
      <c r="D21" s="59" t="e">
        <f t="shared" ref="D21:H21" si="14">$I$21/$I$6*D6</f>
        <v>#DIV/0!</v>
      </c>
      <c r="E21" s="59" t="e">
        <f t="shared" si="14"/>
        <v>#DIV/0!</v>
      </c>
      <c r="F21" s="59" t="e">
        <f t="shared" si="14"/>
        <v>#DIV/0!</v>
      </c>
      <c r="G21" s="59" t="e">
        <f t="shared" si="14"/>
        <v>#DIV/0!</v>
      </c>
      <c r="H21" s="59" t="e">
        <f t="shared" si="14"/>
        <v>#DIV/0!</v>
      </c>
      <c r="I21" s="54">
        <f>项目投资!G27</f>
        <v>0</v>
      </c>
      <c r="AE21" s="52"/>
      <c r="AF21" s="52"/>
    </row>
    <row r="22" spans="1:33">
      <c r="A22" s="160">
        <v>16</v>
      </c>
      <c r="B22" s="52" t="s">
        <v>52</v>
      </c>
      <c r="C22" s="54">
        <f>C6*C47</f>
        <v>0</v>
      </c>
      <c r="D22" s="54">
        <f t="shared" ref="D22:H22" si="15">D6*D47</f>
        <v>0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ref="I22" si="16">SUM(C22:H22)</f>
        <v>0</v>
      </c>
      <c r="AE22" s="52" t="s">
        <v>53</v>
      </c>
      <c r="AF22" s="52" t="s">
        <v>52</v>
      </c>
    </row>
    <row r="23" spans="1:33">
      <c r="A23" s="160">
        <v>17</v>
      </c>
      <c r="B23" s="55" t="s">
        <v>54</v>
      </c>
      <c r="C23" s="59" t="e">
        <f>+C22+C21+C20+C19+C17</f>
        <v>#DIV/0!</v>
      </c>
      <c r="D23" s="59" t="e">
        <f t="shared" ref="D23:H23" si="17">+D22+D21+D20+D19+D17</f>
        <v>#DIV/0!</v>
      </c>
      <c r="E23" s="59" t="e">
        <f t="shared" si="17"/>
        <v>#DIV/0!</v>
      </c>
      <c r="F23" s="59" t="e">
        <f t="shared" si="17"/>
        <v>#DIV/0!</v>
      </c>
      <c r="G23" s="59" t="e">
        <f t="shared" si="17"/>
        <v>#DIV/0!</v>
      </c>
      <c r="H23" s="59" t="e">
        <f t="shared" si="17"/>
        <v>#DIV/0!</v>
      </c>
      <c r="I23" s="59" t="e">
        <f t="shared" ref="I23" si="18">+I22+I21+I20+I19+I17</f>
        <v>#DIV/0!</v>
      </c>
      <c r="AE23" s="52" t="s">
        <v>55</v>
      </c>
      <c r="AF23" s="55" t="s">
        <v>54</v>
      </c>
    </row>
    <row r="24" spans="1:33">
      <c r="A24" s="160">
        <v>18</v>
      </c>
      <c r="B24" s="60" t="s">
        <v>56</v>
      </c>
      <c r="C24" s="59" t="e">
        <f>+C15-C23</f>
        <v>#DIV/0!</v>
      </c>
      <c r="D24" s="59" t="e">
        <f t="shared" ref="D24:I24" si="19">+D15-D23</f>
        <v>#DIV/0!</v>
      </c>
      <c r="E24" s="59" t="e">
        <f t="shared" si="19"/>
        <v>#DIV/0!</v>
      </c>
      <c r="F24" s="59" t="e">
        <f t="shared" si="19"/>
        <v>#DIV/0!</v>
      </c>
      <c r="G24" s="59" t="e">
        <f t="shared" si="19"/>
        <v>#DIV/0!</v>
      </c>
      <c r="H24" s="59" t="e">
        <f t="shared" si="19"/>
        <v>#DIV/0!</v>
      </c>
      <c r="I24" s="59" t="e">
        <f t="shared" si="19"/>
        <v>#DIV/0!</v>
      </c>
      <c r="K24" s="71"/>
      <c r="AE24" s="52" t="s">
        <v>57</v>
      </c>
      <c r="AF24" s="52" t="s">
        <v>56</v>
      </c>
    </row>
    <row r="25" spans="1:33">
      <c r="A25" s="160">
        <v>19</v>
      </c>
      <c r="B25" s="52" t="s">
        <v>261</v>
      </c>
      <c r="C25" s="59" t="e">
        <f>IF(C24&lt;0,0,C24*0.15)</f>
        <v>#DIV/0!</v>
      </c>
      <c r="D25" s="59" t="e">
        <f>IF(D24&lt;0,0,D24*0.15)</f>
        <v>#DIV/0!</v>
      </c>
      <c r="E25" s="59" t="e">
        <f t="shared" ref="E25:H25" si="20">IF(E24&lt;0,0,E24*0.25)</f>
        <v>#DIV/0!</v>
      </c>
      <c r="F25" s="59" t="e">
        <f>IF(F24&lt;0,0,F24*0.15)</f>
        <v>#DIV/0!</v>
      </c>
      <c r="G25" s="59" t="e">
        <f t="shared" si="20"/>
        <v>#DIV/0!</v>
      </c>
      <c r="H25" s="59" t="e">
        <f t="shared" si="20"/>
        <v>#DIV/0!</v>
      </c>
      <c r="I25" s="59" t="e">
        <f>IF(I24&lt;0,0,I24*0.15)</f>
        <v>#DIV/0!</v>
      </c>
      <c r="J25" s="67"/>
      <c r="K25" s="67"/>
      <c r="L25" s="67"/>
      <c r="AE25" s="52" t="s">
        <v>59</v>
      </c>
      <c r="AF25" s="52" t="s">
        <v>58</v>
      </c>
    </row>
    <row r="26" spans="1:33">
      <c r="A26" s="160">
        <v>20</v>
      </c>
      <c r="B26" s="52" t="s">
        <v>60</v>
      </c>
      <c r="C26" s="59" t="e">
        <f t="shared" ref="C26:H26" si="21">C24-C25</f>
        <v>#DIV/0!</v>
      </c>
      <c r="D26" s="59" t="e">
        <f t="shared" si="21"/>
        <v>#DIV/0!</v>
      </c>
      <c r="E26" s="59" t="e">
        <f t="shared" si="21"/>
        <v>#DIV/0!</v>
      </c>
      <c r="F26" s="59" t="e">
        <f t="shared" si="21"/>
        <v>#DIV/0!</v>
      </c>
      <c r="G26" s="59" t="e">
        <f t="shared" si="21"/>
        <v>#DIV/0!</v>
      </c>
      <c r="H26" s="59" t="e">
        <f t="shared" si="21"/>
        <v>#DIV/0!</v>
      </c>
      <c r="I26" s="54" t="e">
        <f>+SUM(C26:H26)</f>
        <v>#DIV/0!</v>
      </c>
      <c r="J26" s="67"/>
      <c r="K26" s="67"/>
      <c r="L26" s="67"/>
      <c r="AE26" s="52" t="s">
        <v>61</v>
      </c>
      <c r="AF26" s="52" t="s">
        <v>60</v>
      </c>
    </row>
    <row r="27" spans="1:33">
      <c r="A27" s="160">
        <v>21</v>
      </c>
      <c r="B27" s="52" t="s">
        <v>64</v>
      </c>
      <c r="C27" s="61" t="e">
        <f t="shared" ref="C27:I27" si="22">C26/C7</f>
        <v>#DIV/0!</v>
      </c>
      <c r="D27" s="61" t="e">
        <f t="shared" ref="D27:H27" si="23">D26/D7</f>
        <v>#DIV/0!</v>
      </c>
      <c r="E27" s="61" t="e">
        <f t="shared" si="23"/>
        <v>#DIV/0!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 t="e">
        <f t="shared" si="22"/>
        <v>#DIV/0!</v>
      </c>
      <c r="J27" s="67"/>
      <c r="K27" s="67"/>
      <c r="L27" s="67"/>
      <c r="AE27" s="52" t="s">
        <v>63</v>
      </c>
      <c r="AF27" s="52" t="s">
        <v>64</v>
      </c>
    </row>
    <row r="28" spans="1:33">
      <c r="J28" s="67"/>
      <c r="K28" s="67"/>
      <c r="L28" s="67"/>
    </row>
    <row r="29" spans="1:33">
      <c r="A29" s="48" t="s">
        <v>65</v>
      </c>
      <c r="I29" s="49" t="s">
        <v>151</v>
      </c>
      <c r="J29" s="67"/>
      <c r="K29" s="67"/>
      <c r="L29" s="67"/>
      <c r="AE29" s="48" t="s">
        <v>65</v>
      </c>
    </row>
    <row r="30" spans="1:33">
      <c r="A30" s="52" t="s">
        <v>68</v>
      </c>
      <c r="B30" s="55" t="s">
        <v>69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AE30" s="52" t="s">
        <v>70</v>
      </c>
      <c r="AF30" s="55" t="s">
        <v>69</v>
      </c>
    </row>
    <row r="31" spans="1:33">
      <c r="A31" s="160">
        <v>1</v>
      </c>
      <c r="B31" s="57" t="s">
        <v>71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销量!I8</f>
        <v>1730</v>
      </c>
      <c r="G31" s="63">
        <f>销量!J8</f>
        <v>500</v>
      </c>
      <c r="H31" s="63">
        <f>销量!K8</f>
        <v>46</v>
      </c>
      <c r="I31" s="59"/>
      <c r="J31" s="67"/>
      <c r="K31" s="67"/>
      <c r="L31" s="67"/>
      <c r="N31" s="67"/>
      <c r="AE31" s="52" t="s">
        <v>23</v>
      </c>
      <c r="AF31" s="52" t="s">
        <v>71</v>
      </c>
    </row>
    <row r="32" spans="1:33">
      <c r="A32" s="160">
        <v>2</v>
      </c>
      <c r="B32" s="52" t="s">
        <v>152</v>
      </c>
      <c r="C32" s="54" t="e">
        <f>C9/C6</f>
        <v>#DIV/0!</v>
      </c>
      <c r="D32" s="54" t="e">
        <f t="shared" ref="D32:H32" si="24">D9/D6</f>
        <v>#DIV/0!</v>
      </c>
      <c r="E32" s="54" t="e">
        <f t="shared" si="24"/>
        <v>#DIV/0!</v>
      </c>
      <c r="F32" s="54" t="e">
        <f t="shared" si="24"/>
        <v>#DIV/0!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E32" s="52"/>
      <c r="AF32" s="52"/>
    </row>
    <row r="33" spans="1:32">
      <c r="A33" s="160">
        <v>3</v>
      </c>
      <c r="B33" s="57" t="s">
        <v>72</v>
      </c>
      <c r="C33" s="54">
        <f>材料成本!H41</f>
        <v>896.10890319999999</v>
      </c>
      <c r="D33" s="54">
        <f>材料成本!H42</f>
        <v>1067.8586757999999</v>
      </c>
      <c r="E33" s="54">
        <f>材料成本!H43</f>
        <v>1356.5904505999999</v>
      </c>
      <c r="F33" s="54">
        <f>材料成本!H44</f>
        <v>402.40519899999993</v>
      </c>
      <c r="G33" s="54">
        <f>材料成本!H45</f>
        <v>862.29033799999991</v>
      </c>
      <c r="H33" s="54">
        <f>材料成本!H46</f>
        <v>1061.4720158</v>
      </c>
      <c r="I33" s="59"/>
      <c r="K33" s="67"/>
      <c r="L33" s="67"/>
      <c r="M33" s="67"/>
      <c r="N33" s="67"/>
      <c r="O33" s="67"/>
      <c r="P33" s="67"/>
      <c r="AE33" s="52" t="s">
        <v>25</v>
      </c>
      <c r="AF33" s="52" t="s">
        <v>72</v>
      </c>
    </row>
    <row r="34" spans="1:32" ht="17.25" customHeight="1">
      <c r="A34" s="160">
        <v>4</v>
      </c>
      <c r="B34" s="52" t="s">
        <v>74</v>
      </c>
      <c r="C34" s="64" t="e">
        <f>C32-C33</f>
        <v>#DIV/0!</v>
      </c>
      <c r="D34" s="64" t="e">
        <f t="shared" ref="D34:H34" si="25">D32-D33</f>
        <v>#DIV/0!</v>
      </c>
      <c r="E34" s="64" t="e">
        <f t="shared" si="25"/>
        <v>#DIV/0!</v>
      </c>
      <c r="F34" s="64" t="e">
        <f t="shared" si="25"/>
        <v>#DIV/0!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AE34" s="52" t="s">
        <v>73</v>
      </c>
      <c r="AF34" s="52" t="s">
        <v>74</v>
      </c>
    </row>
    <row r="35" spans="1:32">
      <c r="A35" s="52" t="s">
        <v>70</v>
      </c>
      <c r="B35" s="55" t="s">
        <v>10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AE35" s="52" t="s">
        <v>76</v>
      </c>
      <c r="AF35" s="55" t="s">
        <v>10</v>
      </c>
    </row>
    <row r="36" spans="1:32">
      <c r="A36" s="160">
        <v>1</v>
      </c>
      <c r="B36" s="52" t="s">
        <v>77</v>
      </c>
      <c r="C36" s="58">
        <f>'2022年'!C36</f>
        <v>65.777384055772757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AE36" s="52" t="s">
        <v>73</v>
      </c>
      <c r="AF36" s="52" t="s">
        <v>77</v>
      </c>
    </row>
    <row r="37" spans="1:32">
      <c r="A37" s="160">
        <v>2</v>
      </c>
      <c r="B37" s="52" t="s">
        <v>78</v>
      </c>
      <c r="C37" s="58">
        <f>'2022年'!C37</f>
        <v>17.638907833259626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AE37" s="52" t="s">
        <v>28</v>
      </c>
      <c r="AF37" s="52" t="s">
        <v>78</v>
      </c>
    </row>
    <row r="38" spans="1:32">
      <c r="A38" s="160">
        <v>3</v>
      </c>
      <c r="B38" s="52" t="s">
        <v>79</v>
      </c>
      <c r="C38" s="58">
        <f>'2022年'!C38</f>
        <v>46.79999999999999</v>
      </c>
      <c r="D38" s="58">
        <v>60.47999999999999</v>
      </c>
      <c r="E38" s="58">
        <v>19.199999999999996</v>
      </c>
      <c r="F38" s="58">
        <v>55.999999999999993</v>
      </c>
      <c r="G38" s="58">
        <v>34.799999999999997</v>
      </c>
      <c r="H38" s="58">
        <v>34.799999999999997</v>
      </c>
      <c r="I38" s="63"/>
      <c r="J38" s="67"/>
      <c r="K38" s="67"/>
      <c r="L38" s="67"/>
      <c r="M38" s="67"/>
      <c r="N38" s="67"/>
      <c r="O38" s="67"/>
      <c r="P38" s="67"/>
      <c r="Q38" s="67"/>
      <c r="AE38" s="52" t="s">
        <v>34</v>
      </c>
      <c r="AF38" s="52" t="s">
        <v>79</v>
      </c>
    </row>
    <row r="39" spans="1:32">
      <c r="A39" s="52" t="s">
        <v>76</v>
      </c>
      <c r="B39" s="55" t="s">
        <v>81</v>
      </c>
      <c r="C39" s="59"/>
      <c r="D39" s="59"/>
      <c r="E39" s="59"/>
      <c r="F39" s="59"/>
      <c r="G39" s="59"/>
      <c r="H39" s="59"/>
      <c r="I39" s="59"/>
      <c r="AE39" s="52" t="s">
        <v>80</v>
      </c>
      <c r="AF39" s="55" t="s">
        <v>81</v>
      </c>
    </row>
    <row r="40" spans="1:32">
      <c r="A40" s="160">
        <v>1</v>
      </c>
      <c r="B40" s="52" t="s">
        <v>83</v>
      </c>
      <c r="C40" s="59" t="e">
        <f>C34-C36-C37-C38</f>
        <v>#DIV/0!</v>
      </c>
      <c r="D40" s="59" t="e">
        <f t="shared" ref="D40:H40" si="26">D34-D36-D37-D38</f>
        <v>#DIV/0!</v>
      </c>
      <c r="E40" s="59" t="e">
        <f t="shared" si="26"/>
        <v>#DIV/0!</v>
      </c>
      <c r="F40" s="59" t="e">
        <f t="shared" si="26"/>
        <v>#DIV/0!</v>
      </c>
      <c r="G40" s="59" t="e">
        <f t="shared" si="26"/>
        <v>#DIV/0!</v>
      </c>
      <c r="H40" s="59" t="e">
        <f t="shared" si="26"/>
        <v>#DIV/0!</v>
      </c>
      <c r="I40" s="59"/>
      <c r="AE40" s="52" t="s">
        <v>23</v>
      </c>
      <c r="AF40" s="52" t="s">
        <v>83</v>
      </c>
    </row>
    <row r="41" spans="1:32">
      <c r="A41" s="160">
        <v>2</v>
      </c>
      <c r="B41" s="52" t="s">
        <v>84</v>
      </c>
      <c r="C41" s="59"/>
      <c r="D41" s="59"/>
      <c r="E41" s="59"/>
      <c r="F41" s="59"/>
      <c r="G41" s="59"/>
      <c r="H41" s="59"/>
      <c r="I41" s="59"/>
      <c r="AE41" s="52" t="s">
        <v>25</v>
      </c>
      <c r="AF41" s="52" t="s">
        <v>84</v>
      </c>
    </row>
    <row r="42" spans="1:32">
      <c r="A42" s="52" t="s">
        <v>80</v>
      </c>
      <c r="B42" s="55" t="s">
        <v>86</v>
      </c>
      <c r="C42" s="59"/>
      <c r="D42" s="59"/>
      <c r="E42" s="59"/>
      <c r="F42" s="59"/>
      <c r="G42" s="59"/>
      <c r="H42" s="59"/>
      <c r="I42" s="59"/>
      <c r="AE42" s="52" t="s">
        <v>85</v>
      </c>
      <c r="AF42" s="55" t="s">
        <v>86</v>
      </c>
    </row>
    <row r="43" spans="1:32">
      <c r="A43" s="160">
        <v>1</v>
      </c>
      <c r="B43" s="60" t="s">
        <v>87</v>
      </c>
      <c r="C43" s="58">
        <f>'2022年'!C43</f>
        <v>0</v>
      </c>
      <c r="D43" s="58">
        <v>68.039999999999992</v>
      </c>
      <c r="E43" s="58">
        <v>21.599999999999998</v>
      </c>
      <c r="F43" s="58">
        <v>63</v>
      </c>
      <c r="G43" s="58">
        <v>39.15</v>
      </c>
      <c r="H43" s="58">
        <v>39.15</v>
      </c>
      <c r="I43" s="59"/>
      <c r="AE43" s="52" t="s">
        <v>23</v>
      </c>
      <c r="AF43" s="52" t="s">
        <v>87</v>
      </c>
    </row>
    <row r="44" spans="1:32">
      <c r="A44" s="160">
        <v>2</v>
      </c>
      <c r="B44" s="60" t="s">
        <v>88</v>
      </c>
      <c r="C44" s="58">
        <f>'2022年'!C44</f>
        <v>0</v>
      </c>
      <c r="D44" s="58">
        <v>10.584</v>
      </c>
      <c r="E44" s="58">
        <v>3.36</v>
      </c>
      <c r="F44" s="58">
        <v>9.8000000000000007</v>
      </c>
      <c r="G44" s="58">
        <v>6.09</v>
      </c>
      <c r="H44" s="58">
        <v>6.09</v>
      </c>
      <c r="I44" s="59"/>
      <c r="AE44" s="52" t="s">
        <v>25</v>
      </c>
      <c r="AF44" s="52" t="s">
        <v>88</v>
      </c>
    </row>
    <row r="45" spans="1:32">
      <c r="A45" s="160">
        <v>3</v>
      </c>
      <c r="B45" s="60" t="s">
        <v>89</v>
      </c>
      <c r="C45" s="58">
        <f>'2022年'!C45</f>
        <v>0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AE45" s="52" t="s">
        <v>73</v>
      </c>
      <c r="AF45" s="52" t="s">
        <v>89</v>
      </c>
    </row>
    <row r="46" spans="1:32" s="47" customFormat="1">
      <c r="A46" s="160">
        <v>4</v>
      </c>
      <c r="B46" s="60" t="s">
        <v>90</v>
      </c>
      <c r="C46" s="65" t="e">
        <f>C21/C6</f>
        <v>#DIV/0!</v>
      </c>
      <c r="D46" s="65" t="e">
        <f t="shared" ref="D46:H46" si="27">D21/D6</f>
        <v>#DIV/0!</v>
      </c>
      <c r="E46" s="65" t="e">
        <f t="shared" si="27"/>
        <v>#DIV/0!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AE46" s="60" t="s">
        <v>31</v>
      </c>
      <c r="AF46" s="60" t="s">
        <v>92</v>
      </c>
    </row>
    <row r="47" spans="1:32" s="47" customFormat="1">
      <c r="A47" s="160">
        <v>5</v>
      </c>
      <c r="B47" s="60" t="s">
        <v>92</v>
      </c>
      <c r="C47" s="65">
        <f>'2022年'!C47</f>
        <v>46.800000000000004</v>
      </c>
      <c r="D47" s="65">
        <v>63.504000000000005</v>
      </c>
      <c r="E47" s="65">
        <v>20.16</v>
      </c>
      <c r="F47" s="65">
        <v>58.800000000000004</v>
      </c>
      <c r="G47" s="65">
        <v>36.54</v>
      </c>
      <c r="H47" s="65">
        <v>36.54</v>
      </c>
      <c r="I47" s="65"/>
      <c r="AE47" s="60" t="s">
        <v>31</v>
      </c>
      <c r="AF47" s="60" t="s">
        <v>92</v>
      </c>
    </row>
    <row r="48" spans="1:32">
      <c r="A48" s="52" t="s">
        <v>85</v>
      </c>
      <c r="B48" s="55" t="s">
        <v>103</v>
      </c>
      <c r="C48" s="59" t="e">
        <f>C40-C43-C44-C45-C47-C46</f>
        <v>#DIV/0!</v>
      </c>
      <c r="D48" s="59" t="e">
        <f t="shared" ref="D48:H48" si="28">D40-D43-D44-D45-D47-D46</f>
        <v>#DIV/0!</v>
      </c>
      <c r="E48" s="59" t="e">
        <f t="shared" si="28"/>
        <v>#DIV/0!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AE48" s="52" t="s">
        <v>102</v>
      </c>
      <c r="AF48" s="55" t="s">
        <v>103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M20" sqref="M20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8" width="13.25" style="49" hidden="1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32" t="s">
        <v>143</v>
      </c>
      <c r="B1" s="232"/>
      <c r="C1" s="236" t="s">
        <v>246</v>
      </c>
      <c r="D1" s="237"/>
      <c r="E1" s="237"/>
      <c r="F1" s="237"/>
      <c r="G1" s="237"/>
      <c r="H1" s="237"/>
      <c r="I1" s="238"/>
    </row>
    <row r="2" spans="1:38">
      <c r="A2" s="232" t="s">
        <v>144</v>
      </c>
      <c r="B2" s="232"/>
      <c r="C2" s="239" t="str">
        <f>'2022年'!C2:L2</f>
        <v>成都王牌</v>
      </c>
      <c r="D2" s="239"/>
      <c r="E2" s="239"/>
      <c r="F2" s="239"/>
      <c r="G2" s="239"/>
      <c r="H2" s="239"/>
      <c r="I2" s="239"/>
    </row>
    <row r="3" spans="1:38" ht="28.5">
      <c r="A3" s="232" t="s">
        <v>145</v>
      </c>
      <c r="B3" s="232"/>
      <c r="C3" s="161" t="str">
        <f>销量!C5</f>
        <v>左座椅总成（工程车）</v>
      </c>
      <c r="D3" s="161" t="str">
        <f>销量!D5</f>
        <v>左座椅总成（公路车）</v>
      </c>
      <c r="E3" s="161" t="str">
        <f>销量!E5</f>
        <v>左座椅总成（豪华版）</v>
      </c>
      <c r="F3" s="161" t="str">
        <f>销量!I5</f>
        <v>左座椅总成（豪华版）</v>
      </c>
      <c r="G3" s="161" t="str">
        <f>销量!J5</f>
        <v>右座椅总成</v>
      </c>
      <c r="H3" s="161" t="str">
        <f>销量!K5</f>
        <v>左座椅盒总成</v>
      </c>
      <c r="I3" s="233" t="s">
        <v>19</v>
      </c>
    </row>
    <row r="4" spans="1:38">
      <c r="A4" s="232" t="s">
        <v>146</v>
      </c>
      <c r="B4" s="232"/>
      <c r="C4" s="161" t="str">
        <f>销量!C6</f>
        <v>EZ16B251000001</v>
      </c>
      <c r="D4" s="161" t="str">
        <f>销量!D6</f>
        <v>EZ16B251000002</v>
      </c>
      <c r="E4" s="161" t="str">
        <f>销量!E6</f>
        <v>EZ16B251000003</v>
      </c>
      <c r="F4" s="161" t="str">
        <f>销量!I6</f>
        <v>EZ164251000003</v>
      </c>
      <c r="G4" s="161" t="str">
        <f>销量!J6</f>
        <v>EZ164251000004</v>
      </c>
      <c r="H4" s="161" t="str">
        <f>销量!K6</f>
        <v>EZ164251000005</v>
      </c>
      <c r="I4" s="234"/>
    </row>
    <row r="5" spans="1:38">
      <c r="A5" s="232" t="s">
        <v>147</v>
      </c>
      <c r="B5" s="232"/>
      <c r="C5" s="51"/>
      <c r="D5" s="51"/>
      <c r="E5" s="51"/>
      <c r="F5" s="51"/>
      <c r="G5" s="51"/>
      <c r="H5" s="51"/>
      <c r="I5" s="235"/>
      <c r="AL5" s="48" t="s">
        <v>20</v>
      </c>
    </row>
    <row r="6" spans="1:38" ht="17.25">
      <c r="A6" s="52" t="s">
        <v>17</v>
      </c>
      <c r="B6" s="53" t="s">
        <v>148</v>
      </c>
      <c r="C6" s="22">
        <f>销量!C13</f>
        <v>0</v>
      </c>
      <c r="D6" s="22">
        <f>销量!D13</f>
        <v>0</v>
      </c>
      <c r="E6" s="22">
        <f>销量!E13</f>
        <v>0</v>
      </c>
      <c r="F6" s="22">
        <f>销量!I13</f>
        <v>0</v>
      </c>
      <c r="G6" s="22">
        <f>销量!J13</f>
        <v>0</v>
      </c>
      <c r="H6" s="22">
        <f>销量!K13</f>
        <v>0</v>
      </c>
      <c r="I6" s="54">
        <f>SUM(C6:H6)</f>
        <v>0</v>
      </c>
      <c r="T6" s="53" t="s">
        <v>3</v>
      </c>
      <c r="AJ6" s="52" t="s">
        <v>17</v>
      </c>
      <c r="AK6" s="53" t="s">
        <v>3</v>
      </c>
      <c r="AL6" s="48" t="s">
        <v>21</v>
      </c>
    </row>
    <row r="7" spans="1:38">
      <c r="A7" s="160">
        <v>1</v>
      </c>
      <c r="B7" s="53" t="s">
        <v>22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F6*销量!I8</f>
        <v>0</v>
      </c>
      <c r="G7" s="54">
        <f>G6*销量!J8</f>
        <v>0</v>
      </c>
      <c r="H7" s="54">
        <f>H6*销量!K8</f>
        <v>0</v>
      </c>
      <c r="I7" s="54">
        <f t="shared" ref="I7:I22" si="0">SUM(C7:H7)</f>
        <v>0</v>
      </c>
      <c r="J7" s="49"/>
      <c r="T7" s="53" t="s">
        <v>22</v>
      </c>
      <c r="AJ7" s="52" t="s">
        <v>23</v>
      </c>
      <c r="AK7" s="53" t="s">
        <v>22</v>
      </c>
      <c r="AL7" s="48" t="s">
        <v>21</v>
      </c>
    </row>
    <row r="8" spans="1:38">
      <c r="A8" s="160">
        <v>2</v>
      </c>
      <c r="B8" s="160" t="s">
        <v>24</v>
      </c>
      <c r="C8" s="54">
        <f>C7*(1-销量!$O$10)</f>
        <v>0</v>
      </c>
      <c r="D8" s="54">
        <f>D7*(1-销量!$O$10)</f>
        <v>0</v>
      </c>
      <c r="E8" s="54">
        <f>E7*(1-销量!$O$10)</f>
        <v>0</v>
      </c>
      <c r="F8" s="54">
        <f>F7*(1-销量!$O$10)</f>
        <v>0</v>
      </c>
      <c r="G8" s="54">
        <f>G7*(1-销量!$O$10)</f>
        <v>0</v>
      </c>
      <c r="H8" s="54">
        <f>H7*(1-销量!$O$10)</f>
        <v>0</v>
      </c>
      <c r="I8" s="54">
        <f t="shared" si="0"/>
        <v>0</v>
      </c>
      <c r="J8" s="69"/>
      <c r="T8" s="160" t="s">
        <v>26</v>
      </c>
      <c r="AJ8" s="52" t="s">
        <v>25</v>
      </c>
      <c r="AK8" s="160" t="s">
        <v>26</v>
      </c>
      <c r="AL8" s="48" t="s">
        <v>21</v>
      </c>
    </row>
    <row r="9" spans="1:38">
      <c r="A9" s="160">
        <v>3</v>
      </c>
      <c r="B9" s="53" t="s">
        <v>27</v>
      </c>
      <c r="C9" s="54">
        <f>+C7-C8</f>
        <v>0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0</v>
      </c>
      <c r="T9" s="53" t="s">
        <v>27</v>
      </c>
      <c r="AJ9" s="52" t="s">
        <v>28</v>
      </c>
      <c r="AK9" s="53" t="s">
        <v>27</v>
      </c>
      <c r="AL9" s="48" t="s">
        <v>29</v>
      </c>
    </row>
    <row r="10" spans="1:38">
      <c r="A10" s="160">
        <v>4</v>
      </c>
      <c r="B10" s="52" t="s">
        <v>30</v>
      </c>
      <c r="C10" s="54">
        <f>C6*材料成本!I41</f>
        <v>0</v>
      </c>
      <c r="D10" s="54">
        <f>D6*材料成本!I42</f>
        <v>0</v>
      </c>
      <c r="E10" s="54">
        <f>E6*材料成本!I43</f>
        <v>0</v>
      </c>
      <c r="F10" s="54">
        <f>F6*材料成本!I44</f>
        <v>0</v>
      </c>
      <c r="G10" s="54">
        <f>G6*材料成本!I45</f>
        <v>0</v>
      </c>
      <c r="H10" s="54">
        <f>H6*材料成本!I46</f>
        <v>0</v>
      </c>
      <c r="I10" s="54">
        <f t="shared" si="0"/>
        <v>0</v>
      </c>
      <c r="T10" s="52" t="s">
        <v>30</v>
      </c>
      <c r="AJ10" s="52" t="s">
        <v>31</v>
      </c>
      <c r="AK10" s="52" t="s">
        <v>30</v>
      </c>
      <c r="AL10" s="48" t="s">
        <v>32</v>
      </c>
    </row>
    <row r="11" spans="1:38">
      <c r="A11" s="160">
        <v>5</v>
      </c>
      <c r="B11" s="52" t="s">
        <v>33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T11" s="52" t="s">
        <v>33</v>
      </c>
      <c r="AJ11" s="52" t="s">
        <v>34</v>
      </c>
      <c r="AK11" s="52" t="s">
        <v>33</v>
      </c>
    </row>
    <row r="12" spans="1:38">
      <c r="A12" s="160">
        <v>6</v>
      </c>
      <c r="B12" s="52" t="s">
        <v>35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T12" s="52" t="s">
        <v>35</v>
      </c>
      <c r="AJ12" s="52" t="s">
        <v>36</v>
      </c>
      <c r="AK12" s="52" t="s">
        <v>35</v>
      </c>
    </row>
    <row r="13" spans="1:38">
      <c r="A13" s="160">
        <v>7</v>
      </c>
      <c r="B13" s="52" t="s">
        <v>37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T13" s="52" t="s">
        <v>37</v>
      </c>
      <c r="AJ13" s="52" t="s">
        <v>38</v>
      </c>
      <c r="AK13" s="52" t="s">
        <v>37</v>
      </c>
      <c r="AL13" s="48" t="s">
        <v>21</v>
      </c>
    </row>
    <row r="14" spans="1:38">
      <c r="A14" s="160">
        <v>8</v>
      </c>
      <c r="B14" s="55" t="s">
        <v>39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T14" s="55" t="s">
        <v>39</v>
      </c>
      <c r="AJ14" s="52" t="s">
        <v>40</v>
      </c>
      <c r="AK14" s="55" t="s">
        <v>39</v>
      </c>
    </row>
    <row r="15" spans="1:38">
      <c r="A15" s="160">
        <v>9</v>
      </c>
      <c r="B15" s="55" t="s">
        <v>41</v>
      </c>
      <c r="C15" s="54">
        <f>+C9-C10-C14</f>
        <v>0</v>
      </c>
      <c r="D15" s="54">
        <f t="shared" ref="D15:H15" si="6">+D9-D10-D14</f>
        <v>0</v>
      </c>
      <c r="E15" s="54">
        <f t="shared" si="6"/>
        <v>0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0</v>
      </c>
      <c r="T15" s="55" t="s">
        <v>41</v>
      </c>
      <c r="AJ15" s="52" t="s">
        <v>42</v>
      </c>
      <c r="AK15" s="55" t="s">
        <v>41</v>
      </c>
    </row>
    <row r="16" spans="1:38">
      <c r="A16" s="160">
        <v>10</v>
      </c>
      <c r="B16" s="52" t="s">
        <v>43</v>
      </c>
      <c r="C16" s="56" t="e">
        <f>+C15/C9</f>
        <v>#DIV/0!</v>
      </c>
      <c r="D16" s="56" t="e">
        <f t="shared" ref="D16:H16" si="7">+D15/D9</f>
        <v>#DIV/0!</v>
      </c>
      <c r="E16" s="56" t="e">
        <f t="shared" si="7"/>
        <v>#DIV/0!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 t="e">
        <f t="shared" ref="I16" si="8">+I15/I9</f>
        <v>#DIV/0!</v>
      </c>
      <c r="T16" s="52" t="s">
        <v>43</v>
      </c>
      <c r="AJ16" s="52" t="s">
        <v>44</v>
      </c>
      <c r="AK16" s="52" t="s">
        <v>43</v>
      </c>
    </row>
    <row r="17" spans="1:38">
      <c r="A17" s="160">
        <v>11</v>
      </c>
      <c r="B17" s="52" t="s">
        <v>45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T17" s="52" t="s">
        <v>45</v>
      </c>
      <c r="AJ17" s="52" t="s">
        <v>46</v>
      </c>
      <c r="AK17" s="52" t="s">
        <v>45</v>
      </c>
    </row>
    <row r="18" spans="1:38" s="46" customFormat="1">
      <c r="A18" s="160">
        <v>12</v>
      </c>
      <c r="B18" s="57" t="s">
        <v>149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320941.66666666669</v>
      </c>
      <c r="J18" s="70" t="s">
        <v>150</v>
      </c>
      <c r="K18" s="70"/>
      <c r="L18" s="70"/>
    </row>
    <row r="19" spans="1:38">
      <c r="A19" s="160">
        <v>13</v>
      </c>
      <c r="B19" s="52" t="s">
        <v>47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0</v>
      </c>
      <c r="J19" s="46"/>
      <c r="T19" s="52" t="s">
        <v>47</v>
      </c>
      <c r="AJ19" s="52" t="s">
        <v>48</v>
      </c>
      <c r="AK19" s="52" t="s">
        <v>47</v>
      </c>
      <c r="AL19" s="48" t="s">
        <v>21</v>
      </c>
    </row>
    <row r="20" spans="1:38">
      <c r="A20" s="160">
        <v>14</v>
      </c>
      <c r="B20" s="52" t="s">
        <v>49</v>
      </c>
      <c r="C20" s="54">
        <f>C6*C45</f>
        <v>0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0</v>
      </c>
      <c r="T20" s="52" t="s">
        <v>49</v>
      </c>
      <c r="AJ20" s="52" t="s">
        <v>50</v>
      </c>
      <c r="AK20" s="52" t="s">
        <v>49</v>
      </c>
    </row>
    <row r="21" spans="1:38">
      <c r="A21" s="160">
        <v>15</v>
      </c>
      <c r="B21" s="52" t="s">
        <v>51</v>
      </c>
      <c r="C21" s="59" t="e">
        <f>$I$21/$I$6*C6</f>
        <v>#DIV/0!</v>
      </c>
      <c r="D21" s="59" t="e">
        <f t="shared" ref="D21:H21" si="13">$I$21/$I$6*D6</f>
        <v>#DIV/0!</v>
      </c>
      <c r="E21" s="59" t="e">
        <f t="shared" si="13"/>
        <v>#DIV/0!</v>
      </c>
      <c r="F21" s="59" t="e">
        <f t="shared" si="13"/>
        <v>#DIV/0!</v>
      </c>
      <c r="G21" s="59" t="e">
        <f t="shared" si="13"/>
        <v>#DIV/0!</v>
      </c>
      <c r="H21" s="59" t="e">
        <f t="shared" si="13"/>
        <v>#DIV/0!</v>
      </c>
      <c r="I21" s="54">
        <f>项目投资!H27</f>
        <v>0</v>
      </c>
      <c r="T21" s="52" t="s">
        <v>51</v>
      </c>
      <c r="AJ21" s="52"/>
      <c r="AK21" s="52"/>
    </row>
    <row r="22" spans="1:38">
      <c r="A22" s="160">
        <v>16</v>
      </c>
      <c r="B22" s="52" t="s">
        <v>52</v>
      </c>
      <c r="C22" s="54">
        <f>C6*C47</f>
        <v>0</v>
      </c>
      <c r="D22" s="54">
        <f t="shared" ref="D22:H22" si="14">D6*D47</f>
        <v>0</v>
      </c>
      <c r="E22" s="54">
        <f t="shared" si="14"/>
        <v>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0</v>
      </c>
      <c r="T22" s="52" t="s">
        <v>52</v>
      </c>
      <c r="AJ22" s="52" t="s">
        <v>53</v>
      </c>
      <c r="AK22" s="52" t="s">
        <v>52</v>
      </c>
    </row>
    <row r="23" spans="1:38">
      <c r="A23" s="160">
        <v>17</v>
      </c>
      <c r="B23" s="55" t="s">
        <v>54</v>
      </c>
      <c r="C23" s="59" t="e">
        <f>+C22+C21+C20+C19+C17</f>
        <v>#DIV/0!</v>
      </c>
      <c r="D23" s="59" t="e">
        <f t="shared" ref="D23:H23" si="15">+D22+D21+D20+D19+D17</f>
        <v>#DIV/0!</v>
      </c>
      <c r="E23" s="59" t="e">
        <f t="shared" si="15"/>
        <v>#DIV/0!</v>
      </c>
      <c r="F23" s="59" t="e">
        <f t="shared" si="15"/>
        <v>#DIV/0!</v>
      </c>
      <c r="G23" s="59" t="e">
        <f t="shared" si="15"/>
        <v>#DIV/0!</v>
      </c>
      <c r="H23" s="59" t="e">
        <f t="shared" si="15"/>
        <v>#DIV/0!</v>
      </c>
      <c r="I23" s="59" t="e">
        <f t="shared" ref="I23" si="16">+I22+I21+I20+I19+I17</f>
        <v>#DIV/0!</v>
      </c>
      <c r="T23" s="55" t="s">
        <v>54</v>
      </c>
      <c r="AJ23" s="52" t="s">
        <v>55</v>
      </c>
      <c r="AK23" s="55" t="s">
        <v>54</v>
      </c>
    </row>
    <row r="24" spans="1:38">
      <c r="A24" s="160">
        <v>18</v>
      </c>
      <c r="B24" s="60" t="s">
        <v>56</v>
      </c>
      <c r="C24" s="59" t="e">
        <f>+C15-C23</f>
        <v>#DIV/0!</v>
      </c>
      <c r="D24" s="59" t="e">
        <f t="shared" ref="D24:H24" si="17">+D15-D23</f>
        <v>#DIV/0!</v>
      </c>
      <c r="E24" s="59" t="e">
        <f t="shared" si="17"/>
        <v>#DIV/0!</v>
      </c>
      <c r="F24" s="59" t="e">
        <f t="shared" si="17"/>
        <v>#DIV/0!</v>
      </c>
      <c r="G24" s="59" t="e">
        <f t="shared" si="17"/>
        <v>#DIV/0!</v>
      </c>
      <c r="H24" s="59" t="e">
        <f t="shared" si="17"/>
        <v>#DIV/0!</v>
      </c>
      <c r="I24" s="59" t="e">
        <f t="shared" ref="I24" si="18">+I15-I23</f>
        <v>#DIV/0!</v>
      </c>
      <c r="K24" s="71"/>
      <c r="T24" s="52" t="s">
        <v>56</v>
      </c>
      <c r="AJ24" s="52" t="s">
        <v>57</v>
      </c>
      <c r="AK24" s="52" t="s">
        <v>56</v>
      </c>
    </row>
    <row r="25" spans="1:38">
      <c r="A25" s="160">
        <v>19</v>
      </c>
      <c r="B25" s="52" t="s">
        <v>261</v>
      </c>
      <c r="C25" s="59" t="e">
        <f>IF(C24&lt;0,0,C24*0.15)</f>
        <v>#DIV/0!</v>
      </c>
      <c r="D25" s="59" t="e">
        <f>IF(D24&lt;0,0,D24*0.15)</f>
        <v>#DIV/0!</v>
      </c>
      <c r="E25" s="59" t="e">
        <f t="shared" ref="E25:H25" si="19">IF(E24&lt;0,0,E24*0.25)</f>
        <v>#DIV/0!</v>
      </c>
      <c r="F25" s="59" t="e">
        <f>IF(F24&lt;0,0,F24*0.15)</f>
        <v>#DIV/0!</v>
      </c>
      <c r="G25" s="59" t="e">
        <f t="shared" si="19"/>
        <v>#DIV/0!</v>
      </c>
      <c r="H25" s="59" t="e">
        <f t="shared" si="19"/>
        <v>#DIV/0!</v>
      </c>
      <c r="I25" s="59" t="e">
        <f>IF(I24&lt;0,0,I24*0.15)</f>
        <v>#DIV/0!</v>
      </c>
      <c r="J25" s="67"/>
      <c r="K25" s="67"/>
      <c r="L25" s="67"/>
      <c r="T25" s="52" t="s">
        <v>58</v>
      </c>
      <c r="AJ25" s="52" t="s">
        <v>59</v>
      </c>
      <c r="AK25" s="52" t="s">
        <v>58</v>
      </c>
    </row>
    <row r="26" spans="1:38">
      <c r="A26" s="160">
        <v>20</v>
      </c>
      <c r="B26" s="52" t="s">
        <v>60</v>
      </c>
      <c r="C26" s="59" t="e">
        <f t="shared" ref="C26:H26" si="20">C24-C25</f>
        <v>#DIV/0!</v>
      </c>
      <c r="D26" s="59" t="e">
        <f t="shared" si="20"/>
        <v>#DIV/0!</v>
      </c>
      <c r="E26" s="59" t="e">
        <f t="shared" si="20"/>
        <v>#DIV/0!</v>
      </c>
      <c r="F26" s="59" t="e">
        <f t="shared" si="20"/>
        <v>#DIV/0!</v>
      </c>
      <c r="G26" s="59" t="e">
        <f t="shared" si="20"/>
        <v>#DIV/0!</v>
      </c>
      <c r="H26" s="59" t="e">
        <f t="shared" si="20"/>
        <v>#DIV/0!</v>
      </c>
      <c r="I26" s="54" t="e">
        <f>+SUM(C26:H26)</f>
        <v>#DIV/0!</v>
      </c>
      <c r="J26" s="67"/>
      <c r="K26" s="67"/>
      <c r="L26" s="67"/>
      <c r="T26" s="52" t="s">
        <v>60</v>
      </c>
      <c r="AJ26" s="52" t="s">
        <v>61</v>
      </c>
      <c r="AK26" s="52" t="s">
        <v>60</v>
      </c>
    </row>
    <row r="27" spans="1:38">
      <c r="A27" s="160">
        <v>21</v>
      </c>
      <c r="B27" s="52" t="s">
        <v>64</v>
      </c>
      <c r="C27" s="61" t="e">
        <f t="shared" ref="C27:I27" si="21">C26/C7</f>
        <v>#DIV/0!</v>
      </c>
      <c r="D27" s="61" t="e">
        <f t="shared" ref="D27:H27" si="22">D26/D7</f>
        <v>#DIV/0!</v>
      </c>
      <c r="E27" s="61" t="e">
        <f t="shared" si="22"/>
        <v>#DIV/0!</v>
      </c>
      <c r="F27" s="61" t="e">
        <f t="shared" si="22"/>
        <v>#DIV/0!</v>
      </c>
      <c r="G27" s="61" t="e">
        <f t="shared" si="22"/>
        <v>#DIV/0!</v>
      </c>
      <c r="H27" s="61" t="e">
        <f t="shared" si="22"/>
        <v>#DIV/0!</v>
      </c>
      <c r="I27" s="61" t="e">
        <f t="shared" si="21"/>
        <v>#DIV/0!</v>
      </c>
      <c r="J27" s="67"/>
      <c r="K27" s="67"/>
      <c r="L27" s="67"/>
      <c r="T27" s="52" t="s">
        <v>64</v>
      </c>
      <c r="AJ27" s="52" t="s">
        <v>63</v>
      </c>
      <c r="AK27" s="52" t="s">
        <v>64</v>
      </c>
    </row>
    <row r="28" spans="1:38">
      <c r="J28" s="67"/>
      <c r="K28" s="67"/>
      <c r="L28" s="67"/>
      <c r="T28" s="52"/>
    </row>
    <row r="29" spans="1:38">
      <c r="A29" s="48" t="s">
        <v>65</v>
      </c>
      <c r="I29" s="49" t="s">
        <v>151</v>
      </c>
      <c r="J29" s="67"/>
      <c r="K29" s="67"/>
      <c r="L29" s="67"/>
      <c r="T29" s="52"/>
      <c r="AJ29" s="48" t="s">
        <v>65</v>
      </c>
    </row>
    <row r="30" spans="1:38">
      <c r="A30" s="52" t="s">
        <v>68</v>
      </c>
      <c r="B30" s="55" t="s">
        <v>69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69</v>
      </c>
      <c r="AJ30" s="52" t="s">
        <v>70</v>
      </c>
      <c r="AK30" s="55" t="s">
        <v>69</v>
      </c>
    </row>
    <row r="31" spans="1:38">
      <c r="A31" s="160">
        <v>1</v>
      </c>
      <c r="B31" s="57" t="s">
        <v>71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销量!I8</f>
        <v>1730</v>
      </c>
      <c r="G31" s="63">
        <f>销量!J8</f>
        <v>500</v>
      </c>
      <c r="H31" s="63">
        <f>销量!K8</f>
        <v>46</v>
      </c>
      <c r="I31" s="59"/>
      <c r="J31" s="67"/>
      <c r="K31" s="67"/>
      <c r="L31" s="67"/>
      <c r="N31" s="67"/>
      <c r="T31" s="52" t="s">
        <v>71</v>
      </c>
      <c r="AJ31" s="52" t="s">
        <v>23</v>
      </c>
      <c r="AK31" s="52" t="s">
        <v>71</v>
      </c>
    </row>
    <row r="32" spans="1:38">
      <c r="A32" s="160">
        <v>2</v>
      </c>
      <c r="B32" s="52" t="s">
        <v>152</v>
      </c>
      <c r="C32" s="54" t="e">
        <f>C9/C6</f>
        <v>#DIV/0!</v>
      </c>
      <c r="D32" s="54" t="e">
        <f t="shared" ref="D32:H32" si="23">D9/D6</f>
        <v>#DIV/0!</v>
      </c>
      <c r="E32" s="54" t="e">
        <f t="shared" si="23"/>
        <v>#DIV/0!</v>
      </c>
      <c r="F32" s="54" t="e">
        <f t="shared" si="23"/>
        <v>#DIV/0!</v>
      </c>
      <c r="G32" s="54" t="e">
        <f t="shared" si="23"/>
        <v>#DIV/0!</v>
      </c>
      <c r="H32" s="54" t="e">
        <f t="shared" si="23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60">
        <v>3</v>
      </c>
      <c r="B33" s="57" t="s">
        <v>72</v>
      </c>
      <c r="C33" s="54">
        <f>材料成本!I41</f>
        <v>878.18672513599995</v>
      </c>
      <c r="D33" s="54">
        <f>材料成本!I42</f>
        <v>1014.4657420099999</v>
      </c>
      <c r="E33" s="54">
        <f>材料成本!I43</f>
        <v>1288.7609280699999</v>
      </c>
      <c r="F33" s="54">
        <f>材料成本!I44</f>
        <v>382.28493904999993</v>
      </c>
      <c r="G33" s="54">
        <f>材料成本!I45</f>
        <v>819.17582109999989</v>
      </c>
      <c r="H33" s="54">
        <f>材料成本!I46</f>
        <v>1008.39841501</v>
      </c>
      <c r="I33" s="59"/>
      <c r="K33" s="67"/>
      <c r="L33" s="67"/>
      <c r="M33" s="67"/>
      <c r="N33" s="67"/>
      <c r="O33" s="67"/>
      <c r="P33" s="67"/>
      <c r="T33" s="52" t="s">
        <v>72</v>
      </c>
      <c r="AJ33" s="52" t="s">
        <v>25</v>
      </c>
      <c r="AK33" s="52" t="s">
        <v>72</v>
      </c>
    </row>
    <row r="34" spans="1:37" ht="17.25" customHeight="1">
      <c r="A34" s="160">
        <v>4</v>
      </c>
      <c r="B34" s="52" t="s">
        <v>74</v>
      </c>
      <c r="C34" s="64" t="e">
        <f>C32-C33</f>
        <v>#DIV/0!</v>
      </c>
      <c r="D34" s="64" t="e">
        <f t="shared" ref="D34:H34" si="24">D32-D33</f>
        <v>#DIV/0!</v>
      </c>
      <c r="E34" s="64" t="e">
        <f t="shared" si="24"/>
        <v>#DIV/0!</v>
      </c>
      <c r="F34" s="64" t="e">
        <f t="shared" si="24"/>
        <v>#DIV/0!</v>
      </c>
      <c r="G34" s="64" t="e">
        <f t="shared" si="24"/>
        <v>#DIV/0!</v>
      </c>
      <c r="H34" s="64" t="e">
        <f t="shared" si="24"/>
        <v>#DIV/0!</v>
      </c>
      <c r="I34" s="59"/>
      <c r="K34" s="67"/>
      <c r="L34" s="67"/>
      <c r="M34" s="67"/>
      <c r="N34" s="67"/>
      <c r="O34" s="67"/>
      <c r="P34" s="67"/>
      <c r="T34" s="52" t="s">
        <v>74</v>
      </c>
      <c r="AJ34" s="52" t="s">
        <v>73</v>
      </c>
      <c r="AK34" s="52" t="s">
        <v>74</v>
      </c>
    </row>
    <row r="35" spans="1:37">
      <c r="A35" s="52" t="s">
        <v>70</v>
      </c>
      <c r="B35" s="55" t="s">
        <v>10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10</v>
      </c>
      <c r="AJ35" s="52" t="s">
        <v>76</v>
      </c>
      <c r="AK35" s="55" t="s">
        <v>10</v>
      </c>
    </row>
    <row r="36" spans="1:37">
      <c r="A36" s="160">
        <v>1</v>
      </c>
      <c r="B36" s="52" t="s">
        <v>77</v>
      </c>
      <c r="C36" s="58">
        <f>'2022年'!C36</f>
        <v>65.777384055772757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77</v>
      </c>
      <c r="AJ36" s="52" t="s">
        <v>73</v>
      </c>
      <c r="AK36" s="52" t="s">
        <v>77</v>
      </c>
    </row>
    <row r="37" spans="1:37">
      <c r="A37" s="160">
        <v>2</v>
      </c>
      <c r="B37" s="52" t="s">
        <v>78</v>
      </c>
      <c r="C37" s="58">
        <f>'2022年'!C37</f>
        <v>17.638907833259626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78</v>
      </c>
      <c r="AJ37" s="52" t="s">
        <v>28</v>
      </c>
      <c r="AK37" s="52" t="s">
        <v>78</v>
      </c>
    </row>
    <row r="38" spans="1:37">
      <c r="A38" s="160">
        <v>3</v>
      </c>
      <c r="B38" s="52" t="s">
        <v>79</v>
      </c>
      <c r="C38" s="58">
        <f>'2022年'!C38</f>
        <v>46.79999999999999</v>
      </c>
      <c r="D38" s="58">
        <v>60.47999999999999</v>
      </c>
      <c r="E38" s="58">
        <v>19.199999999999996</v>
      </c>
      <c r="F38" s="58">
        <v>55.999999999999993</v>
      </c>
      <c r="G38" s="58">
        <v>34.799999999999997</v>
      </c>
      <c r="H38" s="58">
        <v>34.799999999999997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79</v>
      </c>
      <c r="AJ38" s="52" t="s">
        <v>34</v>
      </c>
      <c r="AK38" s="52" t="s">
        <v>79</v>
      </c>
    </row>
    <row r="39" spans="1:37">
      <c r="A39" s="52" t="s">
        <v>76</v>
      </c>
      <c r="B39" s="55" t="s">
        <v>81</v>
      </c>
      <c r="C39" s="59"/>
      <c r="D39" s="59"/>
      <c r="E39" s="59"/>
      <c r="F39" s="59"/>
      <c r="G39" s="59"/>
      <c r="H39" s="59"/>
      <c r="I39" s="59"/>
      <c r="T39" s="55" t="s">
        <v>81</v>
      </c>
      <c r="AJ39" s="52" t="s">
        <v>80</v>
      </c>
      <c r="AK39" s="55" t="s">
        <v>81</v>
      </c>
    </row>
    <row r="40" spans="1:37">
      <c r="A40" s="160">
        <v>1</v>
      </c>
      <c r="B40" s="52" t="s">
        <v>83</v>
      </c>
      <c r="C40" s="59" t="e">
        <f>C34-C36-C37-C38</f>
        <v>#DIV/0!</v>
      </c>
      <c r="D40" s="59" t="e">
        <f t="shared" ref="D40:H40" si="25">D34-D36-D37-D38</f>
        <v>#DIV/0!</v>
      </c>
      <c r="E40" s="59" t="e">
        <f t="shared" si="25"/>
        <v>#DIV/0!</v>
      </c>
      <c r="F40" s="59" t="e">
        <f t="shared" si="25"/>
        <v>#DIV/0!</v>
      </c>
      <c r="G40" s="59" t="e">
        <f t="shared" si="25"/>
        <v>#DIV/0!</v>
      </c>
      <c r="H40" s="59" t="e">
        <f t="shared" si="25"/>
        <v>#DIV/0!</v>
      </c>
      <c r="I40" s="59"/>
      <c r="T40" s="52" t="s">
        <v>83</v>
      </c>
      <c r="AJ40" s="52" t="s">
        <v>23</v>
      </c>
      <c r="AK40" s="52" t="s">
        <v>83</v>
      </c>
    </row>
    <row r="41" spans="1:37">
      <c r="A41" s="160">
        <v>2</v>
      </c>
      <c r="B41" s="52" t="s">
        <v>84</v>
      </c>
      <c r="C41" s="59"/>
      <c r="D41" s="59"/>
      <c r="E41" s="59"/>
      <c r="F41" s="59"/>
      <c r="G41" s="59"/>
      <c r="H41" s="59"/>
      <c r="I41" s="59"/>
      <c r="T41" s="52" t="s">
        <v>84</v>
      </c>
      <c r="AJ41" s="52" t="s">
        <v>25</v>
      </c>
      <c r="AK41" s="52" t="s">
        <v>84</v>
      </c>
    </row>
    <row r="42" spans="1:37">
      <c r="A42" s="52" t="s">
        <v>80</v>
      </c>
      <c r="B42" s="55" t="s">
        <v>86</v>
      </c>
      <c r="C42" s="59"/>
      <c r="D42" s="59"/>
      <c r="E42" s="59"/>
      <c r="F42" s="59"/>
      <c r="G42" s="59"/>
      <c r="H42" s="59"/>
      <c r="I42" s="59"/>
      <c r="T42" s="55" t="s">
        <v>86</v>
      </c>
      <c r="AJ42" s="52" t="s">
        <v>85</v>
      </c>
      <c r="AK42" s="55" t="s">
        <v>86</v>
      </c>
    </row>
    <row r="43" spans="1:37">
      <c r="A43" s="160">
        <v>1</v>
      </c>
      <c r="B43" s="60" t="s">
        <v>87</v>
      </c>
      <c r="C43" s="58">
        <f>'2022年'!C43</f>
        <v>0</v>
      </c>
      <c r="D43" s="58">
        <v>68.039999999999992</v>
      </c>
      <c r="E43" s="58">
        <v>21.599999999999998</v>
      </c>
      <c r="F43" s="58">
        <v>63</v>
      </c>
      <c r="G43" s="58">
        <v>39.15</v>
      </c>
      <c r="H43" s="58">
        <v>39.15</v>
      </c>
      <c r="I43" s="59"/>
      <c r="T43" s="52" t="s">
        <v>87</v>
      </c>
      <c r="AJ43" s="52" t="s">
        <v>23</v>
      </c>
      <c r="AK43" s="52" t="s">
        <v>87</v>
      </c>
    </row>
    <row r="44" spans="1:37">
      <c r="A44" s="160">
        <v>2</v>
      </c>
      <c r="B44" s="60" t="s">
        <v>88</v>
      </c>
      <c r="C44" s="58">
        <f>'2022年'!C44</f>
        <v>0</v>
      </c>
      <c r="D44" s="58">
        <v>10.584</v>
      </c>
      <c r="E44" s="58">
        <v>3.36</v>
      </c>
      <c r="F44" s="58">
        <v>9.8000000000000007</v>
      </c>
      <c r="G44" s="58">
        <v>6.09</v>
      </c>
      <c r="H44" s="58">
        <v>6.09</v>
      </c>
      <c r="I44" s="59"/>
      <c r="T44" s="52" t="s">
        <v>88</v>
      </c>
      <c r="AJ44" s="52" t="s">
        <v>25</v>
      </c>
      <c r="AK44" s="52" t="s">
        <v>88</v>
      </c>
    </row>
    <row r="45" spans="1:37">
      <c r="A45" s="160">
        <v>3</v>
      </c>
      <c r="B45" s="60" t="s">
        <v>89</v>
      </c>
      <c r="C45" s="58">
        <f>'2022年'!C45</f>
        <v>0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89</v>
      </c>
      <c r="AJ45" s="52" t="s">
        <v>73</v>
      </c>
      <c r="AK45" s="52" t="s">
        <v>89</v>
      </c>
    </row>
    <row r="46" spans="1:37" s="47" customFormat="1">
      <c r="A46" s="160">
        <v>4</v>
      </c>
      <c r="B46" s="60" t="s">
        <v>90</v>
      </c>
      <c r="C46" s="65" t="e">
        <f>C21/C6</f>
        <v>#DIV/0!</v>
      </c>
      <c r="D46" s="65" t="e">
        <f t="shared" ref="D46:H46" si="26">D21/D6</f>
        <v>#DIV/0!</v>
      </c>
      <c r="E46" s="65" t="e">
        <f t="shared" si="26"/>
        <v>#DIV/0!</v>
      </c>
      <c r="F46" s="65" t="e">
        <f t="shared" si="26"/>
        <v>#DIV/0!</v>
      </c>
      <c r="G46" s="65" t="e">
        <f t="shared" si="26"/>
        <v>#DIV/0!</v>
      </c>
      <c r="H46" s="65" t="e">
        <f t="shared" si="26"/>
        <v>#DIV/0!</v>
      </c>
      <c r="I46" s="65"/>
      <c r="T46" s="60" t="s">
        <v>92</v>
      </c>
      <c r="AJ46" s="60" t="s">
        <v>31</v>
      </c>
      <c r="AK46" s="60" t="s">
        <v>92</v>
      </c>
    </row>
    <row r="47" spans="1:37" s="47" customFormat="1">
      <c r="A47" s="160">
        <v>5</v>
      </c>
      <c r="B47" s="60" t="s">
        <v>92</v>
      </c>
      <c r="C47" s="65">
        <f>'2022年'!C47</f>
        <v>46.800000000000004</v>
      </c>
      <c r="D47" s="65">
        <v>63.504000000000005</v>
      </c>
      <c r="E47" s="65">
        <v>20.16</v>
      </c>
      <c r="F47" s="65">
        <v>58.800000000000004</v>
      </c>
      <c r="G47" s="65">
        <v>36.54</v>
      </c>
      <c r="H47" s="65">
        <v>36.54</v>
      </c>
      <c r="I47" s="65"/>
      <c r="T47" s="60" t="s">
        <v>92</v>
      </c>
      <c r="AJ47" s="60" t="s">
        <v>31</v>
      </c>
      <c r="AK47" s="60" t="s">
        <v>92</v>
      </c>
    </row>
    <row r="48" spans="1:37">
      <c r="A48" s="52" t="s">
        <v>85</v>
      </c>
      <c r="B48" s="55" t="s">
        <v>103</v>
      </c>
      <c r="C48" s="59" t="e">
        <f>C40-C43-C44-C45-C47-C46</f>
        <v>#DIV/0!</v>
      </c>
      <c r="D48" s="59" t="e">
        <f t="shared" ref="D48:H48" si="27">D40-D43-D44-D45-D47-D46</f>
        <v>#DIV/0!</v>
      </c>
      <c r="E48" s="59" t="e">
        <f t="shared" si="27"/>
        <v>#DIV/0!</v>
      </c>
      <c r="F48" s="59" t="e">
        <f t="shared" si="27"/>
        <v>#DIV/0!</v>
      </c>
      <c r="G48" s="59" t="e">
        <f t="shared" si="27"/>
        <v>#DIV/0!</v>
      </c>
      <c r="H48" s="59" t="e">
        <f t="shared" si="27"/>
        <v>#DIV/0!</v>
      </c>
      <c r="I48" s="59"/>
      <c r="T48" s="55" t="s">
        <v>103</v>
      </c>
      <c r="AJ48" s="52" t="s">
        <v>102</v>
      </c>
      <c r="AK48" s="55" t="s">
        <v>103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D13" sqref="D13"/>
    </sheetView>
  </sheetViews>
  <sheetFormatPr defaultColWidth="9" defaultRowHeight="13.5"/>
  <cols>
    <col min="1" max="1" width="20.625" customWidth="1"/>
    <col min="2" max="2" width="14.25" style="26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</cols>
  <sheetData>
    <row r="1" spans="1:10" ht="20.25">
      <c r="A1" s="253" t="s">
        <v>153</v>
      </c>
      <c r="B1" s="253"/>
      <c r="C1" s="253"/>
      <c r="E1" s="254" t="s">
        <v>265</v>
      </c>
      <c r="F1" s="255"/>
      <c r="G1" s="255"/>
      <c r="H1" s="256"/>
      <c r="J1" s="201"/>
    </row>
    <row r="2" spans="1:10" ht="23.45" customHeight="1">
      <c r="A2" s="27" t="s">
        <v>1</v>
      </c>
      <c r="B2" s="28" t="s">
        <v>154</v>
      </c>
      <c r="C2" s="29" t="s">
        <v>155</v>
      </c>
      <c r="E2" s="1" t="s">
        <v>156</v>
      </c>
      <c r="F2" s="1" t="s">
        <v>1</v>
      </c>
      <c r="G2" s="30" t="s">
        <v>157</v>
      </c>
      <c r="H2" s="1" t="s">
        <v>155</v>
      </c>
      <c r="J2" s="196"/>
    </row>
    <row r="3" spans="1:10" ht="15.75" customHeight="1">
      <c r="A3" s="31" t="s">
        <v>158</v>
      </c>
      <c r="B3" s="32"/>
      <c r="C3" s="33"/>
      <c r="E3" s="246" t="s">
        <v>159</v>
      </c>
      <c r="F3" s="2" t="s">
        <v>160</v>
      </c>
      <c r="G3" s="34"/>
      <c r="H3" s="2"/>
      <c r="J3" s="252"/>
    </row>
    <row r="4" spans="1:10" ht="15.75" customHeight="1">
      <c r="A4" s="31" t="s">
        <v>161</v>
      </c>
      <c r="B4" s="32"/>
      <c r="C4" s="35"/>
      <c r="E4" s="247"/>
      <c r="F4" s="2" t="s">
        <v>162</v>
      </c>
      <c r="G4" s="34"/>
      <c r="H4" s="2"/>
      <c r="J4" s="252"/>
    </row>
    <row r="5" spans="1:10" ht="15.75" customHeight="1">
      <c r="A5" s="31" t="s">
        <v>163</v>
      </c>
      <c r="B5" s="36">
        <f>SUM(G3:G4)</f>
        <v>0</v>
      </c>
      <c r="C5" s="33"/>
      <c r="E5" s="248" t="s">
        <v>164</v>
      </c>
      <c r="F5" s="37" t="s">
        <v>165</v>
      </c>
      <c r="G5" s="176"/>
      <c r="H5" s="189"/>
      <c r="I5" s="198"/>
      <c r="J5" s="197"/>
    </row>
    <row r="6" spans="1:10" ht="15.75" customHeight="1">
      <c r="A6" s="31" t="s">
        <v>166</v>
      </c>
      <c r="B6" s="32"/>
      <c r="C6" s="33"/>
      <c r="E6" s="249"/>
      <c r="F6" s="37" t="s">
        <v>167</v>
      </c>
      <c r="G6" s="176">
        <v>56.85</v>
      </c>
      <c r="H6" s="190" t="s">
        <v>266</v>
      </c>
      <c r="I6" s="203"/>
      <c r="J6" s="197"/>
    </row>
    <row r="7" spans="1:10" ht="15.75" customHeight="1">
      <c r="A7" s="38" t="s">
        <v>168</v>
      </c>
      <c r="B7" s="36">
        <f>SUM(B3:B6)</f>
        <v>0</v>
      </c>
      <c r="C7" s="33"/>
      <c r="E7" s="249"/>
      <c r="F7" s="37" t="s">
        <v>169</v>
      </c>
      <c r="G7" s="176">
        <v>3.5</v>
      </c>
      <c r="H7" s="190" t="s">
        <v>267</v>
      </c>
      <c r="J7" s="197"/>
    </row>
    <row r="8" spans="1:10" ht="15.75" customHeight="1">
      <c r="A8" s="39" t="s">
        <v>170</v>
      </c>
      <c r="B8" s="36">
        <f>SUM(G5:G12)</f>
        <v>101.35</v>
      </c>
      <c r="C8" s="40"/>
      <c r="E8" s="249"/>
      <c r="F8" s="37" t="s">
        <v>171</v>
      </c>
      <c r="G8" s="176">
        <v>0</v>
      </c>
      <c r="H8" s="190"/>
      <c r="J8" s="197"/>
    </row>
    <row r="9" spans="1:10" ht="15.75" customHeight="1">
      <c r="A9" s="31" t="s">
        <v>172</v>
      </c>
      <c r="B9" s="36">
        <f>SUM(G13:G21)</f>
        <v>75</v>
      </c>
      <c r="C9" s="33"/>
      <c r="E9" s="249"/>
      <c r="F9" s="2" t="s">
        <v>173</v>
      </c>
      <c r="G9" s="176">
        <v>36</v>
      </c>
      <c r="H9" s="191" t="s">
        <v>268</v>
      </c>
      <c r="J9" s="197"/>
    </row>
    <row r="10" spans="1:10" ht="15.75" customHeight="1">
      <c r="A10" s="35" t="s">
        <v>19</v>
      </c>
      <c r="B10" s="36">
        <f>B7+B8+B9</f>
        <v>176.35</v>
      </c>
      <c r="C10" s="33"/>
      <c r="E10" s="249"/>
      <c r="F10" s="2" t="s">
        <v>174</v>
      </c>
      <c r="G10" s="176">
        <v>5</v>
      </c>
      <c r="H10" s="190" t="s">
        <v>269</v>
      </c>
      <c r="J10" s="197"/>
    </row>
    <row r="11" spans="1:10" ht="15.75" customHeight="1">
      <c r="E11" s="249"/>
      <c r="F11" s="2" t="s">
        <v>175</v>
      </c>
      <c r="G11" s="176">
        <v>0</v>
      </c>
      <c r="H11" s="190"/>
      <c r="J11" s="197"/>
    </row>
    <row r="12" spans="1:10" ht="15.75" customHeight="1">
      <c r="E12" s="250"/>
      <c r="F12" s="2" t="s">
        <v>176</v>
      </c>
      <c r="G12" s="176">
        <v>0</v>
      </c>
      <c r="H12" s="190"/>
      <c r="J12" s="197"/>
    </row>
    <row r="13" spans="1:10" ht="15.75" customHeight="1">
      <c r="E13" s="246" t="s">
        <v>51</v>
      </c>
      <c r="F13" s="2" t="s">
        <v>177</v>
      </c>
      <c r="G13" s="176">
        <v>12</v>
      </c>
      <c r="H13" s="191"/>
      <c r="J13" s="252"/>
    </row>
    <row r="14" spans="1:10" ht="15.75" customHeight="1">
      <c r="E14" s="247"/>
      <c r="F14" s="2" t="s">
        <v>178</v>
      </c>
      <c r="G14" s="176">
        <v>4.5</v>
      </c>
      <c r="H14" s="190" t="s">
        <v>270</v>
      </c>
      <c r="J14" s="252"/>
    </row>
    <row r="15" spans="1:10" ht="15.75" customHeight="1">
      <c r="E15" s="247"/>
      <c r="F15" s="2" t="s">
        <v>179</v>
      </c>
      <c r="G15" s="176">
        <v>0.5</v>
      </c>
      <c r="H15" s="190"/>
      <c r="J15" s="252"/>
    </row>
    <row r="16" spans="1:10" ht="15.75" customHeight="1">
      <c r="E16" s="247"/>
      <c r="F16" s="2" t="s">
        <v>180</v>
      </c>
      <c r="G16" s="176">
        <f>G18*0.4</f>
        <v>6</v>
      </c>
      <c r="H16" s="190"/>
      <c r="J16" s="252"/>
    </row>
    <row r="17" spans="1:10" ht="15.75" customHeight="1">
      <c r="E17" s="247"/>
      <c r="F17" s="2" t="s">
        <v>181</v>
      </c>
      <c r="G17" s="176">
        <v>12</v>
      </c>
      <c r="H17" s="190" t="s">
        <v>271</v>
      </c>
      <c r="J17" s="252"/>
    </row>
    <row r="18" spans="1:10" ht="15.75" customHeight="1">
      <c r="E18" s="247"/>
      <c r="F18" s="2" t="s">
        <v>182</v>
      </c>
      <c r="G18" s="176">
        <v>15</v>
      </c>
      <c r="H18" s="191"/>
      <c r="J18" s="252"/>
    </row>
    <row r="19" spans="1:10" ht="15.75" customHeight="1">
      <c r="E19" s="247"/>
      <c r="F19" s="2" t="s">
        <v>183</v>
      </c>
      <c r="G19" s="176">
        <v>20</v>
      </c>
      <c r="H19" s="207" t="s">
        <v>272</v>
      </c>
      <c r="J19" s="252"/>
    </row>
    <row r="20" spans="1:10" ht="15.75" customHeight="1">
      <c r="E20" s="247"/>
      <c r="F20" s="2" t="s">
        <v>184</v>
      </c>
      <c r="G20" s="176">
        <v>5</v>
      </c>
      <c r="H20" s="190"/>
      <c r="J20" s="252"/>
    </row>
    <row r="21" spans="1:10" ht="15.75" customHeight="1">
      <c r="E21" s="251"/>
      <c r="F21" s="2" t="s">
        <v>131</v>
      </c>
      <c r="G21" s="176"/>
      <c r="H21" s="190"/>
      <c r="J21" s="252"/>
    </row>
    <row r="22" spans="1:10" ht="15.75" customHeight="1">
      <c r="E22" s="1" t="s">
        <v>19</v>
      </c>
      <c r="F22" s="2"/>
      <c r="G22" s="30">
        <f>SUM(G3:G21)</f>
        <v>176.35</v>
      </c>
      <c r="H22" s="2"/>
      <c r="J22" s="252"/>
    </row>
    <row r="23" spans="1:10" ht="30.75" customHeight="1">
      <c r="E23" s="257" t="s">
        <v>185</v>
      </c>
      <c r="F23" s="257"/>
      <c r="G23" s="257"/>
      <c r="H23" s="257"/>
    </row>
    <row r="25" spans="1:10" ht="17.25">
      <c r="A25" s="19" t="s">
        <v>1</v>
      </c>
      <c r="B25" s="19" t="s">
        <v>154</v>
      </c>
      <c r="C25" s="19" t="s">
        <v>186</v>
      </c>
      <c r="D25" s="177" t="s">
        <v>18</v>
      </c>
      <c r="E25" s="177" t="s">
        <v>187</v>
      </c>
      <c r="F25" s="177" t="s">
        <v>188</v>
      </c>
      <c r="G25" s="177" t="s">
        <v>189</v>
      </c>
      <c r="H25" s="177" t="s">
        <v>238</v>
      </c>
      <c r="I25" s="21" t="s">
        <v>19</v>
      </c>
      <c r="J25" s="44" t="s">
        <v>190</v>
      </c>
    </row>
    <row r="26" spans="1:10" ht="16.5">
      <c r="A26" s="41" t="s">
        <v>149</v>
      </c>
      <c r="B26" s="42">
        <f>(B5+B8)*10000</f>
        <v>1013500</v>
      </c>
      <c r="C26" s="43">
        <v>0.05</v>
      </c>
      <c r="D26" s="13">
        <f>B26*(1-C26)/3</f>
        <v>320941.66666666669</v>
      </c>
      <c r="E26" s="13">
        <f t="shared" ref="E26:F27" si="0">D26</f>
        <v>320941.66666666669</v>
      </c>
      <c r="F26" s="13">
        <f t="shared" si="0"/>
        <v>320941.66666666669</v>
      </c>
      <c r="G26" s="13"/>
      <c r="H26" s="13"/>
      <c r="I26" s="13">
        <f>SUM(D26:H26)</f>
        <v>962825</v>
      </c>
      <c r="J26" s="13">
        <f>B26*0.05</f>
        <v>50675</v>
      </c>
    </row>
    <row r="27" spans="1:10" ht="16.5">
      <c r="A27" s="41" t="s">
        <v>191</v>
      </c>
      <c r="B27" s="42">
        <f>B9*10000</f>
        <v>750000</v>
      </c>
      <c r="C27" s="13"/>
      <c r="D27" s="13">
        <f>B27/3</f>
        <v>250000</v>
      </c>
      <c r="E27" s="13">
        <f t="shared" si="0"/>
        <v>250000</v>
      </c>
      <c r="F27" s="13">
        <f t="shared" si="0"/>
        <v>250000</v>
      </c>
      <c r="G27" s="13"/>
      <c r="H27" s="13"/>
      <c r="I27" s="13">
        <f>SUM(D27:H27)</f>
        <v>750000</v>
      </c>
      <c r="J27" s="13"/>
    </row>
    <row r="28" spans="1:10" ht="16.5">
      <c r="A28" s="243" t="s">
        <v>111</v>
      </c>
      <c r="B28" s="244"/>
      <c r="C28" s="245"/>
      <c r="D28" s="13">
        <f>SUM(D26:D27)</f>
        <v>570941.66666666674</v>
      </c>
      <c r="E28" s="13">
        <f t="shared" ref="E28:H28" si="1">SUM(E26:E27)</f>
        <v>570941.66666666674</v>
      </c>
      <c r="F28" s="13">
        <f t="shared" si="1"/>
        <v>570941.66666666674</v>
      </c>
      <c r="G28" s="13">
        <f t="shared" si="1"/>
        <v>0</v>
      </c>
      <c r="H28" s="13">
        <f t="shared" si="1"/>
        <v>0</v>
      </c>
      <c r="I28" s="45"/>
      <c r="J28" s="45"/>
    </row>
    <row r="40" spans="9:9">
      <c r="I40" s="202"/>
    </row>
    <row r="41" spans="9:9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J3:J4"/>
    <mergeCell ref="J13:J22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2022-08-05T00:42:29Z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