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300" windowWidth="18525" windowHeight="6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 " sheetId="60" r:id="rId8"/>
    <sheet name="2028年" sheetId="59" r:id="rId9"/>
    <sheet name="2029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'2023年'!$A$1:$F$48</definedName>
    <definedName name="_xlnm.Print_Area" localSheetId="4">'2024年'!$A$1:$J$48</definedName>
    <definedName name="_xlnm.Print_Area" localSheetId="5">'2025年'!$A$1:$J$48</definedName>
    <definedName name="_xlnm.Print_Area" localSheetId="6">'2026年'!$A$1:$J$48</definedName>
    <definedName name="_xlnm.Print_Area" localSheetId="7">'2027年 '!$A$1:$J$48</definedName>
    <definedName name="_xlnm.Print_Area" localSheetId="8">'2028年'!$A$1:$J$48</definedName>
    <definedName name="_xlnm.Print_Area" localSheetId="1">损益表!$A$1:$J$61</definedName>
    <definedName name="_xlnm.Print_Area" localSheetId="10">项目投资!$A$1:$C$35</definedName>
  </definedNames>
  <calcPr calcId="162913"/>
</workbook>
</file>

<file path=xl/calcChain.xml><?xml version="1.0" encoding="utf-8"?>
<calcChain xmlns="http://schemas.openxmlformats.org/spreadsheetml/2006/main">
  <c r="G12" i="51" l="1"/>
  <c r="F10" i="62" l="1"/>
  <c r="F9" i="62"/>
  <c r="F8" i="62"/>
  <c r="G8" i="62" s="1"/>
  <c r="H8" i="62" s="1"/>
  <c r="F6" i="62"/>
  <c r="F7" i="62"/>
  <c r="G7" i="62" s="1"/>
  <c r="H7" i="62" s="1"/>
  <c r="F5" i="62"/>
  <c r="G5" i="62" s="1"/>
  <c r="H5" i="62" s="1"/>
  <c r="F4" i="62"/>
  <c r="F11" i="62" s="1"/>
  <c r="E10" i="62"/>
  <c r="E9" i="62"/>
  <c r="G9" i="62" s="1"/>
  <c r="H9" i="62" s="1"/>
  <c r="E8" i="62"/>
  <c r="E7" i="62"/>
  <c r="E6" i="62"/>
  <c r="E11" i="62" s="1"/>
  <c r="E5" i="62"/>
  <c r="E4" i="62"/>
  <c r="C10" i="62"/>
  <c r="C9" i="62"/>
  <c r="C8" i="62"/>
  <c r="C7" i="62"/>
  <c r="C6" i="62"/>
  <c r="C5" i="62"/>
  <c r="C4" i="62"/>
  <c r="B10" i="62"/>
  <c r="B9" i="62"/>
  <c r="B8" i="62"/>
  <c r="B7" i="62"/>
  <c r="B6" i="62"/>
  <c r="B5" i="62"/>
  <c r="B4" i="62"/>
  <c r="G6" i="62" l="1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I31" i="61"/>
  <c r="D31" i="59"/>
  <c r="E31" i="59"/>
  <c r="F31" i="59"/>
  <c r="G31" i="59"/>
  <c r="H31" i="59"/>
  <c r="I31" i="59"/>
  <c r="D6" i="61"/>
  <c r="E6" i="61"/>
  <c r="F6" i="61"/>
  <c r="G6" i="61"/>
  <c r="H6" i="61"/>
  <c r="H7" i="61" s="1"/>
  <c r="I6" i="61"/>
  <c r="C6" i="61"/>
  <c r="C31" i="61"/>
  <c r="G7" i="61"/>
  <c r="D7" i="61"/>
  <c r="I4" i="61"/>
  <c r="H4" i="61"/>
  <c r="G4" i="61"/>
  <c r="F4" i="61"/>
  <c r="E4" i="61"/>
  <c r="D4" i="61"/>
  <c r="C4" i="61"/>
  <c r="C3" i="61"/>
  <c r="C2" i="61"/>
  <c r="D6" i="59"/>
  <c r="E6" i="59"/>
  <c r="F6" i="59"/>
  <c r="G6" i="59"/>
  <c r="H6" i="59"/>
  <c r="I6" i="59"/>
  <c r="D7" i="59"/>
  <c r="G7" i="59"/>
  <c r="D4" i="59"/>
  <c r="E4" i="59"/>
  <c r="F4" i="59"/>
  <c r="G4" i="59"/>
  <c r="H4" i="59"/>
  <c r="I4" i="59"/>
  <c r="D31" i="60"/>
  <c r="E31" i="60"/>
  <c r="F31" i="60"/>
  <c r="G31" i="60"/>
  <c r="H31" i="60"/>
  <c r="I31" i="60"/>
  <c r="D6" i="60"/>
  <c r="E6" i="60"/>
  <c r="F6" i="60"/>
  <c r="G6" i="60"/>
  <c r="H6" i="60"/>
  <c r="I6" i="60"/>
  <c r="D7" i="60"/>
  <c r="G7" i="60"/>
  <c r="D4" i="60"/>
  <c r="E4" i="60"/>
  <c r="F4" i="60"/>
  <c r="G4" i="60"/>
  <c r="H4" i="60"/>
  <c r="I4" i="60"/>
  <c r="D31" i="58"/>
  <c r="E31" i="58"/>
  <c r="F31" i="58"/>
  <c r="G31" i="58"/>
  <c r="H31" i="58"/>
  <c r="I31" i="58"/>
  <c r="D6" i="58"/>
  <c r="E6" i="58"/>
  <c r="F6" i="58"/>
  <c r="F7" i="58" s="1"/>
  <c r="G6" i="58"/>
  <c r="H6" i="58"/>
  <c r="I6" i="58"/>
  <c r="I7" i="58" s="1"/>
  <c r="D7" i="58"/>
  <c r="G7" i="58"/>
  <c r="D4" i="58"/>
  <c r="E4" i="58"/>
  <c r="F4" i="58"/>
  <c r="G4" i="58"/>
  <c r="H4" i="58"/>
  <c r="I4" i="58"/>
  <c r="H7" i="58" l="1"/>
  <c r="E7" i="58"/>
  <c r="H7" i="60"/>
  <c r="E7" i="60"/>
  <c r="I7" i="61"/>
  <c r="H7" i="59"/>
  <c r="E7" i="59"/>
  <c r="F7" i="61"/>
  <c r="E7" i="61"/>
  <c r="J6" i="61"/>
  <c r="I3" i="2" s="1"/>
  <c r="I7" i="60"/>
  <c r="F7" i="60"/>
  <c r="I7" i="59"/>
  <c r="F7" i="59"/>
  <c r="C7" i="61"/>
  <c r="J7" i="61" s="1"/>
  <c r="I4" i="2" s="1"/>
  <c r="D31" i="57" l="1"/>
  <c r="E31" i="57"/>
  <c r="F31" i="57"/>
  <c r="G31" i="57"/>
  <c r="H31" i="57"/>
  <c r="I31" i="57"/>
  <c r="D6" i="57"/>
  <c r="D7" i="57" s="1"/>
  <c r="E6" i="57"/>
  <c r="F6" i="57"/>
  <c r="G6" i="57"/>
  <c r="H6" i="57"/>
  <c r="I6" i="57"/>
  <c r="D4" i="57"/>
  <c r="E4" i="57"/>
  <c r="F4" i="57"/>
  <c r="G4" i="57"/>
  <c r="H4" i="57"/>
  <c r="I4" i="57"/>
  <c r="D31" i="56"/>
  <c r="E31" i="56"/>
  <c r="F31" i="56"/>
  <c r="G31" i="56"/>
  <c r="H31" i="56"/>
  <c r="I31" i="56"/>
  <c r="D6" i="56"/>
  <c r="E6" i="56"/>
  <c r="F6" i="56"/>
  <c r="G6" i="56"/>
  <c r="H6" i="56"/>
  <c r="I6" i="56"/>
  <c r="D4" i="56"/>
  <c r="E4" i="56"/>
  <c r="F4" i="56"/>
  <c r="G4" i="56"/>
  <c r="H4" i="56"/>
  <c r="I4" i="56"/>
  <c r="F8" i="43"/>
  <c r="E31" i="43"/>
  <c r="E32" i="43" s="1"/>
  <c r="D31" i="43"/>
  <c r="D32" i="43" s="1"/>
  <c r="D6" i="43"/>
  <c r="E6" i="43"/>
  <c r="E7" i="43" s="1"/>
  <c r="E9" i="43" s="1"/>
  <c r="E4" i="43"/>
  <c r="D4" i="43"/>
  <c r="G7" i="56" l="1"/>
  <c r="D7" i="56"/>
  <c r="I7" i="57"/>
  <c r="F7" i="57"/>
  <c r="I7" i="56"/>
  <c r="F7" i="56"/>
  <c r="H7" i="57"/>
  <c r="E7" i="57"/>
  <c r="H7" i="56"/>
  <c r="E7" i="56"/>
  <c r="G7" i="57"/>
  <c r="D7" i="43"/>
  <c r="D9" i="43" s="1"/>
  <c r="H88" i="50"/>
  <c r="H74" i="50"/>
  <c r="H61" i="50"/>
  <c r="H48" i="50"/>
  <c r="H35" i="50"/>
  <c r="H21" i="50"/>
  <c r="J84" i="50"/>
  <c r="J33" i="53"/>
  <c r="E47" i="53" s="1"/>
  <c r="F47" i="53" s="1"/>
  <c r="J5" i="53"/>
  <c r="J10" i="55"/>
  <c r="J11" i="55"/>
  <c r="J12" i="55"/>
  <c r="J13" i="55"/>
  <c r="J14" i="55"/>
  <c r="J15" i="55"/>
  <c r="J9" i="55"/>
  <c r="I16" i="55"/>
  <c r="G18" i="51"/>
  <c r="G47" i="53" l="1"/>
  <c r="I33" i="56"/>
  <c r="I10" i="56"/>
  <c r="F86" i="50"/>
  <c r="I43" i="56" s="1"/>
  <c r="F87" i="50"/>
  <c r="I37" i="56" s="1"/>
  <c r="F91" i="50"/>
  <c r="I38" i="56" s="1"/>
  <c r="F88" i="50"/>
  <c r="F92" i="50"/>
  <c r="I47" i="56" s="1"/>
  <c r="F89" i="50"/>
  <c r="I45" i="56" s="1"/>
  <c r="F90" i="50"/>
  <c r="I44" i="56" s="1"/>
  <c r="F85" i="50"/>
  <c r="I36" i="56" s="1"/>
  <c r="H7" i="50"/>
  <c r="I11" i="56" l="1"/>
  <c r="I36" i="59"/>
  <c r="I11" i="59" s="1"/>
  <c r="I36" i="60"/>
  <c r="I11" i="60" s="1"/>
  <c r="I36" i="58"/>
  <c r="I11" i="58" s="1"/>
  <c r="I36" i="61"/>
  <c r="I11" i="61" s="1"/>
  <c r="I36" i="57"/>
  <c r="I11" i="57" s="1"/>
  <c r="I12" i="56"/>
  <c r="I37" i="59"/>
  <c r="I12" i="59" s="1"/>
  <c r="I37" i="61"/>
  <c r="I12" i="61" s="1"/>
  <c r="I37" i="60"/>
  <c r="I12" i="60" s="1"/>
  <c r="I14" i="60" s="1"/>
  <c r="I37" i="58"/>
  <c r="I12" i="58" s="1"/>
  <c r="I37" i="57"/>
  <c r="I12" i="57" s="1"/>
  <c r="I19" i="56"/>
  <c r="I44" i="59"/>
  <c r="I19" i="59" s="1"/>
  <c r="I44" i="58"/>
  <c r="I19" i="58" s="1"/>
  <c r="I44" i="61"/>
  <c r="I19" i="61" s="1"/>
  <c r="I44" i="60"/>
  <c r="I19" i="60" s="1"/>
  <c r="I44" i="57"/>
  <c r="I19" i="57" s="1"/>
  <c r="I43" i="59"/>
  <c r="I43" i="58"/>
  <c r="I43" i="60"/>
  <c r="I43" i="61"/>
  <c r="I43" i="57"/>
  <c r="I45" i="59"/>
  <c r="I20" i="59" s="1"/>
  <c r="I45" i="61"/>
  <c r="I20" i="61" s="1"/>
  <c r="I45" i="60"/>
  <c r="I20" i="60" s="1"/>
  <c r="I45" i="58"/>
  <c r="I20" i="58" s="1"/>
  <c r="I45" i="57"/>
  <c r="I20" i="57" s="1"/>
  <c r="I20" i="56"/>
  <c r="I38" i="59"/>
  <c r="I13" i="59" s="1"/>
  <c r="I38" i="61"/>
  <c r="I13" i="61" s="1"/>
  <c r="I38" i="60"/>
  <c r="I13" i="60" s="1"/>
  <c r="I38" i="58"/>
  <c r="I13" i="58" s="1"/>
  <c r="I38" i="57"/>
  <c r="I13" i="57" s="1"/>
  <c r="I13" i="56"/>
  <c r="H47" i="53"/>
  <c r="I33" i="57"/>
  <c r="I10" i="57"/>
  <c r="I22" i="56"/>
  <c r="I47" i="59"/>
  <c r="I47" i="61"/>
  <c r="I47" i="60"/>
  <c r="I47" i="57"/>
  <c r="I47" i="58"/>
  <c r="G64" i="50"/>
  <c r="G61" i="50"/>
  <c r="G51" i="50"/>
  <c r="G48" i="50"/>
  <c r="G38" i="50"/>
  <c r="G35" i="50"/>
  <c r="G24" i="50"/>
  <c r="G21" i="50"/>
  <c r="G10" i="50"/>
  <c r="G7" i="50"/>
  <c r="I47" i="53" l="1"/>
  <c r="I33" i="58"/>
  <c r="I10" i="58"/>
  <c r="I14" i="58"/>
  <c r="I14" i="56"/>
  <c r="I14" i="57"/>
  <c r="I14" i="61"/>
  <c r="I14" i="59"/>
  <c r="I22" i="58"/>
  <c r="I22" i="59"/>
  <c r="I22" i="57"/>
  <c r="I22" i="60"/>
  <c r="I22" i="61"/>
  <c r="C6" i="59"/>
  <c r="J6" i="59" s="1"/>
  <c r="C31" i="60"/>
  <c r="C6" i="60"/>
  <c r="C4" i="60"/>
  <c r="C3" i="60"/>
  <c r="C2" i="60"/>
  <c r="J6" i="60" l="1"/>
  <c r="J47" i="53"/>
  <c r="I33" i="60"/>
  <c r="I10" i="60"/>
  <c r="G3" i="2"/>
  <c r="C7" i="60"/>
  <c r="J7" i="60" s="1"/>
  <c r="J70" i="50"/>
  <c r="J57" i="50"/>
  <c r="I62" i="50"/>
  <c r="I61" i="50"/>
  <c r="J44" i="50"/>
  <c r="I49" i="50"/>
  <c r="I48" i="50"/>
  <c r="J31" i="50"/>
  <c r="I36" i="50"/>
  <c r="I35" i="50"/>
  <c r="J17" i="50"/>
  <c r="I22" i="50"/>
  <c r="I21" i="50"/>
  <c r="J3" i="50"/>
  <c r="I33" i="53"/>
  <c r="E46" i="53" s="1"/>
  <c r="F46" i="53" s="1"/>
  <c r="I4" i="53"/>
  <c r="I5" i="53"/>
  <c r="E4" i="53"/>
  <c r="F4" i="53"/>
  <c r="G4" i="53"/>
  <c r="H4" i="53"/>
  <c r="E5" i="53"/>
  <c r="F5" i="53"/>
  <c r="G5" i="53"/>
  <c r="H5" i="53"/>
  <c r="D5" i="53"/>
  <c r="D4" i="53"/>
  <c r="G46" i="53" l="1"/>
  <c r="H33" i="56"/>
  <c r="H10" i="56"/>
  <c r="K47" i="53"/>
  <c r="I33" i="59"/>
  <c r="I10" i="59"/>
  <c r="F20" i="50"/>
  <c r="D37" i="43" s="1"/>
  <c r="F21" i="50"/>
  <c r="F25" i="50"/>
  <c r="D47" i="43" s="1"/>
  <c r="F22" i="50"/>
  <c r="D45" i="43" s="1"/>
  <c r="F19" i="50"/>
  <c r="D43" i="43" s="1"/>
  <c r="F23" i="50"/>
  <c r="D44" i="43" s="1"/>
  <c r="F24" i="50"/>
  <c r="D38" i="43" s="1"/>
  <c r="F18" i="50"/>
  <c r="D36" i="43" s="1"/>
  <c r="F50" i="50"/>
  <c r="F44" i="56" s="1"/>
  <c r="F51" i="50"/>
  <c r="F38" i="56" s="1"/>
  <c r="F48" i="50"/>
  <c r="F52" i="50"/>
  <c r="F47" i="56" s="1"/>
  <c r="F49" i="50"/>
  <c r="F45" i="56" s="1"/>
  <c r="F46" i="50"/>
  <c r="F43" i="56" s="1"/>
  <c r="F45" i="50"/>
  <c r="F36" i="56" s="1"/>
  <c r="F47" i="50"/>
  <c r="F37" i="56" s="1"/>
  <c r="F71" i="50"/>
  <c r="H36" i="56" s="1"/>
  <c r="F73" i="50"/>
  <c r="H37" i="56" s="1"/>
  <c r="F77" i="50"/>
  <c r="H38" i="56" s="1"/>
  <c r="F74" i="50"/>
  <c r="F78" i="50"/>
  <c r="H47" i="56" s="1"/>
  <c r="F75" i="50"/>
  <c r="H45" i="56" s="1"/>
  <c r="F72" i="50"/>
  <c r="H43" i="56" s="1"/>
  <c r="F76" i="50"/>
  <c r="H44" i="56" s="1"/>
  <c r="F32" i="50"/>
  <c r="E36" i="43" s="1"/>
  <c r="F37" i="50"/>
  <c r="E44" i="43" s="1"/>
  <c r="F34" i="50"/>
  <c r="E37" i="43" s="1"/>
  <c r="F35" i="50"/>
  <c r="F39" i="50"/>
  <c r="E47" i="43" s="1"/>
  <c r="F36" i="50"/>
  <c r="E45" i="43" s="1"/>
  <c r="F33" i="50"/>
  <c r="E43" i="43" s="1"/>
  <c r="F38" i="50"/>
  <c r="E38" i="43" s="1"/>
  <c r="F60" i="50"/>
  <c r="G37" i="56" s="1"/>
  <c r="F64" i="50"/>
  <c r="G38" i="56" s="1"/>
  <c r="F61" i="50"/>
  <c r="F65" i="50"/>
  <c r="G47" i="56" s="1"/>
  <c r="F62" i="50"/>
  <c r="G45" i="56" s="1"/>
  <c r="F59" i="50"/>
  <c r="G43" i="56" s="1"/>
  <c r="F63" i="50"/>
  <c r="G44" i="56" s="1"/>
  <c r="F58" i="50"/>
  <c r="G36" i="56" s="1"/>
  <c r="F11" i="50"/>
  <c r="F6" i="50"/>
  <c r="F8" i="50"/>
  <c r="C45" i="43" s="1"/>
  <c r="C45" i="61" s="1"/>
  <c r="C20" i="61" s="1"/>
  <c r="F4" i="50"/>
  <c r="F9" i="50"/>
  <c r="F7" i="50"/>
  <c r="F10" i="50"/>
  <c r="F5" i="50"/>
  <c r="C43" i="43" s="1"/>
  <c r="C43" i="61" s="1"/>
  <c r="C44" i="43"/>
  <c r="C44" i="61" s="1"/>
  <c r="C19" i="61" s="1"/>
  <c r="G4" i="2"/>
  <c r="G36" i="59" l="1"/>
  <c r="G11" i="59" s="1"/>
  <c r="G36" i="60"/>
  <c r="G11" i="60" s="1"/>
  <c r="G36" i="58"/>
  <c r="G11" i="58" s="1"/>
  <c r="G36" i="61"/>
  <c r="G11" i="61" s="1"/>
  <c r="G36" i="57"/>
  <c r="G11" i="57" s="1"/>
  <c r="G11" i="56"/>
  <c r="G20" i="56"/>
  <c r="G45" i="59"/>
  <c r="G20" i="59" s="1"/>
  <c r="G45" i="60"/>
  <c r="G20" i="60" s="1"/>
  <c r="G45" i="58"/>
  <c r="G20" i="58" s="1"/>
  <c r="G45" i="61"/>
  <c r="G20" i="61" s="1"/>
  <c r="G45" i="57"/>
  <c r="G20" i="57" s="1"/>
  <c r="G38" i="59"/>
  <c r="G13" i="59" s="1"/>
  <c r="G38" i="60"/>
  <c r="G13" i="60" s="1"/>
  <c r="G14" i="60" s="1"/>
  <c r="G38" i="58"/>
  <c r="G13" i="58" s="1"/>
  <c r="G38" i="61"/>
  <c r="G13" i="61" s="1"/>
  <c r="G38" i="57"/>
  <c r="G13" i="57" s="1"/>
  <c r="G13" i="56"/>
  <c r="E43" i="61"/>
  <c r="E43" i="59"/>
  <c r="E43" i="60"/>
  <c r="E43" i="58"/>
  <c r="E43" i="57"/>
  <c r="E36" i="56"/>
  <c r="E36" i="61"/>
  <c r="E11" i="61" s="1"/>
  <c r="E36" i="60"/>
  <c r="E11" i="60" s="1"/>
  <c r="E36" i="58"/>
  <c r="E11" i="58" s="1"/>
  <c r="E36" i="59"/>
  <c r="E11" i="59" s="1"/>
  <c r="E36" i="57"/>
  <c r="E11" i="57" s="1"/>
  <c r="H45" i="59"/>
  <c r="H20" i="59" s="1"/>
  <c r="H45" i="61"/>
  <c r="H20" i="61" s="1"/>
  <c r="H45" i="57"/>
  <c r="H20" i="57" s="1"/>
  <c r="H45" i="58"/>
  <c r="H20" i="58" s="1"/>
  <c r="H45" i="60"/>
  <c r="H20" i="60" s="1"/>
  <c r="H20" i="56"/>
  <c r="H13" i="56"/>
  <c r="H38" i="59"/>
  <c r="H13" i="59" s="1"/>
  <c r="H38" i="61"/>
  <c r="H13" i="61" s="1"/>
  <c r="H38" i="57"/>
  <c r="H13" i="57" s="1"/>
  <c r="H38" i="60"/>
  <c r="H13" i="60" s="1"/>
  <c r="H38" i="58"/>
  <c r="H13" i="58" s="1"/>
  <c r="F37" i="59"/>
  <c r="F12" i="59" s="1"/>
  <c r="F37" i="61"/>
  <c r="F12" i="61" s="1"/>
  <c r="F37" i="60"/>
  <c r="F12" i="60" s="1"/>
  <c r="F37" i="57"/>
  <c r="F12" i="57" s="1"/>
  <c r="F37" i="58"/>
  <c r="F12" i="58" s="1"/>
  <c r="F12" i="56"/>
  <c r="F45" i="59"/>
  <c r="F20" i="59" s="1"/>
  <c r="F45" i="60"/>
  <c r="F20" i="60" s="1"/>
  <c r="F45" i="61"/>
  <c r="F20" i="61" s="1"/>
  <c r="F45" i="58"/>
  <c r="F20" i="58" s="1"/>
  <c r="F45" i="57"/>
  <c r="F20" i="57" s="1"/>
  <c r="F20" i="56"/>
  <c r="F38" i="59"/>
  <c r="F13" i="59" s="1"/>
  <c r="F38" i="60"/>
  <c r="F13" i="60" s="1"/>
  <c r="F38" i="61"/>
  <c r="F13" i="61" s="1"/>
  <c r="F38" i="57"/>
  <c r="F13" i="57" s="1"/>
  <c r="F38" i="58"/>
  <c r="F13" i="58" s="1"/>
  <c r="F13" i="56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J20" i="61" s="1"/>
  <c r="I17" i="2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I33" i="61"/>
  <c r="I10" i="61"/>
  <c r="H46" i="53"/>
  <c r="H33" i="57"/>
  <c r="H10" i="57"/>
  <c r="G44" i="59"/>
  <c r="G19" i="59" s="1"/>
  <c r="G44" i="60"/>
  <c r="G19" i="60" s="1"/>
  <c r="G44" i="61"/>
  <c r="G19" i="61" s="1"/>
  <c r="G44" i="58"/>
  <c r="G19" i="58" s="1"/>
  <c r="G44" i="57"/>
  <c r="G19" i="57" s="1"/>
  <c r="G19" i="56"/>
  <c r="G37" i="59"/>
  <c r="G12" i="59" s="1"/>
  <c r="G14" i="59" s="1"/>
  <c r="G37" i="60"/>
  <c r="G12" i="60" s="1"/>
  <c r="G37" i="61"/>
  <c r="G12" i="61" s="1"/>
  <c r="G37" i="58"/>
  <c r="G12" i="58" s="1"/>
  <c r="G14" i="58" s="1"/>
  <c r="G37" i="57"/>
  <c r="G12" i="57" s="1"/>
  <c r="G12" i="56"/>
  <c r="E45" i="59"/>
  <c r="E20" i="59" s="1"/>
  <c r="E45" i="60"/>
  <c r="E20" i="60" s="1"/>
  <c r="E45" i="58"/>
  <c r="E20" i="58" s="1"/>
  <c r="E45" i="61"/>
  <c r="E20" i="61" s="1"/>
  <c r="E45" i="57"/>
  <c r="E20" i="57" s="1"/>
  <c r="E37" i="61"/>
  <c r="E12" i="61" s="1"/>
  <c r="E37" i="59"/>
  <c r="E12" i="59" s="1"/>
  <c r="E37" i="58"/>
  <c r="E12" i="58" s="1"/>
  <c r="E37" i="60"/>
  <c r="E12" i="60" s="1"/>
  <c r="E37" i="57"/>
  <c r="E12" i="57" s="1"/>
  <c r="H44" i="59"/>
  <c r="H19" i="59" s="1"/>
  <c r="H44" i="61"/>
  <c r="H19" i="61" s="1"/>
  <c r="H44" i="60"/>
  <c r="H19" i="60" s="1"/>
  <c r="H44" i="57"/>
  <c r="H19" i="57" s="1"/>
  <c r="H44" i="58"/>
  <c r="H19" i="58" s="1"/>
  <c r="H19" i="56"/>
  <c r="H12" i="56"/>
  <c r="H37" i="59"/>
  <c r="H12" i="59" s="1"/>
  <c r="H37" i="61"/>
  <c r="H12" i="61" s="1"/>
  <c r="H37" i="60"/>
  <c r="H12" i="60" s="1"/>
  <c r="H37" i="57"/>
  <c r="H12" i="57" s="1"/>
  <c r="H37" i="58"/>
  <c r="H12" i="58" s="1"/>
  <c r="F36" i="59"/>
  <c r="F11" i="59" s="1"/>
  <c r="F36" i="58"/>
  <c r="F11" i="58" s="1"/>
  <c r="F14" i="58" s="1"/>
  <c r="F36" i="61"/>
  <c r="F11" i="61" s="1"/>
  <c r="F14" i="61" s="1"/>
  <c r="F36" i="60"/>
  <c r="F11" i="60" s="1"/>
  <c r="F36" i="57"/>
  <c r="F11" i="57" s="1"/>
  <c r="F14" i="57" s="1"/>
  <c r="F11" i="56"/>
  <c r="F14" i="56" s="1"/>
  <c r="F44" i="59"/>
  <c r="F19" i="59" s="1"/>
  <c r="F44" i="61"/>
  <c r="F19" i="61" s="1"/>
  <c r="F44" i="57"/>
  <c r="F19" i="57" s="1"/>
  <c r="F44" i="60"/>
  <c r="F19" i="60" s="1"/>
  <c r="F44" i="58"/>
  <c r="F19" i="58" s="1"/>
  <c r="F19" i="56"/>
  <c r="D44" i="59"/>
  <c r="D19" i="59" s="1"/>
  <c r="D44" i="61"/>
  <c r="D19" i="61" s="1"/>
  <c r="D44" i="60"/>
  <c r="D19" i="60" s="1"/>
  <c r="D44" i="58"/>
  <c r="D19" i="58" s="1"/>
  <c r="D44" i="57"/>
  <c r="D19" i="57" s="1"/>
  <c r="G43" i="59"/>
  <c r="G43" i="60"/>
  <c r="G43" i="61"/>
  <c r="G43" i="58"/>
  <c r="G43" i="57"/>
  <c r="E38" i="61"/>
  <c r="E13" i="61" s="1"/>
  <c r="E38" i="60"/>
  <c r="E13" i="60" s="1"/>
  <c r="E38" i="59"/>
  <c r="E13" i="59" s="1"/>
  <c r="E38" i="58"/>
  <c r="E13" i="58" s="1"/>
  <c r="E38" i="57"/>
  <c r="E13" i="57" s="1"/>
  <c r="E44" i="60"/>
  <c r="E19" i="60" s="1"/>
  <c r="E44" i="59"/>
  <c r="E19" i="59" s="1"/>
  <c r="E44" i="61"/>
  <c r="E19" i="61" s="1"/>
  <c r="J19" i="61" s="1"/>
  <c r="I16" i="2" s="1"/>
  <c r="I42" i="2" s="1"/>
  <c r="E44" i="58"/>
  <c r="E19" i="58" s="1"/>
  <c r="E44" i="57"/>
  <c r="E19" i="57" s="1"/>
  <c r="H43" i="59"/>
  <c r="H43" i="61"/>
  <c r="H43" i="57"/>
  <c r="H43" i="60"/>
  <c r="H43" i="58"/>
  <c r="H11" i="56"/>
  <c r="H14" i="56" s="1"/>
  <c r="H36" i="59"/>
  <c r="H11" i="59" s="1"/>
  <c r="H14" i="59" s="1"/>
  <c r="H36" i="61"/>
  <c r="H11" i="61" s="1"/>
  <c r="H36" i="57"/>
  <c r="H11" i="57" s="1"/>
  <c r="H14" i="57" s="1"/>
  <c r="H36" i="60"/>
  <c r="H11" i="60" s="1"/>
  <c r="H14" i="60" s="1"/>
  <c r="H36" i="58"/>
  <c r="H11" i="58" s="1"/>
  <c r="F43" i="59"/>
  <c r="F43" i="58"/>
  <c r="F43" i="61"/>
  <c r="F43" i="60"/>
  <c r="F43" i="57"/>
  <c r="D36" i="56"/>
  <c r="D36" i="59"/>
  <c r="D11" i="59" s="1"/>
  <c r="D14" i="59" s="1"/>
  <c r="D36" i="60"/>
  <c r="D11" i="60" s="1"/>
  <c r="D14" i="60" s="1"/>
  <c r="D36" i="61"/>
  <c r="D11" i="61" s="1"/>
  <c r="D14" i="61" s="1"/>
  <c r="D36" i="58"/>
  <c r="D11" i="58" s="1"/>
  <c r="D36" i="57"/>
  <c r="D11" i="57" s="1"/>
  <c r="D43" i="60"/>
  <c r="D43" i="59"/>
  <c r="D43" i="58"/>
  <c r="D43" i="61"/>
  <c r="D43" i="57"/>
  <c r="H22" i="56"/>
  <c r="H47" i="59"/>
  <c r="H47" i="60"/>
  <c r="H47" i="61"/>
  <c r="H47" i="57"/>
  <c r="H47" i="58"/>
  <c r="G47" i="59"/>
  <c r="G47" i="60"/>
  <c r="G47" i="57"/>
  <c r="G47" i="61"/>
  <c r="G47" i="58"/>
  <c r="G22" i="56"/>
  <c r="F47" i="59"/>
  <c r="F47" i="57"/>
  <c r="F47" i="61"/>
  <c r="F47" i="60"/>
  <c r="F47" i="58"/>
  <c r="F22" i="56"/>
  <c r="E47" i="61"/>
  <c r="E47" i="59"/>
  <c r="E47" i="58"/>
  <c r="E47" i="60"/>
  <c r="E47" i="57"/>
  <c r="D47" i="60"/>
  <c r="D47" i="59"/>
  <c r="D47" i="58"/>
  <c r="D47" i="61"/>
  <c r="D47" i="57"/>
  <c r="E13" i="43"/>
  <c r="E38" i="56"/>
  <c r="E13" i="56" s="1"/>
  <c r="D20" i="43"/>
  <c r="D45" i="56"/>
  <c r="D20" i="56" s="1"/>
  <c r="E43" i="56"/>
  <c r="E12" i="43"/>
  <c r="E37" i="56"/>
  <c r="E12" i="56" s="1"/>
  <c r="D13" i="43"/>
  <c r="D38" i="56"/>
  <c r="D13" i="56" s="1"/>
  <c r="D22" i="43"/>
  <c r="D47" i="56"/>
  <c r="D22" i="56" s="1"/>
  <c r="D11" i="56"/>
  <c r="E20" i="43"/>
  <c r="E45" i="56"/>
  <c r="E20" i="56" s="1"/>
  <c r="E19" i="43"/>
  <c r="E44" i="56"/>
  <c r="E19" i="56" s="1"/>
  <c r="D19" i="43"/>
  <c r="D44" i="56"/>
  <c r="D19" i="56" s="1"/>
  <c r="E22" i="43"/>
  <c r="E47" i="56"/>
  <c r="E22" i="56" s="1"/>
  <c r="E11" i="56"/>
  <c r="D43" i="56"/>
  <c r="D12" i="43"/>
  <c r="D37" i="56"/>
  <c r="D12" i="56" s="1"/>
  <c r="D14" i="56" s="1"/>
  <c r="D11" i="43"/>
  <c r="D14" i="43" s="1"/>
  <c r="E11" i="43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I43" i="2" l="1"/>
  <c r="I46" i="53"/>
  <c r="H33" i="58"/>
  <c r="H10" i="58"/>
  <c r="D14" i="57"/>
  <c r="E14" i="57"/>
  <c r="E14" i="60"/>
  <c r="G14" i="57"/>
  <c r="J19" i="60"/>
  <c r="G16" i="2" s="1"/>
  <c r="G42" i="2" s="1"/>
  <c r="E14" i="56"/>
  <c r="D14" i="58"/>
  <c r="E14" i="59"/>
  <c r="E14" i="61"/>
  <c r="G14" i="61"/>
  <c r="E14" i="43"/>
  <c r="H14" i="58"/>
  <c r="H14" i="61"/>
  <c r="F14" i="60"/>
  <c r="F14" i="59"/>
  <c r="E14" i="58"/>
  <c r="G14" i="56"/>
  <c r="H22" i="61"/>
  <c r="H22" i="60"/>
  <c r="H22" i="57"/>
  <c r="H22" i="58"/>
  <c r="H22" i="59"/>
  <c r="G22" i="61"/>
  <c r="G22" i="57"/>
  <c r="G22" i="60"/>
  <c r="G22" i="58"/>
  <c r="G22" i="59"/>
  <c r="F22" i="61"/>
  <c r="F22" i="60"/>
  <c r="F22" i="57"/>
  <c r="F22" i="58"/>
  <c r="F22" i="59"/>
  <c r="E22" i="60"/>
  <c r="E22" i="58"/>
  <c r="E22" i="59"/>
  <c r="E22" i="57"/>
  <c r="E22" i="61"/>
  <c r="D22" i="61"/>
  <c r="D22" i="58"/>
  <c r="D22" i="59"/>
  <c r="D22" i="57"/>
  <c r="D22" i="60"/>
  <c r="L7" i="55"/>
  <c r="L8" i="55" s="1"/>
  <c r="C16" i="55"/>
  <c r="D16" i="55"/>
  <c r="E16" i="55"/>
  <c r="F16" i="55"/>
  <c r="G16" i="55"/>
  <c r="H16" i="55"/>
  <c r="J46" i="53" l="1"/>
  <c r="H33" i="60"/>
  <c r="H10" i="60"/>
  <c r="C2" i="59"/>
  <c r="C2" i="58"/>
  <c r="C2" i="57"/>
  <c r="C2" i="56"/>
  <c r="K46" i="53" l="1"/>
  <c r="H33" i="59"/>
  <c r="H10" i="59"/>
  <c r="C4" i="59"/>
  <c r="C3" i="59"/>
  <c r="C4" i="58"/>
  <c r="C3" i="58"/>
  <c r="C4" i="57"/>
  <c r="C3" i="57"/>
  <c r="C3" i="56"/>
  <c r="C4" i="56"/>
  <c r="C3" i="43"/>
  <c r="C4" i="43"/>
  <c r="B9" i="51"/>
  <c r="H33" i="61" l="1"/>
  <c r="H10" i="61"/>
  <c r="C36" i="43"/>
  <c r="C36" i="61" s="1"/>
  <c r="C11" i="61" s="1"/>
  <c r="J11" i="61" l="1"/>
  <c r="I8" i="2" s="1"/>
  <c r="I34" i="2" s="1"/>
  <c r="C36" i="58"/>
  <c r="C36" i="60"/>
  <c r="C11" i="60" s="1"/>
  <c r="J11" i="60" s="1"/>
  <c r="C36" i="59"/>
  <c r="C36" i="57"/>
  <c r="C36" i="56"/>
  <c r="M8" i="55"/>
  <c r="L9" i="55"/>
  <c r="L10" i="55" s="1"/>
  <c r="L11" i="55" s="1"/>
  <c r="M11" i="55" s="1"/>
  <c r="M7" i="55"/>
  <c r="C31" i="59"/>
  <c r="C6" i="58"/>
  <c r="J6" i="58" s="1"/>
  <c r="C31" i="58"/>
  <c r="C6" i="57"/>
  <c r="J6" i="57" s="1"/>
  <c r="C31" i="57"/>
  <c r="C6" i="56"/>
  <c r="J6" i="56" s="1"/>
  <c r="C31" i="56"/>
  <c r="D8" i="57" l="1"/>
  <c r="D9" i="57" s="1"/>
  <c r="F8" i="57"/>
  <c r="F9" i="57" s="1"/>
  <c r="I8" i="57"/>
  <c r="I9" i="57" s="1"/>
  <c r="G8" i="57"/>
  <c r="G9" i="57" s="1"/>
  <c r="H8" i="57"/>
  <c r="H9" i="57" s="1"/>
  <c r="E8" i="57"/>
  <c r="E9" i="57" s="1"/>
  <c r="H8" i="56"/>
  <c r="H9" i="56" s="1"/>
  <c r="E8" i="56"/>
  <c r="E9" i="56" s="1"/>
  <c r="I8" i="56"/>
  <c r="I9" i="56" s="1"/>
  <c r="F8" i="56"/>
  <c r="F9" i="56" s="1"/>
  <c r="D8" i="56"/>
  <c r="D9" i="56" s="1"/>
  <c r="G8" i="56"/>
  <c r="G9" i="56" s="1"/>
  <c r="G8" i="2"/>
  <c r="E3" i="2"/>
  <c r="D3" i="2"/>
  <c r="C7" i="56"/>
  <c r="J7" i="56" s="1"/>
  <c r="C7" i="57"/>
  <c r="J7" i="57" s="1"/>
  <c r="C7" i="58"/>
  <c r="J7" i="58" s="1"/>
  <c r="C38" i="43"/>
  <c r="C38" i="61" s="1"/>
  <c r="C13" i="61" s="1"/>
  <c r="J13" i="61" s="1"/>
  <c r="I10" i="2" s="1"/>
  <c r="C19" i="59"/>
  <c r="J19" i="59" s="1"/>
  <c r="C37" i="43"/>
  <c r="C37" i="61" s="1"/>
  <c r="C12" i="61" s="1"/>
  <c r="M9" i="55"/>
  <c r="M10" i="55"/>
  <c r="C7" i="59"/>
  <c r="J7" i="59" s="1"/>
  <c r="H3" i="2"/>
  <c r="C11" i="58"/>
  <c r="J11" i="58" s="1"/>
  <c r="C11" i="56"/>
  <c r="J11" i="56" s="1"/>
  <c r="I8" i="58" l="1"/>
  <c r="I9" i="58" s="1"/>
  <c r="G8" i="58"/>
  <c r="G9" i="58" s="1"/>
  <c r="D8" i="58"/>
  <c r="D9" i="58" s="1"/>
  <c r="F8" i="58"/>
  <c r="F9" i="58" s="1"/>
  <c r="E8" i="58"/>
  <c r="E9" i="58" s="1"/>
  <c r="H8" i="58"/>
  <c r="H9" i="58" s="1"/>
  <c r="I36" i="2"/>
  <c r="F32" i="56"/>
  <c r="H32" i="56"/>
  <c r="H34" i="56" s="1"/>
  <c r="H40" i="56" s="1"/>
  <c r="H15" i="56"/>
  <c r="H16" i="56" s="1"/>
  <c r="G32" i="57"/>
  <c r="D32" i="57"/>
  <c r="J12" i="61"/>
  <c r="I9" i="2" s="1"/>
  <c r="I35" i="2" s="1"/>
  <c r="C14" i="61"/>
  <c r="J14" i="61" s="1"/>
  <c r="I11" i="2" s="1"/>
  <c r="G32" i="56"/>
  <c r="I32" i="56"/>
  <c r="I34" i="56" s="1"/>
  <c r="I40" i="56" s="1"/>
  <c r="I15" i="56"/>
  <c r="I16" i="56" s="1"/>
  <c r="E32" i="57"/>
  <c r="I32" i="57"/>
  <c r="I34" i="57" s="1"/>
  <c r="I40" i="57" s="1"/>
  <c r="I15" i="57"/>
  <c r="I16" i="57" s="1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I8" i="61"/>
  <c r="I9" i="61" s="1"/>
  <c r="I8" i="60"/>
  <c r="I9" i="60" s="1"/>
  <c r="H8" i="60"/>
  <c r="H9" i="60" s="1"/>
  <c r="C8" i="61"/>
  <c r="I8" i="59"/>
  <c r="I9" i="59" s="1"/>
  <c r="H8" i="59"/>
  <c r="H9" i="59" s="1"/>
  <c r="D32" i="56"/>
  <c r="E32" i="56"/>
  <c r="H32" i="57"/>
  <c r="H34" i="57" s="1"/>
  <c r="H40" i="57" s="1"/>
  <c r="H15" i="57"/>
  <c r="H16" i="57" s="1"/>
  <c r="F32" i="57"/>
  <c r="G34" i="2"/>
  <c r="C38" i="60"/>
  <c r="C13" i="60" s="1"/>
  <c r="C38" i="59"/>
  <c r="C13" i="59" s="1"/>
  <c r="C38" i="57"/>
  <c r="C13" i="57" s="1"/>
  <c r="C38" i="58"/>
  <c r="C13" i="58" s="1"/>
  <c r="J13" i="58" s="1"/>
  <c r="C38" i="56"/>
  <c r="C13" i="56" s="1"/>
  <c r="J13" i="56" s="1"/>
  <c r="C37" i="59"/>
  <c r="C12" i="59" s="1"/>
  <c r="C37" i="57"/>
  <c r="C12" i="57" s="1"/>
  <c r="J12" i="57" s="1"/>
  <c r="C37" i="58"/>
  <c r="C12" i="58" s="1"/>
  <c r="J12" i="58" s="1"/>
  <c r="C37" i="60"/>
  <c r="C12" i="60" s="1"/>
  <c r="J12" i="60" s="1"/>
  <c r="C37" i="56"/>
  <c r="C12" i="56" s="1"/>
  <c r="J12" i="56" s="1"/>
  <c r="C8" i="60"/>
  <c r="C8" i="56"/>
  <c r="D4" i="2"/>
  <c r="E4" i="2"/>
  <c r="C8" i="57"/>
  <c r="J8" i="57" s="1"/>
  <c r="C8" i="58"/>
  <c r="J8" i="58" s="1"/>
  <c r="C11" i="57"/>
  <c r="J11" i="57" s="1"/>
  <c r="D8" i="2"/>
  <c r="C19" i="58"/>
  <c r="J19" i="58" s="1"/>
  <c r="C19" i="57"/>
  <c r="J19" i="57" s="1"/>
  <c r="C11" i="59"/>
  <c r="J11" i="59" s="1"/>
  <c r="C19" i="56"/>
  <c r="J19" i="56" s="1"/>
  <c r="C8" i="59"/>
  <c r="F3" i="2"/>
  <c r="H16" i="2"/>
  <c r="H42" i="2" s="1"/>
  <c r="H4" i="2"/>
  <c r="F4" i="2"/>
  <c r="G10" i="2" l="1"/>
  <c r="G36" i="2" s="1"/>
  <c r="J13" i="60"/>
  <c r="J8" i="61"/>
  <c r="I5" i="2" s="1"/>
  <c r="C9" i="61"/>
  <c r="I32" i="61"/>
  <c r="I34" i="61" s="1"/>
  <c r="I40" i="61" s="1"/>
  <c r="I15" i="61"/>
  <c r="I16" i="61" s="1"/>
  <c r="G32" i="60"/>
  <c r="E32" i="59"/>
  <c r="F32" i="61"/>
  <c r="H32" i="61"/>
  <c r="H34" i="61" s="1"/>
  <c r="H40" i="61" s="1"/>
  <c r="H15" i="61"/>
  <c r="H16" i="61" s="1"/>
  <c r="F32" i="58"/>
  <c r="I32" i="58"/>
  <c r="I34" i="58" s="1"/>
  <c r="I40" i="58" s="1"/>
  <c r="I15" i="58"/>
  <c r="I16" i="58" s="1"/>
  <c r="C9" i="56"/>
  <c r="J9" i="56" s="1"/>
  <c r="J8" i="56"/>
  <c r="J12" i="59"/>
  <c r="H9" i="2" s="1"/>
  <c r="H35" i="2" s="1"/>
  <c r="J13" i="57"/>
  <c r="E10" i="2" s="1"/>
  <c r="E36" i="2" s="1"/>
  <c r="H32" i="59"/>
  <c r="H34" i="59" s="1"/>
  <c r="H40" i="59" s="1"/>
  <c r="H15" i="59"/>
  <c r="H16" i="59" s="1"/>
  <c r="H32" i="60"/>
  <c r="H34" i="60" s="1"/>
  <c r="H40" i="60" s="1"/>
  <c r="H15" i="60"/>
  <c r="H16" i="60" s="1"/>
  <c r="G32" i="61"/>
  <c r="E32" i="60"/>
  <c r="F32" i="59"/>
  <c r="D32" i="59"/>
  <c r="D32" i="61"/>
  <c r="H32" i="58"/>
  <c r="H34" i="58" s="1"/>
  <c r="H40" i="58" s="1"/>
  <c r="H15" i="58"/>
  <c r="H16" i="58" s="1"/>
  <c r="D32" i="58"/>
  <c r="J8" i="59"/>
  <c r="H5" i="2" s="1"/>
  <c r="J8" i="60"/>
  <c r="J13" i="59"/>
  <c r="H10" i="2" s="1"/>
  <c r="H36" i="2" s="1"/>
  <c r="I32" i="59"/>
  <c r="I34" i="59" s="1"/>
  <c r="I40" i="59" s="1"/>
  <c r="I15" i="59"/>
  <c r="I16" i="59" s="1"/>
  <c r="I32" i="60"/>
  <c r="I34" i="60" s="1"/>
  <c r="I40" i="60" s="1"/>
  <c r="I15" i="60"/>
  <c r="I16" i="60" s="1"/>
  <c r="G32" i="59"/>
  <c r="F32" i="60"/>
  <c r="E32" i="61"/>
  <c r="D32" i="60"/>
  <c r="E32" i="58"/>
  <c r="G32" i="58"/>
  <c r="G9" i="2"/>
  <c r="C14" i="60"/>
  <c r="C9" i="60"/>
  <c r="J9" i="60" s="1"/>
  <c r="G5" i="2"/>
  <c r="F5" i="2"/>
  <c r="C14" i="59"/>
  <c r="H8" i="2"/>
  <c r="H34" i="2" s="1"/>
  <c r="D6" i="2"/>
  <c r="C9" i="57"/>
  <c r="J9" i="57" s="1"/>
  <c r="E5" i="2"/>
  <c r="E8" i="2"/>
  <c r="E34" i="2" s="1"/>
  <c r="D5" i="2"/>
  <c r="C14" i="56"/>
  <c r="J14" i="56" s="1"/>
  <c r="C9" i="58"/>
  <c r="J9" i="58" s="1"/>
  <c r="C14" i="57"/>
  <c r="J14" i="57" s="1"/>
  <c r="C14" i="58"/>
  <c r="J14" i="58" s="1"/>
  <c r="E16" i="2"/>
  <c r="E42" i="2" s="1"/>
  <c r="F10" i="2"/>
  <c r="F36" i="2" s="1"/>
  <c r="D10" i="2"/>
  <c r="D36" i="2" s="1"/>
  <c r="D16" i="2"/>
  <c r="D42" i="2" s="1"/>
  <c r="C9" i="59"/>
  <c r="J9" i="59" s="1"/>
  <c r="F8" i="2"/>
  <c r="F34" i="2" s="1"/>
  <c r="D34" i="2"/>
  <c r="H11" i="2" l="1"/>
  <c r="J14" i="59"/>
  <c r="J9" i="61"/>
  <c r="I6" i="2" s="1"/>
  <c r="C32" i="61"/>
  <c r="C32" i="56"/>
  <c r="C20" i="56" s="1"/>
  <c r="J20" i="56" s="1"/>
  <c r="J14" i="60"/>
  <c r="G11" i="2" s="1"/>
  <c r="G35" i="2"/>
  <c r="C32" i="60"/>
  <c r="G6" i="2"/>
  <c r="C32" i="57"/>
  <c r="C20" i="57" s="1"/>
  <c r="J20" i="57" s="1"/>
  <c r="E6" i="2"/>
  <c r="E29" i="2" s="1"/>
  <c r="C32" i="58"/>
  <c r="C20" i="58" s="1"/>
  <c r="J20" i="58" s="1"/>
  <c r="F6" i="2"/>
  <c r="F29" i="2" s="1"/>
  <c r="C32" i="59"/>
  <c r="H6" i="2"/>
  <c r="H29" i="2" s="1"/>
  <c r="D29" i="2"/>
  <c r="D47" i="2"/>
  <c r="I29" i="2" l="1"/>
  <c r="I49" i="2"/>
  <c r="I47" i="2"/>
  <c r="G29" i="2"/>
  <c r="G47" i="2"/>
  <c r="C20" i="60"/>
  <c r="E17" i="2"/>
  <c r="E47" i="2"/>
  <c r="F17" i="2"/>
  <c r="F9" i="2"/>
  <c r="F35" i="2" s="1"/>
  <c r="C20" i="59"/>
  <c r="J20" i="59" s="1"/>
  <c r="F11" i="2"/>
  <c r="H47" i="2"/>
  <c r="D11" i="2"/>
  <c r="D9" i="2"/>
  <c r="D35" i="2" s="1"/>
  <c r="G17" i="2" l="1"/>
  <c r="G43" i="2" s="1"/>
  <c r="J20" i="60"/>
  <c r="G49" i="2"/>
  <c r="E43" i="2"/>
  <c r="E49" i="2"/>
  <c r="F49" i="2"/>
  <c r="F43" i="2"/>
  <c r="E11" i="2"/>
  <c r="E9" i="2"/>
  <c r="E35" i="2" s="1"/>
  <c r="F16" i="2"/>
  <c r="D17" i="2" l="1"/>
  <c r="F42" i="2"/>
  <c r="F47" i="2"/>
  <c r="D43" i="2" l="1"/>
  <c r="D49" i="2"/>
  <c r="H17" i="2"/>
  <c r="B5" i="51"/>
  <c r="H43" i="2" l="1"/>
  <c r="H49" i="2"/>
  <c r="H33" i="53" l="1"/>
  <c r="E45" i="53" s="1"/>
  <c r="F45" i="53" s="1"/>
  <c r="G33" i="53"/>
  <c r="E44" i="53" s="1"/>
  <c r="F44" i="53" s="1"/>
  <c r="F33" i="53"/>
  <c r="E43" i="53" s="1"/>
  <c r="F43" i="53" s="1"/>
  <c r="E33" i="53"/>
  <c r="E42" i="53" s="1"/>
  <c r="F42" i="53" s="1"/>
  <c r="D33" i="53"/>
  <c r="E41" i="53" s="1"/>
  <c r="F41" i="53" s="1"/>
  <c r="G41" i="53" s="1"/>
  <c r="H41" i="53" s="1"/>
  <c r="I41" i="53" s="1"/>
  <c r="G22" i="51"/>
  <c r="B27" i="51"/>
  <c r="D27" i="51" s="1"/>
  <c r="J21" i="61" s="1"/>
  <c r="B8" i="51"/>
  <c r="B7" i="51"/>
  <c r="C47" i="43"/>
  <c r="C47" i="61" s="1"/>
  <c r="C31" i="43"/>
  <c r="C32" i="43" s="1"/>
  <c r="C6" i="43"/>
  <c r="F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J5" i="2" s="1"/>
  <c r="F21" i="61" l="1"/>
  <c r="F46" i="61" s="1"/>
  <c r="E21" i="61"/>
  <c r="E46" i="61" s="1"/>
  <c r="G21" i="61"/>
  <c r="G46" i="61" s="1"/>
  <c r="C21" i="61"/>
  <c r="C46" i="61" s="1"/>
  <c r="H21" i="61"/>
  <c r="H46" i="61" s="1"/>
  <c r="H48" i="61" s="1"/>
  <c r="I18" i="2"/>
  <c r="I50" i="2" s="1"/>
  <c r="I21" i="61"/>
  <c r="I46" i="61" s="1"/>
  <c r="I48" i="61" s="1"/>
  <c r="D21" i="61"/>
  <c r="D46" i="61" s="1"/>
  <c r="G42" i="53"/>
  <c r="D33" i="56"/>
  <c r="D34" i="56" s="1"/>
  <c r="D40" i="56" s="1"/>
  <c r="D10" i="56"/>
  <c r="D15" i="56" s="1"/>
  <c r="D16" i="56" s="1"/>
  <c r="G45" i="53"/>
  <c r="G33" i="56"/>
  <c r="G34" i="56" s="1"/>
  <c r="G40" i="56" s="1"/>
  <c r="G10" i="56"/>
  <c r="G15" i="56" s="1"/>
  <c r="G16" i="56" s="1"/>
  <c r="G43" i="53"/>
  <c r="E33" i="56"/>
  <c r="E34" i="56" s="1"/>
  <c r="E40" i="56" s="1"/>
  <c r="E10" i="56"/>
  <c r="E15" i="56" s="1"/>
  <c r="E16" i="56" s="1"/>
  <c r="E10" i="36"/>
  <c r="E17" i="36" s="1"/>
  <c r="E19" i="36" s="1"/>
  <c r="J41" i="53"/>
  <c r="K41" i="53" s="1"/>
  <c r="C33" i="60"/>
  <c r="C10" i="60"/>
  <c r="G44" i="53"/>
  <c r="F33" i="56"/>
  <c r="F34" i="56" s="1"/>
  <c r="F40" i="56" s="1"/>
  <c r="F10" i="56"/>
  <c r="F15" i="56" s="1"/>
  <c r="F16" i="56" s="1"/>
  <c r="E33" i="43"/>
  <c r="E34" i="43" s="1"/>
  <c r="E40" i="43" s="1"/>
  <c r="E10" i="43"/>
  <c r="E15" i="43" s="1"/>
  <c r="E16" i="43" s="1"/>
  <c r="D33" i="43"/>
  <c r="D34" i="43" s="1"/>
  <c r="D40" i="43" s="1"/>
  <c r="D10" i="43"/>
  <c r="D15" i="43" s="1"/>
  <c r="D16" i="43" s="1"/>
  <c r="C22" i="61"/>
  <c r="C56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F22" i="43" s="1"/>
  <c r="C3" i="2"/>
  <c r="J3" i="2" s="1"/>
  <c r="C19" i="43"/>
  <c r="F19" i="43" s="1"/>
  <c r="C10" i="56"/>
  <c r="C33" i="43"/>
  <c r="C34" i="43" s="1"/>
  <c r="C40" i="43" s="1"/>
  <c r="C7" i="43"/>
  <c r="F7" i="43" s="1"/>
  <c r="C10" i="43"/>
  <c r="B26" i="51"/>
  <c r="D26" i="51" s="1"/>
  <c r="J18" i="61" s="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F11" i="43" s="1"/>
  <c r="C12" i="43"/>
  <c r="F12" i="43" s="1"/>
  <c r="C13" i="43"/>
  <c r="F13" i="43" s="1"/>
  <c r="C20" i="43"/>
  <c r="F20" i="43" s="1"/>
  <c r="H43" i="53" l="1"/>
  <c r="E33" i="57"/>
  <c r="E34" i="57" s="1"/>
  <c r="E40" i="57" s="1"/>
  <c r="E10" i="57"/>
  <c r="E15" i="57" s="1"/>
  <c r="E16" i="57" s="1"/>
  <c r="H45" i="53"/>
  <c r="G33" i="57"/>
  <c r="G34" i="57" s="1"/>
  <c r="G40" i="57" s="1"/>
  <c r="G10" i="57"/>
  <c r="G15" i="57" s="1"/>
  <c r="G16" i="57" s="1"/>
  <c r="H42" i="53"/>
  <c r="D33" i="57"/>
  <c r="D34" i="57" s="1"/>
  <c r="D40" i="57" s="1"/>
  <c r="D10" i="57"/>
  <c r="D15" i="57" s="1"/>
  <c r="D16" i="57" s="1"/>
  <c r="J10" i="56"/>
  <c r="H44" i="53"/>
  <c r="F33" i="57"/>
  <c r="F34" i="57" s="1"/>
  <c r="F40" i="57" s="1"/>
  <c r="F10" i="57"/>
  <c r="F15" i="57" s="1"/>
  <c r="F16" i="57" s="1"/>
  <c r="C33" i="61"/>
  <c r="C34" i="61" s="1"/>
  <c r="C40" i="61" s="1"/>
  <c r="C48" i="61" s="1"/>
  <c r="C10" i="61"/>
  <c r="I60" i="2"/>
  <c r="I15" i="2"/>
  <c r="G18" i="61"/>
  <c r="G17" i="61" s="1"/>
  <c r="G23" i="61" s="1"/>
  <c r="E18" i="61"/>
  <c r="E17" i="61" s="1"/>
  <c r="E23" i="61" s="1"/>
  <c r="D18" i="61"/>
  <c r="D17" i="61" s="1"/>
  <c r="D23" i="61" s="1"/>
  <c r="H18" i="61"/>
  <c r="H17" i="61" s="1"/>
  <c r="H23" i="61" s="1"/>
  <c r="H24" i="61" s="1"/>
  <c r="H25" i="61" s="1"/>
  <c r="H26" i="61" s="1"/>
  <c r="H27" i="61" s="1"/>
  <c r="I18" i="61"/>
  <c r="I17" i="61" s="1"/>
  <c r="I23" i="61" s="1"/>
  <c r="I24" i="61" s="1"/>
  <c r="I25" i="61" s="1"/>
  <c r="I26" i="61" s="1"/>
  <c r="I27" i="61" s="1"/>
  <c r="F18" i="61"/>
  <c r="F17" i="61" s="1"/>
  <c r="F23" i="61" s="1"/>
  <c r="C18" i="61"/>
  <c r="C17" i="61" s="1"/>
  <c r="C23" i="61" s="1"/>
  <c r="F10" i="43"/>
  <c r="J22" i="59"/>
  <c r="H19" i="2" s="1"/>
  <c r="H51" i="2" s="1"/>
  <c r="J22" i="60"/>
  <c r="G19" i="2" s="1"/>
  <c r="G51" i="2" s="1"/>
  <c r="J22" i="58"/>
  <c r="F19" i="2" s="1"/>
  <c r="F51" i="2" s="1"/>
  <c r="J22" i="57"/>
  <c r="E19" i="2" s="1"/>
  <c r="E51" i="2" s="1"/>
  <c r="J22" i="61"/>
  <c r="J22" i="56"/>
  <c r="D19" i="2" s="1"/>
  <c r="D51" i="2" s="1"/>
  <c r="J21" i="58"/>
  <c r="J21" i="60"/>
  <c r="J18" i="56"/>
  <c r="J18" i="60"/>
  <c r="C7" i="2"/>
  <c r="C9" i="43"/>
  <c r="F9" i="43" s="1"/>
  <c r="C4" i="2"/>
  <c r="J4" i="2" s="1"/>
  <c r="J18" i="58"/>
  <c r="F18" i="43"/>
  <c r="C33" i="56"/>
  <c r="C34" i="56" s="1"/>
  <c r="C40" i="56" s="1"/>
  <c r="C14" i="43"/>
  <c r="F14" i="43" s="1"/>
  <c r="C57" i="2"/>
  <c r="C55" i="2" s="1"/>
  <c r="G17" i="36"/>
  <c r="G19" i="36" s="1"/>
  <c r="J18" i="59"/>
  <c r="J18" i="57"/>
  <c r="E26" i="51"/>
  <c r="L26" i="51"/>
  <c r="E23" i="36"/>
  <c r="C18" i="36"/>
  <c r="D18" i="36" s="1"/>
  <c r="E18" i="36" s="1"/>
  <c r="C19" i="36"/>
  <c r="M10" i="36"/>
  <c r="D19" i="36"/>
  <c r="E22" i="36"/>
  <c r="H17" i="36"/>
  <c r="H19" i="36" s="1"/>
  <c r="J21" i="59"/>
  <c r="J21" i="56"/>
  <c r="J21" i="57"/>
  <c r="C17" i="2"/>
  <c r="J17" i="2" s="1"/>
  <c r="C9" i="2"/>
  <c r="J9" i="2" s="1"/>
  <c r="F21" i="43"/>
  <c r="E27" i="51"/>
  <c r="D28" i="51"/>
  <c r="M17" i="36"/>
  <c r="I42" i="53" l="1"/>
  <c r="D33" i="58"/>
  <c r="D34" i="58" s="1"/>
  <c r="D40" i="58" s="1"/>
  <c r="D10" i="58"/>
  <c r="D15" i="58" s="1"/>
  <c r="D16" i="58" s="1"/>
  <c r="I45" i="53"/>
  <c r="G33" i="58"/>
  <c r="G34" i="58" s="1"/>
  <c r="G40" i="58" s="1"/>
  <c r="G10" i="58"/>
  <c r="G15" i="58" s="1"/>
  <c r="G16" i="58" s="1"/>
  <c r="I43" i="53"/>
  <c r="E33" i="58"/>
  <c r="E34" i="58" s="1"/>
  <c r="E40" i="58" s="1"/>
  <c r="E10" i="58"/>
  <c r="E15" i="58" s="1"/>
  <c r="E16" i="58" s="1"/>
  <c r="I44" i="53"/>
  <c r="F33" i="58"/>
  <c r="F34" i="58" s="1"/>
  <c r="F40" i="58" s="1"/>
  <c r="F10" i="58"/>
  <c r="F15" i="58" s="1"/>
  <c r="F16" i="58" s="1"/>
  <c r="C15" i="61"/>
  <c r="G18" i="2"/>
  <c r="G50" i="2" s="1"/>
  <c r="E21" i="60"/>
  <c r="E46" i="60" s="1"/>
  <c r="D21" i="60"/>
  <c r="D46" i="60" s="1"/>
  <c r="F21" i="60"/>
  <c r="F46" i="60" s="1"/>
  <c r="H21" i="60"/>
  <c r="H46" i="60" s="1"/>
  <c r="H48" i="60" s="1"/>
  <c r="I21" i="60"/>
  <c r="I46" i="60" s="1"/>
  <c r="I48" i="60" s="1"/>
  <c r="G21" i="60"/>
  <c r="G46" i="60" s="1"/>
  <c r="D21" i="59"/>
  <c r="D46" i="59" s="1"/>
  <c r="I21" i="59"/>
  <c r="I46" i="59" s="1"/>
  <c r="I48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G48" i="58" s="1"/>
  <c r="D21" i="58"/>
  <c r="D46" i="58" s="1"/>
  <c r="D48" i="58" s="1"/>
  <c r="H21" i="58"/>
  <c r="H46" i="58" s="1"/>
  <c r="H48" i="58" s="1"/>
  <c r="E21" i="58"/>
  <c r="E46" i="58" s="1"/>
  <c r="E48" i="58" s="1"/>
  <c r="I21" i="58"/>
  <c r="I46" i="58" s="1"/>
  <c r="I48" i="58" s="1"/>
  <c r="F21" i="58"/>
  <c r="F46" i="58" s="1"/>
  <c r="D21" i="57"/>
  <c r="D46" i="57" s="1"/>
  <c r="D48" i="57" s="1"/>
  <c r="H21" i="57"/>
  <c r="H46" i="57" s="1"/>
  <c r="H48" i="57" s="1"/>
  <c r="E21" i="57"/>
  <c r="E46" i="57" s="1"/>
  <c r="E48" i="57" s="1"/>
  <c r="I21" i="57"/>
  <c r="I46" i="57" s="1"/>
  <c r="I48" i="57" s="1"/>
  <c r="F21" i="57"/>
  <c r="F46" i="57" s="1"/>
  <c r="F48" i="57" s="1"/>
  <c r="G21" i="57"/>
  <c r="G46" i="57" s="1"/>
  <c r="G48" i="57" s="1"/>
  <c r="F21" i="56"/>
  <c r="F46" i="56" s="1"/>
  <c r="F48" i="56" s="1"/>
  <c r="H21" i="56"/>
  <c r="H46" i="56" s="1"/>
  <c r="H48" i="56" s="1"/>
  <c r="D21" i="56"/>
  <c r="D46" i="56" s="1"/>
  <c r="D48" i="56" s="1"/>
  <c r="I21" i="56"/>
  <c r="I46" i="56" s="1"/>
  <c r="I48" i="56" s="1"/>
  <c r="E21" i="56"/>
  <c r="E46" i="56" s="1"/>
  <c r="E48" i="56" s="1"/>
  <c r="G21" i="56"/>
  <c r="G46" i="56" s="1"/>
  <c r="G48" i="56" s="1"/>
  <c r="H60" i="2"/>
  <c r="H18" i="59"/>
  <c r="H17" i="59" s="1"/>
  <c r="H23" i="59" s="1"/>
  <c r="H24" i="59" s="1"/>
  <c r="H25" i="59" s="1"/>
  <c r="H26" i="59" s="1"/>
  <c r="H27" i="59" s="1"/>
  <c r="D18" i="59"/>
  <c r="D17" i="59" s="1"/>
  <c r="I18" i="59"/>
  <c r="I17" i="59" s="1"/>
  <c r="I23" i="59" s="1"/>
  <c r="I24" i="59" s="1"/>
  <c r="I25" i="59" s="1"/>
  <c r="I26" i="59" s="1"/>
  <c r="I27" i="59" s="1"/>
  <c r="E18" i="59"/>
  <c r="E17" i="59" s="1"/>
  <c r="E23" i="59" s="1"/>
  <c r="G18" i="59"/>
  <c r="G17" i="59" s="1"/>
  <c r="G23" i="59" s="1"/>
  <c r="F18" i="59"/>
  <c r="F17" i="59" s="1"/>
  <c r="F23" i="59" s="1"/>
  <c r="E60" i="2"/>
  <c r="E18" i="57"/>
  <c r="E17" i="57" s="1"/>
  <c r="E23" i="57" s="1"/>
  <c r="E24" i="57" s="1"/>
  <c r="E25" i="57" s="1"/>
  <c r="E26" i="57" s="1"/>
  <c r="E27" i="57" s="1"/>
  <c r="I18" i="57"/>
  <c r="I17" i="57" s="1"/>
  <c r="I23" i="57" s="1"/>
  <c r="I24" i="57" s="1"/>
  <c r="I25" i="57" s="1"/>
  <c r="I26" i="57" s="1"/>
  <c r="I27" i="57" s="1"/>
  <c r="F18" i="57"/>
  <c r="F17" i="57" s="1"/>
  <c r="F23" i="57" s="1"/>
  <c r="F24" i="57" s="1"/>
  <c r="F25" i="57" s="1"/>
  <c r="F26" i="57" s="1"/>
  <c r="F27" i="57" s="1"/>
  <c r="G18" i="57"/>
  <c r="G17" i="57" s="1"/>
  <c r="G23" i="57" s="1"/>
  <c r="G24" i="57" s="1"/>
  <c r="G25" i="57" s="1"/>
  <c r="G26" i="57" s="1"/>
  <c r="G27" i="57" s="1"/>
  <c r="D18" i="57"/>
  <c r="D17" i="57" s="1"/>
  <c r="D23" i="57" s="1"/>
  <c r="D24" i="57" s="1"/>
  <c r="D25" i="57" s="1"/>
  <c r="D26" i="57" s="1"/>
  <c r="D27" i="57" s="1"/>
  <c r="H18" i="57"/>
  <c r="H17" i="57" s="1"/>
  <c r="H23" i="57" s="1"/>
  <c r="H24" i="57" s="1"/>
  <c r="H25" i="57" s="1"/>
  <c r="H26" i="57" s="1"/>
  <c r="H27" i="57" s="1"/>
  <c r="F60" i="2"/>
  <c r="G18" i="58"/>
  <c r="G17" i="58" s="1"/>
  <c r="G23" i="58" s="1"/>
  <c r="G24" i="58" s="1"/>
  <c r="G25" i="58" s="1"/>
  <c r="G26" i="58" s="1"/>
  <c r="G27" i="58" s="1"/>
  <c r="E18" i="58"/>
  <c r="E17" i="58" s="1"/>
  <c r="D18" i="58"/>
  <c r="D17" i="58" s="1"/>
  <c r="D23" i="58" s="1"/>
  <c r="D24" i="58" s="1"/>
  <c r="H18" i="58"/>
  <c r="H17" i="58" s="1"/>
  <c r="H23" i="58" s="1"/>
  <c r="H24" i="58" s="1"/>
  <c r="H25" i="58" s="1"/>
  <c r="H26" i="58" s="1"/>
  <c r="H27" i="58" s="1"/>
  <c r="I18" i="58"/>
  <c r="I17" i="58" s="1"/>
  <c r="I23" i="58" s="1"/>
  <c r="I24" i="58" s="1"/>
  <c r="I25" i="58" s="1"/>
  <c r="I26" i="58" s="1"/>
  <c r="I27" i="58" s="1"/>
  <c r="F18" i="58"/>
  <c r="F17" i="58" s="1"/>
  <c r="F23" i="58" s="1"/>
  <c r="F24" i="58" s="1"/>
  <c r="F25" i="58" s="1"/>
  <c r="F26" i="58" s="1"/>
  <c r="F27" i="58" s="1"/>
  <c r="F18" i="60"/>
  <c r="F17" i="60" s="1"/>
  <c r="F23" i="60" s="1"/>
  <c r="H18" i="60"/>
  <c r="H17" i="60" s="1"/>
  <c r="D18" i="60"/>
  <c r="D17" i="60" s="1"/>
  <c r="D23" i="60" s="1"/>
  <c r="I18" i="60"/>
  <c r="I17" i="60" s="1"/>
  <c r="I23" i="60" s="1"/>
  <c r="I24" i="60" s="1"/>
  <c r="I25" i="60" s="1"/>
  <c r="I26" i="60" s="1"/>
  <c r="I27" i="60" s="1"/>
  <c r="G18" i="60"/>
  <c r="G17" i="60" s="1"/>
  <c r="G23" i="60" s="1"/>
  <c r="E18" i="60"/>
  <c r="E17" i="60" s="1"/>
  <c r="J17" i="61"/>
  <c r="I14" i="2" s="1"/>
  <c r="G18" i="56"/>
  <c r="G17" i="56" s="1"/>
  <c r="G23" i="56" s="1"/>
  <c r="G24" i="56" s="1"/>
  <c r="G25" i="56" s="1"/>
  <c r="G26" i="56" s="1"/>
  <c r="G27" i="56" s="1"/>
  <c r="H18" i="56"/>
  <c r="H17" i="56" s="1"/>
  <c r="H23" i="56" s="1"/>
  <c r="H24" i="56" s="1"/>
  <c r="H25" i="56" s="1"/>
  <c r="H26" i="56" s="1"/>
  <c r="H27" i="56" s="1"/>
  <c r="D18" i="56"/>
  <c r="D17" i="56" s="1"/>
  <c r="D23" i="56" s="1"/>
  <c r="D24" i="56" s="1"/>
  <c r="D25" i="56" s="1"/>
  <c r="D26" i="56" s="1"/>
  <c r="D27" i="56" s="1"/>
  <c r="F18" i="56"/>
  <c r="F17" i="56" s="1"/>
  <c r="E18" i="56"/>
  <c r="E17" i="56" s="1"/>
  <c r="E23" i="56" s="1"/>
  <c r="E24" i="56" s="1"/>
  <c r="E25" i="56" s="1"/>
  <c r="E26" i="56" s="1"/>
  <c r="E27" i="56" s="1"/>
  <c r="I18" i="56"/>
  <c r="I17" i="56" s="1"/>
  <c r="I19" i="2"/>
  <c r="I51" i="2" s="1"/>
  <c r="C18" i="43"/>
  <c r="E18" i="43"/>
  <c r="E17" i="43" s="1"/>
  <c r="D18" i="43"/>
  <c r="D17" i="43" s="1"/>
  <c r="E21" i="43"/>
  <c r="D21" i="43"/>
  <c r="F27" i="51"/>
  <c r="G27" i="51" s="1"/>
  <c r="H27" i="51" s="1"/>
  <c r="I27" i="51" s="1"/>
  <c r="J27" i="51" s="1"/>
  <c r="G15" i="2"/>
  <c r="G60" i="2"/>
  <c r="M19" i="36"/>
  <c r="F26" i="51"/>
  <c r="G26" i="51" s="1"/>
  <c r="H26" i="51" s="1"/>
  <c r="I26" i="51" s="1"/>
  <c r="C18" i="60"/>
  <c r="C17" i="60" s="1"/>
  <c r="J17" i="60" s="1"/>
  <c r="C21" i="60"/>
  <c r="C33" i="57"/>
  <c r="C34" i="57" s="1"/>
  <c r="C40" i="57" s="1"/>
  <c r="C10" i="57"/>
  <c r="J10" i="57" s="1"/>
  <c r="C35" i="2"/>
  <c r="J35" i="2"/>
  <c r="I22" i="36"/>
  <c r="D7" i="2"/>
  <c r="C30" i="2"/>
  <c r="C43" i="2"/>
  <c r="J43" i="2"/>
  <c r="F6" i="36"/>
  <c r="F5" i="36" s="1"/>
  <c r="F17" i="36" s="1"/>
  <c r="F19" i="36" s="1"/>
  <c r="L6" i="36"/>
  <c r="L5" i="36" s="1"/>
  <c r="L17" i="36" s="1"/>
  <c r="L19" i="36" s="1"/>
  <c r="I23" i="36"/>
  <c r="C18" i="57"/>
  <c r="C17" i="57" s="1"/>
  <c r="C21" i="43"/>
  <c r="C18" i="59"/>
  <c r="C17" i="59" s="1"/>
  <c r="C6" i="2"/>
  <c r="C15" i="56"/>
  <c r="J15" i="56" s="1"/>
  <c r="C18" i="58"/>
  <c r="C17" i="58" s="1"/>
  <c r="C20" i="36"/>
  <c r="D20" i="36" s="1"/>
  <c r="E20" i="36" s="1"/>
  <c r="C16" i="2"/>
  <c r="J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H18" i="2"/>
  <c r="H50" i="2" s="1"/>
  <c r="C21" i="59"/>
  <c r="C46" i="59" s="1"/>
  <c r="C8" i="2"/>
  <c r="J8" i="2" s="1"/>
  <c r="C10" i="2"/>
  <c r="J10" i="2" s="1"/>
  <c r="C15" i="43"/>
  <c r="F15" i="43" s="1"/>
  <c r="E28" i="51"/>
  <c r="C19" i="2"/>
  <c r="C18" i="2"/>
  <c r="E48" i="60" l="1"/>
  <c r="J43" i="53"/>
  <c r="E33" i="60"/>
  <c r="E34" i="60" s="1"/>
  <c r="E40" i="60" s="1"/>
  <c r="E10" i="60"/>
  <c r="E15" i="60" s="1"/>
  <c r="E16" i="60" s="1"/>
  <c r="J45" i="53"/>
  <c r="G33" i="60"/>
  <c r="G34" i="60" s="1"/>
  <c r="G40" i="60" s="1"/>
  <c r="G10" i="60"/>
  <c r="G15" i="60" s="1"/>
  <c r="G16" i="60" s="1"/>
  <c r="J42" i="53"/>
  <c r="D33" i="60"/>
  <c r="D34" i="60" s="1"/>
  <c r="D40" i="60" s="1"/>
  <c r="D10" i="60"/>
  <c r="J18" i="2"/>
  <c r="C49" i="2"/>
  <c r="J6" i="2"/>
  <c r="J17" i="57"/>
  <c r="F23" i="56"/>
  <c r="F24" i="56" s="1"/>
  <c r="F25" i="56" s="1"/>
  <c r="F26" i="56" s="1"/>
  <c r="F27" i="56" s="1"/>
  <c r="E23" i="60"/>
  <c r="E24" i="60" s="1"/>
  <c r="E25" i="60" s="1"/>
  <c r="E26" i="60" s="1"/>
  <c r="E27" i="60" s="1"/>
  <c r="D23" i="59"/>
  <c r="F48" i="58"/>
  <c r="G48" i="60"/>
  <c r="J44" i="53"/>
  <c r="F33" i="60"/>
  <c r="F34" i="60" s="1"/>
  <c r="F40" i="60" s="1"/>
  <c r="F48" i="60" s="1"/>
  <c r="F10" i="60"/>
  <c r="F15" i="60" s="1"/>
  <c r="F16" i="60" s="1"/>
  <c r="F24" i="60"/>
  <c r="F25" i="60" s="1"/>
  <c r="F26" i="60" s="1"/>
  <c r="F27" i="60" s="1"/>
  <c r="J19" i="2"/>
  <c r="J17" i="58"/>
  <c r="J23" i="58" s="1"/>
  <c r="J17" i="59"/>
  <c r="J23" i="61"/>
  <c r="I23" i="56"/>
  <c r="I24" i="56" s="1"/>
  <c r="I25" i="56" s="1"/>
  <c r="I26" i="56" s="1"/>
  <c r="I27" i="56" s="1"/>
  <c r="H23" i="60"/>
  <c r="H24" i="60" s="1"/>
  <c r="H25" i="60" s="1"/>
  <c r="H26" i="60" s="1"/>
  <c r="H27" i="60" s="1"/>
  <c r="E23" i="58"/>
  <c r="E24" i="58" s="1"/>
  <c r="E25" i="58" s="1"/>
  <c r="E26" i="58" s="1"/>
  <c r="E27" i="58" s="1"/>
  <c r="D48" i="60"/>
  <c r="C16" i="61"/>
  <c r="C24" i="61"/>
  <c r="C25" i="61" s="1"/>
  <c r="C26" i="61" s="1"/>
  <c r="C27" i="61" s="1"/>
  <c r="I41" i="2"/>
  <c r="I48" i="2"/>
  <c r="D25" i="58"/>
  <c r="D26" i="58"/>
  <c r="D27" i="58" s="1"/>
  <c r="I20" i="2"/>
  <c r="D30" i="2"/>
  <c r="D31" i="2" s="1"/>
  <c r="D32" i="2" s="1"/>
  <c r="E46" i="43"/>
  <c r="E48" i="43" s="1"/>
  <c r="E23" i="43"/>
  <c r="E24" i="43" s="1"/>
  <c r="E25" i="43" s="1"/>
  <c r="E26" i="43" s="1"/>
  <c r="E27" i="43" s="1"/>
  <c r="D46" i="43"/>
  <c r="D48" i="43" s="1"/>
  <c r="D23" i="43"/>
  <c r="D24" i="43" s="1"/>
  <c r="D25" i="43" s="1"/>
  <c r="D26" i="43" s="1"/>
  <c r="D27" i="43" s="1"/>
  <c r="K27" i="51"/>
  <c r="F20" i="36"/>
  <c r="G20" i="36" s="1"/>
  <c r="H20" i="36" s="1"/>
  <c r="I24" i="36" s="1"/>
  <c r="I28" i="51"/>
  <c r="J26" i="51"/>
  <c r="J28" i="51" s="1"/>
  <c r="F28" i="51"/>
  <c r="J42" i="2"/>
  <c r="C46" i="60"/>
  <c r="C23" i="60"/>
  <c r="F18" i="36"/>
  <c r="G18" i="36" s="1"/>
  <c r="H18" i="36" s="1"/>
  <c r="E24" i="36" s="1"/>
  <c r="J36" i="2"/>
  <c r="E7" i="2"/>
  <c r="C34" i="2"/>
  <c r="J34" i="2"/>
  <c r="C10" i="58"/>
  <c r="J10" i="58" s="1"/>
  <c r="C29" i="2"/>
  <c r="C31" i="2" s="1"/>
  <c r="J23" i="59"/>
  <c r="E14" i="2"/>
  <c r="C16" i="43"/>
  <c r="C16" i="56"/>
  <c r="J16" i="56"/>
  <c r="C48" i="57"/>
  <c r="C15" i="57"/>
  <c r="J15" i="57" s="1"/>
  <c r="C33" i="58"/>
  <c r="C34" i="58" s="1"/>
  <c r="C40" i="58" s="1"/>
  <c r="C48" i="58" s="1"/>
  <c r="C23" i="59"/>
  <c r="C23" i="58"/>
  <c r="C42" i="2"/>
  <c r="C23" i="57"/>
  <c r="C47" i="2"/>
  <c r="C11" i="2"/>
  <c r="J11" i="2" s="1"/>
  <c r="C36" i="2"/>
  <c r="C51" i="2"/>
  <c r="C46" i="43"/>
  <c r="C48" i="43" s="1"/>
  <c r="C50" i="2"/>
  <c r="G28" i="51"/>
  <c r="K44" i="53" l="1"/>
  <c r="F33" i="59"/>
  <c r="F34" i="59" s="1"/>
  <c r="F40" i="59" s="1"/>
  <c r="F48" i="59" s="1"/>
  <c r="F10" i="59"/>
  <c r="F15" i="59" s="1"/>
  <c r="D15" i="60"/>
  <c r="J10" i="60"/>
  <c r="G24" i="60"/>
  <c r="G25" i="60" s="1"/>
  <c r="G26" i="60" s="1"/>
  <c r="G27" i="60" s="1"/>
  <c r="K42" i="53"/>
  <c r="D33" i="59"/>
  <c r="D34" i="59" s="1"/>
  <c r="D40" i="59" s="1"/>
  <c r="D48" i="59" s="1"/>
  <c r="D10" i="59"/>
  <c r="D15" i="59" s="1"/>
  <c r="D16" i="59" s="1"/>
  <c r="K45" i="53"/>
  <c r="G33" i="59"/>
  <c r="G34" i="59" s="1"/>
  <c r="G40" i="59" s="1"/>
  <c r="G48" i="59" s="1"/>
  <c r="G10" i="59"/>
  <c r="G15" i="59" s="1"/>
  <c r="K43" i="53"/>
  <c r="E33" i="59"/>
  <c r="E34" i="59" s="1"/>
  <c r="E40" i="59" s="1"/>
  <c r="E48" i="59" s="1"/>
  <c r="E10" i="59"/>
  <c r="E15" i="59" s="1"/>
  <c r="I20" i="36"/>
  <c r="J20" i="36" s="1"/>
  <c r="K20" i="36" s="1"/>
  <c r="L20" i="36" s="1"/>
  <c r="K26" i="51"/>
  <c r="J23" i="60"/>
  <c r="G20" i="2" s="1"/>
  <c r="G14" i="2"/>
  <c r="F14" i="2"/>
  <c r="F41" i="2" s="1"/>
  <c r="I18" i="36"/>
  <c r="J18" i="36" s="1"/>
  <c r="K18" i="36" s="1"/>
  <c r="L18" i="36" s="1"/>
  <c r="J47" i="2"/>
  <c r="F7" i="2"/>
  <c r="F30" i="2" s="1"/>
  <c r="F31" i="2" s="1"/>
  <c r="F32" i="2" s="1"/>
  <c r="C32" i="2"/>
  <c r="C33" i="59"/>
  <c r="C34" i="59" s="1"/>
  <c r="C40" i="59" s="1"/>
  <c r="C48" i="59" s="1"/>
  <c r="J29" i="2"/>
  <c r="J23" i="57"/>
  <c r="J24" i="57" s="1"/>
  <c r="J51" i="2"/>
  <c r="J49" i="2"/>
  <c r="J50" i="2"/>
  <c r="D12" i="2"/>
  <c r="C16" i="57"/>
  <c r="C24" i="57"/>
  <c r="C15" i="58"/>
  <c r="J15" i="58" s="1"/>
  <c r="E30" i="2"/>
  <c r="E31" i="2" s="1"/>
  <c r="E32" i="2" s="1"/>
  <c r="H14" i="2"/>
  <c r="H48" i="2" s="1"/>
  <c r="E41" i="2"/>
  <c r="E48" i="2"/>
  <c r="F20" i="2"/>
  <c r="H20" i="2"/>
  <c r="H28" i="51"/>
  <c r="J60" i="2"/>
  <c r="E16" i="59" l="1"/>
  <c r="E24" i="59"/>
  <c r="E25" i="59" s="1"/>
  <c r="E26" i="59" s="1"/>
  <c r="E27" i="59" s="1"/>
  <c r="D16" i="60"/>
  <c r="D24" i="60"/>
  <c r="D25" i="60" s="1"/>
  <c r="D26" i="60" s="1"/>
  <c r="D27" i="60" s="1"/>
  <c r="D24" i="59"/>
  <c r="D25" i="59" s="1"/>
  <c r="D26" i="59" s="1"/>
  <c r="D27" i="59" s="1"/>
  <c r="F33" i="61"/>
  <c r="F34" i="61" s="1"/>
  <c r="F40" i="61" s="1"/>
  <c r="F48" i="61" s="1"/>
  <c r="F10" i="61"/>
  <c r="F15" i="61" s="1"/>
  <c r="G16" i="59"/>
  <c r="G24" i="59"/>
  <c r="G25" i="59" s="1"/>
  <c r="G26" i="59" s="1"/>
  <c r="G27" i="59" s="1"/>
  <c r="E33" i="61"/>
  <c r="E34" i="61" s="1"/>
  <c r="E40" i="61" s="1"/>
  <c r="E48" i="61" s="1"/>
  <c r="E10" i="61"/>
  <c r="E15" i="61" s="1"/>
  <c r="G33" i="61"/>
  <c r="G34" i="61" s="1"/>
  <c r="G40" i="61" s="1"/>
  <c r="G48" i="61" s="1"/>
  <c r="G10" i="61"/>
  <c r="G15" i="61" s="1"/>
  <c r="D33" i="61"/>
  <c r="D34" i="61" s="1"/>
  <c r="D40" i="61" s="1"/>
  <c r="D48" i="61" s="1"/>
  <c r="D10" i="61"/>
  <c r="F16" i="59"/>
  <c r="F24" i="59"/>
  <c r="F25" i="59" s="1"/>
  <c r="F26" i="59" s="1"/>
  <c r="F27" i="59" s="1"/>
  <c r="J25" i="57"/>
  <c r="J26" i="57" s="1"/>
  <c r="D38" i="2"/>
  <c r="D13" i="2"/>
  <c r="F48" i="2"/>
  <c r="G41" i="2"/>
  <c r="G48" i="2"/>
  <c r="C25" i="57"/>
  <c r="C26" i="57" s="1"/>
  <c r="C34" i="60"/>
  <c r="C40" i="60" s="1"/>
  <c r="C48" i="60" s="1"/>
  <c r="E20" i="2"/>
  <c r="C10" i="59"/>
  <c r="F16" i="43"/>
  <c r="C12" i="2"/>
  <c r="C38" i="2" s="1"/>
  <c r="J16" i="58"/>
  <c r="J24" i="58"/>
  <c r="H41" i="2"/>
  <c r="C16" i="58"/>
  <c r="E12" i="2"/>
  <c r="J16" i="57"/>
  <c r="C24" i="58"/>
  <c r="E21" i="2"/>
  <c r="E53" i="2" s="1"/>
  <c r="E16" i="61" l="1"/>
  <c r="E24" i="61"/>
  <c r="E25" i="61" s="1"/>
  <c r="E26" i="61" s="1"/>
  <c r="E27" i="61" s="1"/>
  <c r="D15" i="61"/>
  <c r="J10" i="61"/>
  <c r="I7" i="2" s="1"/>
  <c r="I30" i="2" s="1"/>
  <c r="I31" i="2" s="1"/>
  <c r="I32" i="2" s="1"/>
  <c r="E22" i="2"/>
  <c r="G16" i="61"/>
  <c r="G24" i="61"/>
  <c r="G25" i="61" s="1"/>
  <c r="G26" i="61" s="1"/>
  <c r="G27" i="61" s="1"/>
  <c r="F16" i="61"/>
  <c r="F24" i="61"/>
  <c r="F25" i="61" s="1"/>
  <c r="F26" i="61" s="1"/>
  <c r="F27" i="61" s="1"/>
  <c r="J25" i="58"/>
  <c r="J26" i="58" s="1"/>
  <c r="J10" i="59"/>
  <c r="H7" i="2" s="1"/>
  <c r="H30" i="2" s="1"/>
  <c r="H31" i="2" s="1"/>
  <c r="H32" i="2" s="1"/>
  <c r="E38" i="2"/>
  <c r="E13" i="2"/>
  <c r="C27" i="57"/>
  <c r="J27" i="57"/>
  <c r="C25" i="58"/>
  <c r="C26" i="58" s="1"/>
  <c r="G7" i="2"/>
  <c r="C15" i="60"/>
  <c r="J15" i="60" s="1"/>
  <c r="C15" i="59"/>
  <c r="J15" i="59" s="1"/>
  <c r="J16" i="59" s="1"/>
  <c r="E39" i="2"/>
  <c r="C13" i="2"/>
  <c r="F12" i="2"/>
  <c r="D16" i="61" l="1"/>
  <c r="D24" i="61"/>
  <c r="D25" i="61" s="1"/>
  <c r="D26" i="61" s="1"/>
  <c r="J15" i="61"/>
  <c r="G30" i="2"/>
  <c r="G31" i="2" s="1"/>
  <c r="G32" i="2" s="1"/>
  <c r="J7" i="2"/>
  <c r="J30" i="2" s="1"/>
  <c r="J31" i="2" s="1"/>
  <c r="J32" i="2" s="1"/>
  <c r="F38" i="2"/>
  <c r="F39" i="2" s="1"/>
  <c r="F13" i="2"/>
  <c r="E23" i="2"/>
  <c r="E24" i="2" s="1"/>
  <c r="J27" i="58"/>
  <c r="C27" i="58"/>
  <c r="C24" i="59"/>
  <c r="G12" i="2"/>
  <c r="C16" i="60"/>
  <c r="C24" i="60"/>
  <c r="C16" i="59"/>
  <c r="H12" i="2"/>
  <c r="J24" i="59"/>
  <c r="F21" i="2"/>
  <c r="F53" i="2" s="1"/>
  <c r="F22" i="2"/>
  <c r="I12" i="2" l="1"/>
  <c r="J16" i="61"/>
  <c r="J24" i="61"/>
  <c r="D27" i="61"/>
  <c r="J26" i="61"/>
  <c r="J25" i="59"/>
  <c r="J26" i="59" s="1"/>
  <c r="H38" i="2"/>
  <c r="H39" i="2" s="1"/>
  <c r="H13" i="2"/>
  <c r="G38" i="2"/>
  <c r="G39" i="2" s="1"/>
  <c r="G13" i="2"/>
  <c r="J12" i="2"/>
  <c r="J38" i="2" s="1"/>
  <c r="E52" i="2"/>
  <c r="E59" i="2"/>
  <c r="E58" i="2" s="1"/>
  <c r="F23" i="2"/>
  <c r="F52" i="2" s="1"/>
  <c r="C25" i="59"/>
  <c r="C26" i="59" s="1"/>
  <c r="C25" i="60"/>
  <c r="C26" i="60" s="1"/>
  <c r="J16" i="60"/>
  <c r="J24" i="60"/>
  <c r="H21" i="2"/>
  <c r="H53" i="2" s="1"/>
  <c r="H22" i="2"/>
  <c r="I21" i="2" l="1"/>
  <c r="I53" i="2" s="1"/>
  <c r="J25" i="61"/>
  <c r="I22" i="2" s="1"/>
  <c r="J13" i="2"/>
  <c r="J27" i="61"/>
  <c r="I23" i="2"/>
  <c r="I38" i="2"/>
  <c r="I39" i="2" s="1"/>
  <c r="I13" i="2"/>
  <c r="F59" i="2"/>
  <c r="F58" i="2" s="1"/>
  <c r="F24" i="2"/>
  <c r="C27" i="60"/>
  <c r="C27" i="59"/>
  <c r="H23" i="2"/>
  <c r="J25" i="60"/>
  <c r="G22" i="2" s="1"/>
  <c r="G21" i="2"/>
  <c r="G53" i="2" s="1"/>
  <c r="I59" i="2" l="1"/>
  <c r="I58" i="2" s="1"/>
  <c r="I52" i="2"/>
  <c r="I24" i="2"/>
  <c r="J26" i="60"/>
  <c r="J27" i="60" s="1"/>
  <c r="H52" i="2"/>
  <c r="H24" i="2"/>
  <c r="J27" i="59"/>
  <c r="H59" i="2"/>
  <c r="H58" i="2" s="1"/>
  <c r="C60" i="2"/>
  <c r="C17" i="43"/>
  <c r="F17" i="43" s="1"/>
  <c r="F23" i="43" s="1"/>
  <c r="G23" i="2" l="1"/>
  <c r="G24" i="2" s="1"/>
  <c r="C23" i="43"/>
  <c r="C24" i="43" s="1"/>
  <c r="C25" i="43" s="1"/>
  <c r="G59" i="2" l="1"/>
  <c r="G58" i="2" s="1"/>
  <c r="G52" i="2"/>
  <c r="F24" i="43"/>
  <c r="F25" i="43" s="1"/>
  <c r="C14" i="2"/>
  <c r="C26" i="43"/>
  <c r="F26" i="43" s="1"/>
  <c r="C27" i="43" l="1"/>
  <c r="F27" i="43"/>
  <c r="C41" i="2"/>
  <c r="C48" i="2"/>
  <c r="C20" i="2"/>
  <c r="C21" i="2" l="1"/>
  <c r="C39" i="2"/>
  <c r="C22" i="2" l="1"/>
  <c r="C23" i="2" s="1"/>
  <c r="C53" i="2"/>
  <c r="C24" i="2" l="1"/>
  <c r="C52" i="2"/>
  <c r="C59" i="2"/>
  <c r="C58" i="2" s="1"/>
  <c r="D60" i="2"/>
  <c r="C18" i="56"/>
  <c r="C17" i="56" s="1"/>
  <c r="J17" i="56" s="1"/>
  <c r="C23" i="56" l="1"/>
  <c r="C24" i="56" s="1"/>
  <c r="C25" i="56" s="1"/>
  <c r="D14" i="2" l="1"/>
  <c r="J14" i="2" s="1"/>
  <c r="J23" i="56"/>
  <c r="C26" i="56"/>
  <c r="C27" i="56" l="1"/>
  <c r="J24" i="56"/>
  <c r="D20" i="2"/>
  <c r="J20" i="2" s="1"/>
  <c r="D48" i="2"/>
  <c r="D41" i="2"/>
  <c r="J25" i="56" l="1"/>
  <c r="J26" i="56" s="1"/>
  <c r="D23" i="2" s="1"/>
  <c r="D24" i="2" s="1"/>
  <c r="J41" i="2"/>
  <c r="J48" i="2"/>
  <c r="D39" i="2"/>
  <c r="D21" i="2"/>
  <c r="D53" i="2" s="1"/>
  <c r="D22" i="2"/>
  <c r="J27" i="56" l="1"/>
  <c r="D59" i="2"/>
  <c r="D58" i="2" s="1"/>
  <c r="D52" i="2"/>
  <c r="J39" i="2"/>
  <c r="J21" i="2"/>
  <c r="J22" i="2" s="1"/>
  <c r="J23" i="2" l="1"/>
  <c r="J53" i="2"/>
  <c r="J24" i="2" l="1"/>
  <c r="J52" i="2"/>
  <c r="J59" i="2"/>
  <c r="J58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O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H2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H3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H4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H62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H75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H8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<sst xmlns="http://schemas.openxmlformats.org/spreadsheetml/2006/main" count="1857" uniqueCount="308">
  <si>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</si>
  <si>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</si>
  <si>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</si>
  <si>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</si>
  <si>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</si>
  <si>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</si>
  <si>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</si>
  <si>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</si>
  <si>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</si>
  <si>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</si>
  <si>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</si>
  <si>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</si>
  <si>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</si>
  <si>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</si>
  <si>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</si>
  <si>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</si>
  <si>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</si>
  <si>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</si>
  <si>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</si>
  <si>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</si>
  <si>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</si>
  <si>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</si>
  <si>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</si>
  <si>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</si>
  <si>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</si>
  <si>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</si>
  <si>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</si>
  <si>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</si>
  <si>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</si>
  <si>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</si>
  <si>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</si>
  <si>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</si>
  <si>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</si>
  <si>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</si>
  <si>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</si>
  <si>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</si>
  <si>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</si>
  <si>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</si>
  <si>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</si>
  <si>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</si>
  <si>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</si>
  <si>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</si>
  <si>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</si>
  <si>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</si>
  <si>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</si>
  <si>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</si>
  <si>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</si>
  <si>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</si>
  <si>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</si>
  <si>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</si>
  <si>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</si>
  <si>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</si>
  <si>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</si>
  <si>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</si>
  <si>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</si>
  <si>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</si>
  <si>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</si>
  <si>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</si>
  <si>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</si>
  <si>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</si>
  <si>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</si>
  <si>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</si>
  <si>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</si>
  <si>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</si>
  <si>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</si>
  <si>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</si>
  <si>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</si>
  <si>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</si>
  <si>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</si>
  <si>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</si>
  <si>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</si>
  <si>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</si>
  <si>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</si>
  <si>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</si>
  <si>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</si>
  <si>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</si>
  <si>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</si>
  <si>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</si>
  <si>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</si>
  <si>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</si>
  <si>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</si>
  <si>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</si>
  <si>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</si>
  <si>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</si>
  <si>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</si>
  <si>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</si>
  <si>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</si>
  <si>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</si>
  <si>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</si>
  <si>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</si>
  <si>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</si>
  <si>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</si>
  <si>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</si>
  <si>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</si>
  <si>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</si>
  <si>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</si>
  <si>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</si>
  <si>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</si>
  <si>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</si>
  <si>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</si>
  <si>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</si>
  <si>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</si>
  <si>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</si>
  <si>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</si>
  <si>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</si>
  <si>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</si>
  <si>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</si>
  <si>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</si>
  <si>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</si>
  <si>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</si>
  <si>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</si>
  <si>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</si>
  <si>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</si>
  <si>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</si>
  <si>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</si>
  <si>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</si>
  <si>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</si>
  <si>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</si>
  <si>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</si>
  <si>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</si>
  <si>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</si>
  <si>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</si>
  <si>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</si>
  <si>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</si>
  <si>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</si>
  <si>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</si>
  <si>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</si>
  <si>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</si>
  <si>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</si>
  <si>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</si>
  <si>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</si>
  <si>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</si>
  <si>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</si>
  <si>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</si>
  <si>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</si>
  <si>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</si>
  <si>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</si>
  <si>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</si>
  <si>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</si>
  <si>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</si>
  <si>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</si>
  <si>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</si>
  <si>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</si>
  <si>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</si>
  <si>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</si>
  <si>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</si>
  <si>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</si>
  <si>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</si>
  <si>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</si>
  <si>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</si>
  <si>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</si>
  <si>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</si>
  <si>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</si>
  <si>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</si>
  <si>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</si>
  <si>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</si>
  <si>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</si>
  <si>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</si>
  <si>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</si>
  <si>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</si>
  <si>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</si>
  <si>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</si>
  <si>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</si>
  <si>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</si>
  <si>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</si>
  <si>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</si>
  <si>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</si>
  <si>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</si>
  <si>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</si>
  <si>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</si>
  <si>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</si>
  <si>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</si>
  <si>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</si>
  <si>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</si>
  <si>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</si>
  <si>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</si>
  <si>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</si>
  <si>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</si>
  <si>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</si>
  <si>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</si>
  <si>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</si>
  <si>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</si>
  <si>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</si>
  <si>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</si>
  <si>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</si>
  <si>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</si>
  <si>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</si>
  <si>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</si>
  <si>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</si>
  <si>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</si>
  <si>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</si>
  <si>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</si>
  <si>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</si>
  <si>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</si>
  <si>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</si>
  <si>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</si>
  <si>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</si>
  <si>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</si>
  <si>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</si>
  <si>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</si>
  <si>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</si>
  <si>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</si>
  <si>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</si>
  <si>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</si>
  <si>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</si>
  <si>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</si>
  <si>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</si>
  <si>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</si>
  <si>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</si>
  <si>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</si>
  <si>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</si>
  <si>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</si>
  <si>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</si>
  <si>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</si>
  <si>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</si>
  <si>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</si>
  <si>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</si>
  <si>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</si>
  <si>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</si>
  <si>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</si>
  <si>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</si>
  <si>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</si>
  <si>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</si>
  <si>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</si>
  <si>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</si>
  <si>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</si>
  <si>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</si>
  <si>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</si>
  <si>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</si>
  <si>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</si>
  <si>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</si>
  <si>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</si>
  <si>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</si>
  <si>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</si>
  <si>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</si>
  <si>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</si>
  <si>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</si>
  <si>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</si>
  <si>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</si>
  <si>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</si>
  <si>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</si>
  <si>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</si>
  <si>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</si>
  <si>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</si>
  <si>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t xml:space="preserve">2028年  </t>
    <phoneticPr fontId="38" type="noConversion"/>
  </si>
  <si>
    <t>2028年</t>
    <phoneticPr fontId="38" type="noConversion"/>
  </si>
  <si>
    <t>2027年</t>
  </si>
  <si>
    <t>材料成本年降汇总表1%</t>
    <phoneticPr fontId="38" type="noConversion"/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</si>
  <si>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</si>
  <si>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</si>
  <si>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</si>
  <si>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t>22年预算（综合）</t>
    <phoneticPr fontId="38" type="noConversion"/>
  </si>
  <si>
    <t>21年的后视镜</t>
    <phoneticPr fontId="38" type="noConversion"/>
  </si>
  <si>
    <t>21年的座椅</t>
    <phoneticPr fontId="38" type="noConversion"/>
  </si>
  <si>
    <r>
      <t>2028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</si>
  <si>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2023年</t>
    </r>
    <r>
      <rPr>
        <b/>
        <sz val="10"/>
        <rFont val="宋体"/>
        <family val="3"/>
        <charset val="134"/>
      </rPr>
      <t/>
    </r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</si>
  <si>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</si>
  <si>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</si>
  <si>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</si>
  <si>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</si>
  <si>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考虑折旧问题，后视镜减去部分固定制造。</t>
    <phoneticPr fontId="38" type="noConversion"/>
  </si>
  <si>
    <t>成都后视镜2022</t>
    <phoneticPr fontId="38" type="noConversion"/>
  </si>
  <si>
    <t>成都后视镜2021实际</t>
    <phoneticPr fontId="38" type="noConversion"/>
  </si>
  <si>
    <t xml:space="preserve">北汽B41V外后视镜项目研发费用预算表 </t>
    <phoneticPr fontId="38" type="noConversion"/>
  </si>
  <si>
    <t>2029年</t>
  </si>
  <si>
    <t xml:space="preserve"> 7  年</t>
    <phoneticPr fontId="38" type="noConversion"/>
  </si>
  <si>
    <t>研发费用由对方支付。</t>
    <phoneticPr fontId="38" type="noConversion"/>
  </si>
  <si>
    <t>刘水泉总核实</t>
    <phoneticPr fontId="38" type="noConversion"/>
  </si>
  <si>
    <t>北汽B41V-C系列-LV1</t>
  </si>
  <si>
    <t>B41V-C系列-LV2-LV3-P系列-LV3-左</t>
  </si>
  <si>
    <t xml:space="preserve">B41V-P系列-LV1-LV2-左 </t>
  </si>
  <si>
    <t>B41V-混动-左</t>
  </si>
  <si>
    <t>-</t>
  </si>
  <si>
    <t>供应商年降：     7 年0%</t>
    <phoneticPr fontId="38" type="noConversion"/>
  </si>
  <si>
    <t>2023年</t>
    <phoneticPr fontId="38" type="noConversion"/>
  </si>
  <si>
    <t>2024年</t>
    <phoneticPr fontId="38" type="noConversion"/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</si>
  <si>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</si>
  <si>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</si>
  <si>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</si>
  <si>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</si>
  <si>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</si>
  <si>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</si>
  <si>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</si>
  <si>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</si>
  <si>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t xml:space="preserve">2029年  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</si>
  <si>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</si>
  <si>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北汽</t>
    <phoneticPr fontId="38" type="noConversion"/>
  </si>
  <si>
    <r>
      <t xml:space="preserve">北汽B41V外后视镜项目可行性分析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</si>
  <si>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</si>
  <si>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</si>
  <si>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</si>
  <si>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</si>
  <si>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</si>
  <si>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</si>
  <si>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</si>
  <si>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</si>
  <si>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</si>
  <si>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</si>
  <si>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河北工厂</t>
  </si>
  <si>
    <t>北京顺义</t>
    <phoneticPr fontId="35" type="noConversion"/>
  </si>
  <si>
    <t>银行电子承兑汇票、现汇</t>
    <phoneticPr fontId="35" type="noConversion"/>
  </si>
  <si>
    <t>同现有产品</t>
  </si>
  <si>
    <t>开发费分摊情况</t>
    <phoneticPr fontId="35" type="noConversion"/>
  </si>
  <si>
    <t>产品应用场景</t>
    <phoneticPr fontId="35" type="noConversion"/>
  </si>
  <si>
    <t>如是工程车、公路用车？</t>
    <phoneticPr fontId="35" type="noConversion"/>
  </si>
  <si>
    <t>三包周期</t>
    <phoneticPr fontId="35" type="noConversion"/>
  </si>
  <si>
    <t>销售合同为291.12万元，一半自付一半摊销；319万元为刘水泉总预估。财务本着谨慎性原则，超出部分为自付。</t>
    <phoneticPr fontId="38" type="noConversion"/>
  </si>
  <si>
    <t>备注：根据销售合同，工装模夹检投资为291.12万元，其中客户摊销145.56万元/10万件，我司自付145.56万元。另根据刘水泉总预估工装模夹检支出为319万元，财务本着谨慎性原则把超出的27.88万元全部算为自付。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</si>
</sst>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0.00_);[Red]\(0.00\)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43" fillId="0" borderId="13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  <xf numFmtId="0" fontId="27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 wrapText="1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 wrapText="1"/>
    </xf>
    <xf numFmtId="43" fontId="27" fillId="0" borderId="0" xfId="1" applyFont="1" applyFill="1" applyBorder="1" applyAlignment="1">
      <alignment horizontal="center" vertical="center"/>
    </xf>
    <xf numFmtId="10" fontId="0" fillId="0" borderId="0" xfId="1" applyNumberFormat="1" applyFont="1" applyFill="1">
      <alignment vertical="center"/>
    </xf>
    <xf numFmtId="180" fontId="0" fillId="0" borderId="4" xfId="3" applyNumberFormat="1" applyFon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9" fontId="0" fillId="0" borderId="4" xfId="3" applyFont="1" applyFill="1" applyBorder="1" applyAlignment="1">
      <alignment horizontal="center" vertical="center"/>
    </xf>
    <xf numFmtId="10" fontId="0" fillId="0" borderId="1" xfId="1" applyNumberFormat="1" applyFont="1" applyFill="1" applyBorder="1">
      <alignment vertical="center"/>
    </xf>
    <xf numFmtId="178" fontId="16" fillId="9" borderId="1" xfId="1" applyNumberFormat="1" applyFont="1" applyFill="1" applyBorder="1" applyAlignment="1">
      <alignment horizontal="center" vertical="center"/>
    </xf>
    <xf numFmtId="10" fontId="16" fillId="9" borderId="1" xfId="3" applyNumberFormat="1" applyFont="1" applyFill="1" applyBorder="1">
      <alignment vertical="center"/>
    </xf>
    <xf numFmtId="10" fontId="16" fillId="9" borderId="0" xfId="3" applyNumberFormat="1" applyFont="1" applyFill="1" applyBorder="1">
      <alignment vertical="center"/>
    </xf>
    <xf numFmtId="43" fontId="16" fillId="9" borderId="0" xfId="1" applyFont="1" applyFill="1" applyBorder="1">
      <alignment vertical="center"/>
    </xf>
    <xf numFmtId="43" fontId="17" fillId="9" borderId="1" xfId="1" applyFont="1" applyFill="1" applyBorder="1" applyAlignment="1">
      <alignment horizontal="center" vertical="center" wrapText="1"/>
    </xf>
    <xf numFmtId="43" fontId="16" fillId="9" borderId="1" xfId="1" applyFont="1" applyFill="1" applyBorder="1">
      <alignment vertical="center"/>
    </xf>
    <xf numFmtId="43" fontId="16" fillId="9" borderId="1" xfId="1" applyFont="1" applyFill="1" applyBorder="1" applyAlignment="1">
      <alignment horizontal="center" vertical="center"/>
    </xf>
    <xf numFmtId="0" fontId="16" fillId="9" borderId="1" xfId="0" applyFont="1" applyFill="1" applyBorder="1">
      <alignment vertical="center"/>
    </xf>
    <xf numFmtId="0" fontId="16" fillId="9" borderId="0" xfId="0" applyFont="1" applyFill="1" applyBorder="1">
      <alignment vertical="center"/>
    </xf>
    <xf numFmtId="0" fontId="16" fillId="9" borderId="1" xfId="0" applyFont="1" applyFill="1" applyBorder="1" applyAlignment="1">
      <alignment horizontal="center" vertical="center"/>
    </xf>
    <xf numFmtId="43" fontId="22" fillId="9" borderId="1" xfId="1" applyFont="1" applyFill="1" applyBorder="1" applyAlignment="1">
      <alignment horizontal="center" vertical="center" wrapText="1"/>
    </xf>
    <xf numFmtId="0" fontId="18" fillId="9" borderId="1" xfId="0" applyFont="1" applyFill="1" applyBorder="1">
      <alignment vertical="center"/>
    </xf>
    <xf numFmtId="0" fontId="15" fillId="9" borderId="1" xfId="0" applyFont="1" applyFill="1" applyBorder="1">
      <alignment vertical="center"/>
    </xf>
    <xf numFmtId="0" fontId="23" fillId="9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8" fontId="16" fillId="10" borderId="1" xfId="1" applyNumberFormat="1" applyFont="1" applyFill="1" applyBorder="1" applyAlignment="1">
      <alignment horizontal="center" vertical="center"/>
    </xf>
    <xf numFmtId="10" fontId="16" fillId="9" borderId="1" xfId="3" applyNumberFormat="1" applyFont="1" applyFill="1" applyBorder="1" applyAlignment="1">
      <alignment horizontal="right" vertical="center"/>
    </xf>
    <xf numFmtId="178" fontId="15" fillId="10" borderId="1" xfId="1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3" fillId="0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181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3" fontId="0" fillId="11" borderId="1" xfId="0" applyNumberForma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center" vertical="center"/>
    </xf>
    <xf numFmtId="0" fontId="49" fillId="0" borderId="1" xfId="0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15" fillId="0" borderId="4" xfId="11" applyFont="1" applyFill="1" applyBorder="1" applyAlignment="1">
      <alignment vertical="center" wrapText="1"/>
    </xf>
    <xf numFmtId="0" fontId="16" fillId="0" borderId="4" xfId="11" applyFont="1" applyFill="1" applyBorder="1" applyAlignment="1">
      <alignment vertical="center"/>
    </xf>
    <xf numFmtId="43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1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43" fontId="16" fillId="12" borderId="0" xfId="1" applyFont="1" applyFill="1" applyAlignment="1">
      <alignment horizontal="left" vertical="top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E13" sqref="E13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2" customFormat="1" ht="35.25" customHeight="1">
      <c r="A2" s="133" t="s">
        <v>0</v>
      </c>
      <c r="B2" s="133" t="s">
        <v>1</v>
      </c>
      <c r="C2" s="133" t="s">
        <v>2</v>
      </c>
      <c r="D2" s="134"/>
    </row>
    <row r="3" spans="1:4" s="132" customFormat="1" ht="33.75" customHeight="1">
      <c r="A3" s="135">
        <v>1</v>
      </c>
      <c r="B3" s="135" t="s">
        <v>3</v>
      </c>
      <c r="C3" s="136" t="s">
        <v>4</v>
      </c>
      <c r="D3" s="134"/>
    </row>
    <row r="4" spans="1:4" s="132" customFormat="1" ht="33.75" customHeight="1">
      <c r="A4" s="135">
        <v>2</v>
      </c>
      <c r="B4" s="135" t="s">
        <v>5</v>
      </c>
      <c r="C4" s="136" t="s">
        <v>6</v>
      </c>
    </row>
    <row r="5" spans="1:4" s="132" customFormat="1" ht="33.75" customHeight="1">
      <c r="A5" s="135">
        <v>3</v>
      </c>
      <c r="B5" s="259" t="s">
        <v>7</v>
      </c>
      <c r="C5" s="137" t="s">
        <v>8</v>
      </c>
    </row>
    <row r="6" spans="1:4" s="132" customFormat="1" ht="33.75" customHeight="1">
      <c r="A6" s="135">
        <v>4</v>
      </c>
      <c r="B6" s="260"/>
      <c r="C6" s="136" t="s">
        <v>9</v>
      </c>
    </row>
    <row r="7" spans="1:4" s="132" customFormat="1" ht="33.75" customHeight="1">
      <c r="A7" s="135">
        <v>5</v>
      </c>
      <c r="B7" s="138" t="s">
        <v>10</v>
      </c>
      <c r="C7" s="136" t="s">
        <v>11</v>
      </c>
    </row>
    <row r="8" spans="1:4" s="132" customFormat="1" ht="33.75" customHeight="1">
      <c r="A8" s="135">
        <v>6</v>
      </c>
      <c r="B8" s="259" t="s">
        <v>12</v>
      </c>
      <c r="C8" s="136" t="s">
        <v>13</v>
      </c>
    </row>
    <row r="9" spans="1:4" s="132" customFormat="1" ht="33.75" customHeight="1">
      <c r="A9" s="135">
        <v>7</v>
      </c>
      <c r="B9" s="260"/>
      <c r="C9" s="136" t="s">
        <v>14</v>
      </c>
    </row>
    <row r="10" spans="1:4" s="132" customFormat="1" ht="33.75" customHeight="1">
      <c r="A10" s="135">
        <v>8</v>
      </c>
      <c r="B10" s="260"/>
      <c r="C10" s="137" t="s">
        <v>15</v>
      </c>
    </row>
    <row r="11" spans="1:4" s="132" customFormat="1" ht="33.75" customHeight="1">
      <c r="A11" s="135">
        <v>9</v>
      </c>
      <c r="B11" s="260"/>
      <c r="C11" s="136" t="s">
        <v>16</v>
      </c>
    </row>
    <row r="12" spans="1:4" s="132" customFormat="1" ht="33.75" customHeight="1">
      <c r="A12" s="135">
        <v>10</v>
      </c>
      <c r="B12" s="138" t="s">
        <v>17</v>
      </c>
      <c r="C12" s="136" t="s">
        <v>18</v>
      </c>
    </row>
    <row r="13" spans="1:4" ht="33.75" customHeight="1"/>
    <row r="14" spans="1:4" ht="33.75" customHeight="1"/>
    <row r="15" spans="1:4" ht="33.75" customHeight="1">
      <c r="C15" s="139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opLeftCell="A10" workbookViewId="0">
      <selection activeCell="J24" sqref="J24"/>
    </sheetView>
  </sheetViews>
  <sheetFormatPr defaultColWidth="9" defaultRowHeight="16.5"/>
  <cols>
    <col min="1" max="1" width="5.125" style="46" customWidth="1"/>
    <col min="2" max="2" width="17.5" style="46" customWidth="1"/>
    <col min="3" max="9" width="13.25" style="47" customWidth="1"/>
    <col min="10" max="10" width="18.75" style="47" customWidth="1"/>
    <col min="11" max="11" width="12.375" style="46" customWidth="1"/>
    <col min="12" max="12" width="10.125" style="46" customWidth="1"/>
    <col min="13" max="19" width="9" style="46" customWidth="1"/>
    <col min="20" max="36" width="9" style="46"/>
    <col min="37" max="37" width="4.375" style="46" customWidth="1"/>
    <col min="38" max="38" width="13.875" style="46" customWidth="1"/>
    <col min="39" max="16384" width="9" style="46"/>
  </cols>
  <sheetData>
    <row r="1" spans="1:39">
      <c r="A1" s="266" t="s">
        <v>142</v>
      </c>
      <c r="B1" s="266"/>
      <c r="C1" s="270" t="s">
        <v>284</v>
      </c>
      <c r="D1" s="271"/>
      <c r="E1" s="271"/>
      <c r="F1" s="271"/>
      <c r="G1" s="271"/>
      <c r="H1" s="271"/>
      <c r="I1" s="271"/>
      <c r="J1" s="272"/>
    </row>
    <row r="2" spans="1:39">
      <c r="A2" s="266" t="s">
        <v>143</v>
      </c>
      <c r="B2" s="266"/>
      <c r="C2" s="273" t="str">
        <f>'2023年'!C2:F2</f>
        <v>北汽</v>
      </c>
      <c r="D2" s="273"/>
      <c r="E2" s="273"/>
      <c r="F2" s="273"/>
      <c r="G2" s="273"/>
      <c r="H2" s="273"/>
      <c r="I2" s="273"/>
      <c r="J2" s="273"/>
    </row>
    <row r="3" spans="1:39">
      <c r="A3" s="266" t="s">
        <v>144</v>
      </c>
      <c r="B3" s="266"/>
      <c r="C3" s="154">
        <f>销量!C5</f>
        <v>0</v>
      </c>
      <c r="D3" s="223"/>
      <c r="E3" s="223"/>
      <c r="F3" s="223"/>
      <c r="G3" s="223"/>
      <c r="H3" s="223"/>
      <c r="I3" s="223"/>
      <c r="J3" s="267" t="s">
        <v>20</v>
      </c>
    </row>
    <row r="4" spans="1:39" ht="28.5">
      <c r="A4" s="266" t="s">
        <v>145</v>
      </c>
      <c r="B4" s="266"/>
      <c r="C4" s="154" t="str">
        <f>销量!C6</f>
        <v>北汽B41V-C系列-LV1</v>
      </c>
      <c r="D4" s="154" t="str">
        <f>销量!D6</f>
        <v>B41V-C系列-LV2-LV3-P系列-LV3-左</v>
      </c>
      <c r="E4" s="154" t="str">
        <f>销量!E6</f>
        <v>B41V-C系列-LV2-LV3-P系列-LV3-左</v>
      </c>
      <c r="F4" s="154" t="str">
        <f>销量!F6</f>
        <v xml:space="preserve">B41V-P系列-LV1-LV2-左 </v>
      </c>
      <c r="G4" s="154" t="str">
        <f>销量!G6</f>
        <v xml:space="preserve">B41V-P系列-LV1-LV2-左 </v>
      </c>
      <c r="H4" s="154" t="str">
        <f>销量!H6</f>
        <v>B41V-C系列-LV2-LV3-P系列-LV3-左</v>
      </c>
      <c r="I4" s="154" t="str">
        <f>销量!I6</f>
        <v>B41V-混动-左</v>
      </c>
      <c r="J4" s="268"/>
    </row>
    <row r="5" spans="1:39">
      <c r="A5" s="266" t="s">
        <v>146</v>
      </c>
      <c r="B5" s="266"/>
      <c r="C5" s="49"/>
      <c r="D5" s="216"/>
      <c r="E5" s="216"/>
      <c r="F5" s="216"/>
      <c r="G5" s="216"/>
      <c r="H5" s="216"/>
      <c r="I5" s="216"/>
      <c r="J5" s="269"/>
      <c r="AM5" s="46" t="s">
        <v>21</v>
      </c>
    </row>
    <row r="6" spans="1:39" ht="17.25">
      <c r="A6" s="50" t="s">
        <v>19</v>
      </c>
      <c r="B6" s="51" t="s">
        <v>147</v>
      </c>
      <c r="C6" s="21">
        <f>销量!C15</f>
        <v>1600</v>
      </c>
      <c r="D6" s="21">
        <f>销量!D15</f>
        <v>4000</v>
      </c>
      <c r="E6" s="21">
        <f>销量!E15</f>
        <v>2400</v>
      </c>
      <c r="F6" s="21">
        <f>销量!F15</f>
        <v>3000</v>
      </c>
      <c r="G6" s="21">
        <f>销量!G15</f>
        <v>3000</v>
      </c>
      <c r="H6" s="21">
        <f>销量!H15</f>
        <v>2000</v>
      </c>
      <c r="I6" s="21">
        <f>销量!I15</f>
        <v>1500</v>
      </c>
      <c r="J6" s="52">
        <f>SUM(C6:I6)</f>
        <v>17500</v>
      </c>
      <c r="U6" s="51" t="s">
        <v>3</v>
      </c>
      <c r="AK6" s="50" t="s">
        <v>19</v>
      </c>
      <c r="AL6" s="51" t="s">
        <v>3</v>
      </c>
      <c r="AM6" s="46" t="s">
        <v>22</v>
      </c>
    </row>
    <row r="7" spans="1:39">
      <c r="A7" s="215">
        <v>1</v>
      </c>
      <c r="B7" s="51" t="s">
        <v>23</v>
      </c>
      <c r="C7" s="52">
        <f>C6*销量!C8</f>
        <v>493247.99999999994</v>
      </c>
      <c r="D7" s="52">
        <f>D6*销量!D8</f>
        <v>1525120</v>
      </c>
      <c r="E7" s="52">
        <f>E6*销量!E8</f>
        <v>915071.99999999988</v>
      </c>
      <c r="F7" s="52">
        <f>F6*销量!F8</f>
        <v>849839.99999999988</v>
      </c>
      <c r="G7" s="52">
        <f>G6*销量!G8</f>
        <v>849839.99999999988</v>
      </c>
      <c r="H7" s="52">
        <f>H6*销量!H8</f>
        <v>762560</v>
      </c>
      <c r="I7" s="52">
        <f>I6*销量!I8</f>
        <v>574170</v>
      </c>
      <c r="J7" s="52">
        <f>SUM(C7:I7)</f>
        <v>5969850</v>
      </c>
      <c r="K7" s="47"/>
      <c r="U7" s="51" t="s">
        <v>23</v>
      </c>
      <c r="AK7" s="50" t="s">
        <v>24</v>
      </c>
      <c r="AL7" s="51" t="s">
        <v>23</v>
      </c>
      <c r="AM7" s="46" t="s">
        <v>22</v>
      </c>
    </row>
    <row r="8" spans="1:39">
      <c r="A8" s="215">
        <v>2</v>
      </c>
      <c r="B8" s="215" t="s">
        <v>25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>I7*(1-销量!$M$10)</f>
        <v>0</v>
      </c>
      <c r="J8" s="52">
        <f t="shared" ref="J8:J15" si="0">SUM(C8:I8)</f>
        <v>0</v>
      </c>
      <c r="K8" s="67"/>
      <c r="U8" s="215" t="s">
        <v>27</v>
      </c>
      <c r="AK8" s="50" t="s">
        <v>26</v>
      </c>
      <c r="AL8" s="215" t="s">
        <v>27</v>
      </c>
      <c r="AM8" s="46" t="s">
        <v>22</v>
      </c>
    </row>
    <row r="9" spans="1:39">
      <c r="A9" s="215">
        <v>3</v>
      </c>
      <c r="B9" s="51" t="s">
        <v>28</v>
      </c>
      <c r="C9" s="52">
        <f>+C7-C8</f>
        <v>493247.99999999994</v>
      </c>
      <c r="D9" s="52">
        <f t="shared" ref="D9:I9" si="1">+D7-D8</f>
        <v>1525120</v>
      </c>
      <c r="E9" s="52">
        <f t="shared" si="1"/>
        <v>915071.99999999988</v>
      </c>
      <c r="F9" s="52">
        <f t="shared" si="1"/>
        <v>849839.99999999988</v>
      </c>
      <c r="G9" s="52">
        <f t="shared" si="1"/>
        <v>849839.99999999988</v>
      </c>
      <c r="H9" s="52">
        <f t="shared" si="1"/>
        <v>762560</v>
      </c>
      <c r="I9" s="52">
        <f t="shared" si="1"/>
        <v>574170</v>
      </c>
      <c r="J9" s="52">
        <f t="shared" si="0"/>
        <v>5969850</v>
      </c>
      <c r="U9" s="51" t="s">
        <v>28</v>
      </c>
      <c r="AK9" s="50" t="s">
        <v>29</v>
      </c>
      <c r="AL9" s="51" t="s">
        <v>28</v>
      </c>
      <c r="AM9" s="46" t="s">
        <v>30</v>
      </c>
    </row>
    <row r="10" spans="1:39">
      <c r="A10" s="215">
        <v>4</v>
      </c>
      <c r="B10" s="50" t="s">
        <v>31</v>
      </c>
      <c r="C10" s="52">
        <f>C6*材料成本!K41</f>
        <v>378192</v>
      </c>
      <c r="D10" s="52">
        <f>D6*材料成本!K42</f>
        <v>1149840</v>
      </c>
      <c r="E10" s="52">
        <f>E6*材料成本!K43</f>
        <v>689904</v>
      </c>
      <c r="F10" s="52">
        <f>F6*材料成本!K44</f>
        <v>618330</v>
      </c>
      <c r="G10" s="52">
        <f>G6*材料成本!K45</f>
        <v>618330</v>
      </c>
      <c r="H10" s="52">
        <f>H6*材料成本!K46</f>
        <v>574920</v>
      </c>
      <c r="I10" s="52">
        <f>I6*材料成本!K47</f>
        <v>432030</v>
      </c>
      <c r="J10" s="52">
        <f t="shared" si="0"/>
        <v>4461546</v>
      </c>
      <c r="U10" s="50" t="s">
        <v>31</v>
      </c>
      <c r="AK10" s="50" t="s">
        <v>32</v>
      </c>
      <c r="AL10" s="50" t="s">
        <v>31</v>
      </c>
      <c r="AM10" s="46" t="s">
        <v>33</v>
      </c>
    </row>
    <row r="11" spans="1:39">
      <c r="A11" s="215">
        <v>5</v>
      </c>
      <c r="B11" s="50" t="s">
        <v>34</v>
      </c>
      <c r="C11" s="52">
        <f>+C6*C36</f>
        <v>25595.503706016367</v>
      </c>
      <c r="D11" s="52">
        <f t="shared" ref="D11:I11" si="2">+D6*D36</f>
        <v>79141.151331824323</v>
      </c>
      <c r="E11" s="52">
        <f t="shared" si="2"/>
        <v>47484.690799094591</v>
      </c>
      <c r="F11" s="52">
        <f t="shared" si="2"/>
        <v>44099.687924778096</v>
      </c>
      <c r="G11" s="52">
        <f t="shared" si="2"/>
        <v>44099.687924778096</v>
      </c>
      <c r="H11" s="52">
        <f t="shared" si="2"/>
        <v>39570.575665912162</v>
      </c>
      <c r="I11" s="52">
        <f t="shared" si="2"/>
        <v>29794.688195154195</v>
      </c>
      <c r="J11" s="52">
        <f t="shared" si="0"/>
        <v>309785.98554755782</v>
      </c>
      <c r="U11" s="50" t="s">
        <v>34</v>
      </c>
      <c r="AK11" s="50" t="s">
        <v>35</v>
      </c>
      <c r="AL11" s="50" t="s">
        <v>34</v>
      </c>
    </row>
    <row r="12" spans="1:39">
      <c r="A12" s="215">
        <v>6</v>
      </c>
      <c r="B12" s="50" t="s">
        <v>36</v>
      </c>
      <c r="C12" s="52">
        <f>+C6*C37</f>
        <v>4464.5358959449004</v>
      </c>
      <c r="D12" s="52">
        <f t="shared" ref="D12:I12" si="3">+D6*D37</f>
        <v>13804.319501799269</v>
      </c>
      <c r="E12" s="52">
        <f t="shared" si="3"/>
        <v>8282.591701079562</v>
      </c>
      <c r="F12" s="52">
        <f t="shared" si="3"/>
        <v>7692.1572633032756</v>
      </c>
      <c r="G12" s="52">
        <f t="shared" si="3"/>
        <v>7692.1572633032756</v>
      </c>
      <c r="H12" s="52">
        <f t="shared" si="3"/>
        <v>6902.1597508996347</v>
      </c>
      <c r="I12" s="52">
        <f t="shared" si="3"/>
        <v>5196.985239422529</v>
      </c>
      <c r="J12" s="52">
        <f t="shared" si="0"/>
        <v>54034.90661575245</v>
      </c>
      <c r="U12" s="50" t="s">
        <v>36</v>
      </c>
      <c r="AK12" s="50" t="s">
        <v>37</v>
      </c>
      <c r="AL12" s="50" t="s">
        <v>36</v>
      </c>
    </row>
    <row r="13" spans="1:39">
      <c r="A13" s="215">
        <v>7</v>
      </c>
      <c r="B13" s="50" t="s">
        <v>38</v>
      </c>
      <c r="C13" s="52">
        <f>+C6*C38</f>
        <v>5425.7279999999992</v>
      </c>
      <c r="D13" s="52">
        <f t="shared" ref="D13:I13" si="4">+D6*D38</f>
        <v>16776.32</v>
      </c>
      <c r="E13" s="52">
        <f t="shared" si="4"/>
        <v>10065.791999999999</v>
      </c>
      <c r="F13" s="52">
        <f t="shared" si="4"/>
        <v>9348.24</v>
      </c>
      <c r="G13" s="52">
        <f t="shared" si="4"/>
        <v>9348.24</v>
      </c>
      <c r="H13" s="52">
        <f t="shared" si="4"/>
        <v>8388.16</v>
      </c>
      <c r="I13" s="52">
        <f t="shared" si="4"/>
        <v>6315.869999999999</v>
      </c>
      <c r="J13" s="52">
        <f t="shared" si="0"/>
        <v>65668.349999999991</v>
      </c>
      <c r="U13" s="50" t="s">
        <v>38</v>
      </c>
      <c r="AK13" s="50" t="s">
        <v>39</v>
      </c>
      <c r="AL13" s="50" t="s">
        <v>38</v>
      </c>
      <c r="AM13" s="46" t="s">
        <v>22</v>
      </c>
    </row>
    <row r="14" spans="1:39">
      <c r="A14" s="215">
        <v>8</v>
      </c>
      <c r="B14" s="53" t="s">
        <v>40</v>
      </c>
      <c r="C14" s="52">
        <f>SUM(C11:C13)</f>
        <v>35485.76760196127</v>
      </c>
      <c r="D14" s="52">
        <f t="shared" ref="D14:I14" si="5">SUM(D11:D13)</f>
        <v>109721.79083362359</v>
      </c>
      <c r="E14" s="52">
        <f t="shared" si="5"/>
        <v>65833.074500174145</v>
      </c>
      <c r="F14" s="52">
        <f t="shared" si="5"/>
        <v>61140.085188081372</v>
      </c>
      <c r="G14" s="52">
        <f t="shared" si="5"/>
        <v>61140.085188081372</v>
      </c>
      <c r="H14" s="52">
        <f t="shared" si="5"/>
        <v>54860.895416811793</v>
      </c>
      <c r="I14" s="52">
        <f t="shared" si="5"/>
        <v>41307.543434576728</v>
      </c>
      <c r="J14" s="52">
        <f t="shared" si="0"/>
        <v>429489.24216331029</v>
      </c>
      <c r="U14" s="53" t="s">
        <v>40</v>
      </c>
      <c r="AK14" s="50" t="s">
        <v>41</v>
      </c>
      <c r="AL14" s="53" t="s">
        <v>40</v>
      </c>
    </row>
    <row r="15" spans="1:39">
      <c r="A15" s="215">
        <v>9</v>
      </c>
      <c r="B15" s="53" t="s">
        <v>42</v>
      </c>
      <c r="C15" s="52">
        <f>+C9-C10-C14</f>
        <v>79570.232398038672</v>
      </c>
      <c r="D15" s="52">
        <f t="shared" ref="D15:I15" si="6">+D9-D10-D14</f>
        <v>265558.20916637639</v>
      </c>
      <c r="E15" s="52">
        <f t="shared" si="6"/>
        <v>159334.92549982574</v>
      </c>
      <c r="F15" s="52">
        <f t="shared" si="6"/>
        <v>170369.91481191851</v>
      </c>
      <c r="G15" s="52">
        <f t="shared" si="6"/>
        <v>170369.91481191851</v>
      </c>
      <c r="H15" s="52">
        <f t="shared" si="6"/>
        <v>132779.10458318819</v>
      </c>
      <c r="I15" s="52">
        <f t="shared" si="6"/>
        <v>100832.45656542327</v>
      </c>
      <c r="J15" s="52">
        <f t="shared" si="0"/>
        <v>1078814.7578366892</v>
      </c>
      <c r="U15" s="53" t="s">
        <v>42</v>
      </c>
      <c r="AK15" s="50" t="s">
        <v>43</v>
      </c>
      <c r="AL15" s="53" t="s">
        <v>42</v>
      </c>
    </row>
    <row r="16" spans="1:39">
      <c r="A16" s="215">
        <v>10</v>
      </c>
      <c r="B16" s="50" t="s">
        <v>44</v>
      </c>
      <c r="C16" s="54">
        <f>+C15/C9</f>
        <v>0.16131891543004467</v>
      </c>
      <c r="D16" s="54">
        <f t="shared" ref="D16:I16" si="7">+D15/D9</f>
        <v>0.17412282913238067</v>
      </c>
      <c r="E16" s="54">
        <f t="shared" si="7"/>
        <v>0.17412282913238059</v>
      </c>
      <c r="F16" s="54">
        <f t="shared" si="7"/>
        <v>0.20047292997731164</v>
      </c>
      <c r="G16" s="54">
        <f t="shared" si="7"/>
        <v>0.20047292997731164</v>
      </c>
      <c r="H16" s="54">
        <f t="shared" si="7"/>
        <v>0.17412282913238067</v>
      </c>
      <c r="I16" s="54">
        <f t="shared" si="7"/>
        <v>0.17561428943592189</v>
      </c>
      <c r="J16" s="54">
        <f t="shared" ref="J16" si="8">+J15/J9</f>
        <v>0.18071053005296436</v>
      </c>
      <c r="U16" s="50" t="s">
        <v>44</v>
      </c>
      <c r="AK16" s="50" t="s">
        <v>45</v>
      </c>
      <c r="AL16" s="50" t="s">
        <v>44</v>
      </c>
    </row>
    <row r="17" spans="1:39">
      <c r="A17" s="215">
        <v>11</v>
      </c>
      <c r="B17" s="50" t="s">
        <v>46</v>
      </c>
      <c r="C17" s="52">
        <f>C6*C43+C18</f>
        <v>59370.519248979588</v>
      </c>
      <c r="D17" s="52">
        <f t="shared" ref="D17:I17" si="9">D6*D43+D18</f>
        <v>170793.49812244897</v>
      </c>
      <c r="E17" s="52">
        <f t="shared" si="9"/>
        <v>102476.09887346938</v>
      </c>
      <c r="F17" s="52">
        <f t="shared" si="9"/>
        <v>105574.72359183672</v>
      </c>
      <c r="G17" s="52">
        <f t="shared" si="9"/>
        <v>105574.72359183672</v>
      </c>
      <c r="H17" s="52">
        <f t="shared" si="9"/>
        <v>85396.749061224487</v>
      </c>
      <c r="I17" s="52">
        <f t="shared" si="9"/>
        <v>64219.911795918364</v>
      </c>
      <c r="J17" s="52">
        <f>SUM(C17:I17)</f>
        <v>693406.22428571433</v>
      </c>
      <c r="K17" s="67"/>
      <c r="U17" s="50" t="s">
        <v>46</v>
      </c>
      <c r="AK17" s="50" t="s">
        <v>47</v>
      </c>
      <c r="AL17" s="50" t="s">
        <v>46</v>
      </c>
    </row>
    <row r="18" spans="1:39" s="44" customFormat="1">
      <c r="A18" s="215">
        <v>12</v>
      </c>
      <c r="B18" s="55" t="s">
        <v>148</v>
      </c>
      <c r="C18" s="56">
        <f>$J$18/$J$6*C6</f>
        <v>21587.722448979592</v>
      </c>
      <c r="D18" s="56">
        <f t="shared" ref="D18:I18" si="10">$J$18/$J$6*D6</f>
        <v>53969.306122448987</v>
      </c>
      <c r="E18" s="56">
        <f t="shared" si="10"/>
        <v>32381.583673469391</v>
      </c>
      <c r="F18" s="56">
        <f t="shared" si="10"/>
        <v>40476.979591836738</v>
      </c>
      <c r="G18" s="56">
        <f t="shared" si="10"/>
        <v>40476.979591836738</v>
      </c>
      <c r="H18" s="56">
        <f t="shared" si="10"/>
        <v>26984.653061224493</v>
      </c>
      <c r="I18" s="56">
        <f t="shared" si="10"/>
        <v>20238.489795918369</v>
      </c>
      <c r="J18" s="56">
        <f>项目投资!D26</f>
        <v>236115.71428571432</v>
      </c>
      <c r="K18" s="68" t="s">
        <v>149</v>
      </c>
      <c r="L18" s="68"/>
      <c r="M18" s="68"/>
    </row>
    <row r="19" spans="1:39">
      <c r="A19" s="215">
        <v>13</v>
      </c>
      <c r="B19" s="50" t="s">
        <v>48</v>
      </c>
      <c r="C19" s="52">
        <f>C6*C44</f>
        <v>1677.0431999999996</v>
      </c>
      <c r="D19" s="52">
        <f t="shared" ref="D19:I19" si="11">D6*D44</f>
        <v>5185.4079999999985</v>
      </c>
      <c r="E19" s="52">
        <f t="shared" si="11"/>
        <v>3111.2447999999995</v>
      </c>
      <c r="F19" s="52">
        <f t="shared" si="11"/>
        <v>2889.4559999999997</v>
      </c>
      <c r="G19" s="52">
        <f t="shared" si="11"/>
        <v>2889.4559999999997</v>
      </c>
      <c r="H19" s="52">
        <f t="shared" si="11"/>
        <v>2592.7039999999993</v>
      </c>
      <c r="I19" s="52">
        <f t="shared" si="11"/>
        <v>1952.1779999999997</v>
      </c>
      <c r="J19" s="52">
        <f>SUM(C19:I19)</f>
        <v>20297.489999999994</v>
      </c>
      <c r="K19" s="44"/>
      <c r="U19" s="50" t="s">
        <v>48</v>
      </c>
      <c r="AK19" s="50" t="s">
        <v>49</v>
      </c>
      <c r="AL19" s="50" t="s">
        <v>48</v>
      </c>
      <c r="AM19" s="46" t="s">
        <v>22</v>
      </c>
    </row>
    <row r="20" spans="1:39">
      <c r="A20" s="215">
        <v>14</v>
      </c>
      <c r="B20" s="50" t="s">
        <v>50</v>
      </c>
      <c r="C20" s="52">
        <f>C6*C45</f>
        <v>17115.705599999998</v>
      </c>
      <c r="D20" s="52">
        <f t="shared" ref="D20:I20" si="12">D6*D45</f>
        <v>52921.663999999997</v>
      </c>
      <c r="E20" s="52">
        <f t="shared" si="12"/>
        <v>31752.9984</v>
      </c>
      <c r="F20" s="52">
        <f t="shared" si="12"/>
        <v>29489.447999999997</v>
      </c>
      <c r="G20" s="52">
        <f t="shared" si="12"/>
        <v>29489.447999999997</v>
      </c>
      <c r="H20" s="52">
        <f t="shared" si="12"/>
        <v>26460.831999999999</v>
      </c>
      <c r="I20" s="52">
        <f t="shared" si="12"/>
        <v>19923.699000000001</v>
      </c>
      <c r="J20" s="52">
        <f>SUM(C20:I20)</f>
        <v>207153.79499999998</v>
      </c>
      <c r="U20" s="50" t="s">
        <v>50</v>
      </c>
      <c r="AK20" s="50" t="s">
        <v>51</v>
      </c>
      <c r="AL20" s="50" t="s">
        <v>50</v>
      </c>
    </row>
    <row r="21" spans="1:39">
      <c r="A21" s="215">
        <v>15</v>
      </c>
      <c r="B21" s="50" t="s">
        <v>52</v>
      </c>
      <c r="C21" s="57">
        <f>$J$21/$J$6*C6</f>
        <v>0</v>
      </c>
      <c r="D21" s="57">
        <f t="shared" ref="D21:I21" si="13">$J$21/$J$6*D6</f>
        <v>0</v>
      </c>
      <c r="E21" s="57">
        <f t="shared" si="13"/>
        <v>0</v>
      </c>
      <c r="F21" s="57">
        <f t="shared" si="13"/>
        <v>0</v>
      </c>
      <c r="G21" s="57">
        <f t="shared" si="13"/>
        <v>0</v>
      </c>
      <c r="H21" s="57">
        <f t="shared" si="13"/>
        <v>0</v>
      </c>
      <c r="I21" s="57">
        <f t="shared" si="13"/>
        <v>0</v>
      </c>
      <c r="J21" s="52">
        <f>项目投资!D27</f>
        <v>0</v>
      </c>
      <c r="U21" s="50" t="s">
        <v>52</v>
      </c>
      <c r="AK21" s="50"/>
      <c r="AL21" s="50"/>
    </row>
    <row r="22" spans="1:39">
      <c r="A22" s="215">
        <v>16</v>
      </c>
      <c r="B22" s="50" t="s">
        <v>53</v>
      </c>
      <c r="C22" s="52">
        <f>C6*C47</f>
        <v>19729.919999999998</v>
      </c>
      <c r="D22" s="52">
        <f t="shared" ref="D22:I22" si="14">D6*D47</f>
        <v>61004.799999999996</v>
      </c>
      <c r="E22" s="52">
        <f t="shared" si="14"/>
        <v>36602.879999999997</v>
      </c>
      <c r="F22" s="52">
        <f t="shared" si="14"/>
        <v>33993.599999999999</v>
      </c>
      <c r="G22" s="52">
        <f t="shared" si="14"/>
        <v>33993.599999999999</v>
      </c>
      <c r="H22" s="52">
        <f t="shared" si="14"/>
        <v>30502.399999999998</v>
      </c>
      <c r="I22" s="52">
        <f t="shared" si="14"/>
        <v>22966.799999999999</v>
      </c>
      <c r="J22" s="52">
        <f>SUM(C22:I22)</f>
        <v>238794</v>
      </c>
      <c r="U22" s="50" t="s">
        <v>53</v>
      </c>
      <c r="AK22" s="50" t="s">
        <v>54</v>
      </c>
      <c r="AL22" s="50" t="s">
        <v>53</v>
      </c>
    </row>
    <row r="23" spans="1:39">
      <c r="A23" s="215">
        <v>17</v>
      </c>
      <c r="B23" s="53" t="s">
        <v>55</v>
      </c>
      <c r="C23" s="57">
        <f>+C22+C21+C20+C19+C17</f>
        <v>97893.188048979588</v>
      </c>
      <c r="D23" s="57">
        <f t="shared" ref="D23:I23" si="15">+D22+D21+D20+D19+D17</f>
        <v>289905.37012244895</v>
      </c>
      <c r="E23" s="57">
        <f t="shared" si="15"/>
        <v>173943.22207346937</v>
      </c>
      <c r="F23" s="57">
        <f t="shared" si="15"/>
        <v>171947.22759183671</v>
      </c>
      <c r="G23" s="57">
        <f t="shared" si="15"/>
        <v>171947.22759183671</v>
      </c>
      <c r="H23" s="57">
        <f t="shared" si="15"/>
        <v>144952.68506122447</v>
      </c>
      <c r="I23" s="57">
        <f t="shared" si="15"/>
        <v>109062.58879591836</v>
      </c>
      <c r="J23" s="57">
        <f t="shared" ref="J23" si="16">+J22+J21+J20+J19+J17</f>
        <v>1159651.5092857142</v>
      </c>
      <c r="U23" s="53" t="s">
        <v>55</v>
      </c>
      <c r="AK23" s="50" t="s">
        <v>56</v>
      </c>
      <c r="AL23" s="53" t="s">
        <v>55</v>
      </c>
    </row>
    <row r="24" spans="1:39">
      <c r="A24" s="215">
        <v>18</v>
      </c>
      <c r="B24" s="58" t="s">
        <v>57</v>
      </c>
      <c r="C24" s="57">
        <f>+C15-C23</f>
        <v>-18322.955650940916</v>
      </c>
      <c r="D24" s="57">
        <f t="shared" ref="D24:I24" si="17">+D15-D23</f>
        <v>-24347.160956072563</v>
      </c>
      <c r="E24" s="57">
        <f t="shared" si="17"/>
        <v>-14608.296573643631</v>
      </c>
      <c r="F24" s="57">
        <f t="shared" si="17"/>
        <v>-1577.3127799181966</v>
      </c>
      <c r="G24" s="57">
        <f t="shared" si="17"/>
        <v>-1577.3127799181966</v>
      </c>
      <c r="H24" s="57">
        <f t="shared" si="17"/>
        <v>-12173.580478036281</v>
      </c>
      <c r="I24" s="57">
        <f t="shared" si="17"/>
        <v>-8230.1322304950882</v>
      </c>
      <c r="J24" s="57">
        <f t="shared" ref="J24" si="18">+J15-J23</f>
        <v>-80836.751449025003</v>
      </c>
      <c r="L24" s="69"/>
      <c r="U24" s="50" t="s">
        <v>57</v>
      </c>
      <c r="AK24" s="50" t="s">
        <v>58</v>
      </c>
      <c r="AL24" s="50" t="s">
        <v>57</v>
      </c>
    </row>
    <row r="25" spans="1:39">
      <c r="A25" s="215">
        <v>19</v>
      </c>
      <c r="B25" s="50" t="s">
        <v>248</v>
      </c>
      <c r="C25" s="57">
        <f>IF(C24&lt;0,0,C24*0.15)</f>
        <v>0</v>
      </c>
      <c r="D25" s="57">
        <f t="shared" ref="D25:I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 t="shared" si="19"/>
        <v>0</v>
      </c>
      <c r="J25" s="57">
        <f>IF(J24&lt;0,0,J24*0.15)</f>
        <v>0</v>
      </c>
      <c r="K25" s="65"/>
      <c r="L25" s="65"/>
      <c r="M25" s="65"/>
      <c r="U25" s="50" t="s">
        <v>59</v>
      </c>
      <c r="AK25" s="50" t="s">
        <v>60</v>
      </c>
      <c r="AL25" s="50" t="s">
        <v>59</v>
      </c>
    </row>
    <row r="26" spans="1:39">
      <c r="A26" s="215">
        <v>20</v>
      </c>
      <c r="B26" s="50" t="s">
        <v>61</v>
      </c>
      <c r="C26" s="57">
        <f t="shared" ref="C26:I26" si="20">C24-C25</f>
        <v>-18322.955650940916</v>
      </c>
      <c r="D26" s="57">
        <f t="shared" si="20"/>
        <v>-24347.160956072563</v>
      </c>
      <c r="E26" s="57">
        <f t="shared" si="20"/>
        <v>-14608.296573643631</v>
      </c>
      <c r="F26" s="57">
        <f t="shared" si="20"/>
        <v>-1577.3127799181966</v>
      </c>
      <c r="G26" s="57">
        <f t="shared" si="20"/>
        <v>-1577.3127799181966</v>
      </c>
      <c r="H26" s="57">
        <f t="shared" si="20"/>
        <v>-12173.580478036281</v>
      </c>
      <c r="I26" s="57">
        <f t="shared" si="20"/>
        <v>-8230.1322304950882</v>
      </c>
      <c r="J26" s="52">
        <f>+SUM(C26:I26)</f>
        <v>-80836.751449024872</v>
      </c>
      <c r="K26" s="65"/>
      <c r="L26" s="65"/>
      <c r="M26" s="65"/>
      <c r="U26" s="50" t="s">
        <v>61</v>
      </c>
      <c r="AK26" s="50" t="s">
        <v>62</v>
      </c>
      <c r="AL26" s="50" t="s">
        <v>61</v>
      </c>
    </row>
    <row r="27" spans="1:39">
      <c r="A27" s="215">
        <v>21</v>
      </c>
      <c r="B27" s="50" t="s">
        <v>65</v>
      </c>
      <c r="C27" s="59">
        <f t="shared" ref="C27:J27" si="21">C26/C7</f>
        <v>-3.7147551841955603E-2</v>
      </c>
      <c r="D27" s="59">
        <f t="shared" ref="D27:I27" si="22">D26/D7</f>
        <v>-1.5964095255502887E-2</v>
      </c>
      <c r="E27" s="59">
        <f t="shared" si="22"/>
        <v>-1.5964095255502991E-2</v>
      </c>
      <c r="F27" s="59">
        <f t="shared" si="22"/>
        <v>-1.8560114608846333E-3</v>
      </c>
      <c r="G27" s="59">
        <f t="shared" si="22"/>
        <v>-1.8560114608846333E-3</v>
      </c>
      <c r="H27" s="59">
        <f t="shared" si="22"/>
        <v>-1.5964095255502887E-2</v>
      </c>
      <c r="I27" s="59">
        <f t="shared" si="22"/>
        <v>-1.4333964210068601E-2</v>
      </c>
      <c r="J27" s="59">
        <f t="shared" si="21"/>
        <v>-1.3540834602046093E-2</v>
      </c>
      <c r="K27" s="65"/>
      <c r="L27" s="65"/>
      <c r="M27" s="65"/>
      <c r="U27" s="50" t="s">
        <v>65</v>
      </c>
      <c r="AK27" s="50" t="s">
        <v>64</v>
      </c>
      <c r="AL27" s="50" t="s">
        <v>65</v>
      </c>
    </row>
    <row r="28" spans="1:39">
      <c r="K28" s="65"/>
      <c r="L28" s="65"/>
      <c r="M28" s="65"/>
      <c r="U28" s="50"/>
    </row>
    <row r="29" spans="1:39">
      <c r="A29" s="46" t="s">
        <v>66</v>
      </c>
      <c r="J29" s="47" t="s">
        <v>151</v>
      </c>
      <c r="K29" s="65"/>
      <c r="L29" s="65"/>
      <c r="M29" s="65"/>
      <c r="U29" s="50"/>
      <c r="AK29" s="46" t="s">
        <v>66</v>
      </c>
    </row>
    <row r="30" spans="1:39">
      <c r="A30" s="50" t="s">
        <v>67</v>
      </c>
      <c r="B30" s="53" t="s">
        <v>68</v>
      </c>
      <c r="C30" s="57"/>
      <c r="D30" s="57"/>
      <c r="E30" s="57"/>
      <c r="F30" s="57"/>
      <c r="G30" s="57"/>
      <c r="H30" s="57"/>
      <c r="I30" s="57"/>
      <c r="J30" s="57"/>
      <c r="K30" s="65"/>
      <c r="L30" s="65"/>
      <c r="M30" s="65"/>
      <c r="O30" s="65"/>
      <c r="U30" s="53" t="s">
        <v>68</v>
      </c>
      <c r="AK30" s="50" t="s">
        <v>69</v>
      </c>
      <c r="AL30" s="53" t="s">
        <v>68</v>
      </c>
    </row>
    <row r="31" spans="1:39">
      <c r="A31" s="215">
        <v>1</v>
      </c>
      <c r="B31" s="55" t="s">
        <v>70</v>
      </c>
      <c r="C31" s="61">
        <f>销量!C8</f>
        <v>308.27999999999997</v>
      </c>
      <c r="D31" s="61">
        <f>销量!D8</f>
        <v>381.28</v>
      </c>
      <c r="E31" s="61">
        <f>销量!E8</f>
        <v>381.28</v>
      </c>
      <c r="F31" s="61">
        <f>销量!F8</f>
        <v>283.27999999999997</v>
      </c>
      <c r="G31" s="61">
        <f>销量!G8</f>
        <v>283.27999999999997</v>
      </c>
      <c r="H31" s="61">
        <f>销量!H8</f>
        <v>381.28</v>
      </c>
      <c r="I31" s="61">
        <f>销量!I8</f>
        <v>382.78</v>
      </c>
      <c r="J31" s="57"/>
      <c r="K31" s="65"/>
      <c r="L31" s="65"/>
      <c r="M31" s="65"/>
      <c r="O31" s="65"/>
      <c r="U31" s="50" t="s">
        <v>70</v>
      </c>
      <c r="AK31" s="50" t="s">
        <v>24</v>
      </c>
      <c r="AL31" s="50" t="s">
        <v>70</v>
      </c>
    </row>
    <row r="32" spans="1:39">
      <c r="A32" s="215">
        <v>2</v>
      </c>
      <c r="B32" s="50" t="s">
        <v>152</v>
      </c>
      <c r="C32" s="52">
        <f>C9/C6</f>
        <v>308.27999999999997</v>
      </c>
      <c r="D32" s="52">
        <f t="shared" ref="D32:I32" si="23">D9/D6</f>
        <v>381.28</v>
      </c>
      <c r="E32" s="52">
        <f t="shared" si="23"/>
        <v>381.28</v>
      </c>
      <c r="F32" s="52">
        <f t="shared" si="23"/>
        <v>283.27999999999997</v>
      </c>
      <c r="G32" s="52">
        <f t="shared" si="23"/>
        <v>283.27999999999997</v>
      </c>
      <c r="H32" s="52">
        <f t="shared" si="23"/>
        <v>381.28</v>
      </c>
      <c r="I32" s="52">
        <f t="shared" si="23"/>
        <v>382.78</v>
      </c>
      <c r="J32" s="57"/>
      <c r="K32" s="65"/>
      <c r="L32" s="65"/>
      <c r="M32" s="65"/>
      <c r="N32" s="65"/>
      <c r="O32" s="65"/>
      <c r="P32" s="65"/>
      <c r="Q32" s="65"/>
      <c r="AK32" s="50"/>
      <c r="AL32" s="50"/>
    </row>
    <row r="33" spans="1:38">
      <c r="A33" s="215">
        <v>3</v>
      </c>
      <c r="B33" s="55" t="s">
        <v>71</v>
      </c>
      <c r="C33" s="52">
        <f>材料成本!K41</f>
        <v>236.37</v>
      </c>
      <c r="D33" s="52">
        <f>材料成本!K42</f>
        <v>287.45999999999998</v>
      </c>
      <c r="E33" s="52">
        <f>材料成本!K43</f>
        <v>287.45999999999998</v>
      </c>
      <c r="F33" s="52">
        <f>材料成本!K44</f>
        <v>206.11</v>
      </c>
      <c r="G33" s="52">
        <f>材料成本!K45</f>
        <v>206.11</v>
      </c>
      <c r="H33" s="52">
        <f>材料成本!K46</f>
        <v>287.45999999999998</v>
      </c>
      <c r="I33" s="52">
        <f>材料成本!K47</f>
        <v>288.02</v>
      </c>
      <c r="J33" s="57"/>
      <c r="L33" s="65"/>
      <c r="M33" s="65"/>
      <c r="N33" s="65"/>
      <c r="O33" s="65"/>
      <c r="P33" s="65"/>
      <c r="Q33" s="65"/>
      <c r="U33" s="50" t="s">
        <v>71</v>
      </c>
      <c r="AK33" s="50" t="s">
        <v>26</v>
      </c>
      <c r="AL33" s="50" t="s">
        <v>71</v>
      </c>
    </row>
    <row r="34" spans="1:38" ht="17.25" customHeight="1">
      <c r="A34" s="215">
        <v>4</v>
      </c>
      <c r="B34" s="50" t="s">
        <v>73</v>
      </c>
      <c r="C34" s="62">
        <f>C32-C33</f>
        <v>71.909999999999968</v>
      </c>
      <c r="D34" s="62">
        <f t="shared" ref="D34:I34" si="24">D32-D33</f>
        <v>93.82</v>
      </c>
      <c r="E34" s="62">
        <f t="shared" si="24"/>
        <v>93.82</v>
      </c>
      <c r="F34" s="62">
        <f t="shared" si="24"/>
        <v>77.169999999999959</v>
      </c>
      <c r="G34" s="62">
        <f t="shared" si="24"/>
        <v>77.169999999999959</v>
      </c>
      <c r="H34" s="62">
        <f t="shared" si="24"/>
        <v>93.82</v>
      </c>
      <c r="I34" s="62">
        <f t="shared" si="24"/>
        <v>94.759999999999991</v>
      </c>
      <c r="J34" s="57"/>
      <c r="L34" s="65"/>
      <c r="M34" s="65"/>
      <c r="N34" s="65"/>
      <c r="O34" s="65"/>
      <c r="P34" s="65"/>
      <c r="Q34" s="65"/>
      <c r="U34" s="50" t="s">
        <v>73</v>
      </c>
      <c r="AK34" s="50" t="s">
        <v>72</v>
      </c>
      <c r="AL34" s="50" t="s">
        <v>73</v>
      </c>
    </row>
    <row r="35" spans="1:38">
      <c r="A35" s="50" t="s">
        <v>69</v>
      </c>
      <c r="B35" s="53" t="s">
        <v>10</v>
      </c>
      <c r="C35" s="57"/>
      <c r="D35" s="57"/>
      <c r="E35" s="57"/>
      <c r="F35" s="57"/>
      <c r="G35" s="57"/>
      <c r="H35" s="57"/>
      <c r="I35" s="57"/>
      <c r="J35" s="5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3" t="s">
        <v>10</v>
      </c>
      <c r="AK35" s="50" t="s">
        <v>75</v>
      </c>
      <c r="AL35" s="53" t="s">
        <v>10</v>
      </c>
    </row>
    <row r="36" spans="1:38">
      <c r="A36" s="215">
        <v>1</v>
      </c>
      <c r="B36" s="50" t="s">
        <v>76</v>
      </c>
      <c r="C36" s="56">
        <f>'2023年'!C36</f>
        <v>15.99718981626023</v>
      </c>
      <c r="D36" s="56">
        <f>'2023年'!D36</f>
        <v>19.78528783295608</v>
      </c>
      <c r="E36" s="56">
        <f>'2023年'!E36</f>
        <v>19.78528783295608</v>
      </c>
      <c r="F36" s="56">
        <f>'2024年'!F36</f>
        <v>14.699895974926033</v>
      </c>
      <c r="G36" s="56">
        <f>'2024年'!G36</f>
        <v>14.699895974926033</v>
      </c>
      <c r="H36" s="56">
        <f>'2024年'!H36</f>
        <v>19.78528783295608</v>
      </c>
      <c r="I36" s="56">
        <f>'2024年'!I36</f>
        <v>19.863125463436131</v>
      </c>
      <c r="J36" s="6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50" t="s">
        <v>76</v>
      </c>
      <c r="AK36" s="50" t="s">
        <v>72</v>
      </c>
      <c r="AL36" s="50" t="s">
        <v>76</v>
      </c>
    </row>
    <row r="37" spans="1:38">
      <c r="A37" s="215">
        <v>2</v>
      </c>
      <c r="B37" s="50" t="s">
        <v>77</v>
      </c>
      <c r="C37" s="56">
        <f>'2023年'!C37</f>
        <v>2.7903349349655628</v>
      </c>
      <c r="D37" s="56">
        <f>'2023年'!D37</f>
        <v>3.4510798754498175</v>
      </c>
      <c r="E37" s="56">
        <f>'2023年'!E37</f>
        <v>3.4510798754498175</v>
      </c>
      <c r="F37" s="56">
        <f>'2024年'!F37</f>
        <v>2.564052421101092</v>
      </c>
      <c r="G37" s="56">
        <f>'2024年'!G37</f>
        <v>2.564052421101092</v>
      </c>
      <c r="H37" s="56">
        <f>'2024年'!H37</f>
        <v>3.4510798754498175</v>
      </c>
      <c r="I37" s="56">
        <f>'2024年'!I37</f>
        <v>3.4646568262816859</v>
      </c>
      <c r="J37" s="61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50" t="s">
        <v>77</v>
      </c>
      <c r="AK37" s="50" t="s">
        <v>29</v>
      </c>
      <c r="AL37" s="50" t="s">
        <v>77</v>
      </c>
    </row>
    <row r="38" spans="1:38">
      <c r="A38" s="215">
        <v>3</v>
      </c>
      <c r="B38" s="50" t="s">
        <v>78</v>
      </c>
      <c r="C38" s="56">
        <f>'2023年'!C38</f>
        <v>3.3910799999999997</v>
      </c>
      <c r="D38" s="56">
        <f>'2023年'!D38</f>
        <v>4.1940799999999996</v>
      </c>
      <c r="E38" s="56">
        <f>'2023年'!E38</f>
        <v>4.1940799999999996</v>
      </c>
      <c r="F38" s="56">
        <f>'2024年'!F38</f>
        <v>3.1160799999999997</v>
      </c>
      <c r="G38" s="56">
        <f>'2024年'!G38</f>
        <v>3.1160799999999997</v>
      </c>
      <c r="H38" s="56">
        <f>'2024年'!H38</f>
        <v>4.1940799999999996</v>
      </c>
      <c r="I38" s="56">
        <f>'2024年'!I38</f>
        <v>4.2105799999999993</v>
      </c>
      <c r="J38" s="6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50" t="s">
        <v>78</v>
      </c>
      <c r="AK38" s="50" t="s">
        <v>35</v>
      </c>
      <c r="AL38" s="50" t="s">
        <v>78</v>
      </c>
    </row>
    <row r="39" spans="1:38">
      <c r="A39" s="50" t="s">
        <v>75</v>
      </c>
      <c r="B39" s="53" t="s">
        <v>80</v>
      </c>
      <c r="C39" s="57"/>
      <c r="D39" s="57"/>
      <c r="E39" s="57"/>
      <c r="F39" s="57"/>
      <c r="G39" s="57"/>
      <c r="H39" s="57"/>
      <c r="I39" s="57"/>
      <c r="J39" s="57"/>
      <c r="U39" s="53" t="s">
        <v>80</v>
      </c>
      <c r="AK39" s="50" t="s">
        <v>79</v>
      </c>
      <c r="AL39" s="53" t="s">
        <v>80</v>
      </c>
    </row>
    <row r="40" spans="1:38">
      <c r="A40" s="215">
        <v>1</v>
      </c>
      <c r="B40" s="50" t="s">
        <v>82</v>
      </c>
      <c r="C40" s="57">
        <f>C34-C36-C37-C38</f>
        <v>49.73139524877417</v>
      </c>
      <c r="D40" s="57">
        <f t="shared" ref="D40:I40" si="25">D34-D36-D37-D38</f>
        <v>66.3895522915941</v>
      </c>
      <c r="E40" s="57">
        <f t="shared" si="25"/>
        <v>66.3895522915941</v>
      </c>
      <c r="F40" s="57">
        <f t="shared" si="25"/>
        <v>56.78997160397283</v>
      </c>
      <c r="G40" s="57">
        <f t="shared" si="25"/>
        <v>56.78997160397283</v>
      </c>
      <c r="H40" s="57">
        <f t="shared" si="25"/>
        <v>66.3895522915941</v>
      </c>
      <c r="I40" s="57">
        <f t="shared" si="25"/>
        <v>67.221637710282181</v>
      </c>
      <c r="J40" s="57"/>
      <c r="U40" s="50" t="s">
        <v>82</v>
      </c>
      <c r="AK40" s="50" t="s">
        <v>24</v>
      </c>
      <c r="AL40" s="50" t="s">
        <v>82</v>
      </c>
    </row>
    <row r="41" spans="1:38">
      <c r="A41" s="215">
        <v>2</v>
      </c>
      <c r="B41" s="50" t="s">
        <v>83</v>
      </c>
      <c r="C41" s="57"/>
      <c r="D41" s="57"/>
      <c r="E41" s="57"/>
      <c r="F41" s="57"/>
      <c r="G41" s="57"/>
      <c r="H41" s="57"/>
      <c r="I41" s="57"/>
      <c r="J41" s="57"/>
      <c r="U41" s="50" t="s">
        <v>83</v>
      </c>
      <c r="AK41" s="50" t="s">
        <v>26</v>
      </c>
      <c r="AL41" s="50" t="s">
        <v>83</v>
      </c>
    </row>
    <row r="42" spans="1:38">
      <c r="A42" s="50" t="s">
        <v>79</v>
      </c>
      <c r="B42" s="53" t="s">
        <v>85</v>
      </c>
      <c r="C42" s="57"/>
      <c r="D42" s="57"/>
      <c r="E42" s="57"/>
      <c r="F42" s="57"/>
      <c r="G42" s="57"/>
      <c r="H42" s="57"/>
      <c r="I42" s="57"/>
      <c r="J42" s="57"/>
      <c r="U42" s="53" t="s">
        <v>85</v>
      </c>
      <c r="AK42" s="50" t="s">
        <v>84</v>
      </c>
      <c r="AL42" s="53" t="s">
        <v>85</v>
      </c>
    </row>
    <row r="43" spans="1:38">
      <c r="A43" s="215">
        <v>1</v>
      </c>
      <c r="B43" s="58" t="s">
        <v>86</v>
      </c>
      <c r="C43" s="56">
        <f>'2023年'!C43</f>
        <v>23.614248</v>
      </c>
      <c r="D43" s="56">
        <f>'2023年'!D43</f>
        <v>29.206047999999999</v>
      </c>
      <c r="E43" s="56">
        <f>'2023年'!E43</f>
        <v>29.206047999999999</v>
      </c>
      <c r="F43" s="56">
        <f>'2024年'!F43</f>
        <v>21.699247999999997</v>
      </c>
      <c r="G43" s="56">
        <f>'2024年'!G43</f>
        <v>21.699247999999997</v>
      </c>
      <c r="H43" s="56">
        <f>'2024年'!H43</f>
        <v>29.206047999999999</v>
      </c>
      <c r="I43" s="56">
        <f>'2024年'!I43</f>
        <v>29.320947999999998</v>
      </c>
      <c r="J43" s="57"/>
      <c r="U43" s="50" t="s">
        <v>86</v>
      </c>
      <c r="AK43" s="50" t="s">
        <v>24</v>
      </c>
      <c r="AL43" s="50" t="s">
        <v>86</v>
      </c>
    </row>
    <row r="44" spans="1:38">
      <c r="A44" s="215">
        <v>2</v>
      </c>
      <c r="B44" s="58" t="s">
        <v>87</v>
      </c>
      <c r="C44" s="56">
        <f>'2023年'!C44</f>
        <v>1.0481519999999998</v>
      </c>
      <c r="D44" s="56">
        <f>'2023年'!D44</f>
        <v>1.2963519999999997</v>
      </c>
      <c r="E44" s="56">
        <f>'2023年'!E44</f>
        <v>1.2963519999999997</v>
      </c>
      <c r="F44" s="56">
        <f>'2024年'!F44</f>
        <v>0.9631519999999999</v>
      </c>
      <c r="G44" s="56">
        <f>'2024年'!G44</f>
        <v>0.9631519999999999</v>
      </c>
      <c r="H44" s="56">
        <f>'2024年'!H44</f>
        <v>1.2963519999999997</v>
      </c>
      <c r="I44" s="56">
        <f>'2024年'!I44</f>
        <v>1.3014519999999998</v>
      </c>
      <c r="J44" s="57"/>
      <c r="U44" s="50" t="s">
        <v>87</v>
      </c>
      <c r="AK44" s="50" t="s">
        <v>26</v>
      </c>
      <c r="AL44" s="50" t="s">
        <v>87</v>
      </c>
    </row>
    <row r="45" spans="1:38">
      <c r="A45" s="215">
        <v>3</v>
      </c>
      <c r="B45" s="58" t="s">
        <v>88</v>
      </c>
      <c r="C45" s="56">
        <f>'2023年'!C45</f>
        <v>10.697315999999999</v>
      </c>
      <c r="D45" s="56">
        <f>'2023年'!D45</f>
        <v>13.230416</v>
      </c>
      <c r="E45" s="56">
        <f>'2023年'!E45</f>
        <v>13.230416</v>
      </c>
      <c r="F45" s="56">
        <f>'2024年'!F45</f>
        <v>9.8298159999999992</v>
      </c>
      <c r="G45" s="56">
        <f>'2024年'!G45</f>
        <v>9.8298159999999992</v>
      </c>
      <c r="H45" s="56">
        <f>'2024年'!H45</f>
        <v>13.230416</v>
      </c>
      <c r="I45" s="56">
        <f>'2024年'!I45</f>
        <v>13.282465999999999</v>
      </c>
      <c r="J45" s="57"/>
      <c r="U45" s="50" t="s">
        <v>88</v>
      </c>
      <c r="AK45" s="50" t="s">
        <v>72</v>
      </c>
      <c r="AL45" s="50" t="s">
        <v>88</v>
      </c>
    </row>
    <row r="46" spans="1:38" s="45" customFormat="1">
      <c r="A46" s="215">
        <v>4</v>
      </c>
      <c r="B46" s="58" t="s">
        <v>89</v>
      </c>
      <c r="C46" s="63">
        <f>C21/C6</f>
        <v>0</v>
      </c>
      <c r="D46" s="63">
        <f t="shared" ref="D46:F46" si="26">D21/D6</f>
        <v>0</v>
      </c>
      <c r="E46" s="63">
        <f t="shared" si="26"/>
        <v>0</v>
      </c>
      <c r="F46" s="63">
        <f t="shared" si="26"/>
        <v>0</v>
      </c>
      <c r="G46" s="63">
        <f t="shared" ref="G46:I46" si="27">G21/G6</f>
        <v>0</v>
      </c>
      <c r="H46" s="63">
        <f t="shared" si="27"/>
        <v>0</v>
      </c>
      <c r="I46" s="63">
        <f t="shared" si="27"/>
        <v>0</v>
      </c>
      <c r="J46" s="63"/>
      <c r="U46" s="58" t="s">
        <v>91</v>
      </c>
      <c r="AK46" s="58" t="s">
        <v>32</v>
      </c>
      <c r="AL46" s="58" t="s">
        <v>91</v>
      </c>
    </row>
    <row r="47" spans="1:38" s="45" customFormat="1">
      <c r="A47" s="215">
        <v>5</v>
      </c>
      <c r="B47" s="58" t="s">
        <v>91</v>
      </c>
      <c r="C47" s="63">
        <f>'2023年'!C47</f>
        <v>12.331199999999999</v>
      </c>
      <c r="D47" s="63">
        <f>'2023年'!D47</f>
        <v>15.251199999999999</v>
      </c>
      <c r="E47" s="63">
        <f>'2023年'!E47</f>
        <v>15.251199999999999</v>
      </c>
      <c r="F47" s="63">
        <f>'2024年'!F47</f>
        <v>11.331199999999999</v>
      </c>
      <c r="G47" s="63">
        <f>'2024年'!G47</f>
        <v>11.331199999999999</v>
      </c>
      <c r="H47" s="63">
        <f>'2024年'!H47</f>
        <v>15.251199999999999</v>
      </c>
      <c r="I47" s="63">
        <f>'2024年'!I47</f>
        <v>15.311199999999999</v>
      </c>
      <c r="J47" s="63"/>
      <c r="U47" s="58" t="s">
        <v>91</v>
      </c>
      <c r="AK47" s="58" t="s">
        <v>32</v>
      </c>
      <c r="AL47" s="58" t="s">
        <v>91</v>
      </c>
    </row>
    <row r="48" spans="1:38">
      <c r="A48" s="50" t="s">
        <v>84</v>
      </c>
      <c r="B48" s="53" t="s">
        <v>102</v>
      </c>
      <c r="C48" s="57">
        <f>C40-C43-C44-C45-C47-C46</f>
        <v>2.0404792487741741</v>
      </c>
      <c r="D48" s="57">
        <f t="shared" ref="D48:F48" si="28">D40-D43-D44-D45-D47-D46</f>
        <v>7.4055362915941085</v>
      </c>
      <c r="E48" s="57">
        <f t="shared" si="28"/>
        <v>7.4055362915941085</v>
      </c>
      <c r="F48" s="57">
        <f t="shared" si="28"/>
        <v>12.966555603972832</v>
      </c>
      <c r="G48" s="57">
        <f t="shared" ref="G48" si="29">G40-G43-G44-G45-G47-G46</f>
        <v>12.966555603972832</v>
      </c>
      <c r="H48" s="57">
        <f t="shared" ref="H48" si="30">H40-H43-H44-H45-H47-H46</f>
        <v>7.4055362915941085</v>
      </c>
      <c r="I48" s="57">
        <f t="shared" ref="I48" si="31">I40-I43-I44-I45-I47-I46</f>
        <v>8.0055717102821831</v>
      </c>
      <c r="J48" s="57"/>
      <c r="U48" s="53" t="s">
        <v>102</v>
      </c>
      <c r="AK48" s="50" t="s">
        <v>101</v>
      </c>
      <c r="AL48" s="53" t="s">
        <v>102</v>
      </c>
    </row>
    <row r="51" spans="2:15">
      <c r="C51" s="64"/>
      <c r="D51" s="64"/>
      <c r="E51" s="64"/>
      <c r="F51" s="64"/>
      <c r="G51" s="64"/>
      <c r="H51" s="64"/>
      <c r="I51" s="64"/>
    </row>
    <row r="54" spans="2:15">
      <c r="B54" s="65"/>
      <c r="C54" s="66"/>
      <c r="D54" s="66"/>
      <c r="E54" s="66"/>
      <c r="F54" s="66"/>
      <c r="G54" s="66"/>
      <c r="H54" s="66"/>
      <c r="I54" s="66"/>
      <c r="J54" s="66"/>
      <c r="K54" s="65"/>
      <c r="L54" s="65"/>
      <c r="M54" s="65"/>
      <c r="N54" s="65"/>
      <c r="O54" s="65"/>
    </row>
    <row r="55" spans="2:15">
      <c r="B55" s="65"/>
      <c r="C55" s="66"/>
      <c r="D55" s="66"/>
      <c r="E55" s="66"/>
      <c r="F55" s="66"/>
      <c r="G55" s="66"/>
      <c r="H55" s="66"/>
      <c r="I55" s="66"/>
      <c r="J55" s="66"/>
      <c r="K55" s="65"/>
      <c r="L55" s="65"/>
      <c r="M55" s="65"/>
      <c r="N55" s="65"/>
      <c r="O55" s="65"/>
    </row>
    <row r="56" spans="2:15">
      <c r="B56" s="65"/>
      <c r="C56" s="66"/>
      <c r="D56" s="66"/>
      <c r="E56" s="66"/>
      <c r="F56" s="66"/>
      <c r="G56" s="66"/>
      <c r="H56" s="66"/>
      <c r="I56" s="66"/>
      <c r="J56" s="66"/>
      <c r="K56" s="65"/>
      <c r="L56" s="65"/>
      <c r="M56" s="65"/>
      <c r="N56" s="65"/>
      <c r="O56" s="65"/>
    </row>
    <row r="57" spans="2:15">
      <c r="B57" s="65"/>
      <c r="C57" s="66"/>
      <c r="D57" s="66"/>
      <c r="E57" s="66"/>
      <c r="F57" s="66"/>
      <c r="G57" s="66"/>
      <c r="H57" s="66"/>
      <c r="I57" s="66"/>
      <c r="J57" s="66"/>
      <c r="K57" s="65"/>
      <c r="L57" s="65"/>
      <c r="M57" s="65"/>
      <c r="N57" s="65"/>
      <c r="O57" s="65"/>
    </row>
    <row r="58" spans="2:15">
      <c r="B58" s="65"/>
      <c r="C58" s="66"/>
      <c r="D58" s="66"/>
      <c r="E58" s="66"/>
      <c r="F58" s="66"/>
      <c r="G58" s="66"/>
      <c r="H58" s="66"/>
      <c r="I58" s="66"/>
      <c r="J58" s="66"/>
      <c r="K58" s="65"/>
      <c r="L58" s="65"/>
      <c r="M58" s="65"/>
      <c r="N58" s="65"/>
      <c r="O58" s="65"/>
    </row>
    <row r="59" spans="2:15">
      <c r="B59" s="65"/>
      <c r="C59" s="66"/>
      <c r="D59" s="66"/>
      <c r="E59" s="66"/>
      <c r="F59" s="66"/>
      <c r="G59" s="66"/>
      <c r="H59" s="66"/>
      <c r="I59" s="66"/>
      <c r="J59" s="66"/>
      <c r="K59" s="65"/>
      <c r="L59" s="65"/>
      <c r="M59" s="65"/>
      <c r="N59" s="65"/>
      <c r="O59" s="65"/>
    </row>
    <row r="60" spans="2:15">
      <c r="B60" s="65"/>
      <c r="C60" s="66"/>
      <c r="D60" s="66"/>
      <c r="E60" s="66"/>
      <c r="F60" s="66"/>
      <c r="G60" s="66"/>
      <c r="H60" s="66"/>
      <c r="I60" s="66"/>
      <c r="J60" s="66"/>
      <c r="K60" s="65"/>
      <c r="L60" s="65"/>
      <c r="M60" s="65"/>
      <c r="N60" s="65"/>
      <c r="O60" s="65"/>
    </row>
    <row r="61" spans="2:15">
      <c r="B61" s="65"/>
      <c r="C61" s="66"/>
      <c r="D61" s="66"/>
      <c r="E61" s="66"/>
      <c r="F61" s="66"/>
      <c r="G61" s="66"/>
      <c r="H61" s="66"/>
      <c r="I61" s="66"/>
      <c r="J61" s="66"/>
      <c r="K61" s="65"/>
      <c r="L61" s="65"/>
      <c r="M61" s="65"/>
      <c r="N61" s="65"/>
      <c r="O61" s="65"/>
    </row>
    <row r="62" spans="2:15">
      <c r="B62" s="65"/>
      <c r="C62" s="66"/>
      <c r="D62" s="66"/>
      <c r="E62" s="66"/>
      <c r="F62" s="66"/>
      <c r="G62" s="66"/>
      <c r="H62" s="66"/>
      <c r="I62" s="66"/>
      <c r="J62" s="66"/>
      <c r="K62" s="65"/>
      <c r="L62" s="65"/>
      <c r="M62" s="65"/>
      <c r="N62" s="65"/>
      <c r="O62" s="65"/>
    </row>
    <row r="63" spans="2:15">
      <c r="B63" s="65"/>
      <c r="C63" s="66"/>
      <c r="D63" s="66"/>
      <c r="E63" s="66"/>
      <c r="F63" s="66"/>
      <c r="G63" s="66"/>
      <c r="H63" s="66"/>
      <c r="I63" s="66"/>
      <c r="J63" s="66"/>
      <c r="K63" s="65"/>
      <c r="L63" s="65"/>
      <c r="M63" s="65"/>
      <c r="N63" s="65"/>
      <c r="O63" s="65"/>
    </row>
    <row r="64" spans="2:15">
      <c r="B64" s="65"/>
      <c r="C64" s="66"/>
      <c r="D64" s="66"/>
      <c r="E64" s="66"/>
      <c r="F64" s="66"/>
      <c r="G64" s="66"/>
      <c r="H64" s="66"/>
      <c r="I64" s="66"/>
      <c r="J64" s="66"/>
      <c r="K64" s="65"/>
      <c r="L64" s="65"/>
      <c r="M64" s="65"/>
      <c r="N64" s="65"/>
      <c r="O64" s="65"/>
    </row>
    <row r="65" spans="2:15">
      <c r="B65" s="65"/>
      <c r="C65" s="66"/>
      <c r="D65" s="66"/>
      <c r="E65" s="66"/>
      <c r="F65" s="66"/>
      <c r="G65" s="66"/>
      <c r="H65" s="66"/>
      <c r="I65" s="66"/>
      <c r="J65" s="66"/>
      <c r="K65" s="65"/>
      <c r="L65" s="65"/>
      <c r="M65" s="65"/>
      <c r="N65" s="65"/>
      <c r="O65" s="65"/>
    </row>
    <row r="66" spans="2:15">
      <c r="B66" s="65"/>
      <c r="C66" s="66"/>
      <c r="D66" s="66"/>
      <c r="E66" s="66"/>
      <c r="F66" s="66"/>
      <c r="G66" s="66"/>
      <c r="H66" s="66"/>
      <c r="I66" s="66"/>
      <c r="J66" s="66"/>
      <c r="K66" s="65"/>
      <c r="L66" s="65"/>
      <c r="M66" s="65"/>
      <c r="N66" s="65"/>
      <c r="O66" s="65"/>
    </row>
    <row r="67" spans="2:15">
      <c r="B67" s="65"/>
      <c r="C67" s="66"/>
      <c r="D67" s="66"/>
      <c r="E67" s="66"/>
      <c r="F67" s="66"/>
      <c r="G67" s="66"/>
      <c r="H67" s="66"/>
      <c r="I67" s="66"/>
      <c r="J67" s="66"/>
      <c r="K67" s="65"/>
    </row>
    <row r="68" spans="2:15">
      <c r="B68" s="65"/>
      <c r="C68" s="66"/>
      <c r="D68" s="66"/>
      <c r="E68" s="66"/>
      <c r="F68" s="66"/>
      <c r="G68" s="66"/>
      <c r="H68" s="66"/>
      <c r="I68" s="66"/>
      <c r="J68" s="66"/>
      <c r="K68" s="65"/>
    </row>
    <row r="69" spans="2:15">
      <c r="B69" s="65"/>
      <c r="C69" s="66"/>
      <c r="D69" s="66"/>
      <c r="E69" s="66"/>
      <c r="F69" s="66"/>
      <c r="G69" s="66"/>
      <c r="H69" s="66"/>
      <c r="I69" s="66"/>
      <c r="J69" s="66"/>
      <c r="K69" s="65"/>
    </row>
    <row r="70" spans="2:15">
      <c r="B70" s="65"/>
      <c r="C70" s="66"/>
      <c r="D70" s="66"/>
      <c r="E70" s="66"/>
      <c r="F70" s="66"/>
      <c r="G70" s="66"/>
      <c r="H70" s="66"/>
      <c r="I70" s="66"/>
      <c r="J70" s="66"/>
      <c r="K70" s="65"/>
    </row>
    <row r="71" spans="2:15">
      <c r="B71" s="65"/>
      <c r="C71" s="66"/>
      <c r="D71" s="66"/>
      <c r="E71" s="66"/>
      <c r="F71" s="66"/>
      <c r="G71" s="66"/>
      <c r="H71" s="66"/>
      <c r="I71" s="66"/>
      <c r="J71" s="66"/>
      <c r="K71" s="65"/>
    </row>
    <row r="72" spans="2:15">
      <c r="B72" s="65"/>
      <c r="C72" s="66"/>
      <c r="D72" s="66"/>
      <c r="E72" s="66"/>
      <c r="F72" s="66"/>
      <c r="G72" s="66"/>
      <c r="H72" s="66"/>
      <c r="I72" s="66"/>
      <c r="J72" s="66"/>
      <c r="K72" s="65"/>
    </row>
    <row r="73" spans="2:15">
      <c r="B73" s="65"/>
      <c r="C73" s="66"/>
      <c r="D73" s="66"/>
      <c r="E73" s="66"/>
      <c r="F73" s="66"/>
      <c r="G73" s="66"/>
      <c r="H73" s="66"/>
      <c r="I73" s="66"/>
      <c r="J73" s="66"/>
      <c r="K73" s="65"/>
    </row>
    <row r="74" spans="2:15">
      <c r="B74" s="65"/>
      <c r="C74" s="66"/>
      <c r="D74" s="66"/>
      <c r="E74" s="66"/>
      <c r="F74" s="66"/>
      <c r="G74" s="66"/>
      <c r="H74" s="66"/>
      <c r="I74" s="66"/>
      <c r="J74" s="66"/>
      <c r="K74" s="65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6" ySplit="2" topLeftCell="G18" activePane="bottomRight" state="frozen"/>
      <selection pane="topRight"/>
      <selection pane="bottomLeft"/>
      <selection pane="bottomRight" activeCell="J11" sqref="J11"/>
    </sheetView>
  </sheetViews>
  <sheetFormatPr defaultColWidth="9" defaultRowHeight="13.5"/>
  <cols>
    <col min="1" max="1" width="20.625" customWidth="1"/>
    <col min="2" max="2" width="20.5" style="24" customWidth="1"/>
    <col min="3" max="3" width="13.125" customWidth="1"/>
    <col min="4" max="6" width="14.5" customWidth="1"/>
    <col min="7" max="7" width="17.625" customWidth="1"/>
    <col min="8" max="8" width="16.875" customWidth="1"/>
    <col min="9" max="9" width="14.5" customWidth="1"/>
    <col min="10" max="10" width="24.75" customWidth="1"/>
    <col min="11" max="11" width="14.125" customWidth="1"/>
  </cols>
  <sheetData>
    <row r="1" spans="1:9" ht="20.25">
      <c r="A1" s="277" t="s">
        <v>153</v>
      </c>
      <c r="B1" s="277"/>
      <c r="C1" s="277"/>
      <c r="E1" s="278" t="s">
        <v>263</v>
      </c>
      <c r="F1" s="279"/>
      <c r="G1" s="279"/>
      <c r="H1" s="280"/>
      <c r="I1" s="177"/>
    </row>
    <row r="2" spans="1:9" ht="23.45" customHeight="1">
      <c r="A2" s="25" t="s">
        <v>1</v>
      </c>
      <c r="B2" s="26" t="s">
        <v>154</v>
      </c>
      <c r="C2" s="27" t="s">
        <v>155</v>
      </c>
      <c r="E2" s="1" t="s">
        <v>156</v>
      </c>
      <c r="F2" s="1" t="s">
        <v>1</v>
      </c>
      <c r="G2" s="28" t="s">
        <v>157</v>
      </c>
      <c r="H2" s="1" t="s">
        <v>155</v>
      </c>
      <c r="I2" s="230" t="s">
        <v>267</v>
      </c>
    </row>
    <row r="3" spans="1:9" ht="15.75" customHeight="1">
      <c r="A3" s="29" t="s">
        <v>158</v>
      </c>
      <c r="B3" s="30"/>
      <c r="C3" s="31"/>
      <c r="E3" s="285" t="s">
        <v>159</v>
      </c>
      <c r="F3" s="2" t="s">
        <v>160</v>
      </c>
      <c r="G3" s="32"/>
      <c r="H3" s="291" t="s">
        <v>306</v>
      </c>
      <c r="I3" s="178"/>
    </row>
    <row r="4" spans="1:9" ht="15.75" customHeight="1">
      <c r="A4" s="29" t="s">
        <v>161</v>
      </c>
      <c r="B4" s="30"/>
      <c r="C4" s="33"/>
      <c r="E4" s="286"/>
      <c r="F4" s="2" t="s">
        <v>162</v>
      </c>
      <c r="G4" s="32"/>
      <c r="H4" s="292"/>
      <c r="I4" s="178"/>
    </row>
    <row r="5" spans="1:9" ht="15.75" customHeight="1">
      <c r="A5" s="29" t="s">
        <v>163</v>
      </c>
      <c r="B5" s="34">
        <f>SUM(G3:G4)</f>
        <v>0</v>
      </c>
      <c r="C5" s="31"/>
      <c r="E5" s="287" t="s">
        <v>164</v>
      </c>
      <c r="F5" s="35" t="s">
        <v>165</v>
      </c>
      <c r="G5" s="167"/>
      <c r="H5" s="292"/>
      <c r="I5" s="179"/>
    </row>
    <row r="6" spans="1:9" ht="15.75" customHeight="1">
      <c r="A6" s="29" t="s">
        <v>166</v>
      </c>
      <c r="B6" s="30"/>
      <c r="C6" s="31"/>
      <c r="E6" s="288"/>
      <c r="F6" s="35" t="s">
        <v>167</v>
      </c>
      <c r="G6" s="167"/>
      <c r="H6" s="292"/>
      <c r="I6" s="178"/>
    </row>
    <row r="7" spans="1:9" ht="15.75" customHeight="1">
      <c r="A7" s="36" t="s">
        <v>168</v>
      </c>
      <c r="B7" s="34">
        <f>SUM(B3:B6)</f>
        <v>0</v>
      </c>
      <c r="C7" s="31"/>
      <c r="E7" s="288"/>
      <c r="F7" s="35" t="s">
        <v>169</v>
      </c>
      <c r="G7" s="167"/>
      <c r="H7" s="292"/>
      <c r="I7" s="178"/>
    </row>
    <row r="8" spans="1:9" ht="15.75" customHeight="1">
      <c r="A8" s="37" t="s">
        <v>170</v>
      </c>
      <c r="B8" s="34">
        <f>SUM(G5:G12)</f>
        <v>173.98000000000002</v>
      </c>
      <c r="C8" s="38"/>
      <c r="E8" s="288"/>
      <c r="F8" s="35" t="s">
        <v>171</v>
      </c>
      <c r="G8" s="167"/>
      <c r="H8" s="292"/>
      <c r="I8" s="178"/>
    </row>
    <row r="9" spans="1:9" ht="15.75" customHeight="1">
      <c r="A9" s="29" t="s">
        <v>172</v>
      </c>
      <c r="B9" s="34">
        <f>SUM(G13:G21)</f>
        <v>0</v>
      </c>
      <c r="C9" s="31"/>
      <c r="E9" s="288"/>
      <c r="F9" s="2" t="s">
        <v>173</v>
      </c>
      <c r="G9" s="167"/>
      <c r="H9" s="292"/>
      <c r="I9" s="180"/>
    </row>
    <row r="10" spans="1:9" ht="15.75" customHeight="1">
      <c r="A10" s="33" t="s">
        <v>20</v>
      </c>
      <c r="B10" s="34">
        <f>B7+B8+B9</f>
        <v>173.98000000000002</v>
      </c>
      <c r="C10" s="31"/>
      <c r="E10" s="288"/>
      <c r="F10" s="2" t="s">
        <v>174</v>
      </c>
      <c r="G10" s="168"/>
      <c r="H10" s="292"/>
      <c r="I10" s="180"/>
    </row>
    <row r="11" spans="1:9" ht="15.75" customHeight="1">
      <c r="E11" s="288"/>
      <c r="F11" s="2" t="s">
        <v>175</v>
      </c>
      <c r="G11" s="168"/>
      <c r="H11" s="292"/>
      <c r="I11" s="180"/>
    </row>
    <row r="12" spans="1:9" ht="15.75" customHeight="1">
      <c r="E12" s="289"/>
      <c r="F12" s="2" t="s">
        <v>176</v>
      </c>
      <c r="G12" s="155">
        <f>319.54-145.56</f>
        <v>173.98000000000002</v>
      </c>
      <c r="H12" s="293"/>
      <c r="I12" s="180"/>
    </row>
    <row r="13" spans="1:9" ht="15.75" customHeight="1">
      <c r="E13" s="285" t="s">
        <v>52</v>
      </c>
      <c r="F13" s="2" t="s">
        <v>177</v>
      </c>
      <c r="G13" s="167"/>
      <c r="H13" s="217" t="s">
        <v>266</v>
      </c>
      <c r="I13" s="181"/>
    </row>
    <row r="14" spans="1:9" ht="15.75" customHeight="1">
      <c r="E14" s="286"/>
      <c r="F14" s="2" t="s">
        <v>178</v>
      </c>
      <c r="G14" s="167">
        <v>3</v>
      </c>
      <c r="H14" s="2"/>
      <c r="I14" s="178"/>
    </row>
    <row r="15" spans="1:9" ht="15.75" customHeight="1">
      <c r="E15" s="286"/>
      <c r="F15" s="2" t="s">
        <v>179</v>
      </c>
      <c r="G15" s="167">
        <v>3</v>
      </c>
      <c r="H15" s="2"/>
      <c r="I15" s="178"/>
    </row>
    <row r="16" spans="1:9" ht="15.75" customHeight="1">
      <c r="E16" s="286"/>
      <c r="F16" s="2" t="s">
        <v>180</v>
      </c>
      <c r="G16" s="167"/>
      <c r="H16" s="2"/>
      <c r="I16" s="178"/>
    </row>
    <row r="17" spans="1:12" ht="15.75" customHeight="1">
      <c r="E17" s="286"/>
      <c r="F17" s="2" t="s">
        <v>181</v>
      </c>
      <c r="G17" s="167">
        <v>6.45</v>
      </c>
      <c r="H17" s="175"/>
      <c r="I17" s="182"/>
    </row>
    <row r="18" spans="1:12" ht="15.75" customHeight="1">
      <c r="E18" s="286"/>
      <c r="F18" s="2" t="s">
        <v>182</v>
      </c>
      <c r="G18" s="167">
        <f>5.3+2.0125</f>
        <v>7.3125</v>
      </c>
      <c r="H18" s="176"/>
      <c r="I18" s="183"/>
    </row>
    <row r="19" spans="1:12" ht="15.75" customHeight="1">
      <c r="E19" s="286"/>
      <c r="F19" s="2" t="s">
        <v>183</v>
      </c>
      <c r="G19" s="167">
        <v>48.88</v>
      </c>
      <c r="H19" s="176"/>
      <c r="I19" s="183"/>
    </row>
    <row r="20" spans="1:12" ht="15.75" customHeight="1">
      <c r="E20" s="286"/>
      <c r="F20" s="2" t="s">
        <v>184</v>
      </c>
      <c r="G20" s="167"/>
      <c r="H20" s="2"/>
      <c r="I20" s="178"/>
    </row>
    <row r="21" spans="1:12" ht="15.75" customHeight="1">
      <c r="E21" s="290"/>
      <c r="F21" s="2" t="s">
        <v>130</v>
      </c>
      <c r="G21" s="167">
        <v>-68.642499999999998</v>
      </c>
      <c r="H21" s="2"/>
      <c r="I21" s="178"/>
    </row>
    <row r="22" spans="1:12" ht="15.75" customHeight="1">
      <c r="E22" s="1" t="s">
        <v>20</v>
      </c>
      <c r="F22" s="2"/>
      <c r="G22" s="28">
        <f>SUM(G3:G21)</f>
        <v>173.98000000000002</v>
      </c>
      <c r="H22" s="2"/>
      <c r="I22" s="178"/>
    </row>
    <row r="23" spans="1:12" ht="30.75" customHeight="1">
      <c r="E23" s="281" t="s">
        <v>185</v>
      </c>
      <c r="F23" s="281"/>
      <c r="G23" s="281"/>
      <c r="H23" s="281"/>
      <c r="I23" s="184"/>
    </row>
    <row r="25" spans="1:12" ht="33">
      <c r="A25" s="18" t="s">
        <v>1</v>
      </c>
      <c r="B25" s="18" t="s">
        <v>154</v>
      </c>
      <c r="C25" s="18" t="s">
        <v>186</v>
      </c>
      <c r="D25" s="173" t="s">
        <v>187</v>
      </c>
      <c r="E25" s="173" t="s">
        <v>188</v>
      </c>
      <c r="F25" s="173" t="s">
        <v>189</v>
      </c>
      <c r="G25" s="173" t="s">
        <v>237</v>
      </c>
      <c r="H25" s="173" t="s">
        <v>246</v>
      </c>
      <c r="I25" s="173" t="s">
        <v>245</v>
      </c>
      <c r="J25" s="211" t="s">
        <v>264</v>
      </c>
      <c r="K25" s="20" t="s">
        <v>20</v>
      </c>
      <c r="L25" s="42" t="s">
        <v>190</v>
      </c>
    </row>
    <row r="26" spans="1:12" ht="16.5">
      <c r="A26" s="39" t="s">
        <v>148</v>
      </c>
      <c r="B26" s="40">
        <f>(B5+B8)*10000</f>
        <v>1739800.0000000002</v>
      </c>
      <c r="C26" s="41">
        <v>0.05</v>
      </c>
      <c r="D26" s="12">
        <f>B26*(1-C26)/7</f>
        <v>236115.71428571432</v>
      </c>
      <c r="E26" s="12">
        <f t="shared" ref="E26:H27" si="0">D26</f>
        <v>236115.71428571432</v>
      </c>
      <c r="F26" s="12">
        <f t="shared" si="0"/>
        <v>236115.71428571432</v>
      </c>
      <c r="G26" s="12">
        <f t="shared" si="0"/>
        <v>236115.71428571432</v>
      </c>
      <c r="H26" s="12">
        <f>G26</f>
        <v>236115.71428571432</v>
      </c>
      <c r="I26" s="12">
        <f>H26</f>
        <v>236115.71428571432</v>
      </c>
      <c r="J26" s="12">
        <f>I26</f>
        <v>236115.71428571432</v>
      </c>
      <c r="K26" s="12">
        <f>SUM(D26:J26)</f>
        <v>1652810.0000000002</v>
      </c>
      <c r="L26" s="12">
        <f>B26*0.05</f>
        <v>86990.000000000015</v>
      </c>
    </row>
    <row r="27" spans="1:12" ht="16.5">
      <c r="A27" s="39" t="s">
        <v>191</v>
      </c>
      <c r="B27" s="40">
        <f>B9*10000</f>
        <v>0</v>
      </c>
      <c r="C27" s="12"/>
      <c r="D27" s="12">
        <f>B27/7</f>
        <v>0</v>
      </c>
      <c r="E27" s="12">
        <f t="shared" si="0"/>
        <v>0</v>
      </c>
      <c r="F27" s="12">
        <f t="shared" si="0"/>
        <v>0</v>
      </c>
      <c r="G27" s="12">
        <f t="shared" si="0"/>
        <v>0</v>
      </c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0</v>
      </c>
      <c r="L27" s="12"/>
    </row>
    <row r="28" spans="1:12" ht="16.5">
      <c r="A28" s="282" t="s">
        <v>110</v>
      </c>
      <c r="B28" s="283"/>
      <c r="C28" s="284"/>
      <c r="D28" s="12">
        <f>SUM(D26:D27)</f>
        <v>236115.71428571432</v>
      </c>
      <c r="E28" s="12">
        <f t="shared" ref="E28:J28" si="1">SUM(E26:E27)</f>
        <v>236115.71428571432</v>
      </c>
      <c r="F28" s="12">
        <f t="shared" si="1"/>
        <v>236115.71428571432</v>
      </c>
      <c r="G28" s="12">
        <f t="shared" si="1"/>
        <v>236115.71428571432</v>
      </c>
      <c r="H28" s="12">
        <f t="shared" si="1"/>
        <v>236115.71428571432</v>
      </c>
      <c r="I28" s="12">
        <f t="shared" si="1"/>
        <v>236115.71428571432</v>
      </c>
      <c r="J28" s="12">
        <f t="shared" si="1"/>
        <v>236115.71428571432</v>
      </c>
      <c r="K28" s="43"/>
      <c r="L28" s="43"/>
    </row>
    <row r="41" ht="37.5" customHeight="1"/>
  </sheetData>
  <mergeCells count="8">
    <mergeCell ref="A1:C1"/>
    <mergeCell ref="E1:H1"/>
    <mergeCell ref="E23:H23"/>
    <mergeCell ref="A28:C28"/>
    <mergeCell ref="E3:E4"/>
    <mergeCell ref="E5:E12"/>
    <mergeCell ref="E13:E21"/>
    <mergeCell ref="H3:H12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F13" sqref="F13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9.25" style="5" customWidth="1"/>
    <col min="12" max="12" width="9.125" style="5" customWidth="1"/>
    <col min="13" max="16384" width="9" style="5"/>
  </cols>
  <sheetData>
    <row r="1" spans="1:13" ht="29.25" customHeight="1">
      <c r="A1" s="15" t="s">
        <v>192</v>
      </c>
      <c r="E1" s="16"/>
      <c r="F1" s="16"/>
      <c r="G1" s="16"/>
      <c r="H1" s="16"/>
      <c r="I1" s="16"/>
      <c r="J1" s="16"/>
    </row>
    <row r="2" spans="1:13" ht="24" customHeight="1">
      <c r="A2" s="17" t="s">
        <v>193</v>
      </c>
      <c r="E2" s="16"/>
      <c r="F2" s="16"/>
      <c r="G2" s="16"/>
      <c r="H2" s="16"/>
      <c r="I2" s="16"/>
      <c r="J2" s="16"/>
    </row>
    <row r="3" spans="1:13">
      <c r="C3" s="5" t="s">
        <v>194</v>
      </c>
      <c r="D3" s="8" t="s">
        <v>265</v>
      </c>
      <c r="E3" s="157">
        <v>0</v>
      </c>
    </row>
    <row r="5" spans="1:13" ht="45" customHeight="1">
      <c r="A5" s="295" t="s">
        <v>195</v>
      </c>
      <c r="B5" s="222" t="s">
        <v>144</v>
      </c>
      <c r="C5" s="174"/>
      <c r="D5" s="14"/>
      <c r="E5" s="14"/>
      <c r="F5" s="14"/>
      <c r="G5" s="14"/>
      <c r="H5" s="14"/>
      <c r="I5" s="14"/>
      <c r="J5" s="294" t="s">
        <v>20</v>
      </c>
    </row>
    <row r="6" spans="1:13" ht="31.5" customHeight="1">
      <c r="A6" s="295"/>
      <c r="B6" s="222" t="s">
        <v>145</v>
      </c>
      <c r="C6" s="228" t="s">
        <v>268</v>
      </c>
      <c r="D6" s="228" t="s">
        <v>269</v>
      </c>
      <c r="E6" s="228" t="s">
        <v>269</v>
      </c>
      <c r="F6" s="228" t="s">
        <v>270</v>
      </c>
      <c r="G6" s="228" t="s">
        <v>270</v>
      </c>
      <c r="H6" s="228" t="s">
        <v>269</v>
      </c>
      <c r="I6" s="228" t="s">
        <v>271</v>
      </c>
      <c r="J6" s="294"/>
      <c r="L6" s="5">
        <v>100</v>
      </c>
    </row>
    <row r="7" spans="1:13" ht="37.5" customHeight="1">
      <c r="A7" s="295"/>
      <c r="B7" s="19" t="s">
        <v>196</v>
      </c>
      <c r="C7" s="233"/>
      <c r="D7" s="234"/>
      <c r="E7" s="234"/>
      <c r="F7" s="234"/>
      <c r="G7" s="234"/>
      <c r="H7" s="234"/>
      <c r="I7" s="234"/>
      <c r="J7" s="294"/>
      <c r="L7" s="5">
        <f>L6*(1-$E$3)</f>
        <v>100</v>
      </c>
      <c r="M7" s="5">
        <f>L7/$L$6</f>
        <v>1</v>
      </c>
    </row>
    <row r="8" spans="1:13" ht="33">
      <c r="A8" s="295"/>
      <c r="B8" s="19" t="s">
        <v>197</v>
      </c>
      <c r="C8" s="235">
        <v>308.27999999999997</v>
      </c>
      <c r="D8" s="235">
        <v>381.28</v>
      </c>
      <c r="E8" s="235">
        <v>381.28</v>
      </c>
      <c r="F8" s="235">
        <v>283.27999999999997</v>
      </c>
      <c r="G8" s="235">
        <v>283.27999999999997</v>
      </c>
      <c r="H8" s="235">
        <v>381.28</v>
      </c>
      <c r="I8" s="229">
        <v>382.78</v>
      </c>
      <c r="J8" s="296"/>
      <c r="L8" s="5">
        <f>L7*(1-$E$3)</f>
        <v>100</v>
      </c>
      <c r="M8" s="5">
        <f t="shared" ref="M8:M11" si="0">L8/$L$6</f>
        <v>1</v>
      </c>
    </row>
    <row r="9" spans="1:13">
      <c r="A9" s="295" t="s">
        <v>198</v>
      </c>
      <c r="B9" s="221" t="s">
        <v>187</v>
      </c>
      <c r="C9" s="236">
        <v>2000</v>
      </c>
      <c r="D9" s="236">
        <v>5000</v>
      </c>
      <c r="E9" s="236">
        <v>3000</v>
      </c>
      <c r="F9" s="237" t="s">
        <v>272</v>
      </c>
      <c r="G9" s="237" t="s">
        <v>272</v>
      </c>
      <c r="H9" s="237" t="s">
        <v>272</v>
      </c>
      <c r="I9" s="237" t="s">
        <v>272</v>
      </c>
      <c r="J9" s="231">
        <f>SUM(C9:I9)</f>
        <v>10000</v>
      </c>
      <c r="L9" s="5">
        <f t="shared" ref="L9" si="1">L8*(1-$E$3)</f>
        <v>100</v>
      </c>
      <c r="M9" s="5">
        <f t="shared" si="0"/>
        <v>1</v>
      </c>
    </row>
    <row r="10" spans="1:13">
      <c r="A10" s="295"/>
      <c r="B10" s="221" t="s">
        <v>188</v>
      </c>
      <c r="C10" s="236">
        <v>3600</v>
      </c>
      <c r="D10" s="236">
        <v>9000</v>
      </c>
      <c r="E10" s="236">
        <v>5400</v>
      </c>
      <c r="F10" s="236">
        <v>6000</v>
      </c>
      <c r="G10" s="236">
        <v>6000</v>
      </c>
      <c r="H10" s="236">
        <v>4000</v>
      </c>
      <c r="I10" s="236">
        <v>4000</v>
      </c>
      <c r="J10" s="231">
        <f t="shared" ref="J10:J15" si="2">SUM(C10:I10)</f>
        <v>38000</v>
      </c>
      <c r="L10" s="5">
        <f>L9</f>
        <v>100</v>
      </c>
      <c r="M10" s="5">
        <f t="shared" si="0"/>
        <v>1</v>
      </c>
    </row>
    <row r="11" spans="1:13">
      <c r="A11" s="295"/>
      <c r="B11" s="221" t="s">
        <v>189</v>
      </c>
      <c r="C11" s="236">
        <v>3200</v>
      </c>
      <c r="D11" s="236">
        <v>8000</v>
      </c>
      <c r="E11" s="236">
        <v>4800</v>
      </c>
      <c r="F11" s="236">
        <v>5625</v>
      </c>
      <c r="G11" s="236">
        <v>5625</v>
      </c>
      <c r="H11" s="236">
        <v>3750</v>
      </c>
      <c r="I11" s="236">
        <v>6000</v>
      </c>
      <c r="J11" s="231">
        <f t="shared" si="2"/>
        <v>37000</v>
      </c>
      <c r="L11" s="5">
        <f>L10</f>
        <v>100</v>
      </c>
      <c r="M11" s="5">
        <f t="shared" si="0"/>
        <v>1</v>
      </c>
    </row>
    <row r="12" spans="1:13">
      <c r="A12" s="295"/>
      <c r="B12" s="221" t="s">
        <v>237</v>
      </c>
      <c r="C12" s="236">
        <v>3000</v>
      </c>
      <c r="D12" s="236">
        <v>7500</v>
      </c>
      <c r="E12" s="236">
        <v>4500</v>
      </c>
      <c r="F12" s="236">
        <v>4500</v>
      </c>
      <c r="G12" s="236">
        <v>4500</v>
      </c>
      <c r="H12" s="236">
        <v>3000</v>
      </c>
      <c r="I12" s="236">
        <v>3000</v>
      </c>
      <c r="J12" s="231">
        <f t="shared" si="2"/>
        <v>30000</v>
      </c>
    </row>
    <row r="13" spans="1:13">
      <c r="A13" s="295"/>
      <c r="B13" s="221" t="s">
        <v>246</v>
      </c>
      <c r="C13" s="236">
        <v>3600</v>
      </c>
      <c r="D13" s="236">
        <v>9000</v>
      </c>
      <c r="E13" s="236">
        <v>5400</v>
      </c>
      <c r="F13" s="236">
        <v>6000</v>
      </c>
      <c r="G13" s="236">
        <v>6000</v>
      </c>
      <c r="H13" s="236">
        <v>4000</v>
      </c>
      <c r="I13" s="236">
        <v>3500</v>
      </c>
      <c r="J13" s="231">
        <f t="shared" si="2"/>
        <v>37500</v>
      </c>
    </row>
    <row r="14" spans="1:13">
      <c r="A14" s="295"/>
      <c r="B14" s="221" t="s">
        <v>245</v>
      </c>
      <c r="C14" s="236">
        <v>3000</v>
      </c>
      <c r="D14" s="236">
        <v>7500</v>
      </c>
      <c r="E14" s="236">
        <v>4500</v>
      </c>
      <c r="F14" s="236">
        <v>4875</v>
      </c>
      <c r="G14" s="236">
        <v>4875</v>
      </c>
      <c r="H14" s="236">
        <v>3250</v>
      </c>
      <c r="I14" s="236">
        <v>2000</v>
      </c>
      <c r="J14" s="231">
        <f t="shared" si="2"/>
        <v>30000</v>
      </c>
    </row>
    <row r="15" spans="1:13">
      <c r="A15" s="295"/>
      <c r="B15" s="221" t="s">
        <v>264</v>
      </c>
      <c r="C15" s="236">
        <v>1600</v>
      </c>
      <c r="D15" s="236">
        <v>4000</v>
      </c>
      <c r="E15" s="236">
        <v>2400</v>
      </c>
      <c r="F15" s="236">
        <v>3000</v>
      </c>
      <c r="G15" s="236">
        <v>3000</v>
      </c>
      <c r="H15" s="236">
        <v>2000</v>
      </c>
      <c r="I15" s="236">
        <v>1500</v>
      </c>
      <c r="J15" s="231">
        <f t="shared" si="2"/>
        <v>17500</v>
      </c>
    </row>
    <row r="16" spans="1:13">
      <c r="A16" s="294" t="s">
        <v>20</v>
      </c>
      <c r="B16" s="294"/>
      <c r="C16" s="22">
        <f t="shared" ref="C16:J16" si="3">SUM(C9:C15)</f>
        <v>20000</v>
      </c>
      <c r="D16" s="22">
        <f t="shared" si="3"/>
        <v>50000</v>
      </c>
      <c r="E16" s="22">
        <f t="shared" si="3"/>
        <v>30000</v>
      </c>
      <c r="F16" s="22">
        <f t="shared" si="3"/>
        <v>30000</v>
      </c>
      <c r="G16" s="22">
        <f t="shared" si="3"/>
        <v>30000</v>
      </c>
      <c r="H16" s="22">
        <f t="shared" si="3"/>
        <v>20000</v>
      </c>
      <c r="I16" s="22">
        <f t="shared" si="3"/>
        <v>20000</v>
      </c>
      <c r="J16" s="232">
        <f t="shared" si="3"/>
        <v>200000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7"/>
  <sheetViews>
    <sheetView workbookViewId="0">
      <pane xSplit="3" ySplit="5" topLeftCell="D6" activePane="bottomRight" state="frozen"/>
      <selection pane="topRight"/>
      <selection pane="bottomLeft"/>
      <selection pane="bottomRight" activeCell="G13" sqref="G13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3.875" style="5" bestFit="1" customWidth="1"/>
    <col min="6" max="6" width="12.125" style="5" customWidth="1"/>
    <col min="7" max="9" width="14.375" style="5" customWidth="1"/>
    <col min="10" max="10" width="17.375" style="5" customWidth="1"/>
    <col min="11" max="11" width="16" style="5" customWidth="1"/>
    <col min="12" max="16384" width="9" style="5"/>
  </cols>
  <sheetData>
    <row r="1" spans="1:13" s="4" customFormat="1" ht="28.5" customHeight="1">
      <c r="A1" s="309" t="s">
        <v>7</v>
      </c>
      <c r="B1" s="309"/>
      <c r="C1" s="6"/>
      <c r="K1" s="13"/>
    </row>
    <row r="2" spans="1:13">
      <c r="A2" s="310" t="s">
        <v>199</v>
      </c>
      <c r="B2" s="310"/>
      <c r="C2" s="311"/>
      <c r="D2" s="311"/>
      <c r="E2" s="297" t="s">
        <v>273</v>
      </c>
      <c r="F2" s="298"/>
      <c r="G2" s="298"/>
      <c r="H2" s="298"/>
      <c r="I2" s="298"/>
      <c r="J2" s="298"/>
      <c r="K2" s="298"/>
    </row>
    <row r="3" spans="1:13">
      <c r="A3" s="306" t="s">
        <v>19</v>
      </c>
      <c r="B3" s="306" t="s">
        <v>200</v>
      </c>
      <c r="C3" s="7" t="s">
        <v>201</v>
      </c>
      <c r="D3" s="312"/>
      <c r="E3" s="312"/>
      <c r="F3" s="7" t="s">
        <v>202</v>
      </c>
      <c r="G3" s="316"/>
      <c r="H3" s="317"/>
      <c r="I3" s="318"/>
      <c r="J3" s="213"/>
      <c r="K3" s="313" t="s">
        <v>155</v>
      </c>
    </row>
    <row r="4" spans="1:13">
      <c r="A4" s="306"/>
      <c r="B4" s="306"/>
      <c r="C4" s="7" t="s">
        <v>144</v>
      </c>
      <c r="D4" s="154">
        <f>销量!C5</f>
        <v>0</v>
      </c>
      <c r="E4" s="154">
        <f>销量!D5</f>
        <v>0</v>
      </c>
      <c r="F4" s="154">
        <f>销量!E5</f>
        <v>0</v>
      </c>
      <c r="G4" s="154">
        <f>销量!F5</f>
        <v>0</v>
      </c>
      <c r="H4" s="154">
        <f>销量!G5</f>
        <v>0</v>
      </c>
      <c r="I4" s="154">
        <f>销量!H5</f>
        <v>0</v>
      </c>
      <c r="J4" s="218"/>
      <c r="K4" s="314"/>
    </row>
    <row r="5" spans="1:13" ht="42.75">
      <c r="A5" s="306"/>
      <c r="B5" s="306"/>
      <c r="C5" s="7" t="s">
        <v>145</v>
      </c>
      <c r="D5" s="154" t="str">
        <f>销量!C6</f>
        <v>北汽B41V-C系列-LV1</v>
      </c>
      <c r="E5" s="154" t="str">
        <f>销量!D6</f>
        <v>B41V-C系列-LV2-LV3-P系列-LV3-左</v>
      </c>
      <c r="F5" s="154" t="str">
        <f>销量!E6</f>
        <v>B41V-C系列-LV2-LV3-P系列-LV3-左</v>
      </c>
      <c r="G5" s="154" t="str">
        <f>销量!F6</f>
        <v xml:space="preserve">B41V-P系列-LV1-LV2-左 </v>
      </c>
      <c r="H5" s="154" t="str">
        <f>销量!G6</f>
        <v xml:space="preserve">B41V-P系列-LV1-LV2-左 </v>
      </c>
      <c r="I5" s="154" t="str">
        <f>销量!H6</f>
        <v>B41V-C系列-LV2-LV3-P系列-LV3-左</v>
      </c>
      <c r="J5" s="219" t="str">
        <f>销量!I6</f>
        <v>B41V-混动-左</v>
      </c>
      <c r="K5" s="315"/>
    </row>
    <row r="6" spans="1:13" ht="16.5" customHeight="1">
      <c r="A6" s="10">
        <v>1</v>
      </c>
      <c r="B6" s="301" t="s">
        <v>238</v>
      </c>
      <c r="C6" s="302"/>
      <c r="D6" s="220">
        <v>236.37</v>
      </c>
      <c r="E6" s="220">
        <v>287.45999999999998</v>
      </c>
      <c r="F6" s="220">
        <v>287.45999999999998</v>
      </c>
      <c r="G6" s="220">
        <v>206.11</v>
      </c>
      <c r="H6" s="220">
        <v>206.11</v>
      </c>
      <c r="I6" s="220">
        <v>287.45999999999998</v>
      </c>
      <c r="J6" s="11">
        <v>288.02</v>
      </c>
      <c r="K6" s="170"/>
    </row>
    <row r="7" spans="1:13" ht="16.5" customHeight="1">
      <c r="A7" s="10">
        <v>2</v>
      </c>
      <c r="B7" s="301"/>
      <c r="C7" s="302"/>
      <c r="D7" s="9"/>
      <c r="E7" s="9"/>
      <c r="F7" s="9"/>
      <c r="G7" s="9"/>
      <c r="H7" s="9"/>
      <c r="I7" s="9"/>
      <c r="J7" s="9"/>
      <c r="K7" s="14"/>
    </row>
    <row r="8" spans="1:13" ht="16.5" customHeight="1">
      <c r="A8" s="10">
        <v>3</v>
      </c>
      <c r="B8" s="301"/>
      <c r="C8" s="302"/>
      <c r="D8" s="11"/>
      <c r="E8" s="9"/>
      <c r="F8" s="11"/>
      <c r="G8" s="9"/>
      <c r="H8" s="11"/>
      <c r="I8" s="11"/>
      <c r="J8" s="11"/>
      <c r="K8" s="14"/>
    </row>
    <row r="9" spans="1:13">
      <c r="A9" s="10">
        <v>4</v>
      </c>
      <c r="B9" s="301"/>
      <c r="C9" s="302"/>
      <c r="D9" s="11"/>
      <c r="E9" s="9"/>
      <c r="F9" s="11"/>
      <c r="G9" s="9"/>
      <c r="H9" s="9"/>
      <c r="I9" s="9"/>
      <c r="J9" s="9"/>
      <c r="K9" s="14"/>
    </row>
    <row r="10" spans="1:13" ht="16.5" customHeight="1">
      <c r="A10" s="10">
        <v>5</v>
      </c>
      <c r="B10" s="301"/>
      <c r="C10" s="302"/>
      <c r="D10" s="11"/>
      <c r="E10" s="9"/>
      <c r="F10" s="11"/>
      <c r="G10" s="9"/>
      <c r="H10" s="9"/>
      <c r="I10" s="9"/>
      <c r="J10" s="9"/>
      <c r="K10" s="14"/>
      <c r="L10" s="299"/>
      <c r="M10" s="300"/>
    </row>
    <row r="11" spans="1:13" ht="16.5" customHeight="1">
      <c r="A11" s="10">
        <v>6</v>
      </c>
      <c r="B11" s="301"/>
      <c r="C11" s="302"/>
      <c r="D11" s="11"/>
      <c r="E11" s="9"/>
      <c r="F11" s="11"/>
      <c r="G11" s="9"/>
      <c r="H11" s="9"/>
      <c r="I11" s="9"/>
      <c r="J11" s="9"/>
      <c r="K11" s="14"/>
      <c r="L11" s="299"/>
      <c r="M11" s="300"/>
    </row>
    <row r="12" spans="1:13" ht="16.5" customHeight="1">
      <c r="A12" s="10">
        <v>7</v>
      </c>
      <c r="B12" s="301"/>
      <c r="C12" s="302"/>
      <c r="D12" s="11"/>
      <c r="E12" s="9"/>
      <c r="F12" s="11"/>
      <c r="G12" s="9"/>
      <c r="H12" s="9"/>
      <c r="I12" s="9"/>
      <c r="J12" s="9"/>
      <c r="K12" s="14"/>
      <c r="L12" s="299"/>
      <c r="M12" s="300"/>
    </row>
    <row r="13" spans="1:13" ht="16.5" customHeight="1">
      <c r="A13" s="10">
        <v>8</v>
      </c>
      <c r="B13" s="301"/>
      <c r="C13" s="302"/>
      <c r="D13" s="11"/>
      <c r="E13" s="9"/>
      <c r="F13" s="11"/>
      <c r="G13" s="9"/>
      <c r="H13" s="9"/>
      <c r="I13" s="9"/>
      <c r="J13" s="9"/>
      <c r="K13" s="14"/>
      <c r="L13" s="299"/>
      <c r="M13" s="300"/>
    </row>
    <row r="14" spans="1:13" ht="16.5" customHeight="1">
      <c r="A14" s="10">
        <v>9</v>
      </c>
      <c r="B14" s="301"/>
      <c r="C14" s="302"/>
      <c r="D14" s="11"/>
      <c r="E14" s="9"/>
      <c r="F14" s="11"/>
      <c r="G14" s="9"/>
      <c r="H14" s="9"/>
      <c r="I14" s="9"/>
      <c r="J14" s="9"/>
      <c r="K14" s="14"/>
      <c r="L14" s="299"/>
      <c r="M14" s="300"/>
    </row>
    <row r="15" spans="1:13" ht="16.5" customHeight="1">
      <c r="A15" s="10">
        <v>10</v>
      </c>
      <c r="B15" s="301"/>
      <c r="C15" s="302"/>
      <c r="D15" s="11"/>
      <c r="E15" s="9"/>
      <c r="F15" s="11"/>
      <c r="G15" s="9"/>
      <c r="H15" s="9"/>
      <c r="I15" s="9"/>
      <c r="J15" s="9"/>
      <c r="K15" s="14"/>
      <c r="L15" s="299"/>
      <c r="M15" s="300"/>
    </row>
    <row r="16" spans="1:13" ht="16.5" customHeight="1">
      <c r="A16" s="10">
        <v>11</v>
      </c>
      <c r="B16" s="301"/>
      <c r="C16" s="302"/>
      <c r="D16" s="11"/>
      <c r="E16" s="9"/>
      <c r="F16" s="11"/>
      <c r="G16" s="9"/>
      <c r="H16" s="9"/>
      <c r="I16" s="9"/>
      <c r="J16" s="9"/>
      <c r="K16" s="14"/>
      <c r="L16" s="299"/>
      <c r="M16" s="300"/>
    </row>
    <row r="17" spans="1:13" ht="16.5" customHeight="1">
      <c r="A17" s="10">
        <v>12</v>
      </c>
      <c r="B17" s="301"/>
      <c r="C17" s="302"/>
      <c r="D17" s="11"/>
      <c r="E17" s="9"/>
      <c r="F17" s="11"/>
      <c r="G17" s="9"/>
      <c r="H17" s="9"/>
      <c r="I17" s="9"/>
      <c r="J17" s="9"/>
      <c r="K17" s="14"/>
      <c r="L17" s="299"/>
      <c r="M17" s="300"/>
    </row>
    <row r="18" spans="1:13" ht="16.5" customHeight="1">
      <c r="A18" s="10">
        <v>13</v>
      </c>
      <c r="B18" s="301"/>
      <c r="C18" s="302"/>
      <c r="D18" s="11"/>
      <c r="E18" s="9"/>
      <c r="F18" s="11"/>
      <c r="G18" s="9"/>
      <c r="H18" s="9"/>
      <c r="I18" s="9"/>
      <c r="J18" s="9"/>
      <c r="K18" s="14"/>
      <c r="L18" s="299"/>
      <c r="M18" s="300"/>
    </row>
    <row r="19" spans="1:13" ht="16.5" customHeight="1">
      <c r="A19" s="10">
        <v>14</v>
      </c>
      <c r="B19" s="301"/>
      <c r="C19" s="302"/>
      <c r="D19" s="11"/>
      <c r="E19" s="9"/>
      <c r="F19" s="11"/>
      <c r="G19" s="9"/>
      <c r="H19" s="9"/>
      <c r="I19" s="9"/>
      <c r="J19" s="9"/>
      <c r="K19" s="14"/>
      <c r="L19" s="299"/>
      <c r="M19" s="300"/>
    </row>
    <row r="20" spans="1:13" ht="16.5" customHeight="1">
      <c r="A20" s="10">
        <v>15</v>
      </c>
      <c r="B20" s="301"/>
      <c r="C20" s="302"/>
      <c r="D20" s="11"/>
      <c r="E20" s="11"/>
      <c r="F20" s="11"/>
      <c r="G20" s="11"/>
      <c r="H20" s="9"/>
      <c r="I20" s="9"/>
      <c r="J20" s="9"/>
      <c r="K20" s="14"/>
      <c r="L20" s="299"/>
      <c r="M20" s="300"/>
    </row>
    <row r="21" spans="1:13" ht="16.5" customHeight="1">
      <c r="A21" s="10">
        <v>16</v>
      </c>
      <c r="B21" s="301"/>
      <c r="C21" s="302"/>
      <c r="D21" s="9"/>
      <c r="E21" s="11"/>
      <c r="F21" s="9"/>
      <c r="G21" s="11"/>
      <c r="H21" s="9"/>
      <c r="I21" s="9"/>
      <c r="J21" s="9"/>
      <c r="K21" s="14"/>
      <c r="L21" s="299"/>
      <c r="M21" s="300"/>
    </row>
    <row r="22" spans="1:13" ht="16.5" customHeight="1">
      <c r="A22" s="10">
        <v>17</v>
      </c>
      <c r="B22" s="301"/>
      <c r="C22" s="302"/>
      <c r="D22" s="9"/>
      <c r="E22" s="11"/>
      <c r="F22" s="9"/>
      <c r="G22" s="11"/>
      <c r="H22" s="9"/>
      <c r="I22" s="9"/>
      <c r="J22" s="9"/>
      <c r="K22" s="14"/>
      <c r="L22" s="299"/>
      <c r="M22" s="300"/>
    </row>
    <row r="23" spans="1:13" ht="16.5" customHeight="1">
      <c r="A23" s="10">
        <v>18</v>
      </c>
      <c r="B23" s="301"/>
      <c r="C23" s="302"/>
      <c r="D23" s="9"/>
      <c r="E23" s="11"/>
      <c r="F23" s="9"/>
      <c r="G23" s="11"/>
      <c r="H23" s="9"/>
      <c r="I23" s="9"/>
      <c r="J23" s="9"/>
      <c r="K23" s="14"/>
      <c r="L23" s="299"/>
      <c r="M23" s="300"/>
    </row>
    <row r="24" spans="1:13" ht="16.5" customHeight="1">
      <c r="A24" s="10">
        <v>19</v>
      </c>
      <c r="B24" s="301"/>
      <c r="C24" s="302"/>
      <c r="D24" s="9"/>
      <c r="E24" s="11"/>
      <c r="F24" s="9"/>
      <c r="G24" s="11"/>
      <c r="H24" s="9"/>
      <c r="I24" s="9"/>
      <c r="J24" s="9"/>
      <c r="K24" s="14"/>
      <c r="L24" s="299"/>
      <c r="M24" s="300"/>
    </row>
    <row r="25" spans="1:13">
      <c r="A25" s="10">
        <v>20</v>
      </c>
      <c r="B25" s="301"/>
      <c r="C25" s="302"/>
      <c r="D25" s="9"/>
      <c r="E25" s="11"/>
      <c r="F25" s="9"/>
      <c r="G25" s="11"/>
      <c r="H25" s="9"/>
      <c r="I25" s="9"/>
      <c r="J25" s="9"/>
      <c r="K25" s="14"/>
      <c r="L25" s="299"/>
      <c r="M25" s="300"/>
    </row>
    <row r="26" spans="1:13">
      <c r="A26" s="10">
        <v>21</v>
      </c>
      <c r="B26" s="301"/>
      <c r="C26" s="302"/>
      <c r="D26" s="9"/>
      <c r="E26" s="11"/>
      <c r="F26" s="9"/>
      <c r="G26" s="11"/>
      <c r="H26" s="9"/>
      <c r="I26" s="9"/>
      <c r="J26" s="9"/>
      <c r="K26" s="14"/>
      <c r="L26" s="299"/>
      <c r="M26" s="300"/>
    </row>
    <row r="27" spans="1:13">
      <c r="A27" s="10">
        <v>22</v>
      </c>
      <c r="B27" s="301"/>
      <c r="C27" s="302"/>
      <c r="D27" s="9"/>
      <c r="E27" s="11"/>
      <c r="F27" s="9"/>
      <c r="G27" s="11"/>
      <c r="H27" s="9"/>
      <c r="I27" s="9"/>
      <c r="J27" s="9"/>
      <c r="K27" s="14"/>
      <c r="L27" s="299"/>
      <c r="M27" s="300"/>
    </row>
    <row r="28" spans="1:13">
      <c r="A28" s="10">
        <v>23</v>
      </c>
      <c r="B28" s="301"/>
      <c r="C28" s="302"/>
      <c r="D28" s="9"/>
      <c r="E28" s="11"/>
      <c r="F28" s="9"/>
      <c r="G28" s="11"/>
      <c r="H28" s="9"/>
      <c r="I28" s="9"/>
      <c r="J28" s="9"/>
      <c r="K28" s="14"/>
    </row>
    <row r="29" spans="1:13">
      <c r="A29" s="10">
        <v>24</v>
      </c>
      <c r="B29" s="301"/>
      <c r="C29" s="302"/>
      <c r="D29" s="9"/>
      <c r="E29" s="11"/>
      <c r="F29" s="9"/>
      <c r="G29" s="11"/>
      <c r="H29" s="9"/>
      <c r="I29" s="9"/>
      <c r="J29" s="9"/>
      <c r="K29" s="14"/>
    </row>
    <row r="30" spans="1:13">
      <c r="A30" s="10">
        <v>25</v>
      </c>
      <c r="B30" s="301"/>
      <c r="C30" s="302"/>
      <c r="D30" s="11"/>
      <c r="E30" s="11"/>
      <c r="F30" s="11"/>
      <c r="G30" s="11"/>
      <c r="H30" s="9"/>
      <c r="I30" s="9"/>
      <c r="J30" s="9"/>
      <c r="K30" s="14"/>
    </row>
    <row r="31" spans="1:13">
      <c r="A31" s="10">
        <v>26</v>
      </c>
      <c r="B31" s="301"/>
      <c r="C31" s="302"/>
      <c r="D31" s="11"/>
      <c r="E31" s="11"/>
      <c r="F31" s="11"/>
      <c r="G31" s="11"/>
      <c r="H31" s="9"/>
      <c r="I31" s="9"/>
      <c r="J31" s="9"/>
      <c r="K31" s="14"/>
    </row>
    <row r="32" spans="1:13">
      <c r="A32" s="10">
        <v>27</v>
      </c>
      <c r="B32" s="301"/>
      <c r="C32" s="302"/>
      <c r="D32" s="9"/>
      <c r="E32" s="9"/>
      <c r="F32" s="9"/>
      <c r="G32" s="9"/>
      <c r="H32" s="9"/>
      <c r="I32" s="9"/>
      <c r="J32" s="9"/>
      <c r="K32" s="14"/>
    </row>
    <row r="33" spans="1:11" ht="31.5" customHeight="1">
      <c r="A33" s="303" t="s">
        <v>203</v>
      </c>
      <c r="B33" s="304"/>
      <c r="C33" s="305"/>
      <c r="D33" s="12">
        <f>SUM(D6:D32)</f>
        <v>236.37</v>
      </c>
      <c r="E33" s="12">
        <f t="shared" ref="E33:J33" si="0">SUM(E6:E32)</f>
        <v>287.45999999999998</v>
      </c>
      <c r="F33" s="12">
        <f t="shared" si="0"/>
        <v>287.45999999999998</v>
      </c>
      <c r="G33" s="12">
        <f t="shared" si="0"/>
        <v>206.11</v>
      </c>
      <c r="H33" s="12">
        <f t="shared" si="0"/>
        <v>206.11</v>
      </c>
      <c r="I33" s="12">
        <f t="shared" si="0"/>
        <v>287.45999999999998</v>
      </c>
      <c r="J33" s="12">
        <f t="shared" si="0"/>
        <v>288.02</v>
      </c>
      <c r="K33" s="14"/>
    </row>
    <row r="34" spans="1:11">
      <c r="D34" s="158"/>
      <c r="E34" s="158"/>
    </row>
    <row r="38" spans="1:11" ht="27.75" customHeight="1">
      <c r="D38" s="307" t="s">
        <v>247</v>
      </c>
      <c r="E38" s="307"/>
      <c r="F38" s="307"/>
      <c r="G38" s="307"/>
      <c r="H38" s="307"/>
      <c r="I38" s="307"/>
      <c r="J38" s="307"/>
    </row>
    <row r="39" spans="1:11">
      <c r="D39" s="295" t="s">
        <v>235</v>
      </c>
      <c r="E39" s="308" t="s">
        <v>236</v>
      </c>
      <c r="F39" s="308"/>
      <c r="G39" s="308"/>
      <c r="H39" s="308"/>
      <c r="I39" s="308"/>
      <c r="J39" s="308"/>
      <c r="K39" s="14"/>
    </row>
    <row r="40" spans="1:11">
      <c r="D40" s="295"/>
      <c r="E40" s="212" t="s">
        <v>274</v>
      </c>
      <c r="F40" s="212" t="s">
        <v>275</v>
      </c>
      <c r="G40" s="212" t="s">
        <v>189</v>
      </c>
      <c r="H40" s="212" t="s">
        <v>237</v>
      </c>
      <c r="I40" s="212" t="s">
        <v>246</v>
      </c>
      <c r="J40" s="212" t="s">
        <v>276</v>
      </c>
      <c r="K40" s="212" t="s">
        <v>264</v>
      </c>
    </row>
    <row r="41" spans="1:11">
      <c r="D41" s="154" t="s">
        <v>268</v>
      </c>
      <c r="E41" s="166">
        <f>D33</f>
        <v>236.37</v>
      </c>
      <c r="F41" s="166">
        <f t="shared" ref="F41:K41" si="1">E41</f>
        <v>236.37</v>
      </c>
      <c r="G41" s="166">
        <f t="shared" si="1"/>
        <v>236.37</v>
      </c>
      <c r="H41" s="166">
        <f t="shared" si="1"/>
        <v>236.37</v>
      </c>
      <c r="I41" s="166">
        <f t="shared" si="1"/>
        <v>236.37</v>
      </c>
      <c r="J41" s="166">
        <f t="shared" si="1"/>
        <v>236.37</v>
      </c>
      <c r="K41" s="253">
        <f t="shared" si="1"/>
        <v>236.37</v>
      </c>
    </row>
    <row r="42" spans="1:11" ht="28.5">
      <c r="D42" s="154" t="s">
        <v>269</v>
      </c>
      <c r="E42" s="171">
        <f>E33</f>
        <v>287.45999999999998</v>
      </c>
      <c r="F42" s="166">
        <f t="shared" ref="F42:K47" si="2">E42</f>
        <v>287.45999999999998</v>
      </c>
      <c r="G42" s="166">
        <f t="shared" si="2"/>
        <v>287.45999999999998</v>
      </c>
      <c r="H42" s="166">
        <f t="shared" si="2"/>
        <v>287.45999999999998</v>
      </c>
      <c r="I42" s="166">
        <f t="shared" si="2"/>
        <v>287.45999999999998</v>
      </c>
      <c r="J42" s="166">
        <f t="shared" si="2"/>
        <v>287.45999999999998</v>
      </c>
      <c r="K42" s="253">
        <f t="shared" si="2"/>
        <v>287.45999999999998</v>
      </c>
    </row>
    <row r="43" spans="1:11" ht="28.5">
      <c r="D43" s="154" t="s">
        <v>269</v>
      </c>
      <c r="E43" s="171">
        <f>F33</f>
        <v>287.45999999999998</v>
      </c>
      <c r="F43" s="166">
        <f t="shared" si="2"/>
        <v>287.45999999999998</v>
      </c>
      <c r="G43" s="166">
        <f t="shared" si="2"/>
        <v>287.45999999999998</v>
      </c>
      <c r="H43" s="166">
        <f t="shared" si="2"/>
        <v>287.45999999999998</v>
      </c>
      <c r="I43" s="166">
        <f t="shared" si="2"/>
        <v>287.45999999999998</v>
      </c>
      <c r="J43" s="166">
        <f t="shared" si="2"/>
        <v>287.45999999999998</v>
      </c>
      <c r="K43" s="253">
        <f t="shared" si="2"/>
        <v>287.45999999999998</v>
      </c>
    </row>
    <row r="44" spans="1:11" ht="28.5">
      <c r="D44" s="154" t="s">
        <v>270</v>
      </c>
      <c r="E44" s="171">
        <f>G33</f>
        <v>206.11</v>
      </c>
      <c r="F44" s="166">
        <f t="shared" si="2"/>
        <v>206.11</v>
      </c>
      <c r="G44" s="166">
        <f t="shared" si="2"/>
        <v>206.11</v>
      </c>
      <c r="H44" s="166">
        <f t="shared" si="2"/>
        <v>206.11</v>
      </c>
      <c r="I44" s="166">
        <f t="shared" si="2"/>
        <v>206.11</v>
      </c>
      <c r="J44" s="166">
        <f t="shared" si="2"/>
        <v>206.11</v>
      </c>
      <c r="K44" s="253">
        <f t="shared" si="2"/>
        <v>206.11</v>
      </c>
    </row>
    <row r="45" spans="1:11" ht="28.5">
      <c r="D45" s="154" t="s">
        <v>270</v>
      </c>
      <c r="E45" s="171">
        <f>H33</f>
        <v>206.11</v>
      </c>
      <c r="F45" s="166">
        <f t="shared" si="2"/>
        <v>206.11</v>
      </c>
      <c r="G45" s="166">
        <f t="shared" si="2"/>
        <v>206.11</v>
      </c>
      <c r="H45" s="166">
        <f t="shared" si="2"/>
        <v>206.11</v>
      </c>
      <c r="I45" s="166">
        <f t="shared" si="2"/>
        <v>206.11</v>
      </c>
      <c r="J45" s="166">
        <f t="shared" si="2"/>
        <v>206.11</v>
      </c>
      <c r="K45" s="253">
        <f t="shared" si="2"/>
        <v>206.11</v>
      </c>
    </row>
    <row r="46" spans="1:11" ht="28.5">
      <c r="D46" s="154" t="s">
        <v>269</v>
      </c>
      <c r="E46" s="171">
        <f>I33</f>
        <v>287.45999999999998</v>
      </c>
      <c r="F46" s="166">
        <f t="shared" si="2"/>
        <v>287.45999999999998</v>
      </c>
      <c r="G46" s="166">
        <f t="shared" si="2"/>
        <v>287.45999999999998</v>
      </c>
      <c r="H46" s="166">
        <f t="shared" si="2"/>
        <v>287.45999999999998</v>
      </c>
      <c r="I46" s="166">
        <f t="shared" si="2"/>
        <v>287.45999999999998</v>
      </c>
      <c r="J46" s="166">
        <f t="shared" si="2"/>
        <v>287.45999999999998</v>
      </c>
      <c r="K46" s="253">
        <f t="shared" si="2"/>
        <v>287.45999999999998</v>
      </c>
    </row>
    <row r="47" spans="1:11">
      <c r="D47" s="154" t="s">
        <v>271</v>
      </c>
      <c r="E47" s="171">
        <f>J33</f>
        <v>288.02</v>
      </c>
      <c r="F47" s="166">
        <f t="shared" si="2"/>
        <v>288.02</v>
      </c>
      <c r="G47" s="166">
        <f t="shared" si="2"/>
        <v>288.02</v>
      </c>
      <c r="H47" s="166">
        <f t="shared" si="2"/>
        <v>288.02</v>
      </c>
      <c r="I47" s="166">
        <f t="shared" si="2"/>
        <v>288.02</v>
      </c>
      <c r="J47" s="166">
        <f t="shared" si="2"/>
        <v>288.02</v>
      </c>
      <c r="K47" s="253">
        <f t="shared" si="2"/>
        <v>288.02</v>
      </c>
    </row>
  </sheetData>
  <mergeCells count="57">
    <mergeCell ref="K3:K5"/>
    <mergeCell ref="B6:C6"/>
    <mergeCell ref="B7:C7"/>
    <mergeCell ref="B8:C8"/>
    <mergeCell ref="B9:C9"/>
    <mergeCell ref="G3:I3"/>
    <mergeCell ref="D38:J38"/>
    <mergeCell ref="D39:D40"/>
    <mergeCell ref="E39:J39"/>
    <mergeCell ref="A1:B1"/>
    <mergeCell ref="A2:D2"/>
    <mergeCell ref="D3:E3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L10:M10"/>
    <mergeCell ref="L11:M11"/>
    <mergeCell ref="L12:M12"/>
    <mergeCell ref="L13:M13"/>
    <mergeCell ref="L14:M14"/>
    <mergeCell ref="E2:K2"/>
    <mergeCell ref="L25:M25"/>
    <mergeCell ref="L26:M26"/>
    <mergeCell ref="L27:M27"/>
    <mergeCell ref="B23:C23"/>
    <mergeCell ref="L20:M20"/>
    <mergeCell ref="L21:M21"/>
    <mergeCell ref="L22:M22"/>
    <mergeCell ref="L23:M23"/>
    <mergeCell ref="L24:M24"/>
    <mergeCell ref="B20:C20"/>
    <mergeCell ref="L15:M15"/>
    <mergeCell ref="L16:M16"/>
    <mergeCell ref="L17:M17"/>
    <mergeCell ref="L18:M18"/>
    <mergeCell ref="L19:M19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pane xSplit="2" ySplit="1" topLeftCell="C2" activePane="bottomRight" state="frozen"/>
      <selection pane="topRight"/>
      <selection pane="bottomLeft"/>
      <selection pane="bottomRight" activeCell="D7" sqref="D7"/>
    </sheetView>
  </sheetViews>
  <sheetFormatPr defaultColWidth="9" defaultRowHeight="13.5"/>
  <cols>
    <col min="1" max="1" width="9" style="255"/>
    <col min="2" max="2" width="29.625" style="255" customWidth="1"/>
    <col min="3" max="3" width="25.5" style="255" customWidth="1"/>
    <col min="4" max="4" width="18.625" style="255" customWidth="1"/>
    <col min="5" max="5" width="25.625" style="255" customWidth="1"/>
    <col min="6" max="16384" width="9" style="255"/>
  </cols>
  <sheetData>
    <row r="1" spans="1:5" ht="27" customHeight="1">
      <c r="A1" s="254" t="s">
        <v>19</v>
      </c>
      <c r="B1" s="254" t="s">
        <v>204</v>
      </c>
      <c r="C1" s="254" t="s">
        <v>205</v>
      </c>
      <c r="D1" s="254" t="s">
        <v>206</v>
      </c>
      <c r="E1" s="254" t="s">
        <v>207</v>
      </c>
    </row>
    <row r="2" spans="1:5" ht="27" customHeight="1">
      <c r="A2" s="254">
        <v>1</v>
      </c>
      <c r="B2" s="254" t="s">
        <v>208</v>
      </c>
      <c r="C2" s="256" t="s">
        <v>298</v>
      </c>
      <c r="D2" s="254"/>
      <c r="E2" s="254"/>
    </row>
    <row r="3" spans="1:5" ht="27" customHeight="1">
      <c r="A3" s="254">
        <v>2</v>
      </c>
      <c r="B3" s="254" t="s">
        <v>209</v>
      </c>
      <c r="C3" s="257" t="s">
        <v>299</v>
      </c>
      <c r="D3" s="254"/>
      <c r="E3" s="254"/>
    </row>
    <row r="4" spans="1:5" ht="27" customHeight="1">
      <c r="A4" s="254">
        <v>3</v>
      </c>
      <c r="B4" s="254" t="s">
        <v>210</v>
      </c>
      <c r="C4" s="256" t="s">
        <v>300</v>
      </c>
      <c r="D4" s="254"/>
      <c r="E4" s="254"/>
    </row>
    <row r="5" spans="1:5" ht="27" customHeight="1">
      <c r="A5" s="254">
        <v>4</v>
      </c>
      <c r="B5" s="254" t="s">
        <v>211</v>
      </c>
      <c r="C5" s="256" t="s">
        <v>298</v>
      </c>
      <c r="D5" s="254"/>
      <c r="E5" s="254"/>
    </row>
    <row r="6" spans="1:5" ht="27" customHeight="1">
      <c r="A6" s="254">
        <v>5</v>
      </c>
      <c r="B6" s="254" t="s">
        <v>212</v>
      </c>
      <c r="C6" s="256"/>
      <c r="D6" s="254"/>
      <c r="E6" s="254"/>
    </row>
    <row r="7" spans="1:5" ht="27" customHeight="1">
      <c r="A7" s="254">
        <v>6</v>
      </c>
      <c r="B7" s="254" t="s">
        <v>213</v>
      </c>
      <c r="C7" s="256" t="s">
        <v>301</v>
      </c>
      <c r="D7" s="254"/>
      <c r="E7" s="254"/>
    </row>
    <row r="8" spans="1:5" ht="27" customHeight="1">
      <c r="A8" s="254">
        <v>7</v>
      </c>
      <c r="B8" s="254" t="s">
        <v>214</v>
      </c>
      <c r="C8" s="256" t="s">
        <v>301</v>
      </c>
      <c r="D8" s="254"/>
      <c r="E8" s="254"/>
    </row>
    <row r="9" spans="1:5" ht="27" customHeight="1">
      <c r="A9" s="254">
        <v>8</v>
      </c>
      <c r="B9" s="254" t="s">
        <v>215</v>
      </c>
      <c r="C9" s="256" t="s">
        <v>301</v>
      </c>
      <c r="D9" s="254"/>
      <c r="E9" s="254"/>
    </row>
    <row r="10" spans="1:5" ht="27" customHeight="1">
      <c r="A10" s="254">
        <v>9</v>
      </c>
      <c r="B10" s="254" t="s">
        <v>216</v>
      </c>
      <c r="C10" s="256" t="s">
        <v>301</v>
      </c>
      <c r="D10" s="254"/>
      <c r="E10" s="254"/>
    </row>
    <row r="11" spans="1:5" ht="27" customHeight="1">
      <c r="A11" s="254">
        <v>10</v>
      </c>
      <c r="B11" s="254" t="s">
        <v>217</v>
      </c>
      <c r="C11" s="256"/>
      <c r="D11" s="254"/>
      <c r="E11" s="254"/>
    </row>
    <row r="12" spans="1:5" ht="27" customHeight="1">
      <c r="A12" s="254">
        <v>11</v>
      </c>
      <c r="B12" s="254" t="s">
        <v>218</v>
      </c>
      <c r="C12" s="256"/>
      <c r="D12" s="254"/>
      <c r="E12" s="254"/>
    </row>
    <row r="13" spans="1:5" ht="27" customHeight="1">
      <c r="A13" s="254">
        <v>12</v>
      </c>
      <c r="B13" s="254" t="s">
        <v>302</v>
      </c>
      <c r="C13" s="258"/>
      <c r="D13" s="254"/>
      <c r="E13" s="254"/>
    </row>
    <row r="14" spans="1:5" ht="27" customHeight="1">
      <c r="A14" s="254">
        <v>13</v>
      </c>
      <c r="B14" s="254" t="s">
        <v>303</v>
      </c>
      <c r="C14" s="258"/>
      <c r="D14" s="254"/>
      <c r="E14" s="254" t="s">
        <v>304</v>
      </c>
    </row>
    <row r="15" spans="1:5" ht="27" customHeight="1">
      <c r="A15" s="254">
        <v>14</v>
      </c>
      <c r="B15" s="254" t="s">
        <v>305</v>
      </c>
      <c r="C15" s="258"/>
      <c r="D15" s="254"/>
      <c r="E15" s="254"/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92"/>
  <sheetViews>
    <sheetView workbookViewId="0">
      <selection activeCell="E96" sqref="E96"/>
    </sheetView>
  </sheetViews>
  <sheetFormatPr defaultColWidth="9" defaultRowHeight="13.5"/>
  <cols>
    <col min="1" max="3" width="9" style="65"/>
    <col min="4" max="6" width="15.75" style="65" customWidth="1"/>
    <col min="7" max="7" width="11.125" style="65" hidden="1" customWidth="1"/>
    <col min="8" max="9" width="11.125" style="65" customWidth="1"/>
    <col min="10" max="10" width="9.625" style="143" customWidth="1"/>
    <col min="11" max="11" width="9.125" style="143" customWidth="1"/>
    <col min="12" max="12" width="12.875" style="143" customWidth="1"/>
    <col min="13" max="13" width="12.25" style="65" customWidth="1"/>
    <col min="14" max="14" width="9.875" style="65" customWidth="1"/>
    <col min="15" max="16384" width="9" style="65"/>
  </cols>
  <sheetData>
    <row r="1" spans="1:15" s="140" customFormat="1" ht="18.75" customHeight="1">
      <c r="H1" s="324" t="s">
        <v>219</v>
      </c>
      <c r="I1" s="324"/>
      <c r="J1" s="141"/>
      <c r="K1" s="141"/>
      <c r="L1" s="141"/>
    </row>
    <row r="2" spans="1:15" ht="39" customHeight="1">
      <c r="A2" s="327" t="s">
        <v>277</v>
      </c>
      <c r="B2" s="325" t="s">
        <v>220</v>
      </c>
      <c r="C2" s="325"/>
      <c r="D2" s="319" t="s">
        <v>221</v>
      </c>
      <c r="E2" s="326"/>
      <c r="F2" s="326"/>
      <c r="G2" s="326"/>
      <c r="H2" s="326"/>
      <c r="I2" s="320"/>
      <c r="J2" s="142" t="s">
        <v>228</v>
      </c>
      <c r="K2" s="142"/>
      <c r="L2" s="142"/>
      <c r="N2" s="161"/>
      <c r="O2" s="161"/>
    </row>
    <row r="3" spans="1:15" ht="34.5" customHeight="1">
      <c r="A3" s="328"/>
      <c r="B3" s="325"/>
      <c r="C3" s="325"/>
      <c r="D3" s="151" t="s">
        <v>230</v>
      </c>
      <c r="E3" s="151" t="s">
        <v>231</v>
      </c>
      <c r="F3" s="151" t="s">
        <v>229</v>
      </c>
      <c r="G3" s="152" t="s">
        <v>234</v>
      </c>
      <c r="H3" s="152" t="s">
        <v>233</v>
      </c>
      <c r="I3" s="152" t="s">
        <v>232</v>
      </c>
      <c r="J3" s="156">
        <f>销量!C8</f>
        <v>308.27999999999997</v>
      </c>
      <c r="K3" s="189" t="s">
        <v>253</v>
      </c>
      <c r="L3" s="189" t="s">
        <v>252</v>
      </c>
      <c r="M3" s="188" t="s">
        <v>251</v>
      </c>
      <c r="N3" s="191" t="s">
        <v>261</v>
      </c>
      <c r="O3" s="191" t="s">
        <v>262</v>
      </c>
    </row>
    <row r="4" spans="1:15" ht="24" customHeight="1">
      <c r="B4" s="321" t="s">
        <v>222</v>
      </c>
      <c r="C4" s="321"/>
      <c r="D4" s="3"/>
      <c r="E4" s="144"/>
      <c r="F4" s="145">
        <f>$J$3*H4</f>
        <v>15.99718981626023</v>
      </c>
      <c r="G4" s="193">
        <v>5.6219986372455351E-2</v>
      </c>
      <c r="H4" s="196">
        <v>5.1891753653367817E-2</v>
      </c>
      <c r="I4" s="146"/>
      <c r="L4" s="143">
        <v>0.11070000000000001</v>
      </c>
      <c r="M4" s="160">
        <v>4.5100000000000001E-2</v>
      </c>
      <c r="N4" s="192">
        <v>2.5100000000000001E-2</v>
      </c>
      <c r="O4" s="192">
        <v>5.1891753653367817E-2</v>
      </c>
    </row>
    <row r="5" spans="1:15" ht="24" customHeight="1">
      <c r="B5" s="321" t="s">
        <v>223</v>
      </c>
      <c r="C5" s="147" t="s">
        <v>224</v>
      </c>
      <c r="D5" s="3"/>
      <c r="E5" s="144"/>
      <c r="F5" s="145">
        <f t="shared" ref="F5:F6" si="0">$J$3*H5</f>
        <v>23.614248</v>
      </c>
      <c r="G5" s="194">
        <v>4.4999999999999998E-2</v>
      </c>
      <c r="H5" s="196">
        <v>7.6600000000000001E-2</v>
      </c>
      <c r="I5" s="146"/>
      <c r="J5" s="190" t="s">
        <v>260</v>
      </c>
      <c r="L5" s="143">
        <v>1.6400000000000001E-2</v>
      </c>
      <c r="M5" s="160">
        <v>5.0999999999999997E-2</v>
      </c>
      <c r="N5" s="192">
        <v>3.0300000000000001E-2</v>
      </c>
      <c r="O5" s="192">
        <v>7.6600000000000001E-2</v>
      </c>
    </row>
    <row r="6" spans="1:15" ht="24" customHeight="1">
      <c r="B6" s="321"/>
      <c r="C6" s="147" t="s">
        <v>225</v>
      </c>
      <c r="D6" s="3"/>
      <c r="E6" s="144"/>
      <c r="F6" s="145">
        <f t="shared" si="0"/>
        <v>2.7903349349655628</v>
      </c>
      <c r="G6" s="193">
        <v>1.5075989601076605E-2</v>
      </c>
      <c r="H6" s="196">
        <v>9.0513005545788342E-3</v>
      </c>
      <c r="I6" s="146"/>
      <c r="L6" s="143">
        <v>3.4000000000000002E-2</v>
      </c>
      <c r="M6" s="159">
        <v>4.6300000000000001E-2</v>
      </c>
      <c r="N6" s="192">
        <v>6.1000000000000004E-3</v>
      </c>
      <c r="O6" s="192">
        <v>9.0513005545788342E-3</v>
      </c>
    </row>
    <row r="7" spans="1:15" ht="24" customHeight="1">
      <c r="B7" s="319" t="s">
        <v>226</v>
      </c>
      <c r="C7" s="320"/>
      <c r="D7" s="148"/>
      <c r="E7" s="149"/>
      <c r="F7" s="145">
        <f>$J$3*H7</f>
        <v>42.401772751225792</v>
      </c>
      <c r="G7" s="195">
        <f>SUM(G4:G6)</f>
        <v>0.11629597597353196</v>
      </c>
      <c r="H7" s="196">
        <f>H4+H5+H6</f>
        <v>0.13754305420794666</v>
      </c>
      <c r="I7" s="150"/>
      <c r="M7" s="159"/>
      <c r="N7" s="66"/>
      <c r="O7" s="192"/>
    </row>
    <row r="8" spans="1:15" ht="24" customHeight="1">
      <c r="B8" s="321" t="s">
        <v>50</v>
      </c>
      <c r="C8" s="321"/>
      <c r="D8" s="3"/>
      <c r="E8" s="144"/>
      <c r="F8" s="145">
        <f>$J$3*H8</f>
        <v>10.697315999999999</v>
      </c>
      <c r="G8" s="160">
        <v>1.89E-2</v>
      </c>
      <c r="H8" s="196">
        <v>3.4700000000000002E-2</v>
      </c>
      <c r="I8" s="146"/>
      <c r="L8" s="143">
        <v>1.67E-2</v>
      </c>
      <c r="M8" s="160">
        <v>1.89E-2</v>
      </c>
      <c r="N8" s="192">
        <v>4.2900000000000001E-2</v>
      </c>
      <c r="O8" s="192">
        <v>3.4700000000000002E-2</v>
      </c>
    </row>
    <row r="9" spans="1:15" ht="24" customHeight="1">
      <c r="B9" s="322" t="s">
        <v>227</v>
      </c>
      <c r="C9" s="147" t="s">
        <v>224</v>
      </c>
      <c r="D9" s="3"/>
      <c r="E9" s="144"/>
      <c r="F9" s="145">
        <f t="shared" ref="F9:F11" si="1">$J$3*H9</f>
        <v>1.0481519999999998</v>
      </c>
      <c r="G9" s="194">
        <v>7.0000000000000001E-3</v>
      </c>
      <c r="H9" s="196">
        <v>3.3999999999999998E-3</v>
      </c>
      <c r="I9" s="146"/>
      <c r="L9" s="143">
        <v>3.7400000000000003E-2</v>
      </c>
      <c r="M9" s="143">
        <v>9.4999999999999998E-3</v>
      </c>
      <c r="N9" s="192">
        <v>5.1000000000000004E-3</v>
      </c>
      <c r="O9" s="192">
        <v>3.3999999999999998E-3</v>
      </c>
    </row>
    <row r="10" spans="1:15" ht="24" customHeight="1">
      <c r="B10" s="323"/>
      <c r="C10" s="147" t="s">
        <v>225</v>
      </c>
      <c r="D10" s="3"/>
      <c r="E10" s="144"/>
      <c r="F10" s="145">
        <f t="shared" si="1"/>
        <v>3.3910799999999997</v>
      </c>
      <c r="G10" s="143">
        <f>2.8%+1.2%</f>
        <v>3.9999999999999994E-2</v>
      </c>
      <c r="H10" s="196">
        <v>1.0999999999999999E-2</v>
      </c>
      <c r="I10" s="146"/>
      <c r="L10" s="143">
        <v>5.8999999999999997E-2</v>
      </c>
      <c r="M10" s="143">
        <v>4.1300000000000003E-2</v>
      </c>
      <c r="N10" s="192">
        <v>1.49E-2</v>
      </c>
      <c r="O10" s="192">
        <v>1.0999999999999999E-2</v>
      </c>
    </row>
    <row r="11" spans="1:15" ht="24" customHeight="1">
      <c r="B11" s="321" t="s">
        <v>53</v>
      </c>
      <c r="C11" s="321"/>
      <c r="D11" s="3"/>
      <c r="E11" s="144"/>
      <c r="F11" s="238">
        <f t="shared" si="1"/>
        <v>12.331199999999999</v>
      </c>
      <c r="G11" s="194">
        <v>0.04</v>
      </c>
      <c r="H11" s="196">
        <v>0.04</v>
      </c>
      <c r="I11" s="146"/>
      <c r="L11" s="143">
        <v>3.44E-2</v>
      </c>
      <c r="M11" s="143">
        <v>4.7199999999999999E-2</v>
      </c>
      <c r="N11" s="66">
        <v>0</v>
      </c>
      <c r="O11" s="192">
        <v>0</v>
      </c>
    </row>
    <row r="15" spans="1:15">
      <c r="B15" s="140"/>
      <c r="C15" s="140"/>
      <c r="D15" s="140"/>
      <c r="E15" s="140"/>
      <c r="F15" s="140"/>
      <c r="G15" s="140"/>
      <c r="H15" s="324" t="s">
        <v>219</v>
      </c>
      <c r="I15" s="324"/>
      <c r="J15" s="141"/>
      <c r="K15" s="141"/>
      <c r="L15" s="141"/>
    </row>
    <row r="16" spans="1:15">
      <c r="A16" s="327" t="s">
        <v>278</v>
      </c>
      <c r="B16" s="325" t="s">
        <v>220</v>
      </c>
      <c r="C16" s="325"/>
      <c r="D16" s="319" t="s">
        <v>221</v>
      </c>
      <c r="E16" s="326"/>
      <c r="F16" s="326"/>
      <c r="G16" s="326"/>
      <c r="H16" s="326"/>
      <c r="I16" s="320"/>
      <c r="J16" s="142" t="s">
        <v>228</v>
      </c>
      <c r="K16" s="142"/>
      <c r="L16" s="142"/>
    </row>
    <row r="17" spans="1:12" ht="27">
      <c r="A17" s="328"/>
      <c r="B17" s="325"/>
      <c r="C17" s="325"/>
      <c r="D17" s="151" t="s">
        <v>230</v>
      </c>
      <c r="E17" s="151" t="s">
        <v>231</v>
      </c>
      <c r="F17" s="151" t="s">
        <v>229</v>
      </c>
      <c r="G17" s="152" t="s">
        <v>234</v>
      </c>
      <c r="H17" s="152" t="s">
        <v>233</v>
      </c>
      <c r="I17" s="152" t="s">
        <v>232</v>
      </c>
      <c r="J17" s="156">
        <f>销量!D8</f>
        <v>381.28</v>
      </c>
      <c r="K17" s="156"/>
      <c r="L17" s="156"/>
    </row>
    <row r="18" spans="1:12">
      <c r="B18" s="321" t="s">
        <v>222</v>
      </c>
      <c r="C18" s="321"/>
      <c r="D18" s="3"/>
      <c r="E18" s="144"/>
      <c r="F18" s="145">
        <f>$J$17*H18</f>
        <v>19.78528783295608</v>
      </c>
      <c r="G18" s="185">
        <v>5.6219986372455351E-2</v>
      </c>
      <c r="H18" s="196">
        <v>5.1891753653367817E-2</v>
      </c>
      <c r="I18" s="146">
        <v>4.48E-2</v>
      </c>
    </row>
    <row r="19" spans="1:12">
      <c r="B19" s="321" t="s">
        <v>223</v>
      </c>
      <c r="C19" s="169" t="s">
        <v>224</v>
      </c>
      <c r="D19" s="3"/>
      <c r="E19" s="144"/>
      <c r="F19" s="145">
        <f>$J$17*H19</f>
        <v>29.206047999999999</v>
      </c>
      <c r="G19" s="146">
        <v>4.4999999999999998E-2</v>
      </c>
      <c r="H19" s="196">
        <v>7.6600000000000001E-2</v>
      </c>
      <c r="I19" s="146">
        <v>4.0399999999999998E-2</v>
      </c>
    </row>
    <row r="20" spans="1:12">
      <c r="B20" s="321"/>
      <c r="C20" s="169" t="s">
        <v>225</v>
      </c>
      <c r="D20" s="3"/>
      <c r="E20" s="144"/>
      <c r="F20" s="145">
        <f t="shared" ref="F20:F25" si="2">$J$17*H20</f>
        <v>3.4510798754498175</v>
      </c>
      <c r="G20" s="185">
        <v>1.5075989601076605E-2</v>
      </c>
      <c r="H20" s="196">
        <v>9.0513005545788342E-3</v>
      </c>
      <c r="I20" s="146">
        <v>1.66E-2</v>
      </c>
    </row>
    <row r="21" spans="1:12">
      <c r="B21" s="319" t="s">
        <v>226</v>
      </c>
      <c r="C21" s="320"/>
      <c r="D21" s="148"/>
      <c r="E21" s="149"/>
      <c r="F21" s="145">
        <f t="shared" si="2"/>
        <v>52.442415708405896</v>
      </c>
      <c r="G21" s="186">
        <f>SUM(G18:G20)</f>
        <v>0.11629597597353196</v>
      </c>
      <c r="H21" s="196">
        <f>H18+H19+H20</f>
        <v>0.13754305420794666</v>
      </c>
      <c r="I21" s="150">
        <f>SUM(I18:I20)</f>
        <v>0.1018</v>
      </c>
    </row>
    <row r="22" spans="1:12">
      <c r="B22" s="321" t="s">
        <v>50</v>
      </c>
      <c r="C22" s="321"/>
      <c r="D22" s="3"/>
      <c r="E22" s="144"/>
      <c r="F22" s="145">
        <f t="shared" si="2"/>
        <v>13.230416</v>
      </c>
      <c r="G22" s="187">
        <v>0.03</v>
      </c>
      <c r="H22" s="196">
        <v>3.4700000000000002E-2</v>
      </c>
      <c r="I22" s="146">
        <f>1.97%+0.75%</f>
        <v>2.7199999999999998E-2</v>
      </c>
    </row>
    <row r="23" spans="1:12">
      <c r="B23" s="322" t="s">
        <v>227</v>
      </c>
      <c r="C23" s="169" t="s">
        <v>224</v>
      </c>
      <c r="D23" s="3"/>
      <c r="E23" s="144"/>
      <c r="F23" s="145">
        <f t="shared" si="2"/>
        <v>1.2963519999999997</v>
      </c>
      <c r="G23" s="146">
        <v>7.0000000000000001E-3</v>
      </c>
      <c r="H23" s="196">
        <v>3.3999999999999998E-3</v>
      </c>
      <c r="I23" s="146">
        <v>5.3E-3</v>
      </c>
    </row>
    <row r="24" spans="1:12">
      <c r="B24" s="323"/>
      <c r="C24" s="169" t="s">
        <v>225</v>
      </c>
      <c r="D24" s="3"/>
      <c r="E24" s="144"/>
      <c r="F24" s="145">
        <f t="shared" si="2"/>
        <v>4.1940799999999996</v>
      </c>
      <c r="G24" s="143">
        <f>2.8%+1.2%</f>
        <v>3.9999999999999994E-2</v>
      </c>
      <c r="H24" s="196">
        <v>1.0999999999999999E-2</v>
      </c>
      <c r="I24" s="146">
        <v>3.4099999999999998E-2</v>
      </c>
    </row>
    <row r="25" spans="1:12">
      <c r="B25" s="321" t="s">
        <v>53</v>
      </c>
      <c r="C25" s="321"/>
      <c r="D25" s="3"/>
      <c r="E25" s="144"/>
      <c r="F25" s="145">
        <f t="shared" si="2"/>
        <v>15.251199999999999</v>
      </c>
      <c r="G25" s="146">
        <v>0.04</v>
      </c>
      <c r="H25" s="196">
        <v>0.04</v>
      </c>
      <c r="I25" s="146">
        <v>1.0999999999999999E-2</v>
      </c>
    </row>
    <row r="29" spans="1:12">
      <c r="B29" s="140"/>
      <c r="C29" s="140"/>
      <c r="D29" s="140"/>
      <c r="E29" s="140"/>
      <c r="F29" s="140"/>
      <c r="G29" s="140"/>
      <c r="H29" s="324" t="s">
        <v>219</v>
      </c>
      <c r="I29" s="324"/>
      <c r="J29" s="141"/>
      <c r="K29" s="141"/>
      <c r="L29" s="141"/>
    </row>
    <row r="30" spans="1:12">
      <c r="A30" s="327" t="s">
        <v>279</v>
      </c>
      <c r="B30" s="325" t="s">
        <v>220</v>
      </c>
      <c r="C30" s="325"/>
      <c r="D30" s="319" t="s">
        <v>221</v>
      </c>
      <c r="E30" s="326"/>
      <c r="F30" s="326"/>
      <c r="G30" s="326"/>
      <c r="H30" s="326"/>
      <c r="I30" s="320"/>
      <c r="J30" s="142" t="s">
        <v>228</v>
      </c>
      <c r="K30" s="142"/>
      <c r="L30" s="142"/>
    </row>
    <row r="31" spans="1:12" ht="27">
      <c r="A31" s="328"/>
      <c r="B31" s="325"/>
      <c r="C31" s="325"/>
      <c r="D31" s="151" t="s">
        <v>230</v>
      </c>
      <c r="E31" s="151" t="s">
        <v>231</v>
      </c>
      <c r="F31" s="151" t="s">
        <v>229</v>
      </c>
      <c r="G31" s="152" t="s">
        <v>234</v>
      </c>
      <c r="H31" s="152" t="s">
        <v>233</v>
      </c>
      <c r="I31" s="152" t="s">
        <v>232</v>
      </c>
      <c r="J31" s="156">
        <f>销量!E8</f>
        <v>381.28</v>
      </c>
      <c r="K31" s="156"/>
      <c r="L31" s="156"/>
    </row>
    <row r="32" spans="1:12">
      <c r="B32" s="321" t="s">
        <v>222</v>
      </c>
      <c r="C32" s="321"/>
      <c r="D32" s="3"/>
      <c r="E32" s="144"/>
      <c r="F32" s="145">
        <f>$J$31*H32</f>
        <v>19.78528783295608</v>
      </c>
      <c r="G32" s="185">
        <v>5.6219986372455351E-2</v>
      </c>
      <c r="H32" s="196">
        <v>5.1891753653367817E-2</v>
      </c>
      <c r="I32" s="146">
        <v>4.48E-2</v>
      </c>
    </row>
    <row r="33" spans="1:12">
      <c r="B33" s="321" t="s">
        <v>223</v>
      </c>
      <c r="C33" s="169" t="s">
        <v>224</v>
      </c>
      <c r="D33" s="3"/>
      <c r="E33" s="144"/>
      <c r="F33" s="145">
        <f>$J$31*H33</f>
        <v>29.206047999999999</v>
      </c>
      <c r="G33" s="146">
        <v>4.4999999999999998E-2</v>
      </c>
      <c r="H33" s="196">
        <v>7.6600000000000001E-2</v>
      </c>
      <c r="I33" s="146">
        <v>4.0399999999999998E-2</v>
      </c>
    </row>
    <row r="34" spans="1:12">
      <c r="B34" s="321"/>
      <c r="C34" s="169" t="s">
        <v>225</v>
      </c>
      <c r="D34" s="3"/>
      <c r="E34" s="144"/>
      <c r="F34" s="145">
        <f t="shared" ref="F34:F39" si="3">$J$31*H34</f>
        <v>3.4510798754498175</v>
      </c>
      <c r="G34" s="185">
        <v>1.5075989601076605E-2</v>
      </c>
      <c r="H34" s="196">
        <v>9.0513005545788342E-3</v>
      </c>
      <c r="I34" s="146">
        <v>1.66E-2</v>
      </c>
    </row>
    <row r="35" spans="1:12">
      <c r="B35" s="319" t="s">
        <v>226</v>
      </c>
      <c r="C35" s="320"/>
      <c r="D35" s="148"/>
      <c r="E35" s="149"/>
      <c r="F35" s="145">
        <f t="shared" si="3"/>
        <v>52.442415708405896</v>
      </c>
      <c r="G35" s="186">
        <f>SUM(G32:G34)</f>
        <v>0.11629597597353196</v>
      </c>
      <c r="H35" s="196">
        <f>H32+H33+H34</f>
        <v>0.13754305420794666</v>
      </c>
      <c r="I35" s="150">
        <f>SUM(I32:I34)</f>
        <v>0.1018</v>
      </c>
    </row>
    <row r="36" spans="1:12">
      <c r="B36" s="321" t="s">
        <v>50</v>
      </c>
      <c r="C36" s="321"/>
      <c r="D36" s="3"/>
      <c r="E36" s="144"/>
      <c r="F36" s="145">
        <f t="shared" si="3"/>
        <v>13.230416</v>
      </c>
      <c r="G36" s="187">
        <v>0.03</v>
      </c>
      <c r="H36" s="196">
        <v>3.4700000000000002E-2</v>
      </c>
      <c r="I36" s="146">
        <f>1.97%+0.75%</f>
        <v>2.7199999999999998E-2</v>
      </c>
    </row>
    <row r="37" spans="1:12">
      <c r="B37" s="322" t="s">
        <v>227</v>
      </c>
      <c r="C37" s="169" t="s">
        <v>224</v>
      </c>
      <c r="D37" s="3"/>
      <c r="E37" s="144"/>
      <c r="F37" s="145">
        <f t="shared" si="3"/>
        <v>1.2963519999999997</v>
      </c>
      <c r="G37" s="146">
        <v>7.0000000000000001E-3</v>
      </c>
      <c r="H37" s="196">
        <v>3.3999999999999998E-3</v>
      </c>
      <c r="I37" s="146">
        <v>5.3E-3</v>
      </c>
    </row>
    <row r="38" spans="1:12">
      <c r="B38" s="323"/>
      <c r="C38" s="169" t="s">
        <v>225</v>
      </c>
      <c r="D38" s="3"/>
      <c r="E38" s="144"/>
      <c r="F38" s="145">
        <f t="shared" si="3"/>
        <v>4.1940799999999996</v>
      </c>
      <c r="G38" s="143">
        <f>2.8%+1.2%</f>
        <v>3.9999999999999994E-2</v>
      </c>
      <c r="H38" s="196">
        <v>1.0999999999999999E-2</v>
      </c>
      <c r="I38" s="146">
        <v>3.4099999999999998E-2</v>
      </c>
    </row>
    <row r="39" spans="1:12">
      <c r="B39" s="321" t="s">
        <v>53</v>
      </c>
      <c r="C39" s="321"/>
      <c r="D39" s="3"/>
      <c r="E39" s="144"/>
      <c r="F39" s="145">
        <f t="shared" si="3"/>
        <v>15.251199999999999</v>
      </c>
      <c r="G39" s="146">
        <v>0.04</v>
      </c>
      <c r="H39" s="196">
        <v>0.04</v>
      </c>
      <c r="I39" s="146">
        <v>1.0999999999999999E-2</v>
      </c>
    </row>
    <row r="42" spans="1:12">
      <c r="B42" s="140"/>
      <c r="C42" s="140"/>
      <c r="D42" s="140"/>
      <c r="E42" s="140"/>
      <c r="F42" s="140"/>
      <c r="G42" s="140"/>
      <c r="H42" s="324" t="s">
        <v>219</v>
      </c>
      <c r="I42" s="324"/>
      <c r="J42" s="141"/>
      <c r="K42" s="141"/>
      <c r="L42" s="141"/>
    </row>
    <row r="43" spans="1:12">
      <c r="A43" s="327" t="s">
        <v>280</v>
      </c>
      <c r="B43" s="325" t="s">
        <v>220</v>
      </c>
      <c r="C43" s="325"/>
      <c r="D43" s="319" t="s">
        <v>221</v>
      </c>
      <c r="E43" s="326"/>
      <c r="F43" s="326"/>
      <c r="G43" s="326"/>
      <c r="H43" s="326"/>
      <c r="I43" s="320"/>
      <c r="J43" s="142" t="s">
        <v>228</v>
      </c>
      <c r="K43" s="142"/>
      <c r="L43" s="142"/>
    </row>
    <row r="44" spans="1:12" ht="27">
      <c r="A44" s="328"/>
      <c r="B44" s="325"/>
      <c r="C44" s="325"/>
      <c r="D44" s="151" t="s">
        <v>230</v>
      </c>
      <c r="E44" s="151" t="s">
        <v>231</v>
      </c>
      <c r="F44" s="151" t="s">
        <v>229</v>
      </c>
      <c r="G44" s="152" t="s">
        <v>234</v>
      </c>
      <c r="H44" s="152" t="s">
        <v>233</v>
      </c>
      <c r="I44" s="152" t="s">
        <v>232</v>
      </c>
      <c r="J44" s="156">
        <f>销量!F8</f>
        <v>283.27999999999997</v>
      </c>
      <c r="K44" s="156"/>
      <c r="L44" s="156"/>
    </row>
    <row r="45" spans="1:12">
      <c r="B45" s="321" t="s">
        <v>222</v>
      </c>
      <c r="C45" s="321"/>
      <c r="D45" s="3"/>
      <c r="E45" s="144"/>
      <c r="F45" s="145">
        <f>$J$44*H45</f>
        <v>14.699895974926033</v>
      </c>
      <c r="G45" s="185">
        <v>5.6219986372455351E-2</v>
      </c>
      <c r="H45" s="196">
        <v>5.1891753653367817E-2</v>
      </c>
      <c r="I45" s="146">
        <v>4.48E-2</v>
      </c>
    </row>
    <row r="46" spans="1:12">
      <c r="B46" s="321" t="s">
        <v>223</v>
      </c>
      <c r="C46" s="169" t="s">
        <v>224</v>
      </c>
      <c r="D46" s="3"/>
      <c r="E46" s="144"/>
      <c r="F46" s="145">
        <f>$J$44*H46</f>
        <v>21.699247999999997</v>
      </c>
      <c r="G46" s="146">
        <v>4.4999999999999998E-2</v>
      </c>
      <c r="H46" s="196">
        <v>7.6600000000000001E-2</v>
      </c>
      <c r="I46" s="146">
        <v>4.0399999999999998E-2</v>
      </c>
    </row>
    <row r="47" spans="1:12">
      <c r="B47" s="321"/>
      <c r="C47" s="169" t="s">
        <v>225</v>
      </c>
      <c r="D47" s="3"/>
      <c r="E47" s="144"/>
      <c r="F47" s="145">
        <f t="shared" ref="F47:F52" si="4">$J$44*H47</f>
        <v>2.564052421101092</v>
      </c>
      <c r="G47" s="185">
        <v>1.5075989601076605E-2</v>
      </c>
      <c r="H47" s="196">
        <v>9.0513005545788342E-3</v>
      </c>
      <c r="I47" s="146">
        <v>1.66E-2</v>
      </c>
    </row>
    <row r="48" spans="1:12">
      <c r="B48" s="319" t="s">
        <v>226</v>
      </c>
      <c r="C48" s="320"/>
      <c r="D48" s="148"/>
      <c r="E48" s="149"/>
      <c r="F48" s="145">
        <f t="shared" si="4"/>
        <v>38.963196396027122</v>
      </c>
      <c r="G48" s="186">
        <f>SUM(G45:G47)</f>
        <v>0.11629597597353196</v>
      </c>
      <c r="H48" s="196">
        <f>H45+H46+H47</f>
        <v>0.13754305420794666</v>
      </c>
      <c r="I48" s="150">
        <f>SUM(I45:I47)</f>
        <v>0.1018</v>
      </c>
    </row>
    <row r="49" spans="1:12">
      <c r="B49" s="321" t="s">
        <v>50</v>
      </c>
      <c r="C49" s="321"/>
      <c r="D49" s="3"/>
      <c r="E49" s="144"/>
      <c r="F49" s="145">
        <f t="shared" si="4"/>
        <v>9.8298159999999992</v>
      </c>
      <c r="G49" s="187">
        <v>0.03</v>
      </c>
      <c r="H49" s="196">
        <v>3.4700000000000002E-2</v>
      </c>
      <c r="I49" s="146">
        <f>1.97%+0.75%</f>
        <v>2.7199999999999998E-2</v>
      </c>
    </row>
    <row r="50" spans="1:12">
      <c r="B50" s="322" t="s">
        <v>227</v>
      </c>
      <c r="C50" s="169" t="s">
        <v>224</v>
      </c>
      <c r="D50" s="3"/>
      <c r="E50" s="144"/>
      <c r="F50" s="145">
        <f t="shared" si="4"/>
        <v>0.9631519999999999</v>
      </c>
      <c r="G50" s="146">
        <v>7.0000000000000001E-3</v>
      </c>
      <c r="H50" s="196">
        <v>3.3999999999999998E-3</v>
      </c>
      <c r="I50" s="146">
        <v>5.3E-3</v>
      </c>
    </row>
    <row r="51" spans="1:12">
      <c r="B51" s="323"/>
      <c r="C51" s="169" t="s">
        <v>225</v>
      </c>
      <c r="D51" s="3"/>
      <c r="E51" s="144"/>
      <c r="F51" s="145">
        <f t="shared" si="4"/>
        <v>3.1160799999999997</v>
      </c>
      <c r="G51" s="143">
        <f>2.8%+1.2%</f>
        <v>3.9999999999999994E-2</v>
      </c>
      <c r="H51" s="196">
        <v>1.0999999999999999E-2</v>
      </c>
      <c r="I51" s="146">
        <v>3.4099999999999998E-2</v>
      </c>
    </row>
    <row r="52" spans="1:12">
      <c r="B52" s="321" t="s">
        <v>53</v>
      </c>
      <c r="C52" s="321"/>
      <c r="D52" s="3"/>
      <c r="E52" s="144"/>
      <c r="F52" s="145">
        <f t="shared" si="4"/>
        <v>11.331199999999999</v>
      </c>
      <c r="G52" s="146">
        <v>0.04</v>
      </c>
      <c r="H52" s="196">
        <v>0.04</v>
      </c>
      <c r="I52" s="146">
        <v>1.0999999999999999E-2</v>
      </c>
    </row>
    <row r="55" spans="1:12">
      <c r="B55" s="140"/>
      <c r="C55" s="140"/>
      <c r="D55" s="140"/>
      <c r="E55" s="140"/>
      <c r="F55" s="140"/>
      <c r="G55" s="140"/>
      <c r="H55" s="324" t="s">
        <v>219</v>
      </c>
      <c r="I55" s="324"/>
      <c r="J55" s="141"/>
      <c r="K55" s="141"/>
      <c r="L55" s="141"/>
    </row>
    <row r="56" spans="1:12">
      <c r="A56" s="327" t="s">
        <v>281</v>
      </c>
      <c r="B56" s="325" t="s">
        <v>220</v>
      </c>
      <c r="C56" s="325"/>
      <c r="D56" s="319" t="s">
        <v>221</v>
      </c>
      <c r="E56" s="326"/>
      <c r="F56" s="326"/>
      <c r="G56" s="326"/>
      <c r="H56" s="326"/>
      <c r="I56" s="320"/>
      <c r="J56" s="142" t="s">
        <v>228</v>
      </c>
      <c r="K56" s="142"/>
      <c r="L56" s="142"/>
    </row>
    <row r="57" spans="1:12" ht="27">
      <c r="A57" s="328"/>
      <c r="B57" s="325"/>
      <c r="C57" s="325"/>
      <c r="D57" s="151" t="s">
        <v>230</v>
      </c>
      <c r="E57" s="151" t="s">
        <v>231</v>
      </c>
      <c r="F57" s="151" t="s">
        <v>229</v>
      </c>
      <c r="G57" s="152" t="s">
        <v>234</v>
      </c>
      <c r="H57" s="152" t="s">
        <v>233</v>
      </c>
      <c r="I57" s="152" t="s">
        <v>232</v>
      </c>
      <c r="J57" s="156">
        <f>销量!G8</f>
        <v>283.27999999999997</v>
      </c>
      <c r="K57" s="156"/>
      <c r="L57" s="156"/>
    </row>
    <row r="58" spans="1:12">
      <c r="B58" s="321" t="s">
        <v>222</v>
      </c>
      <c r="C58" s="321"/>
      <c r="D58" s="3"/>
      <c r="E58" s="144"/>
      <c r="F58" s="145">
        <f>$J$57*H58</f>
        <v>14.699895974926033</v>
      </c>
      <c r="G58" s="185">
        <v>5.6219986372455351E-2</v>
      </c>
      <c r="H58" s="196">
        <v>5.1891753653367817E-2</v>
      </c>
      <c r="I58" s="146">
        <v>4.48E-2</v>
      </c>
    </row>
    <row r="59" spans="1:12">
      <c r="B59" s="321" t="s">
        <v>223</v>
      </c>
      <c r="C59" s="169" t="s">
        <v>224</v>
      </c>
      <c r="D59" s="3"/>
      <c r="E59" s="144"/>
      <c r="F59" s="145">
        <f>$J$57*H59</f>
        <v>21.699247999999997</v>
      </c>
      <c r="G59" s="146">
        <v>4.4999999999999998E-2</v>
      </c>
      <c r="H59" s="196">
        <v>7.6600000000000001E-2</v>
      </c>
      <c r="I59" s="146">
        <v>4.0399999999999998E-2</v>
      </c>
    </row>
    <row r="60" spans="1:12">
      <c r="B60" s="321"/>
      <c r="C60" s="169" t="s">
        <v>225</v>
      </c>
      <c r="D60" s="3"/>
      <c r="E60" s="144"/>
      <c r="F60" s="145">
        <f t="shared" ref="F60:F65" si="5">$J$57*H60</f>
        <v>2.564052421101092</v>
      </c>
      <c r="G60" s="185">
        <v>1.5075989601076605E-2</v>
      </c>
      <c r="H60" s="196">
        <v>9.0513005545788342E-3</v>
      </c>
      <c r="I60" s="146">
        <v>1.66E-2</v>
      </c>
    </row>
    <row r="61" spans="1:12">
      <c r="B61" s="319" t="s">
        <v>226</v>
      </c>
      <c r="C61" s="320"/>
      <c r="D61" s="148"/>
      <c r="E61" s="149"/>
      <c r="F61" s="145">
        <f t="shared" si="5"/>
        <v>38.963196396027122</v>
      </c>
      <c r="G61" s="186">
        <f>SUM(G58:G60)</f>
        <v>0.11629597597353196</v>
      </c>
      <c r="H61" s="196">
        <f>H58+H59+H60</f>
        <v>0.13754305420794666</v>
      </c>
      <c r="I61" s="150">
        <f>SUM(I58:I60)</f>
        <v>0.1018</v>
      </c>
    </row>
    <row r="62" spans="1:12">
      <c r="B62" s="321" t="s">
        <v>50</v>
      </c>
      <c r="C62" s="321"/>
      <c r="D62" s="3"/>
      <c r="E62" s="144"/>
      <c r="F62" s="145">
        <f t="shared" si="5"/>
        <v>9.8298159999999992</v>
      </c>
      <c r="G62" s="187">
        <v>0.03</v>
      </c>
      <c r="H62" s="196">
        <v>3.4700000000000002E-2</v>
      </c>
      <c r="I62" s="146">
        <f>1.97%+0.75%</f>
        <v>2.7199999999999998E-2</v>
      </c>
    </row>
    <row r="63" spans="1:12">
      <c r="B63" s="322" t="s">
        <v>227</v>
      </c>
      <c r="C63" s="169" t="s">
        <v>224</v>
      </c>
      <c r="D63" s="3"/>
      <c r="E63" s="144"/>
      <c r="F63" s="145">
        <f t="shared" si="5"/>
        <v>0.9631519999999999</v>
      </c>
      <c r="G63" s="146">
        <v>7.0000000000000001E-3</v>
      </c>
      <c r="H63" s="196">
        <v>3.3999999999999998E-3</v>
      </c>
      <c r="I63" s="146">
        <v>5.3E-3</v>
      </c>
    </row>
    <row r="64" spans="1:12">
      <c r="B64" s="323"/>
      <c r="C64" s="169" t="s">
        <v>225</v>
      </c>
      <c r="D64" s="3"/>
      <c r="E64" s="144"/>
      <c r="F64" s="145">
        <f t="shared" si="5"/>
        <v>3.1160799999999997</v>
      </c>
      <c r="G64" s="143">
        <f>2.8%+1.2%</f>
        <v>3.9999999999999994E-2</v>
      </c>
      <c r="H64" s="196">
        <v>1.0999999999999999E-2</v>
      </c>
      <c r="I64" s="146">
        <v>3.4099999999999998E-2</v>
      </c>
    </row>
    <row r="65" spans="1:12">
      <c r="B65" s="321" t="s">
        <v>53</v>
      </c>
      <c r="C65" s="321"/>
      <c r="D65" s="3"/>
      <c r="E65" s="144"/>
      <c r="F65" s="145">
        <f t="shared" si="5"/>
        <v>11.331199999999999</v>
      </c>
      <c r="G65" s="146">
        <v>0.04</v>
      </c>
      <c r="H65" s="196">
        <v>0.04</v>
      </c>
      <c r="I65" s="146">
        <v>1.0999999999999999E-2</v>
      </c>
    </row>
    <row r="68" spans="1:12">
      <c r="B68" s="140"/>
      <c r="C68" s="140"/>
      <c r="D68" s="140"/>
      <c r="E68" s="140"/>
      <c r="F68" s="140"/>
      <c r="G68" s="140"/>
      <c r="H68" s="324" t="s">
        <v>219</v>
      </c>
      <c r="I68" s="324"/>
      <c r="J68" s="141"/>
      <c r="K68" s="141"/>
      <c r="L68" s="141"/>
    </row>
    <row r="69" spans="1:12">
      <c r="A69" s="327" t="s">
        <v>282</v>
      </c>
      <c r="B69" s="325" t="s">
        <v>220</v>
      </c>
      <c r="C69" s="325"/>
      <c r="D69" s="319" t="s">
        <v>221</v>
      </c>
      <c r="E69" s="326"/>
      <c r="F69" s="326"/>
      <c r="G69" s="326"/>
      <c r="H69" s="326"/>
      <c r="I69" s="320"/>
      <c r="J69" s="142" t="s">
        <v>228</v>
      </c>
      <c r="K69" s="142"/>
      <c r="L69" s="142"/>
    </row>
    <row r="70" spans="1:12" ht="27">
      <c r="A70" s="328"/>
      <c r="B70" s="325"/>
      <c r="C70" s="325"/>
      <c r="D70" s="151" t="s">
        <v>230</v>
      </c>
      <c r="E70" s="151" t="s">
        <v>231</v>
      </c>
      <c r="F70" s="151" t="s">
        <v>229</v>
      </c>
      <c r="G70" s="152" t="s">
        <v>234</v>
      </c>
      <c r="H70" s="152" t="s">
        <v>233</v>
      </c>
      <c r="I70" s="152" t="s">
        <v>232</v>
      </c>
      <c r="J70" s="156">
        <f>销量!H8</f>
        <v>381.28</v>
      </c>
      <c r="K70" s="156"/>
      <c r="L70" s="156"/>
    </row>
    <row r="71" spans="1:12">
      <c r="B71" s="321" t="s">
        <v>222</v>
      </c>
      <c r="C71" s="321"/>
      <c r="D71" s="3"/>
      <c r="E71" s="144"/>
      <c r="F71" s="145">
        <f>$J$70*H71</f>
        <v>19.78528783295608</v>
      </c>
      <c r="G71" s="185"/>
      <c r="H71" s="196">
        <v>5.1891753653367817E-2</v>
      </c>
      <c r="I71" s="146"/>
    </row>
    <row r="72" spans="1:12">
      <c r="B72" s="321" t="s">
        <v>223</v>
      </c>
      <c r="C72" s="169" t="s">
        <v>224</v>
      </c>
      <c r="D72" s="3"/>
      <c r="E72" s="144"/>
      <c r="F72" s="145">
        <f>$J$70*H72</f>
        <v>29.206047999999999</v>
      </c>
      <c r="G72" s="146"/>
      <c r="H72" s="196">
        <v>7.6600000000000001E-2</v>
      </c>
      <c r="I72" s="146"/>
    </row>
    <row r="73" spans="1:12">
      <c r="B73" s="321"/>
      <c r="C73" s="169" t="s">
        <v>225</v>
      </c>
      <c r="D73" s="3"/>
      <c r="E73" s="144"/>
      <c r="F73" s="145">
        <f t="shared" ref="F73:F78" si="6">$J$70*H73</f>
        <v>3.4510798754498175</v>
      </c>
      <c r="G73" s="185"/>
      <c r="H73" s="196">
        <v>9.0513005545788342E-3</v>
      </c>
      <c r="I73" s="146"/>
    </row>
    <row r="74" spans="1:12">
      <c r="B74" s="319" t="s">
        <v>226</v>
      </c>
      <c r="C74" s="320"/>
      <c r="D74" s="148"/>
      <c r="E74" s="149"/>
      <c r="F74" s="145">
        <f t="shared" si="6"/>
        <v>52.442415708405896</v>
      </c>
      <c r="G74" s="186"/>
      <c r="H74" s="196">
        <f>H71+H72+H73</f>
        <v>0.13754305420794666</v>
      </c>
      <c r="I74" s="150"/>
    </row>
    <row r="75" spans="1:12">
      <c r="B75" s="321" t="s">
        <v>50</v>
      </c>
      <c r="C75" s="321"/>
      <c r="D75" s="3"/>
      <c r="E75" s="144"/>
      <c r="F75" s="145">
        <f t="shared" si="6"/>
        <v>13.230416</v>
      </c>
      <c r="G75" s="187"/>
      <c r="H75" s="196">
        <v>3.4700000000000002E-2</v>
      </c>
      <c r="I75" s="146"/>
    </row>
    <row r="76" spans="1:12">
      <c r="B76" s="322" t="s">
        <v>227</v>
      </c>
      <c r="C76" s="169" t="s">
        <v>224</v>
      </c>
      <c r="D76" s="3"/>
      <c r="E76" s="144"/>
      <c r="F76" s="145">
        <f t="shared" si="6"/>
        <v>1.2963519999999997</v>
      </c>
      <c r="G76" s="146"/>
      <c r="H76" s="196">
        <v>3.3999999999999998E-3</v>
      </c>
      <c r="I76" s="146"/>
    </row>
    <row r="77" spans="1:12">
      <c r="B77" s="323"/>
      <c r="C77" s="169" t="s">
        <v>225</v>
      </c>
      <c r="D77" s="3"/>
      <c r="E77" s="144"/>
      <c r="F77" s="145">
        <f t="shared" si="6"/>
        <v>4.1940799999999996</v>
      </c>
      <c r="G77" s="143"/>
      <c r="H77" s="196">
        <v>1.0999999999999999E-2</v>
      </c>
      <c r="I77" s="146"/>
    </row>
    <row r="78" spans="1:12">
      <c r="B78" s="321" t="s">
        <v>53</v>
      </c>
      <c r="C78" s="321"/>
      <c r="D78" s="3"/>
      <c r="E78" s="144"/>
      <c r="F78" s="145">
        <f t="shared" si="6"/>
        <v>15.251199999999999</v>
      </c>
      <c r="G78" s="146"/>
      <c r="H78" s="196">
        <v>0.04</v>
      </c>
      <c r="I78" s="146"/>
    </row>
    <row r="82" spans="1:12">
      <c r="B82" s="140"/>
      <c r="C82" s="140"/>
      <c r="D82" s="140"/>
      <c r="E82" s="140"/>
      <c r="F82" s="140"/>
      <c r="G82" s="140"/>
      <c r="H82" s="324" t="s">
        <v>219</v>
      </c>
      <c r="I82" s="324"/>
      <c r="J82" s="141"/>
      <c r="K82" s="141"/>
      <c r="L82" s="141"/>
    </row>
    <row r="83" spans="1:12">
      <c r="A83" s="327" t="s">
        <v>283</v>
      </c>
      <c r="B83" s="325" t="s">
        <v>220</v>
      </c>
      <c r="C83" s="325"/>
      <c r="D83" s="319" t="s">
        <v>221</v>
      </c>
      <c r="E83" s="326"/>
      <c r="F83" s="326"/>
      <c r="G83" s="326"/>
      <c r="H83" s="326"/>
      <c r="I83" s="320"/>
      <c r="J83" s="142" t="s">
        <v>228</v>
      </c>
      <c r="K83" s="142"/>
      <c r="L83" s="142"/>
    </row>
    <row r="84" spans="1:12" ht="27">
      <c r="A84" s="328"/>
      <c r="B84" s="325"/>
      <c r="C84" s="325"/>
      <c r="D84" s="151" t="s">
        <v>230</v>
      </c>
      <c r="E84" s="151" t="s">
        <v>231</v>
      </c>
      <c r="F84" s="151" t="s">
        <v>229</v>
      </c>
      <c r="G84" s="152" t="s">
        <v>234</v>
      </c>
      <c r="H84" s="152" t="s">
        <v>233</v>
      </c>
      <c r="I84" s="152" t="s">
        <v>232</v>
      </c>
      <c r="J84" s="156">
        <f>销量!I8</f>
        <v>382.78</v>
      </c>
      <c r="K84" s="156"/>
      <c r="L84" s="156"/>
    </row>
    <row r="85" spans="1:12">
      <c r="B85" s="321" t="s">
        <v>222</v>
      </c>
      <c r="C85" s="321"/>
      <c r="D85" s="3"/>
      <c r="E85" s="144"/>
      <c r="F85" s="145">
        <f>$J$84*H85</f>
        <v>19.863125463436131</v>
      </c>
      <c r="G85" s="185"/>
      <c r="H85" s="196">
        <v>5.1891753653367817E-2</v>
      </c>
      <c r="I85" s="146"/>
    </row>
    <row r="86" spans="1:12">
      <c r="B86" s="321" t="s">
        <v>223</v>
      </c>
      <c r="C86" s="214" t="s">
        <v>224</v>
      </c>
      <c r="D86" s="3"/>
      <c r="E86" s="144"/>
      <c r="F86" s="145">
        <f>$J$84*H86</f>
        <v>29.320947999999998</v>
      </c>
      <c r="G86" s="146"/>
      <c r="H86" s="196">
        <v>7.6600000000000001E-2</v>
      </c>
      <c r="I86" s="146"/>
    </row>
    <row r="87" spans="1:12">
      <c r="B87" s="321"/>
      <c r="C87" s="214" t="s">
        <v>225</v>
      </c>
      <c r="D87" s="3"/>
      <c r="E87" s="144"/>
      <c r="F87" s="145">
        <f t="shared" ref="F87:F92" si="7">$J$84*H87</f>
        <v>3.4646568262816859</v>
      </c>
      <c r="G87" s="185"/>
      <c r="H87" s="196">
        <v>9.0513005545788342E-3</v>
      </c>
      <c r="I87" s="146"/>
    </row>
    <row r="88" spans="1:12">
      <c r="B88" s="319" t="s">
        <v>226</v>
      </c>
      <c r="C88" s="320"/>
      <c r="D88" s="148"/>
      <c r="E88" s="149"/>
      <c r="F88" s="145">
        <f t="shared" si="7"/>
        <v>52.648730289717818</v>
      </c>
      <c r="G88" s="186"/>
      <c r="H88" s="196">
        <f>H85+H86+H87</f>
        <v>0.13754305420794666</v>
      </c>
      <c r="I88" s="150"/>
    </row>
    <row r="89" spans="1:12">
      <c r="B89" s="321" t="s">
        <v>50</v>
      </c>
      <c r="C89" s="321"/>
      <c r="D89" s="3"/>
      <c r="E89" s="144"/>
      <c r="F89" s="145">
        <f t="shared" si="7"/>
        <v>13.282465999999999</v>
      </c>
      <c r="G89" s="187"/>
      <c r="H89" s="196">
        <v>3.4700000000000002E-2</v>
      </c>
      <c r="I89" s="146"/>
    </row>
    <row r="90" spans="1:12">
      <c r="B90" s="322" t="s">
        <v>227</v>
      </c>
      <c r="C90" s="214" t="s">
        <v>224</v>
      </c>
      <c r="D90" s="3"/>
      <c r="E90" s="144"/>
      <c r="F90" s="145">
        <f t="shared" si="7"/>
        <v>1.3014519999999998</v>
      </c>
      <c r="G90" s="146"/>
      <c r="H90" s="196">
        <v>3.3999999999999998E-3</v>
      </c>
      <c r="I90" s="146"/>
    </row>
    <row r="91" spans="1:12">
      <c r="B91" s="323"/>
      <c r="C91" s="214" t="s">
        <v>225</v>
      </c>
      <c r="D91" s="3"/>
      <c r="E91" s="144"/>
      <c r="F91" s="145">
        <f t="shared" si="7"/>
        <v>4.2105799999999993</v>
      </c>
      <c r="G91" s="143"/>
      <c r="H91" s="196">
        <v>1.0999999999999999E-2</v>
      </c>
      <c r="I91" s="146"/>
    </row>
    <row r="92" spans="1:12">
      <c r="B92" s="321" t="s">
        <v>53</v>
      </c>
      <c r="C92" s="321"/>
      <c r="D92" s="3"/>
      <c r="E92" s="144"/>
      <c r="F92" s="145">
        <f t="shared" si="7"/>
        <v>15.311199999999999</v>
      </c>
      <c r="G92" s="146"/>
      <c r="H92" s="196">
        <v>0.04</v>
      </c>
      <c r="I92" s="146"/>
    </row>
  </sheetData>
  <mergeCells count="70">
    <mergeCell ref="A69:A70"/>
    <mergeCell ref="A83:A84"/>
    <mergeCell ref="A2:A3"/>
    <mergeCell ref="A16:A17"/>
    <mergeCell ref="A30:A31"/>
    <mergeCell ref="A43:A44"/>
    <mergeCell ref="A56:A57"/>
    <mergeCell ref="B74:C74"/>
    <mergeCell ref="B75:C75"/>
    <mergeCell ref="B76:B77"/>
    <mergeCell ref="B78:C78"/>
    <mergeCell ref="H68:I68"/>
    <mergeCell ref="B69:C70"/>
    <mergeCell ref="D69:I69"/>
    <mergeCell ref="B71:C71"/>
    <mergeCell ref="B72:B73"/>
    <mergeCell ref="B59:B60"/>
    <mergeCell ref="B61:C61"/>
    <mergeCell ref="B62:C62"/>
    <mergeCell ref="B63:B64"/>
    <mergeCell ref="B65:C65"/>
    <mergeCell ref="B52:C52"/>
    <mergeCell ref="H55:I55"/>
    <mergeCell ref="B56:C57"/>
    <mergeCell ref="D56:I56"/>
    <mergeCell ref="B58:C58"/>
    <mergeCell ref="B45:C45"/>
    <mergeCell ref="B46:B47"/>
    <mergeCell ref="B48:C48"/>
    <mergeCell ref="B49:C49"/>
    <mergeCell ref="B50:B51"/>
    <mergeCell ref="B36:C36"/>
    <mergeCell ref="B37:B38"/>
    <mergeCell ref="B39:C39"/>
    <mergeCell ref="H42:I42"/>
    <mergeCell ref="B43:C44"/>
    <mergeCell ref="D43:I43"/>
    <mergeCell ref="B30:C31"/>
    <mergeCell ref="D30:I30"/>
    <mergeCell ref="B32:C32"/>
    <mergeCell ref="B33:B34"/>
    <mergeCell ref="B35:C35"/>
    <mergeCell ref="B21:C21"/>
    <mergeCell ref="B22:C22"/>
    <mergeCell ref="B23:B24"/>
    <mergeCell ref="B25:C25"/>
    <mergeCell ref="H29:I29"/>
    <mergeCell ref="H15:I15"/>
    <mergeCell ref="B16:C17"/>
    <mergeCell ref="D16:I16"/>
    <mergeCell ref="B18:C18"/>
    <mergeCell ref="B19:B20"/>
    <mergeCell ref="H1:I1"/>
    <mergeCell ref="B4:C4"/>
    <mergeCell ref="B7:C7"/>
    <mergeCell ref="B8:C8"/>
    <mergeCell ref="B11:C11"/>
    <mergeCell ref="B5:B6"/>
    <mergeCell ref="B9:B10"/>
    <mergeCell ref="B2:C3"/>
    <mergeCell ref="D2:I2"/>
    <mergeCell ref="B88:C88"/>
    <mergeCell ref="B89:C89"/>
    <mergeCell ref="B90:B91"/>
    <mergeCell ref="B92:C92"/>
    <mergeCell ref="H82:I82"/>
    <mergeCell ref="B83:C84"/>
    <mergeCell ref="D83:I83"/>
    <mergeCell ref="B85:C85"/>
    <mergeCell ref="B86:B8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25" sqref="I25"/>
    </sheetView>
  </sheetViews>
  <sheetFormatPr defaultRowHeight="13.5"/>
  <cols>
    <col min="2" max="2" width="31.875" customWidth="1"/>
    <col min="5" max="5" width="11.625" bestFit="1" customWidth="1"/>
    <col min="6" max="6" width="16.25" customWidth="1"/>
  </cols>
  <sheetData>
    <row r="1" spans="1:9">
      <c r="A1" s="239"/>
    </row>
    <row r="2" spans="1:9" ht="18.75">
      <c r="B2" s="329" t="s">
        <v>288</v>
      </c>
      <c r="C2" s="329"/>
      <c r="D2" s="329"/>
      <c r="E2" s="329"/>
      <c r="F2" s="329"/>
      <c r="G2" s="329"/>
      <c r="H2" s="329"/>
      <c r="I2" s="329"/>
    </row>
    <row r="3" spans="1:9">
      <c r="B3" s="240" t="s">
        <v>289</v>
      </c>
      <c r="C3" s="240" t="s">
        <v>290</v>
      </c>
      <c r="D3" s="241" t="s">
        <v>291</v>
      </c>
      <c r="E3" s="240" t="s">
        <v>292</v>
      </c>
      <c r="F3" s="242" t="s">
        <v>293</v>
      </c>
      <c r="G3" s="1" t="s">
        <v>294</v>
      </c>
      <c r="H3" s="243" t="s">
        <v>295</v>
      </c>
      <c r="I3" s="1" t="s">
        <v>296</v>
      </c>
    </row>
    <row r="4" spans="1:9">
      <c r="B4" s="240" t="str">
        <f>销量!C6</f>
        <v>北汽B41V-C系列-LV1</v>
      </c>
      <c r="C4" s="240">
        <f>销量!C5</f>
        <v>0</v>
      </c>
      <c r="D4" s="249"/>
      <c r="E4" s="240">
        <f>材料成本!D6</f>
        <v>236.37</v>
      </c>
      <c r="F4" s="242">
        <f>销量!C8</f>
        <v>308.27999999999997</v>
      </c>
      <c r="G4" s="28">
        <f t="shared" ref="G4:G9" si="0">F4-E4</f>
        <v>71.909999999999968</v>
      </c>
      <c r="H4" s="243">
        <f t="shared" ref="H4:H9" si="1">G4/F4</f>
        <v>0.23326196963799134</v>
      </c>
      <c r="I4" s="1"/>
    </row>
    <row r="5" spans="1:9">
      <c r="B5" s="240" t="str">
        <f>销量!D6</f>
        <v>B41V-C系列-LV2-LV3-P系列-LV3-左</v>
      </c>
      <c r="C5" s="240">
        <f>销量!D5</f>
        <v>0</v>
      </c>
      <c r="D5" s="249"/>
      <c r="E5" s="240">
        <f>材料成本!E6</f>
        <v>287.45999999999998</v>
      </c>
      <c r="F5" s="242">
        <f>销量!D8</f>
        <v>381.28</v>
      </c>
      <c r="G5" s="28">
        <f t="shared" si="0"/>
        <v>93.82</v>
      </c>
      <c r="H5" s="243">
        <f t="shared" si="1"/>
        <v>0.24606588334032731</v>
      </c>
      <c r="I5" s="1"/>
    </row>
    <row r="6" spans="1:9">
      <c r="B6" s="240" t="str">
        <f>销量!E6</f>
        <v>B41V-C系列-LV2-LV3-P系列-LV3-左</v>
      </c>
      <c r="C6" s="240">
        <f>销量!E5</f>
        <v>0</v>
      </c>
      <c r="D6" s="249"/>
      <c r="E6" s="240">
        <f>材料成本!F6</f>
        <v>287.45999999999998</v>
      </c>
      <c r="F6" s="242">
        <f>销量!E8</f>
        <v>381.28</v>
      </c>
      <c r="G6" s="28">
        <f t="shared" si="0"/>
        <v>93.82</v>
      </c>
      <c r="H6" s="243">
        <f t="shared" si="1"/>
        <v>0.24606588334032731</v>
      </c>
      <c r="I6" s="1"/>
    </row>
    <row r="7" spans="1:9">
      <c r="B7" s="240" t="str">
        <f>销量!F6</f>
        <v xml:space="preserve">B41V-P系列-LV1-LV2-左 </v>
      </c>
      <c r="C7" s="240">
        <f>销量!F5</f>
        <v>0</v>
      </c>
      <c r="D7" s="249"/>
      <c r="E7" s="240">
        <f>材料成本!G6</f>
        <v>206.11</v>
      </c>
      <c r="F7" s="242">
        <f>销量!F8</f>
        <v>283.27999999999997</v>
      </c>
      <c r="G7" s="28">
        <f t="shared" si="0"/>
        <v>77.169999999999959</v>
      </c>
      <c r="H7" s="243">
        <f t="shared" si="1"/>
        <v>0.27241598418525831</v>
      </c>
      <c r="I7" s="1"/>
    </row>
    <row r="8" spans="1:9" ht="16.5">
      <c r="B8" s="241" t="str">
        <f>销量!G6</f>
        <v xml:space="preserve">B41V-P系列-LV1-LV2-左 </v>
      </c>
      <c r="C8" s="240">
        <f>销量!G5</f>
        <v>0</v>
      </c>
      <c r="D8" s="250"/>
      <c r="E8" s="240">
        <f>材料成本!H6</f>
        <v>206.11</v>
      </c>
      <c r="F8" s="242">
        <f>销量!G8</f>
        <v>283.27999999999997</v>
      </c>
      <c r="G8" s="28">
        <f t="shared" si="0"/>
        <v>77.169999999999959</v>
      </c>
      <c r="H8" s="243">
        <f t="shared" si="1"/>
        <v>0.27241598418525831</v>
      </c>
      <c r="I8" s="1"/>
    </row>
    <row r="9" spans="1:9" ht="16.5">
      <c r="B9" s="246" t="str">
        <f>销量!H6</f>
        <v>B41V-C系列-LV2-LV3-P系列-LV3-左</v>
      </c>
      <c r="C9" s="240">
        <f>销量!H5</f>
        <v>0</v>
      </c>
      <c r="D9" s="251"/>
      <c r="E9" s="240">
        <f>材料成本!I6</f>
        <v>287.45999999999998</v>
      </c>
      <c r="F9" s="242">
        <f>销量!H8</f>
        <v>381.28</v>
      </c>
      <c r="G9" s="28">
        <f t="shared" si="0"/>
        <v>93.82</v>
      </c>
      <c r="H9" s="243">
        <f t="shared" si="1"/>
        <v>0.24606588334032731</v>
      </c>
      <c r="I9" s="242"/>
    </row>
    <row r="10" spans="1:9" ht="16.5">
      <c r="B10" s="246" t="str">
        <f>销量!I6</f>
        <v>B41V-混动-左</v>
      </c>
      <c r="C10" s="240">
        <f>销量!I5</f>
        <v>0</v>
      </c>
      <c r="D10" s="244"/>
      <c r="E10" s="252">
        <f>材料成本!J6</f>
        <v>288.02</v>
      </c>
      <c r="F10" s="242">
        <f>销量!I8</f>
        <v>382.78</v>
      </c>
      <c r="G10" s="28">
        <f>F10-E10</f>
        <v>94.759999999999991</v>
      </c>
      <c r="H10" s="243">
        <f>G10/F10</f>
        <v>0.24755734364386853</v>
      </c>
      <c r="I10" s="247"/>
    </row>
    <row r="11" spans="1:9" ht="16.5" customHeight="1">
      <c r="B11" s="330" t="s">
        <v>297</v>
      </c>
      <c r="C11" s="331"/>
      <c r="D11" s="332"/>
      <c r="E11" s="245">
        <f>SUM(E4:E10)</f>
        <v>1798.99</v>
      </c>
      <c r="F11" s="245">
        <f t="shared" ref="F11:G11" si="2">SUM(F4:F10)</f>
        <v>2401.46</v>
      </c>
      <c r="G11" s="245">
        <f t="shared" si="2"/>
        <v>602.4699999999998</v>
      </c>
      <c r="H11" s="243">
        <f>G11/F11</f>
        <v>0.25087655009868987</v>
      </c>
      <c r="I11" s="248"/>
    </row>
  </sheetData>
  <mergeCells count="2">
    <mergeCell ref="B2:I2"/>
    <mergeCell ref="B11:D11"/>
  </mergeCells>
  <phoneticPr fontId="3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7"/>
  <sheetViews>
    <sheetView tabSelected="1" workbookViewId="0">
      <pane xSplit="3" ySplit="6" topLeftCell="D14" activePane="bottomRight" state="frozen"/>
      <selection pane="topRight"/>
      <selection pane="bottomLeft"/>
      <selection pane="bottomRight" activeCell="G39" sqref="G39"/>
    </sheetView>
  </sheetViews>
  <sheetFormatPr defaultColWidth="9" defaultRowHeight="16.5"/>
  <cols>
    <col min="1" max="1" width="5.125" style="108" customWidth="1"/>
    <col min="2" max="2" width="35.75" style="108" customWidth="1"/>
    <col min="3" max="3" width="14.5" style="109" customWidth="1"/>
    <col min="4" max="9" width="13" style="109" customWidth="1"/>
    <col min="10" max="10" width="16.5" style="109" customWidth="1"/>
    <col min="11" max="11" width="15.5" style="108" customWidth="1"/>
    <col min="12" max="37" width="9" style="108"/>
    <col min="38" max="38" width="4.375" style="108" customWidth="1"/>
    <col min="39" max="39" width="13.875" style="108" customWidth="1"/>
    <col min="40" max="16384" width="9" style="108"/>
  </cols>
  <sheetData>
    <row r="1" spans="1:40" ht="27" customHeight="1">
      <c r="A1" s="261" t="s">
        <v>287</v>
      </c>
      <c r="B1" s="261"/>
      <c r="C1" s="261"/>
      <c r="D1" s="261"/>
      <c r="E1" s="261"/>
      <c r="F1" s="261"/>
      <c r="G1" s="261"/>
      <c r="H1" s="261"/>
      <c r="I1" s="261"/>
      <c r="J1" s="261"/>
    </row>
    <row r="2" spans="1:40" ht="15.75" customHeight="1">
      <c r="A2" s="262" t="s">
        <v>19</v>
      </c>
      <c r="B2" s="110" t="s">
        <v>1</v>
      </c>
      <c r="C2" s="110" t="s">
        <v>255</v>
      </c>
      <c r="D2" s="110" t="s">
        <v>256</v>
      </c>
      <c r="E2" s="110" t="s">
        <v>257</v>
      </c>
      <c r="F2" s="110" t="s">
        <v>258</v>
      </c>
      <c r="G2" s="110" t="s">
        <v>259</v>
      </c>
      <c r="H2" s="110" t="s">
        <v>254</v>
      </c>
      <c r="I2" s="110" t="s">
        <v>285</v>
      </c>
      <c r="J2" s="49" t="s">
        <v>20</v>
      </c>
      <c r="AN2" s="108" t="s">
        <v>21</v>
      </c>
    </row>
    <row r="3" spans="1:40" s="46" customFormat="1" ht="15.75" customHeight="1">
      <c r="A3" s="263"/>
      <c r="B3" s="51" t="s">
        <v>3</v>
      </c>
      <c r="C3" s="111">
        <f>'2023年'!F6</f>
        <v>10000</v>
      </c>
      <c r="D3" s="111">
        <f>'2024年'!J6</f>
        <v>38000</v>
      </c>
      <c r="E3" s="111">
        <f>'2025年'!J6</f>
        <v>37000</v>
      </c>
      <c r="F3" s="111">
        <f>'2026年'!J6</f>
        <v>30000</v>
      </c>
      <c r="G3" s="111">
        <f>'2027年 '!J6</f>
        <v>37500</v>
      </c>
      <c r="H3" s="111">
        <f>'2028年'!J6</f>
        <v>30000</v>
      </c>
      <c r="I3" s="111">
        <f>'2029年'!J6</f>
        <v>17500</v>
      </c>
      <c r="J3" s="111">
        <f t="shared" ref="J3:J11" si="0">SUM(C3:I3)</f>
        <v>200000</v>
      </c>
      <c r="K3" s="67"/>
      <c r="AL3" s="50" t="s">
        <v>19</v>
      </c>
      <c r="AM3" s="51" t="s">
        <v>3</v>
      </c>
      <c r="AN3" s="46" t="s">
        <v>22</v>
      </c>
    </row>
    <row r="4" spans="1:40" s="46" customFormat="1" ht="15.75" customHeight="1">
      <c r="A4" s="60">
        <v>1</v>
      </c>
      <c r="B4" s="51" t="s">
        <v>23</v>
      </c>
      <c r="C4" s="111">
        <f>'2023年'!F7</f>
        <v>3666800</v>
      </c>
      <c r="D4" s="111">
        <f>'2024年'!J7</f>
        <v>13055840</v>
      </c>
      <c r="E4" s="111">
        <f>'2025年'!J7</f>
        <v>12780260</v>
      </c>
      <c r="F4" s="111">
        <f>'2026年'!J7</f>
        <v>10341900</v>
      </c>
      <c r="G4" s="111">
        <f>'2027年 '!J7</f>
        <v>12864450</v>
      </c>
      <c r="H4" s="111">
        <f>'2028年'!J7</f>
        <v>10266900</v>
      </c>
      <c r="I4" s="111">
        <f>'2029年'!J7</f>
        <v>5969850</v>
      </c>
      <c r="J4" s="111">
        <f t="shared" si="0"/>
        <v>68946000</v>
      </c>
      <c r="K4" s="67"/>
      <c r="AL4" s="50" t="s">
        <v>24</v>
      </c>
      <c r="AM4" s="51" t="s">
        <v>23</v>
      </c>
      <c r="AN4" s="46" t="s">
        <v>22</v>
      </c>
    </row>
    <row r="5" spans="1:40" s="46" customFormat="1" ht="15.75" customHeight="1">
      <c r="A5" s="60">
        <v>2</v>
      </c>
      <c r="B5" s="48" t="s">
        <v>25</v>
      </c>
      <c r="C5" s="111">
        <f>'2023年'!F8</f>
        <v>0</v>
      </c>
      <c r="D5" s="111">
        <f>'2024年'!J8</f>
        <v>0</v>
      </c>
      <c r="E5" s="111">
        <f>'2025年'!J8</f>
        <v>0</v>
      </c>
      <c r="F5" s="111">
        <f>'2026年'!J8</f>
        <v>0</v>
      </c>
      <c r="G5" s="111">
        <f>'2027年 '!J8</f>
        <v>0</v>
      </c>
      <c r="H5" s="111">
        <f>'2028年'!J8</f>
        <v>0</v>
      </c>
      <c r="I5" s="111">
        <f>'2029年'!J8</f>
        <v>0</v>
      </c>
      <c r="J5" s="111">
        <f t="shared" si="0"/>
        <v>0</v>
      </c>
      <c r="K5" s="67"/>
      <c r="AL5" s="50" t="s">
        <v>26</v>
      </c>
      <c r="AM5" s="48" t="s">
        <v>27</v>
      </c>
      <c r="AN5" s="46" t="s">
        <v>22</v>
      </c>
    </row>
    <row r="6" spans="1:40" s="46" customFormat="1" ht="15.75" customHeight="1">
      <c r="A6" s="60">
        <v>3</v>
      </c>
      <c r="B6" s="51" t="s">
        <v>28</v>
      </c>
      <c r="C6" s="112">
        <f>+C4-C5</f>
        <v>3666800</v>
      </c>
      <c r="D6" s="112">
        <f>'2024年'!J9</f>
        <v>13055840</v>
      </c>
      <c r="E6" s="112">
        <f>'2025年'!J9</f>
        <v>12780260</v>
      </c>
      <c r="F6" s="112">
        <f>'2026年'!J9</f>
        <v>10341900</v>
      </c>
      <c r="G6" s="111">
        <f>'2027年 '!J9</f>
        <v>12864450</v>
      </c>
      <c r="H6" s="112">
        <f>'2028年'!J9</f>
        <v>10266900</v>
      </c>
      <c r="I6" s="111">
        <f>'2029年'!J9</f>
        <v>5969850</v>
      </c>
      <c r="J6" s="111">
        <f t="shared" si="0"/>
        <v>68946000</v>
      </c>
      <c r="K6" s="67"/>
      <c r="AL6" s="50" t="s">
        <v>29</v>
      </c>
      <c r="AM6" s="51" t="s">
        <v>28</v>
      </c>
      <c r="AN6" s="46" t="s">
        <v>30</v>
      </c>
    </row>
    <row r="7" spans="1:40" s="46" customFormat="1" ht="15.75" customHeight="1">
      <c r="A7" s="60">
        <v>4</v>
      </c>
      <c r="B7" s="50" t="s">
        <v>31</v>
      </c>
      <c r="C7" s="111">
        <f>'2023年'!F10</f>
        <v>2772420</v>
      </c>
      <c r="D7" s="111">
        <f>'2024年'!J10</f>
        <v>9765596</v>
      </c>
      <c r="E7" s="111">
        <f>'2025年'!J10</f>
        <v>9560704.5</v>
      </c>
      <c r="F7" s="111">
        <f>'2026年'!J10</f>
        <v>7740060</v>
      </c>
      <c r="G7" s="111">
        <f>'2027年 '!J10</f>
        <v>9621586</v>
      </c>
      <c r="H7" s="111">
        <f>'2028年'!J10</f>
        <v>7678487.5</v>
      </c>
      <c r="I7" s="111">
        <f>'2029年'!J10</f>
        <v>4461546</v>
      </c>
      <c r="J7" s="111">
        <f t="shared" si="0"/>
        <v>51600400</v>
      </c>
      <c r="K7" s="67"/>
      <c r="AL7" s="50" t="s">
        <v>32</v>
      </c>
      <c r="AM7" s="50" t="s">
        <v>31</v>
      </c>
      <c r="AN7" s="46" t="s">
        <v>33</v>
      </c>
    </row>
    <row r="8" spans="1:40" s="46" customFormat="1" ht="15.75" customHeight="1">
      <c r="A8" s="60">
        <v>5</v>
      </c>
      <c r="B8" s="50" t="s">
        <v>34</v>
      </c>
      <c r="C8" s="111">
        <f>'2023年'!F11</f>
        <v>190276.68229616911</v>
      </c>
      <c r="D8" s="111">
        <f>'2024年'!J11</f>
        <v>677490.43301778554</v>
      </c>
      <c r="E8" s="111">
        <f>'2025年'!J11</f>
        <v>663190.10354599042</v>
      </c>
      <c r="F8" s="111">
        <f>'2026年'!J11</f>
        <v>536659.32710776455</v>
      </c>
      <c r="G8" s="111">
        <f>'2027年 '!J11</f>
        <v>667558.87028606748</v>
      </c>
      <c r="H8" s="111">
        <f>'2028年'!J11</f>
        <v>532767.4455837619</v>
      </c>
      <c r="I8" s="111">
        <f>'2029年'!J11</f>
        <v>309785.98554755782</v>
      </c>
      <c r="J8" s="111">
        <f t="shared" si="0"/>
        <v>3577728.8473850968</v>
      </c>
      <c r="K8" s="67"/>
      <c r="AL8" s="50" t="s">
        <v>35</v>
      </c>
      <c r="AM8" s="50" t="s">
        <v>34</v>
      </c>
    </row>
    <row r="9" spans="1:40" s="46" customFormat="1" ht="15.75" customHeight="1">
      <c r="A9" s="60">
        <v>6</v>
      </c>
      <c r="B9" s="50" t="s">
        <v>36</v>
      </c>
      <c r="C9" s="111">
        <f>'2023年'!F12</f>
        <v>33189.308873529662</v>
      </c>
      <c r="D9" s="111">
        <f>'2024年'!J12</f>
        <v>118172.33183249252</v>
      </c>
      <c r="E9" s="111">
        <f>'2025年'!J12</f>
        <v>115677.97442566167</v>
      </c>
      <c r="F9" s="111">
        <f>'2026年'!J12</f>
        <v>93607.645205398847</v>
      </c>
      <c r="G9" s="111">
        <f>'2027年 '!J12</f>
        <v>116440.00341935168</v>
      </c>
      <c r="H9" s="111">
        <f>'2028年'!J12</f>
        <v>92928.79766380541</v>
      </c>
      <c r="I9" s="111">
        <f>'2029年'!J12</f>
        <v>54034.90661575245</v>
      </c>
      <c r="J9" s="111">
        <f t="shared" si="0"/>
        <v>624050.96803599235</v>
      </c>
      <c r="K9" s="67"/>
      <c r="AL9" s="50" t="s">
        <v>37</v>
      </c>
      <c r="AM9" s="50" t="s">
        <v>36</v>
      </c>
    </row>
    <row r="10" spans="1:40" s="46" customFormat="1" ht="15.75" customHeight="1">
      <c r="A10" s="60">
        <v>7</v>
      </c>
      <c r="B10" s="113" t="s">
        <v>38</v>
      </c>
      <c r="C10" s="111">
        <f>'2023年'!F13</f>
        <v>40334.799999999996</v>
      </c>
      <c r="D10" s="111">
        <f>'2024年'!J13</f>
        <v>143614.24</v>
      </c>
      <c r="E10" s="111">
        <f>'2025年'!J13</f>
        <v>140582.85999999999</v>
      </c>
      <c r="F10" s="111">
        <f>'2026年'!J13</f>
        <v>113760.9</v>
      </c>
      <c r="G10" s="111">
        <f>'2027年 '!J13</f>
        <v>141508.94999999998</v>
      </c>
      <c r="H10" s="111">
        <f>'2028年'!J13</f>
        <v>112935.9</v>
      </c>
      <c r="I10" s="111">
        <f>'2029年'!J13</f>
        <v>65668.349999999991</v>
      </c>
      <c r="J10" s="111">
        <f t="shared" si="0"/>
        <v>758405.99999999988</v>
      </c>
      <c r="K10" s="67"/>
      <c r="AL10" s="50" t="s">
        <v>39</v>
      </c>
      <c r="AM10" s="50" t="s">
        <v>38</v>
      </c>
      <c r="AN10" s="46" t="s">
        <v>22</v>
      </c>
    </row>
    <row r="11" spans="1:40" s="46" customFormat="1" ht="15.75" customHeight="1">
      <c r="A11" s="60">
        <v>8</v>
      </c>
      <c r="B11" s="114" t="s">
        <v>40</v>
      </c>
      <c r="C11" s="115">
        <f>'2023年'!F14</f>
        <v>263800.79116969876</v>
      </c>
      <c r="D11" s="115">
        <f>'2024年'!J14</f>
        <v>939277.00485027814</v>
      </c>
      <c r="E11" s="115">
        <f>'2025年'!J14</f>
        <v>919450.93797165225</v>
      </c>
      <c r="F11" s="115">
        <f>'2026年'!J14</f>
        <v>744027.87231316336</v>
      </c>
      <c r="G11" s="225">
        <f>'2027年 '!J14</f>
        <v>925507.8237054192</v>
      </c>
      <c r="H11" s="227">
        <f>'2028年'!J14</f>
        <v>738632.14324756747</v>
      </c>
      <c r="I11" s="225">
        <f>'2029年'!J14</f>
        <v>429489.24216331029</v>
      </c>
      <c r="J11" s="115">
        <f t="shared" si="0"/>
        <v>4960185.8154210895</v>
      </c>
      <c r="K11" s="67"/>
      <c r="AL11" s="50" t="s">
        <v>41</v>
      </c>
      <c r="AM11" s="53" t="s">
        <v>40</v>
      </c>
    </row>
    <row r="12" spans="1:40" s="46" customFormat="1" ht="15.75" customHeight="1">
      <c r="A12" s="60">
        <v>9</v>
      </c>
      <c r="B12" s="116" t="s">
        <v>42</v>
      </c>
      <c r="C12" s="111">
        <f>'2023年'!F15</f>
        <v>630579.20883030107</v>
      </c>
      <c r="D12" s="111">
        <f>'2024年'!J15</f>
        <v>2350966.9951497209</v>
      </c>
      <c r="E12" s="111">
        <f>'2025年'!J15</f>
        <v>2300104.562028347</v>
      </c>
      <c r="F12" s="111">
        <f>'2026年'!J15</f>
        <v>1857812.1276868356</v>
      </c>
      <c r="G12" s="111">
        <f>'2027年 '!J15</f>
        <v>2317356.1762945796</v>
      </c>
      <c r="H12" s="111">
        <f>'2028年'!J15</f>
        <v>1849780.3567524317</v>
      </c>
      <c r="I12" s="111">
        <f>'2029年'!J15</f>
        <v>1078814.7578366892</v>
      </c>
      <c r="J12" s="111">
        <f>J6-J7-J11</f>
        <v>12385414.18457891</v>
      </c>
      <c r="K12" s="67"/>
      <c r="M12" s="108"/>
      <c r="N12" s="108"/>
      <c r="O12" s="108"/>
      <c r="P12" s="108"/>
      <c r="Q12" s="108"/>
      <c r="R12" s="108"/>
      <c r="AL12" s="50" t="s">
        <v>43</v>
      </c>
      <c r="AM12" s="53" t="s">
        <v>42</v>
      </c>
    </row>
    <row r="13" spans="1:40" ht="15.75" customHeight="1">
      <c r="A13" s="60">
        <v>10</v>
      </c>
      <c r="B13" s="117" t="s">
        <v>44</v>
      </c>
      <c r="C13" s="118">
        <f>+C12/C6</f>
        <v>0.17196989441210347</v>
      </c>
      <c r="D13" s="118">
        <f t="shared" ref="D13:I13" si="1">+D12/D6</f>
        <v>0.18007014448321371</v>
      </c>
      <c r="E13" s="118">
        <f t="shared" si="1"/>
        <v>0.17997322136078195</v>
      </c>
      <c r="F13" s="118">
        <f t="shared" si="1"/>
        <v>0.17963934361063591</v>
      </c>
      <c r="G13" s="118">
        <f t="shared" si="1"/>
        <v>0.18013643617057704</v>
      </c>
      <c r="H13" s="118">
        <f t="shared" si="1"/>
        <v>0.18016931661479432</v>
      </c>
      <c r="I13" s="118">
        <f t="shared" si="1"/>
        <v>0.18071053005296436</v>
      </c>
      <c r="J13" s="118">
        <f>+J12/J6</f>
        <v>0.17963934361063602</v>
      </c>
      <c r="K13" s="67"/>
      <c r="AL13" s="117" t="s">
        <v>45</v>
      </c>
      <c r="AM13" s="117" t="s">
        <v>44</v>
      </c>
    </row>
    <row r="14" spans="1:40" ht="15.75" customHeight="1">
      <c r="A14" s="60">
        <v>11</v>
      </c>
      <c r="B14" s="117" t="s">
        <v>46</v>
      </c>
      <c r="C14" s="111">
        <f>'2023年'!F17</f>
        <v>516992.59428571432</v>
      </c>
      <c r="D14" s="111">
        <f>'2024年'!J17</f>
        <v>1236193.0582857141</v>
      </c>
      <c r="E14" s="111">
        <f>'2025年'!J17</f>
        <v>1215083.6302857143</v>
      </c>
      <c r="F14" s="111">
        <f>'2026年'!J17</f>
        <v>1028305.2542857144</v>
      </c>
      <c r="G14" s="111">
        <f>'2027年 '!J17</f>
        <v>1221532.5842857142</v>
      </c>
      <c r="H14" s="111">
        <f>'2028年'!J17</f>
        <v>1022560.2542857142</v>
      </c>
      <c r="I14" s="111">
        <f>'2029年'!J17</f>
        <v>693406.22428571433</v>
      </c>
      <c r="J14" s="111">
        <f>SUM(C14:I14)</f>
        <v>6934073.6000000006</v>
      </c>
      <c r="K14" s="67"/>
      <c r="AL14" s="117" t="s">
        <v>47</v>
      </c>
      <c r="AM14" s="117" t="s">
        <v>46</v>
      </c>
    </row>
    <row r="15" spans="1:40" ht="15.75" hidden="1" customHeight="1">
      <c r="A15" s="153"/>
      <c r="B15" s="117"/>
      <c r="C15" s="111"/>
      <c r="D15" s="111"/>
      <c r="E15" s="111"/>
      <c r="F15" s="111"/>
      <c r="G15" s="111">
        <f>'2027年 '!J18</f>
        <v>236115.71428571432</v>
      </c>
      <c r="H15" s="111"/>
      <c r="I15" s="111">
        <f>'2029年'!J18</f>
        <v>236115.71428571432</v>
      </c>
      <c r="J15" s="111"/>
      <c r="K15" s="67"/>
      <c r="AL15" s="117"/>
      <c r="AM15" s="117"/>
    </row>
    <row r="16" spans="1:40" ht="15.75" customHeight="1">
      <c r="A16" s="60">
        <v>12</v>
      </c>
      <c r="B16" s="117" t="s">
        <v>48</v>
      </c>
      <c r="C16" s="119">
        <f>'2023年'!F19</f>
        <v>12467.119999999997</v>
      </c>
      <c r="D16" s="119">
        <f>'2024年'!J19</f>
        <v>44389.855999999985</v>
      </c>
      <c r="E16" s="119">
        <f>'2025年'!J19</f>
        <v>43452.883999999991</v>
      </c>
      <c r="F16" s="119">
        <f>'2026年'!J19</f>
        <v>35162.459999999992</v>
      </c>
      <c r="G16" s="111">
        <f>'2027年 '!J19</f>
        <v>43739.12999999999</v>
      </c>
      <c r="H16" s="119">
        <f>'2028年'!J19</f>
        <v>34907.459999999992</v>
      </c>
      <c r="I16" s="111">
        <f>'2029年'!J19</f>
        <v>20297.489999999994</v>
      </c>
      <c r="J16" s="111">
        <f>SUM(C16:I16)</f>
        <v>234416.39999999994</v>
      </c>
      <c r="K16" s="67"/>
      <c r="S16" s="67"/>
      <c r="AL16" s="117" t="s">
        <v>49</v>
      </c>
      <c r="AM16" s="117" t="s">
        <v>48</v>
      </c>
      <c r="AN16" s="108" t="s">
        <v>22</v>
      </c>
    </row>
    <row r="17" spans="1:40" ht="15.75" customHeight="1">
      <c r="A17" s="60">
        <v>13</v>
      </c>
      <c r="B17" s="117" t="s">
        <v>50</v>
      </c>
      <c r="C17" s="119">
        <f>'2023年'!F20</f>
        <v>127237.95999999999</v>
      </c>
      <c r="D17" s="119">
        <f>'2024年'!J20</f>
        <v>453037.64799999999</v>
      </c>
      <c r="E17" s="119">
        <f>'2025年'!J20</f>
        <v>443475.022</v>
      </c>
      <c r="F17" s="119">
        <f>'2026年'!J20</f>
        <v>358863.93</v>
      </c>
      <c r="G17" s="111">
        <f>'2027年 '!J20</f>
        <v>446396.41499999998</v>
      </c>
      <c r="H17" s="119">
        <f>'2028年'!J20</f>
        <v>356261.43000000005</v>
      </c>
      <c r="I17" s="111">
        <f>'2029年'!J20</f>
        <v>207153.79499999998</v>
      </c>
      <c r="J17" s="111">
        <f>SUM(C17:I17)</f>
        <v>2392426.2000000002</v>
      </c>
      <c r="K17" s="67"/>
      <c r="AL17" s="117" t="s">
        <v>51</v>
      </c>
      <c r="AM17" s="117" t="s">
        <v>50</v>
      </c>
    </row>
    <row r="18" spans="1:40" s="45" customFormat="1" ht="15.75" customHeight="1">
      <c r="A18" s="60">
        <v>14</v>
      </c>
      <c r="B18" s="58" t="s">
        <v>52</v>
      </c>
      <c r="C18" s="120">
        <f>'2023年'!F21</f>
        <v>0</v>
      </c>
      <c r="D18" s="120">
        <f>'2024年'!J21</f>
        <v>0</v>
      </c>
      <c r="E18" s="120">
        <f>'2025年'!J21</f>
        <v>0</v>
      </c>
      <c r="F18" s="120">
        <f>'2026年'!J21</f>
        <v>0</v>
      </c>
      <c r="G18" s="111">
        <f>'2027年 '!J21</f>
        <v>0</v>
      </c>
      <c r="H18" s="120">
        <f>'2028年'!J21</f>
        <v>0</v>
      </c>
      <c r="I18" s="111">
        <f>'2029年'!J21</f>
        <v>0</v>
      </c>
      <c r="J18" s="111">
        <f>SUM(C18:I18)</f>
        <v>0</v>
      </c>
      <c r="K18" s="67"/>
      <c r="AL18" s="58"/>
      <c r="AM18" s="58"/>
    </row>
    <row r="19" spans="1:40" s="46" customFormat="1" ht="15.75" customHeight="1">
      <c r="A19" s="60">
        <v>15</v>
      </c>
      <c r="B19" s="50" t="s">
        <v>53</v>
      </c>
      <c r="C19" s="119">
        <f>'2023年'!F22</f>
        <v>146672</v>
      </c>
      <c r="D19" s="119">
        <f>'2024年'!J22</f>
        <v>522233.59999999998</v>
      </c>
      <c r="E19" s="119">
        <f>'2025年'!J22</f>
        <v>511210.4</v>
      </c>
      <c r="F19" s="119">
        <f>'2026年'!J22</f>
        <v>413675.99999999988</v>
      </c>
      <c r="G19" s="111">
        <f>'2027年 '!J22</f>
        <v>514578</v>
      </c>
      <c r="H19" s="119">
        <f>'2028年'!J22</f>
        <v>410676</v>
      </c>
      <c r="I19" s="111">
        <f>'2029年'!J22</f>
        <v>238794</v>
      </c>
      <c r="J19" s="111">
        <f>SUM(C19:I19)</f>
        <v>2757840</v>
      </c>
      <c r="K19" s="67"/>
      <c r="AL19" s="50" t="s">
        <v>54</v>
      </c>
      <c r="AM19" s="50" t="s">
        <v>53</v>
      </c>
    </row>
    <row r="20" spans="1:40" s="106" customFormat="1" ht="15.75" customHeight="1">
      <c r="A20" s="60">
        <v>16</v>
      </c>
      <c r="B20" s="121" t="s">
        <v>55</v>
      </c>
      <c r="C20" s="115">
        <f t="shared" ref="C20" si="2">+C19+C18+C17+C16+C14</f>
        <v>803369.67428571428</v>
      </c>
      <c r="D20" s="115">
        <f>'2024年'!J23</f>
        <v>2255854.1622857139</v>
      </c>
      <c r="E20" s="115">
        <f>'2025年'!J23</f>
        <v>2213221.9362857142</v>
      </c>
      <c r="F20" s="115">
        <f>'2026年'!J23</f>
        <v>1836007.6442857143</v>
      </c>
      <c r="G20" s="225">
        <f>'2027年 '!J23</f>
        <v>2226246.1292857141</v>
      </c>
      <c r="H20" s="115">
        <f>'2028年'!J23</f>
        <v>1824405.1442857143</v>
      </c>
      <c r="I20" s="225">
        <f>'2029年'!J23</f>
        <v>1159651.5092857142</v>
      </c>
      <c r="J20" s="115">
        <f>SUM(C20:I20)</f>
        <v>12318756.199999999</v>
      </c>
      <c r="K20" s="67"/>
      <c r="AL20" s="129" t="s">
        <v>56</v>
      </c>
      <c r="AM20" s="130" t="s">
        <v>55</v>
      </c>
    </row>
    <row r="21" spans="1:40" ht="15.75" customHeight="1">
      <c r="A21" s="60">
        <v>17</v>
      </c>
      <c r="B21" s="117" t="s">
        <v>57</v>
      </c>
      <c r="C21" s="122">
        <f>+C12-C20</f>
        <v>-172790.46545541321</v>
      </c>
      <c r="D21" s="122">
        <f>'2024年'!J24</f>
        <v>95112.832864006981</v>
      </c>
      <c r="E21" s="122">
        <f>'2025年'!J24</f>
        <v>86882.625742632896</v>
      </c>
      <c r="F21" s="122">
        <f>'2026年'!J24</f>
        <v>21804.483401121339</v>
      </c>
      <c r="G21" s="111">
        <f>'2027年 '!J24</f>
        <v>91110.047008865513</v>
      </c>
      <c r="H21" s="122">
        <f>'2028年'!J24</f>
        <v>25375.212466717465</v>
      </c>
      <c r="I21" s="111">
        <f>'2029年'!J24</f>
        <v>-80836.751449025003</v>
      </c>
      <c r="J21" s="122">
        <f>+J12-J20</f>
        <v>66657.984578911215</v>
      </c>
      <c r="K21" s="67"/>
      <c r="AL21" s="117" t="s">
        <v>58</v>
      </c>
      <c r="AM21" s="117" t="s">
        <v>57</v>
      </c>
    </row>
    <row r="22" spans="1:40" ht="15.75" customHeight="1">
      <c r="A22" s="60">
        <v>18</v>
      </c>
      <c r="B22" s="117" t="s">
        <v>59</v>
      </c>
      <c r="C22" s="122">
        <f>IF(C21&lt;0,0,C21*0.25)</f>
        <v>0</v>
      </c>
      <c r="D22" s="122">
        <f>'2024年'!J25</f>
        <v>14266.924929601048</v>
      </c>
      <c r="E22" s="122">
        <f>'2025年'!J25</f>
        <v>13032.393861394934</v>
      </c>
      <c r="F22" s="122">
        <f>'2026年'!J25</f>
        <v>3270.6725101682009</v>
      </c>
      <c r="G22" s="111">
        <f>'2027年 '!J25</f>
        <v>13666.507051329827</v>
      </c>
      <c r="H22" s="122">
        <f>'2028年'!J25</f>
        <v>3806.2818700076195</v>
      </c>
      <c r="I22" s="111">
        <f>'2029年'!J25</f>
        <v>0</v>
      </c>
      <c r="J22" s="122">
        <f>IF(J21&lt;0,0,J21*0.15)</f>
        <v>9998.6976868366819</v>
      </c>
      <c r="K22" s="67"/>
      <c r="AL22" s="117" t="s">
        <v>60</v>
      </c>
      <c r="AM22" s="117" t="s">
        <v>59</v>
      </c>
    </row>
    <row r="23" spans="1:40" ht="15.75" customHeight="1">
      <c r="A23" s="60">
        <v>19</v>
      </c>
      <c r="B23" s="204" t="s">
        <v>61</v>
      </c>
      <c r="C23" s="197">
        <f>C21-C22</f>
        <v>-172790.46545541321</v>
      </c>
      <c r="D23" s="197">
        <f>'2024年'!J26</f>
        <v>80845.907934405928</v>
      </c>
      <c r="E23" s="197">
        <f>'2025年'!J26</f>
        <v>73850.231881237967</v>
      </c>
      <c r="F23" s="197">
        <f>'2026年'!J26</f>
        <v>18533.810890953137</v>
      </c>
      <c r="G23" s="197">
        <f>'2027年 '!J26</f>
        <v>77443.539957535686</v>
      </c>
      <c r="H23" s="197">
        <f>'2028年'!J26</f>
        <v>21568.930596709844</v>
      </c>
      <c r="I23" s="197">
        <f>'2029年'!J26</f>
        <v>-80836.751449024872</v>
      </c>
      <c r="J23" s="197">
        <f>J21-J22</f>
        <v>56659.286892074531</v>
      </c>
      <c r="K23" s="67"/>
      <c r="AL23" s="117" t="s">
        <v>62</v>
      </c>
      <c r="AM23" s="117" t="s">
        <v>61</v>
      </c>
    </row>
    <row r="24" spans="1:40" ht="15.75" customHeight="1">
      <c r="A24" s="60">
        <v>20</v>
      </c>
      <c r="B24" s="204" t="s">
        <v>63</v>
      </c>
      <c r="C24" s="198">
        <f>(C23/C4)*100%</f>
        <v>-4.712295883479143E-2</v>
      </c>
      <c r="D24" s="198">
        <f t="shared" ref="D24:I24" si="3">(D23/D4)*100%</f>
        <v>6.192317609162331E-3</v>
      </c>
      <c r="E24" s="198">
        <f t="shared" si="3"/>
        <v>5.778460835791914E-3</v>
      </c>
      <c r="F24" s="198">
        <f t="shared" si="3"/>
        <v>1.7921088862736187E-3</v>
      </c>
      <c r="G24" s="198">
        <f t="shared" si="3"/>
        <v>6.019965094313063E-3</v>
      </c>
      <c r="H24" s="198">
        <f t="shared" si="3"/>
        <v>2.1008221173586814E-3</v>
      </c>
      <c r="I24" s="198">
        <f t="shared" si="3"/>
        <v>-1.3540834602046093E-2</v>
      </c>
      <c r="J24" s="198">
        <f>(J23/J4)*100%</f>
        <v>8.2179222713536001E-4</v>
      </c>
      <c r="K24" s="67"/>
      <c r="AL24" s="131" t="s">
        <v>64</v>
      </c>
      <c r="AM24" s="131" t="s">
        <v>65</v>
      </c>
    </row>
    <row r="25" spans="1:40" s="107" customFormat="1" ht="15.75" hidden="1" customHeight="1">
      <c r="B25" s="205"/>
      <c r="C25" s="199"/>
      <c r="D25" s="199"/>
      <c r="E25" s="199"/>
      <c r="F25" s="199"/>
      <c r="G25" s="199"/>
      <c r="H25" s="199"/>
      <c r="I25" s="199"/>
      <c r="J25" s="199"/>
      <c r="K25" s="128"/>
    </row>
    <row r="26" spans="1:40" s="107" customFormat="1" ht="15.75" hidden="1" customHeight="1">
      <c r="A26" s="107" t="s">
        <v>66</v>
      </c>
      <c r="B26" s="205"/>
      <c r="C26" s="200"/>
      <c r="D26" s="200"/>
      <c r="E26" s="200"/>
      <c r="F26" s="200"/>
      <c r="G26" s="200"/>
      <c r="H26" s="200"/>
      <c r="I26" s="200"/>
      <c r="J26" s="200"/>
      <c r="K26" s="128"/>
      <c r="AL26" s="107" t="s">
        <v>66</v>
      </c>
    </row>
    <row r="27" spans="1:40" ht="15.75" hidden="1" customHeight="1">
      <c r="A27" s="117" t="s">
        <v>19</v>
      </c>
      <c r="B27" s="206" t="s">
        <v>1</v>
      </c>
      <c r="C27" s="207" t="s">
        <v>255</v>
      </c>
      <c r="D27" s="207" t="s">
        <v>256</v>
      </c>
      <c r="E27" s="207" t="s">
        <v>257</v>
      </c>
      <c r="F27" s="207" t="s">
        <v>258</v>
      </c>
      <c r="G27" s="207" t="s">
        <v>259</v>
      </c>
      <c r="H27" s="207" t="s">
        <v>254</v>
      </c>
      <c r="I27" s="207" t="s">
        <v>285</v>
      </c>
      <c r="J27" s="201" t="s">
        <v>20</v>
      </c>
      <c r="AN27" s="108" t="s">
        <v>21</v>
      </c>
    </row>
    <row r="28" spans="1:40" s="46" customFormat="1" ht="15.75" hidden="1" customHeight="1">
      <c r="A28" s="50" t="s">
        <v>67</v>
      </c>
      <c r="B28" s="208" t="s">
        <v>68</v>
      </c>
      <c r="C28" s="202"/>
      <c r="D28" s="202"/>
      <c r="E28" s="202"/>
      <c r="F28" s="202"/>
      <c r="G28" s="202"/>
      <c r="H28" s="202"/>
      <c r="I28" s="202"/>
      <c r="J28" s="202"/>
      <c r="K28" s="67"/>
      <c r="AL28" s="50" t="s">
        <v>69</v>
      </c>
      <c r="AM28" s="53" t="s">
        <v>68</v>
      </c>
    </row>
    <row r="29" spans="1:40" s="46" customFormat="1" ht="15.75" hidden="1" customHeight="1">
      <c r="A29" s="50" t="s">
        <v>24</v>
      </c>
      <c r="B29" s="204" t="s">
        <v>70</v>
      </c>
      <c r="C29" s="203">
        <f>+C6/C3</f>
        <v>366.68</v>
      </c>
      <c r="D29" s="203">
        <f t="shared" ref="D29:H29" si="4">+D6/D3</f>
        <v>343.57473684210527</v>
      </c>
      <c r="E29" s="203">
        <f t="shared" si="4"/>
        <v>345.41243243243241</v>
      </c>
      <c r="F29" s="203">
        <f t="shared" si="4"/>
        <v>344.73</v>
      </c>
      <c r="G29" s="203">
        <f t="shared" si="4"/>
        <v>343.05200000000002</v>
      </c>
      <c r="H29" s="203">
        <f t="shared" si="4"/>
        <v>342.23</v>
      </c>
      <c r="I29" s="203">
        <f t="shared" ref="I29" si="5">+I6/I3</f>
        <v>341.13428571428574</v>
      </c>
      <c r="J29" s="203">
        <f>+J6/J3</f>
        <v>344.73</v>
      </c>
      <c r="K29" s="67"/>
      <c r="AL29" s="50" t="s">
        <v>24</v>
      </c>
      <c r="AM29" s="50" t="s">
        <v>70</v>
      </c>
    </row>
    <row r="30" spans="1:40" s="46" customFormat="1" ht="15.75" hidden="1" customHeight="1">
      <c r="A30" s="50" t="s">
        <v>26</v>
      </c>
      <c r="B30" s="204" t="s">
        <v>71</v>
      </c>
      <c r="C30" s="203">
        <f>+C7/C3</f>
        <v>277.24200000000002</v>
      </c>
      <c r="D30" s="203">
        <f t="shared" ref="D30:J30" si="6">+D7/D3</f>
        <v>256.98936842105263</v>
      </c>
      <c r="E30" s="203">
        <f t="shared" si="6"/>
        <v>258.3974189189189</v>
      </c>
      <c r="F30" s="203">
        <f t="shared" si="6"/>
        <v>258.00200000000001</v>
      </c>
      <c r="G30" s="203">
        <f t="shared" si="6"/>
        <v>256.57562666666666</v>
      </c>
      <c r="H30" s="203">
        <f t="shared" si="6"/>
        <v>255.94958333333332</v>
      </c>
      <c r="I30" s="203">
        <f t="shared" ref="I30" si="7">+I7/I3</f>
        <v>254.94548571428572</v>
      </c>
      <c r="J30" s="203">
        <f t="shared" si="6"/>
        <v>258.00200000000001</v>
      </c>
      <c r="K30" s="67"/>
      <c r="AL30" s="50" t="s">
        <v>26</v>
      </c>
      <c r="AM30" s="50" t="s">
        <v>71</v>
      </c>
    </row>
    <row r="31" spans="1:40" s="46" customFormat="1" ht="15.75" hidden="1" customHeight="1">
      <c r="A31" s="50" t="s">
        <v>72</v>
      </c>
      <c r="B31" s="204" t="s">
        <v>73</v>
      </c>
      <c r="C31" s="202">
        <f t="shared" ref="C31:J31" si="8">C29-C30</f>
        <v>89.437999999999988</v>
      </c>
      <c r="D31" s="202">
        <f t="shared" si="8"/>
        <v>86.585368421052635</v>
      </c>
      <c r="E31" s="202">
        <f t="shared" si="8"/>
        <v>87.015013513513509</v>
      </c>
      <c r="F31" s="202">
        <f t="shared" si="8"/>
        <v>86.728000000000009</v>
      </c>
      <c r="G31" s="202">
        <f t="shared" si="8"/>
        <v>86.476373333333356</v>
      </c>
      <c r="H31" s="202">
        <f t="shared" si="8"/>
        <v>86.280416666666696</v>
      </c>
      <c r="I31" s="202">
        <f t="shared" ref="I31" si="9">I29-I30</f>
        <v>86.188800000000015</v>
      </c>
      <c r="J31" s="202">
        <f t="shared" si="8"/>
        <v>86.728000000000009</v>
      </c>
      <c r="K31" s="67"/>
      <c r="AL31" s="50" t="s">
        <v>72</v>
      </c>
      <c r="AM31" s="50" t="s">
        <v>73</v>
      </c>
    </row>
    <row r="32" spans="1:40" s="46" customFormat="1" ht="15.75" hidden="1" customHeight="1">
      <c r="A32" s="50">
        <v>3.1</v>
      </c>
      <c r="B32" s="204" t="s">
        <v>74</v>
      </c>
      <c r="C32" s="226">
        <f t="shared" ref="C32:H32" si="10">C31/C29</f>
        <v>0.24391294862005014</v>
      </c>
      <c r="D32" s="226">
        <f t="shared" si="10"/>
        <v>0.25201319869116046</v>
      </c>
      <c r="E32" s="226">
        <f t="shared" si="10"/>
        <v>0.25191627556872864</v>
      </c>
      <c r="F32" s="226">
        <f t="shared" si="10"/>
        <v>0.25158239781858266</v>
      </c>
      <c r="G32" s="226">
        <f t="shared" si="10"/>
        <v>0.25207949037852379</v>
      </c>
      <c r="H32" s="226">
        <f t="shared" si="10"/>
        <v>0.25211237082274113</v>
      </c>
      <c r="I32" s="226">
        <f t="shared" ref="I32" si="11">I31/I29</f>
        <v>0.25265358426091111</v>
      </c>
      <c r="J32" s="226">
        <f t="shared" ref="J32" si="12">J31/J29</f>
        <v>0.25158239781858266</v>
      </c>
      <c r="K32" s="67"/>
      <c r="AL32" s="50"/>
      <c r="AM32" s="50"/>
    </row>
    <row r="33" spans="1:39" s="46" customFormat="1" ht="15.75" hidden="1" customHeight="1">
      <c r="A33" s="50" t="s">
        <v>69</v>
      </c>
      <c r="B33" s="208" t="s">
        <v>10</v>
      </c>
      <c r="C33" s="202"/>
      <c r="D33" s="202"/>
      <c r="E33" s="202"/>
      <c r="F33" s="202"/>
      <c r="G33" s="202"/>
      <c r="H33" s="202"/>
      <c r="I33" s="202"/>
      <c r="J33" s="202"/>
      <c r="K33" s="67"/>
      <c r="AL33" s="50" t="s">
        <v>75</v>
      </c>
      <c r="AM33" s="53" t="s">
        <v>10</v>
      </c>
    </row>
    <row r="34" spans="1:39" s="46" customFormat="1" ht="15.75" hidden="1" customHeight="1">
      <c r="A34" s="50" t="s">
        <v>24</v>
      </c>
      <c r="B34" s="209" t="s">
        <v>76</v>
      </c>
      <c r="C34" s="203">
        <f>+C8/C3</f>
        <v>19.027668229616911</v>
      </c>
      <c r="D34" s="203">
        <f t="shared" ref="D34:F34" si="13">+D8/D3</f>
        <v>17.828695605731198</v>
      </c>
      <c r="E34" s="203">
        <f t="shared" si="13"/>
        <v>17.924056852594337</v>
      </c>
      <c r="F34" s="203">
        <f t="shared" si="13"/>
        <v>17.888644236925487</v>
      </c>
      <c r="G34" s="203">
        <f t="shared" ref="G34:H34" si="14">+G8/G3</f>
        <v>17.801569874295133</v>
      </c>
      <c r="H34" s="203">
        <f t="shared" si="14"/>
        <v>17.758914852792063</v>
      </c>
      <c r="I34" s="203">
        <f t="shared" ref="I34" si="15">+I8/I3</f>
        <v>17.702056317003304</v>
      </c>
      <c r="J34" s="203">
        <f>+J8/J3</f>
        <v>17.888644236925483</v>
      </c>
      <c r="K34" s="67"/>
      <c r="AL34" s="50" t="s">
        <v>72</v>
      </c>
      <c r="AM34" s="50" t="s">
        <v>76</v>
      </c>
    </row>
    <row r="35" spans="1:39" s="46" customFormat="1" ht="15.75" hidden="1" customHeight="1">
      <c r="A35" s="50" t="s">
        <v>26</v>
      </c>
      <c r="B35" s="209" t="s">
        <v>77</v>
      </c>
      <c r="C35" s="203">
        <f>+C9/C3</f>
        <v>3.3189308873529662</v>
      </c>
      <c r="D35" s="203">
        <f t="shared" ref="D35:F35" si="16">+D9/D3</f>
        <v>3.1097982061182243</v>
      </c>
      <c r="E35" s="203">
        <f t="shared" si="16"/>
        <v>3.1264317412340992</v>
      </c>
      <c r="F35" s="203">
        <f t="shared" si="16"/>
        <v>3.1202548401799617</v>
      </c>
      <c r="G35" s="203">
        <f t="shared" ref="G35:H35" si="17">+G9/G3</f>
        <v>3.1050667578493782</v>
      </c>
      <c r="H35" s="203">
        <f t="shared" si="17"/>
        <v>3.0976265887935135</v>
      </c>
      <c r="I35" s="203">
        <f t="shared" ref="I35" si="18">+I9/I3</f>
        <v>3.0877089494715686</v>
      </c>
      <c r="J35" s="203">
        <f>+J9/J3</f>
        <v>3.1202548401799617</v>
      </c>
      <c r="K35" s="67"/>
      <c r="AL35" s="50" t="s">
        <v>29</v>
      </c>
      <c r="AM35" s="50" t="s">
        <v>77</v>
      </c>
    </row>
    <row r="36" spans="1:39" s="46" customFormat="1" ht="15.75" hidden="1" customHeight="1">
      <c r="A36" s="50" t="s">
        <v>72</v>
      </c>
      <c r="B36" s="209" t="s">
        <v>78</v>
      </c>
      <c r="C36" s="203">
        <f>+C10/C3</f>
        <v>4.03348</v>
      </c>
      <c r="D36" s="203">
        <f t="shared" ref="D36:F36" si="19">+D10/D3</f>
        <v>3.7793221052631578</v>
      </c>
      <c r="E36" s="203">
        <f t="shared" si="19"/>
        <v>3.7995367567567562</v>
      </c>
      <c r="F36" s="203">
        <f t="shared" si="19"/>
        <v>3.79203</v>
      </c>
      <c r="G36" s="203">
        <f t="shared" ref="G36:H36" si="20">+G10/G3</f>
        <v>3.7735719999999997</v>
      </c>
      <c r="H36" s="203">
        <f t="shared" si="20"/>
        <v>3.7645299999999997</v>
      </c>
      <c r="I36" s="203">
        <f t="shared" ref="I36" si="21">+I10/I3</f>
        <v>3.7524771428571424</v>
      </c>
      <c r="J36" s="203">
        <f>+J10/J3</f>
        <v>3.7920299999999996</v>
      </c>
      <c r="K36" s="67"/>
      <c r="AL36" s="50" t="s">
        <v>35</v>
      </c>
      <c r="AM36" s="50" t="s">
        <v>78</v>
      </c>
    </row>
    <row r="37" spans="1:39" s="46" customFormat="1" ht="15.75" hidden="1" customHeight="1">
      <c r="A37" s="50" t="s">
        <v>79</v>
      </c>
      <c r="B37" s="210" t="s">
        <v>80</v>
      </c>
      <c r="C37" s="203"/>
      <c r="D37" s="203"/>
      <c r="E37" s="203"/>
      <c r="F37" s="203"/>
      <c r="G37" s="203"/>
      <c r="H37" s="203"/>
      <c r="I37" s="203"/>
      <c r="J37" s="203"/>
      <c r="K37" s="67"/>
      <c r="AL37" s="50" t="s">
        <v>79</v>
      </c>
      <c r="AM37" s="53" t="s">
        <v>80</v>
      </c>
    </row>
    <row r="38" spans="1:39" s="46" customFormat="1" ht="15.75" hidden="1" customHeight="1">
      <c r="A38" s="50" t="s">
        <v>24</v>
      </c>
      <c r="B38" s="209" t="s">
        <v>81</v>
      </c>
      <c r="C38" s="203">
        <f>+C12/C3</f>
        <v>63.057920883030107</v>
      </c>
      <c r="D38" s="203">
        <f t="shared" ref="D38:H38" si="22">+D12/D3</f>
        <v>61.867552503940026</v>
      </c>
      <c r="E38" s="203">
        <f t="shared" si="22"/>
        <v>62.164988162928296</v>
      </c>
      <c r="F38" s="203">
        <f t="shared" si="22"/>
        <v>61.927070922894522</v>
      </c>
      <c r="G38" s="203">
        <f t="shared" ref="G38" si="23">+G12/G3</f>
        <v>61.796164701188793</v>
      </c>
      <c r="H38" s="203">
        <f t="shared" si="22"/>
        <v>61.659345225081054</v>
      </c>
      <c r="I38" s="203">
        <f t="shared" ref="I38" si="24">+I12/I3</f>
        <v>61.646557590667953</v>
      </c>
      <c r="J38" s="203">
        <f>+J12/J3</f>
        <v>61.927070922894551</v>
      </c>
      <c r="K38" s="67"/>
      <c r="AL38" s="50" t="s">
        <v>24</v>
      </c>
      <c r="AM38" s="50" t="s">
        <v>82</v>
      </c>
    </row>
    <row r="39" spans="1:39" s="46" customFormat="1" ht="15.75" customHeight="1">
      <c r="A39" s="50" t="s">
        <v>26</v>
      </c>
      <c r="B39" s="209" t="s">
        <v>83</v>
      </c>
      <c r="C39" s="197">
        <f t="shared" ref="C39:H39" si="25">+C20/C38</f>
        <v>12740.18653066492</v>
      </c>
      <c r="D39" s="197">
        <f t="shared" si="25"/>
        <v>36462.637860808383</v>
      </c>
      <c r="E39" s="197">
        <f t="shared" si="25"/>
        <v>35602.386515140613</v>
      </c>
      <c r="F39" s="197">
        <f t="shared" si="25"/>
        <v>29647.900617998384</v>
      </c>
      <c r="G39" s="197">
        <f t="shared" ref="G39" si="26">+G20/G38</f>
        <v>36025.635895861466</v>
      </c>
      <c r="H39" s="197">
        <f t="shared" si="25"/>
        <v>29588.461207719807</v>
      </c>
      <c r="I39" s="197">
        <f t="shared" ref="I39" si="27">+I20/I38</f>
        <v>18811.293843620268</v>
      </c>
      <c r="J39" s="197">
        <f t="shared" ref="J39" si="28">+J20/J38</f>
        <v>198923.60507956357</v>
      </c>
      <c r="K39" s="67"/>
      <c r="AL39" s="50" t="s">
        <v>26</v>
      </c>
      <c r="AM39" s="50" t="s">
        <v>83</v>
      </c>
    </row>
    <row r="40" spans="1:39" s="46" customFormat="1" ht="15.75" hidden="1" customHeight="1">
      <c r="A40" s="50" t="s">
        <v>84</v>
      </c>
      <c r="B40" s="53" t="s">
        <v>85</v>
      </c>
      <c r="C40" s="57"/>
      <c r="D40" s="57"/>
      <c r="E40" s="57"/>
      <c r="F40" s="57"/>
      <c r="G40" s="57"/>
      <c r="H40" s="57"/>
      <c r="I40" s="57"/>
      <c r="J40" s="57"/>
      <c r="K40" s="67"/>
      <c r="AL40" s="50" t="s">
        <v>84</v>
      </c>
      <c r="AM40" s="53" t="s">
        <v>85</v>
      </c>
    </row>
    <row r="41" spans="1:39" s="46" customFormat="1" ht="15.75" hidden="1" customHeight="1">
      <c r="A41" s="50" t="s">
        <v>24</v>
      </c>
      <c r="B41" s="50" t="s">
        <v>86</v>
      </c>
      <c r="C41" s="57">
        <f>+C14/C3</f>
        <v>51.69925942857143</v>
      </c>
      <c r="D41" s="57">
        <f t="shared" ref="D41:H41" si="29">+D14/D3</f>
        <v>32.531396270676687</v>
      </c>
      <c r="E41" s="57">
        <f t="shared" si="29"/>
        <v>32.840098115830116</v>
      </c>
      <c r="F41" s="57">
        <f t="shared" si="29"/>
        <v>34.276841809523809</v>
      </c>
      <c r="G41" s="57">
        <f t="shared" ref="G41" si="30">+G14/G3</f>
        <v>32.574202247619048</v>
      </c>
      <c r="H41" s="57">
        <f t="shared" si="29"/>
        <v>34.085341809523811</v>
      </c>
      <c r="I41" s="57">
        <f t="shared" ref="I41" si="31">+I14/I3</f>
        <v>39.623212816326536</v>
      </c>
      <c r="J41" s="57">
        <f>+J14/J3</f>
        <v>34.670368000000003</v>
      </c>
      <c r="K41" s="67"/>
      <c r="AL41" s="50" t="s">
        <v>24</v>
      </c>
      <c r="AM41" s="50" t="s">
        <v>86</v>
      </c>
    </row>
    <row r="42" spans="1:39" s="46" customFormat="1" ht="15.75" hidden="1" customHeight="1">
      <c r="A42" s="50" t="s">
        <v>26</v>
      </c>
      <c r="B42" s="50" t="s">
        <v>87</v>
      </c>
      <c r="C42" s="57">
        <f>+C16/C3</f>
        <v>1.2467119999999998</v>
      </c>
      <c r="D42" s="57">
        <f t="shared" ref="D42:H42" si="32">+D16/D3</f>
        <v>1.1681541052631574</v>
      </c>
      <c r="E42" s="57">
        <f t="shared" si="32"/>
        <v>1.1744022702702701</v>
      </c>
      <c r="F42" s="57">
        <f t="shared" si="32"/>
        <v>1.1720819999999996</v>
      </c>
      <c r="G42" s="57">
        <f t="shared" ref="G42" si="33">+G16/G3</f>
        <v>1.1663767999999997</v>
      </c>
      <c r="H42" s="57">
        <f t="shared" si="32"/>
        <v>1.1635819999999997</v>
      </c>
      <c r="I42" s="57">
        <f t="shared" ref="I42" si="34">+I16/I3</f>
        <v>1.1598565714285711</v>
      </c>
      <c r="J42" s="57">
        <f>+J16/J3</f>
        <v>1.1720819999999996</v>
      </c>
      <c r="K42" s="67"/>
      <c r="AL42" s="50" t="s">
        <v>26</v>
      </c>
      <c r="AM42" s="50" t="s">
        <v>87</v>
      </c>
    </row>
    <row r="43" spans="1:39" s="46" customFormat="1" ht="15.75" hidden="1" customHeight="1">
      <c r="A43" s="50" t="s">
        <v>72</v>
      </c>
      <c r="B43" s="50" t="s">
        <v>88</v>
      </c>
      <c r="C43" s="57">
        <f>+C17/C3</f>
        <v>12.723795999999998</v>
      </c>
      <c r="D43" s="57">
        <f t="shared" ref="D43:H43" si="35">+D17/D3</f>
        <v>11.922043368421052</v>
      </c>
      <c r="E43" s="57">
        <f t="shared" si="35"/>
        <v>11.985811405405405</v>
      </c>
      <c r="F43" s="57">
        <f t="shared" si="35"/>
        <v>11.962130999999999</v>
      </c>
      <c r="G43" s="57">
        <f t="shared" ref="G43" si="36">+G17/G3</f>
        <v>11.9039044</v>
      </c>
      <c r="H43" s="57">
        <f t="shared" si="35"/>
        <v>11.875381000000001</v>
      </c>
      <c r="I43" s="57">
        <f t="shared" ref="I43" si="37">+I17/I3</f>
        <v>11.837359714285713</v>
      </c>
      <c r="J43" s="57">
        <f>+J17/J3</f>
        <v>11.962131000000001</v>
      </c>
      <c r="K43" s="67"/>
      <c r="AL43" s="50" t="s">
        <v>72</v>
      </c>
      <c r="AM43" s="50" t="s">
        <v>88</v>
      </c>
    </row>
    <row r="44" spans="1:39" s="46" customFormat="1" ht="15.75" hidden="1" customHeight="1">
      <c r="A44" s="50" t="s">
        <v>29</v>
      </c>
      <c r="B44" s="50" t="s">
        <v>89</v>
      </c>
      <c r="C44" s="57"/>
      <c r="D44" s="57"/>
      <c r="E44" s="57"/>
      <c r="F44" s="57"/>
      <c r="G44" s="57"/>
      <c r="H44" s="57"/>
      <c r="I44" s="57"/>
      <c r="J44" s="57"/>
      <c r="K44" s="67"/>
      <c r="AL44" s="50" t="s">
        <v>29</v>
      </c>
      <c r="AM44" s="50" t="s">
        <v>90</v>
      </c>
    </row>
    <row r="45" spans="1:39" s="46" customFormat="1" ht="15.75" hidden="1" customHeight="1">
      <c r="A45" s="50" t="s">
        <v>32</v>
      </c>
      <c r="B45" s="50" t="s">
        <v>91</v>
      </c>
      <c r="C45" s="57"/>
      <c r="D45" s="57"/>
      <c r="E45" s="57"/>
      <c r="F45" s="57"/>
      <c r="G45" s="57"/>
      <c r="H45" s="57"/>
      <c r="I45" s="57"/>
      <c r="J45" s="57"/>
      <c r="K45" s="67"/>
      <c r="AL45" s="50" t="s">
        <v>32</v>
      </c>
      <c r="AM45" s="50" t="s">
        <v>91</v>
      </c>
    </row>
    <row r="46" spans="1:39" s="46" customFormat="1" ht="15.75" hidden="1" customHeight="1">
      <c r="A46" s="50" t="s">
        <v>92</v>
      </c>
      <c r="B46" s="53" t="s">
        <v>93</v>
      </c>
      <c r="C46" s="57"/>
      <c r="D46" s="57"/>
      <c r="E46" s="57"/>
      <c r="F46" s="57"/>
      <c r="G46" s="57"/>
      <c r="H46" s="57"/>
      <c r="I46" s="57"/>
      <c r="J46" s="57"/>
      <c r="K46" s="67"/>
      <c r="AL46" s="50" t="s">
        <v>92</v>
      </c>
      <c r="AM46" s="53" t="s">
        <v>93</v>
      </c>
    </row>
    <row r="47" spans="1:39" s="46" customFormat="1" ht="15.75" hidden="1" customHeight="1">
      <c r="A47" s="50" t="s">
        <v>24</v>
      </c>
      <c r="B47" s="50" t="s">
        <v>94</v>
      </c>
      <c r="C47" s="123">
        <f>+(C10+C16)/C6</f>
        <v>1.4399999999999998E-2</v>
      </c>
      <c r="D47" s="123">
        <f t="shared" ref="D47:H47" si="38">+(D10+D16)/D6</f>
        <v>1.4399999999999998E-2</v>
      </c>
      <c r="E47" s="123">
        <f t="shared" si="38"/>
        <v>1.4399999999999998E-2</v>
      </c>
      <c r="F47" s="123">
        <f t="shared" si="38"/>
        <v>1.4399999999999998E-2</v>
      </c>
      <c r="G47" s="123">
        <f t="shared" ref="G47" si="39">+(G10+G16)/G6</f>
        <v>1.4399999999999996E-2</v>
      </c>
      <c r="H47" s="123">
        <f t="shared" si="38"/>
        <v>1.4399999999999998E-2</v>
      </c>
      <c r="I47" s="123">
        <f t="shared" ref="I47" si="40">+(I10+I16)/I6</f>
        <v>1.4399999999999996E-2</v>
      </c>
      <c r="J47" s="123">
        <f>+(J10+J16)/J6</f>
        <v>1.4399999999999996E-2</v>
      </c>
      <c r="K47" s="67"/>
      <c r="AL47" s="50" t="s">
        <v>24</v>
      </c>
      <c r="AM47" s="50" t="s">
        <v>94</v>
      </c>
    </row>
    <row r="48" spans="1:39" s="46" customFormat="1" ht="15.75" hidden="1" customHeight="1">
      <c r="A48" s="50" t="s">
        <v>26</v>
      </c>
      <c r="B48" s="50" t="s">
        <v>95</v>
      </c>
      <c r="C48" s="123">
        <f>+(C8+C9+C14)/C6</f>
        <v>0.20193590745484158</v>
      </c>
      <c r="D48" s="123">
        <f t="shared" ref="D48:H48" si="41">+(D8+D9+D14)/D6</f>
        <v>0.15562811915096939</v>
      </c>
      <c r="E48" s="123">
        <f t="shared" si="41"/>
        <v>0.15601808635014988</v>
      </c>
      <c r="F48" s="123">
        <f t="shared" si="41"/>
        <v>0.16037403442296655</v>
      </c>
      <c r="G48" s="123">
        <f t="shared" ref="G48" si="42">+(G8+G9+G14)/G6</f>
        <v>0.15589717850286125</v>
      </c>
      <c r="H48" s="123">
        <f t="shared" si="41"/>
        <v>0.16054081539055426</v>
      </c>
      <c r="I48" s="123">
        <f t="shared" ref="I48" si="43">+(I8+I9+I14)/I6</f>
        <v>0.17709441886295713</v>
      </c>
      <c r="J48" s="123">
        <f>+(J8+J9+J14)/J6</f>
        <v>0.16151558343371755</v>
      </c>
      <c r="K48" s="67"/>
      <c r="AL48" s="50" t="s">
        <v>26</v>
      </c>
      <c r="AM48" s="50" t="s">
        <v>95</v>
      </c>
    </row>
    <row r="49" spans="1:39" s="46" customFormat="1" ht="15.75" hidden="1" customHeight="1">
      <c r="A49" s="50" t="s">
        <v>72</v>
      </c>
      <c r="B49" s="50" t="s">
        <v>96</v>
      </c>
      <c r="C49" s="123">
        <f>+C17/C6</f>
        <v>3.4699999999999995E-2</v>
      </c>
      <c r="D49" s="123">
        <f t="shared" ref="D49:H49" si="44">+D17/D6</f>
        <v>3.4700000000000002E-2</v>
      </c>
      <c r="E49" s="123">
        <f t="shared" si="44"/>
        <v>3.4700000000000002E-2</v>
      </c>
      <c r="F49" s="123">
        <f t="shared" si="44"/>
        <v>3.4700000000000002E-2</v>
      </c>
      <c r="G49" s="123">
        <f t="shared" ref="G49" si="45">+G17/G6</f>
        <v>3.4700000000000002E-2</v>
      </c>
      <c r="H49" s="123">
        <f t="shared" si="44"/>
        <v>3.4700000000000002E-2</v>
      </c>
      <c r="I49" s="123">
        <f t="shared" ref="I49" si="46">+I17/I6</f>
        <v>3.4699999999999995E-2</v>
      </c>
      <c r="J49" s="123">
        <f>+J17/J6</f>
        <v>3.4700000000000002E-2</v>
      </c>
      <c r="K49" s="67"/>
      <c r="AL49" s="50" t="s">
        <v>72</v>
      </c>
      <c r="AM49" s="50" t="s">
        <v>96</v>
      </c>
    </row>
    <row r="50" spans="1:39" s="46" customFormat="1" ht="15.75" hidden="1" customHeight="1">
      <c r="A50" s="50" t="s">
        <v>29</v>
      </c>
      <c r="B50" s="50" t="s">
        <v>97</v>
      </c>
      <c r="C50" s="123">
        <f>+C18/C6</f>
        <v>0</v>
      </c>
      <c r="D50" s="123">
        <f t="shared" ref="D50:H50" si="47">+D18/D6</f>
        <v>0</v>
      </c>
      <c r="E50" s="123">
        <f t="shared" si="47"/>
        <v>0</v>
      </c>
      <c r="F50" s="123">
        <f t="shared" si="47"/>
        <v>0</v>
      </c>
      <c r="G50" s="123">
        <f t="shared" ref="G50" si="48">+G18/G6</f>
        <v>0</v>
      </c>
      <c r="H50" s="123">
        <f t="shared" si="47"/>
        <v>0</v>
      </c>
      <c r="I50" s="123">
        <f t="shared" ref="I50" si="49">+I18/I6</f>
        <v>0</v>
      </c>
      <c r="J50" s="123">
        <f>+J18/J6</f>
        <v>0</v>
      </c>
      <c r="K50" s="67"/>
      <c r="AL50" s="50" t="s">
        <v>29</v>
      </c>
      <c r="AM50" s="50" t="s">
        <v>97</v>
      </c>
    </row>
    <row r="51" spans="1:39" s="46" customFormat="1" ht="15.75" hidden="1" customHeight="1">
      <c r="A51" s="50" t="s">
        <v>32</v>
      </c>
      <c r="B51" s="50" t="s">
        <v>98</v>
      </c>
      <c r="C51" s="123">
        <f>+C19/C6</f>
        <v>0.04</v>
      </c>
      <c r="D51" s="123">
        <f t="shared" ref="D51:H51" si="50">+D19/D6</f>
        <v>0.04</v>
      </c>
      <c r="E51" s="123">
        <f t="shared" si="50"/>
        <v>0.04</v>
      </c>
      <c r="F51" s="123">
        <f t="shared" si="50"/>
        <v>3.9999999999999987E-2</v>
      </c>
      <c r="G51" s="123">
        <f t="shared" ref="G51" si="51">+G19/G6</f>
        <v>0.04</v>
      </c>
      <c r="H51" s="123">
        <f t="shared" si="50"/>
        <v>0.04</v>
      </c>
      <c r="I51" s="123">
        <f t="shared" ref="I51" si="52">+I19/I6</f>
        <v>0.04</v>
      </c>
      <c r="J51" s="123">
        <f>+J19/J6</f>
        <v>0.04</v>
      </c>
      <c r="K51" s="67"/>
      <c r="AL51" s="50" t="s">
        <v>32</v>
      </c>
      <c r="AM51" s="50" t="s">
        <v>98</v>
      </c>
    </row>
    <row r="52" spans="1:39" s="46" customFormat="1" ht="15.75" hidden="1" customHeight="1">
      <c r="A52" s="50" t="s">
        <v>35</v>
      </c>
      <c r="B52" s="50" t="s">
        <v>99</v>
      </c>
      <c r="C52" s="123">
        <f>+C23/C6</f>
        <v>-4.712295883479143E-2</v>
      </c>
      <c r="D52" s="123">
        <f t="shared" ref="D52:H52" si="53">+D23/D6</f>
        <v>6.192317609162331E-3</v>
      </c>
      <c r="E52" s="123">
        <f t="shared" si="53"/>
        <v>5.778460835791914E-3</v>
      </c>
      <c r="F52" s="123">
        <f t="shared" si="53"/>
        <v>1.7921088862736187E-3</v>
      </c>
      <c r="G52" s="123">
        <f t="shared" ref="G52" si="54">+G23/G6</f>
        <v>6.019965094313063E-3</v>
      </c>
      <c r="H52" s="123">
        <f t="shared" si="53"/>
        <v>2.1008221173586814E-3</v>
      </c>
      <c r="I52" s="123">
        <f t="shared" ref="I52" si="55">+I23/I6</f>
        <v>-1.3540834602046093E-2</v>
      </c>
      <c r="J52" s="123">
        <f>+J23/J6</f>
        <v>8.2179222713536001E-4</v>
      </c>
      <c r="K52" s="67"/>
      <c r="AL52" s="50" t="s">
        <v>35</v>
      </c>
      <c r="AM52" s="50" t="s">
        <v>100</v>
      </c>
    </row>
    <row r="53" spans="1:39" s="46" customFormat="1" ht="15.75" hidden="1" customHeight="1">
      <c r="A53" s="50" t="s">
        <v>101</v>
      </c>
      <c r="B53" s="53" t="s">
        <v>102</v>
      </c>
      <c r="C53" s="57">
        <f>+C21/C3</f>
        <v>-17.27904654554132</v>
      </c>
      <c r="D53" s="57">
        <f t="shared" ref="D53:H53" si="56">+D21/D3</f>
        <v>2.5029692858949204</v>
      </c>
      <c r="E53" s="57">
        <f t="shared" si="56"/>
        <v>2.3481790741252135</v>
      </c>
      <c r="F53" s="57">
        <f t="shared" si="56"/>
        <v>0.72681611337071128</v>
      </c>
      <c r="G53" s="57">
        <f t="shared" ref="G53" si="57">+G21/G3</f>
        <v>2.4296012535697469</v>
      </c>
      <c r="H53" s="57">
        <f t="shared" si="56"/>
        <v>0.84584041555724887</v>
      </c>
      <c r="I53" s="57">
        <f t="shared" ref="I53" si="58">+I21/I3</f>
        <v>-4.6192429399442858</v>
      </c>
      <c r="J53" s="57">
        <f>+J21/J3</f>
        <v>0.33328992289455606</v>
      </c>
      <c r="K53" s="67"/>
      <c r="AL53" s="50" t="s">
        <v>101</v>
      </c>
      <c r="AM53" s="53" t="s">
        <v>102</v>
      </c>
    </row>
    <row r="54" spans="1:39" s="46" customFormat="1" ht="15.75" hidden="1" customHeight="1">
      <c r="A54" s="50" t="s">
        <v>103</v>
      </c>
      <c r="B54" s="124" t="s">
        <v>104</v>
      </c>
      <c r="C54" s="57"/>
      <c r="D54" s="57"/>
      <c r="E54" s="57"/>
      <c r="F54" s="57"/>
      <c r="G54" s="57"/>
      <c r="H54" s="57"/>
      <c r="I54" s="57"/>
      <c r="J54" s="57"/>
      <c r="K54" s="67"/>
      <c r="AL54" s="50"/>
      <c r="AM54" s="53"/>
    </row>
    <row r="55" spans="1:39" s="46" customFormat="1" ht="15.75" hidden="1" customHeight="1">
      <c r="A55" s="50" t="s">
        <v>24</v>
      </c>
      <c r="B55" s="50" t="s">
        <v>105</v>
      </c>
      <c r="C55" s="57">
        <f>C56+C57</f>
        <v>1739800.0000000002</v>
      </c>
      <c r="D55" s="57"/>
      <c r="E55" s="57"/>
      <c r="F55" s="57"/>
      <c r="G55" s="57"/>
      <c r="H55" s="57"/>
      <c r="I55" s="57"/>
      <c r="J55" s="57"/>
      <c r="K55" s="67"/>
    </row>
    <row r="56" spans="1:39" s="46" customFormat="1" ht="15.75" hidden="1" customHeight="1">
      <c r="A56" s="50">
        <v>1.1000000000000001</v>
      </c>
      <c r="B56" s="125" t="s">
        <v>106</v>
      </c>
      <c r="C56" s="57">
        <f>项目投资!B27</f>
        <v>0</v>
      </c>
      <c r="D56" s="57"/>
      <c r="E56" s="57"/>
      <c r="F56" s="57"/>
      <c r="G56" s="57"/>
      <c r="H56" s="57"/>
      <c r="I56" s="57"/>
      <c r="J56" s="57"/>
      <c r="K56" s="67"/>
    </row>
    <row r="57" spans="1:39" s="46" customFormat="1" ht="15.75" hidden="1" customHeight="1">
      <c r="A57" s="50">
        <v>1.2</v>
      </c>
      <c r="B57" s="50" t="s">
        <v>107</v>
      </c>
      <c r="C57" s="57">
        <f>项目投资!B26</f>
        <v>1739800.0000000002</v>
      </c>
      <c r="D57" s="57"/>
      <c r="E57" s="57"/>
      <c r="F57" s="57"/>
      <c r="G57" s="57"/>
      <c r="H57" s="57"/>
      <c r="I57" s="57"/>
      <c r="J57" s="57"/>
      <c r="K57" s="67"/>
    </row>
    <row r="58" spans="1:39" ht="15.75" hidden="1" customHeight="1">
      <c r="A58" s="117" t="s">
        <v>26</v>
      </c>
      <c r="B58" s="117" t="s">
        <v>108</v>
      </c>
      <c r="C58" s="126">
        <f t="shared" ref="C58:I58" si="59">C59+C60</f>
        <v>63325.248830301105</v>
      </c>
      <c r="D58" s="126">
        <f t="shared" si="59"/>
        <v>316961.62222012028</v>
      </c>
      <c r="E58" s="126">
        <f t="shared" si="59"/>
        <v>309965.94616695226</v>
      </c>
      <c r="F58" s="126">
        <f t="shared" si="59"/>
        <v>254649.52517666746</v>
      </c>
      <c r="G58" s="126">
        <f t="shared" si="59"/>
        <v>313559.25424325</v>
      </c>
      <c r="H58" s="126">
        <f t="shared" si="59"/>
        <v>257684.64488242415</v>
      </c>
      <c r="I58" s="126">
        <f t="shared" si="59"/>
        <v>155278.96283668943</v>
      </c>
      <c r="J58" s="126">
        <f t="shared" ref="J58" si="60">J59+J60</f>
        <v>1709469.2868920749</v>
      </c>
      <c r="K58" s="67"/>
    </row>
    <row r="59" spans="1:39" ht="15.75" hidden="1" customHeight="1">
      <c r="A59" s="117" t="s">
        <v>72</v>
      </c>
      <c r="B59" s="117" t="s">
        <v>109</v>
      </c>
      <c r="C59" s="126">
        <f t="shared" ref="C59:I59" si="61">C23</f>
        <v>-172790.46545541321</v>
      </c>
      <c r="D59" s="126">
        <f t="shared" si="61"/>
        <v>80845.907934405928</v>
      </c>
      <c r="E59" s="126">
        <f t="shared" si="61"/>
        <v>73850.231881237967</v>
      </c>
      <c r="F59" s="126">
        <f t="shared" si="61"/>
        <v>18533.810890953137</v>
      </c>
      <c r="G59" s="126">
        <f t="shared" si="61"/>
        <v>77443.539957535686</v>
      </c>
      <c r="H59" s="126">
        <f t="shared" si="61"/>
        <v>21568.930596709844</v>
      </c>
      <c r="I59" s="126">
        <f t="shared" si="61"/>
        <v>-80836.751449024872</v>
      </c>
      <c r="J59" s="126">
        <f t="shared" ref="J59" si="62">J23</f>
        <v>56659.286892074531</v>
      </c>
      <c r="K59" s="67"/>
    </row>
    <row r="60" spans="1:39" ht="15.75" hidden="1" customHeight="1">
      <c r="A60" s="117" t="s">
        <v>29</v>
      </c>
      <c r="B60" s="117" t="s">
        <v>110</v>
      </c>
      <c r="C60" s="126">
        <f>'2023年'!F18</f>
        <v>236115.71428571432</v>
      </c>
      <c r="D60" s="126">
        <f>'2024年'!J18</f>
        <v>236115.71428571432</v>
      </c>
      <c r="E60" s="126">
        <f>'2025年'!J18</f>
        <v>236115.71428571432</v>
      </c>
      <c r="F60" s="126">
        <f>'2026年'!J18</f>
        <v>236115.71428571432</v>
      </c>
      <c r="G60" s="126">
        <f>'2027年 '!J18</f>
        <v>236115.71428571432</v>
      </c>
      <c r="H60" s="126">
        <f>'2028年'!J18</f>
        <v>236115.71428571432</v>
      </c>
      <c r="I60" s="126">
        <f>'2029年'!J18</f>
        <v>236115.71428571432</v>
      </c>
      <c r="J60" s="126">
        <f>项目投资!K26</f>
        <v>1652810.0000000002</v>
      </c>
      <c r="K60" s="67"/>
    </row>
    <row r="61" spans="1:39" ht="15.75" hidden="1" customHeight="1">
      <c r="A61" s="117" t="s">
        <v>32</v>
      </c>
      <c r="B61" s="117" t="s">
        <v>111</v>
      </c>
      <c r="C61" s="127"/>
      <c r="D61" s="127"/>
      <c r="E61" s="127"/>
      <c r="F61" s="127"/>
      <c r="G61" s="127"/>
      <c r="H61" s="127"/>
      <c r="I61" s="127"/>
      <c r="J61" s="126"/>
      <c r="K61" s="67"/>
    </row>
    <row r="63" spans="1:39" ht="16.5" customHeight="1">
      <c r="C63" s="224"/>
      <c r="D63" s="224"/>
      <c r="E63" s="224"/>
      <c r="F63" s="224"/>
      <c r="G63" s="224"/>
      <c r="H63" s="224"/>
      <c r="I63" s="224"/>
      <c r="J63" s="224"/>
    </row>
    <row r="64" spans="1:39" ht="42.75" customHeight="1">
      <c r="C64" s="264" t="s">
        <v>307</v>
      </c>
      <c r="D64" s="264"/>
      <c r="E64" s="264"/>
      <c r="F64" s="264"/>
      <c r="G64" s="264"/>
      <c r="H64" s="264"/>
      <c r="I64" s="264"/>
      <c r="J64" s="264"/>
    </row>
    <row r="65" spans="3:10">
      <c r="C65" s="224"/>
      <c r="D65" s="224"/>
      <c r="E65" s="224"/>
      <c r="F65" s="224"/>
      <c r="G65" s="224"/>
      <c r="H65" s="224"/>
      <c r="I65" s="224"/>
      <c r="J65" s="224"/>
    </row>
    <row r="66" spans="3:10">
      <c r="C66" s="224"/>
      <c r="D66" s="224"/>
      <c r="E66" s="224"/>
      <c r="F66" s="224"/>
      <c r="G66" s="224"/>
      <c r="H66" s="224"/>
      <c r="I66" s="224"/>
      <c r="J66" s="224"/>
    </row>
    <row r="67" spans="3:10">
      <c r="C67" s="224"/>
      <c r="D67" s="224"/>
      <c r="E67" s="224"/>
      <c r="F67" s="224"/>
      <c r="G67" s="224"/>
      <c r="H67" s="224"/>
      <c r="I67" s="224"/>
      <c r="J67" s="224"/>
    </row>
  </sheetData>
  <mergeCells count="3">
    <mergeCell ref="A1:J1"/>
    <mergeCell ref="A2:A3"/>
    <mergeCell ref="C64:J64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112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113</v>
      </c>
      <c r="B2" s="75"/>
    </row>
    <row r="3" spans="1:13" ht="16.899999999999999" customHeight="1">
      <c r="A3" s="76" t="s">
        <v>19</v>
      </c>
      <c r="B3" s="76" t="s">
        <v>114</v>
      </c>
      <c r="C3" s="265" t="s">
        <v>115</v>
      </c>
      <c r="D3" s="265"/>
      <c r="E3" s="265"/>
      <c r="F3" s="78"/>
      <c r="G3" s="79"/>
      <c r="H3" s="80"/>
      <c r="I3" s="80"/>
      <c r="J3" s="80" t="s">
        <v>116</v>
      </c>
      <c r="K3" s="80"/>
      <c r="L3" s="80"/>
      <c r="M3" s="101"/>
    </row>
    <row r="4" spans="1:13" ht="16.149999999999999" customHeight="1">
      <c r="A4" s="81"/>
      <c r="B4" s="81" t="s">
        <v>117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118</v>
      </c>
    </row>
    <row r="5" spans="1:13" ht="15.6" customHeight="1">
      <c r="A5" s="83">
        <v>1</v>
      </c>
      <c r="B5" s="84" t="s">
        <v>119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3666800</v>
      </c>
      <c r="G5" s="85">
        <f t="shared" si="1"/>
        <v>13055840</v>
      </c>
      <c r="H5" s="85">
        <f t="shared" si="1"/>
        <v>12780260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68946000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120</v>
      </c>
      <c r="C6" s="87"/>
      <c r="D6" s="87"/>
      <c r="E6" s="87" t="e">
        <f>损益表!#REF!</f>
        <v>#REF!</v>
      </c>
      <c r="F6" s="87">
        <f>损益表!C4</f>
        <v>3666800</v>
      </c>
      <c r="G6" s="87">
        <f>损益表!D4</f>
        <v>13055840</v>
      </c>
      <c r="H6" s="87">
        <f>损益表!E4</f>
        <v>12780260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损益表!J4</f>
        <v>68946000</v>
      </c>
      <c r="M6" s="89" t="e">
        <f t="shared" si="2"/>
        <v>#REF!</v>
      </c>
    </row>
    <row r="7" spans="1:13" ht="15.6" customHeight="1">
      <c r="A7" s="83">
        <v>1.2</v>
      </c>
      <c r="B7" s="86" t="s">
        <v>121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122</v>
      </c>
      <c r="C8" s="87" t="s">
        <v>123</v>
      </c>
      <c r="D8" s="87" t="s">
        <v>123</v>
      </c>
      <c r="E8" s="87" t="s">
        <v>123</v>
      </c>
      <c r="F8" s="87" t="s">
        <v>123</v>
      </c>
      <c r="G8" s="87" t="s">
        <v>123</v>
      </c>
      <c r="H8" s="87" t="s">
        <v>123</v>
      </c>
      <c r="I8" s="87" t="s">
        <v>123</v>
      </c>
      <c r="J8" s="87" t="s">
        <v>123</v>
      </c>
      <c r="K8" s="87" t="s">
        <v>123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124</v>
      </c>
      <c r="C9" s="87" t="s">
        <v>123</v>
      </c>
      <c r="D9" s="87" t="s">
        <v>123</v>
      </c>
      <c r="E9" s="87" t="s">
        <v>123</v>
      </c>
      <c r="F9" s="87" t="s">
        <v>123</v>
      </c>
      <c r="G9" s="87" t="s">
        <v>123</v>
      </c>
      <c r="H9" s="87" t="s">
        <v>123</v>
      </c>
      <c r="I9" s="87" t="s">
        <v>123</v>
      </c>
      <c r="J9" s="87" t="s">
        <v>123</v>
      </c>
      <c r="K9" s="87" t="s">
        <v>123</v>
      </c>
      <c r="L9" s="87" t="s">
        <v>123</v>
      </c>
      <c r="M9" s="89">
        <f t="shared" si="2"/>
        <v>0</v>
      </c>
    </row>
    <row r="10" spans="1:13" ht="15.6" customHeight="1">
      <c r="A10" s="88">
        <v>2</v>
      </c>
      <c r="B10" s="84" t="s">
        <v>125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126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127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128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129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59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130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131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3666800</v>
      </c>
      <c r="G17" s="85">
        <f t="shared" si="4"/>
        <v>13055840</v>
      </c>
      <c r="H17" s="85">
        <f t="shared" si="4"/>
        <v>12780260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68946000</v>
      </c>
      <c r="M17" s="89" t="e">
        <f t="shared" si="2"/>
        <v>#REF!</v>
      </c>
    </row>
    <row r="18" spans="1:18" ht="12">
      <c r="A18" s="90">
        <v>4</v>
      </c>
      <c r="B18" s="86" t="s">
        <v>132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123</v>
      </c>
    </row>
    <row r="19" spans="1:18" s="70" customFormat="1" ht="12">
      <c r="A19" s="90">
        <v>5</v>
      </c>
      <c r="B19" s="86" t="s">
        <v>133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3666800</v>
      </c>
      <c r="G19" s="87">
        <f t="shared" si="6"/>
        <v>13055840</v>
      </c>
      <c r="H19" s="87">
        <f t="shared" si="6"/>
        <v>12780260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68946000</v>
      </c>
      <c r="M19" s="89" t="e">
        <f>SUM(C19:L19)</f>
        <v>#REF!</v>
      </c>
    </row>
    <row r="20" spans="1:18" s="70" customFormat="1" ht="12">
      <c r="A20" s="83">
        <v>6</v>
      </c>
      <c r="B20" s="86" t="s">
        <v>134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123</v>
      </c>
    </row>
    <row r="21" spans="1:18" ht="12">
      <c r="A21" s="91"/>
      <c r="B21" s="92" t="s">
        <v>135</v>
      </c>
      <c r="C21" s="92"/>
      <c r="D21" s="92"/>
      <c r="E21" s="92" t="s">
        <v>136</v>
      </c>
      <c r="F21" s="92"/>
      <c r="G21" s="92"/>
      <c r="H21" s="92"/>
      <c r="I21" s="92" t="s">
        <v>137</v>
      </c>
      <c r="J21" s="92"/>
      <c r="K21" s="92"/>
      <c r="L21" s="92"/>
      <c r="M21" s="103"/>
    </row>
    <row r="22" spans="1:18" ht="12">
      <c r="A22" s="93"/>
      <c r="B22" s="94" t="s">
        <v>138</v>
      </c>
      <c r="C22" s="94"/>
      <c r="D22" s="95" t="s">
        <v>139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140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141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0" activePane="bottomRight" state="frozen"/>
      <selection pane="topRight"/>
      <selection pane="bottomLeft"/>
      <selection pane="bottomRight" activeCell="E48" sqref="E48"/>
    </sheetView>
  </sheetViews>
  <sheetFormatPr defaultColWidth="9" defaultRowHeight="16.5"/>
  <cols>
    <col min="1" max="1" width="5.125" style="46" customWidth="1"/>
    <col min="2" max="2" width="17.5" style="46" customWidth="1"/>
    <col min="3" max="5" width="13.25" style="47" customWidth="1"/>
    <col min="6" max="6" width="18.75" style="47" customWidth="1"/>
    <col min="7" max="7" width="12.375" style="46" customWidth="1"/>
    <col min="8" max="8" width="12.875" style="46" customWidth="1"/>
    <col min="9" max="15" width="9" style="46" customWidth="1"/>
    <col min="16" max="32" width="9" style="46"/>
    <col min="33" max="33" width="4.375" style="46" customWidth="1"/>
    <col min="34" max="34" width="13.875" style="46" customWidth="1"/>
    <col min="35" max="16384" width="9" style="46"/>
  </cols>
  <sheetData>
    <row r="1" spans="1:35">
      <c r="A1" s="266" t="s">
        <v>142</v>
      </c>
      <c r="B1" s="266"/>
      <c r="C1" s="270" t="s">
        <v>239</v>
      </c>
      <c r="D1" s="271"/>
      <c r="E1" s="271"/>
      <c r="F1" s="272"/>
    </row>
    <row r="2" spans="1:35">
      <c r="A2" s="266" t="s">
        <v>143</v>
      </c>
      <c r="B2" s="266"/>
      <c r="C2" s="273" t="s">
        <v>286</v>
      </c>
      <c r="D2" s="273"/>
      <c r="E2" s="273"/>
      <c r="F2" s="273"/>
    </row>
    <row r="3" spans="1:35">
      <c r="A3" s="266" t="s">
        <v>144</v>
      </c>
      <c r="B3" s="266"/>
      <c r="C3" s="154">
        <f>销量!C5</f>
        <v>0</v>
      </c>
      <c r="D3" s="223"/>
      <c r="E3" s="223"/>
      <c r="F3" s="267" t="s">
        <v>20</v>
      </c>
    </row>
    <row r="4" spans="1:35" ht="28.5">
      <c r="A4" s="266" t="s">
        <v>145</v>
      </c>
      <c r="B4" s="266"/>
      <c r="C4" s="154" t="str">
        <f>销量!C6</f>
        <v>北汽B41V-C系列-LV1</v>
      </c>
      <c r="D4" s="154" t="str">
        <f>销量!D6</f>
        <v>B41V-C系列-LV2-LV3-P系列-LV3-左</v>
      </c>
      <c r="E4" s="154" t="str">
        <f>销量!E6</f>
        <v>B41V-C系列-LV2-LV3-P系列-LV3-左</v>
      </c>
      <c r="F4" s="268"/>
    </row>
    <row r="5" spans="1:35">
      <c r="A5" s="266" t="s">
        <v>146</v>
      </c>
      <c r="B5" s="266"/>
      <c r="C5" s="49"/>
      <c r="D5" s="216"/>
      <c r="E5" s="216"/>
      <c r="F5" s="269"/>
      <c r="AI5" s="46" t="s">
        <v>21</v>
      </c>
    </row>
    <row r="6" spans="1:35" ht="17.25">
      <c r="A6" s="50" t="s">
        <v>19</v>
      </c>
      <c r="B6" s="51" t="s">
        <v>147</v>
      </c>
      <c r="C6" s="21">
        <f>销量!C9</f>
        <v>2000</v>
      </c>
      <c r="D6" s="21">
        <f>销量!D9</f>
        <v>5000</v>
      </c>
      <c r="E6" s="21">
        <f>销量!E9</f>
        <v>3000</v>
      </c>
      <c r="F6" s="52">
        <f t="shared" ref="F6:F17" si="0">SUM(C6:E6)</f>
        <v>10000</v>
      </c>
      <c r="Q6" s="51" t="s">
        <v>3</v>
      </c>
      <c r="AG6" s="50" t="s">
        <v>19</v>
      </c>
      <c r="AH6" s="51" t="s">
        <v>3</v>
      </c>
      <c r="AI6" s="46" t="s">
        <v>22</v>
      </c>
    </row>
    <row r="7" spans="1:35">
      <c r="A7" s="48">
        <v>1</v>
      </c>
      <c r="B7" s="51" t="s">
        <v>23</v>
      </c>
      <c r="C7" s="52">
        <f>C6*销量!C8</f>
        <v>616560</v>
      </c>
      <c r="D7" s="52">
        <f>D6*销量!D8</f>
        <v>1906399.9999999998</v>
      </c>
      <c r="E7" s="52">
        <f>E6*销量!E8</f>
        <v>1143840</v>
      </c>
      <c r="F7" s="52">
        <f t="shared" si="0"/>
        <v>3666800</v>
      </c>
      <c r="G7" s="47"/>
      <c r="Q7" s="51" t="s">
        <v>23</v>
      </c>
      <c r="AG7" s="50" t="s">
        <v>24</v>
      </c>
      <c r="AH7" s="51" t="s">
        <v>23</v>
      </c>
      <c r="AI7" s="46" t="s">
        <v>22</v>
      </c>
    </row>
    <row r="8" spans="1:35">
      <c r="A8" s="48">
        <v>2</v>
      </c>
      <c r="B8" s="48" t="s">
        <v>25</v>
      </c>
      <c r="C8" s="52"/>
      <c r="D8" s="52"/>
      <c r="E8" s="52"/>
      <c r="F8" s="52">
        <f t="shared" si="0"/>
        <v>0</v>
      </c>
      <c r="G8" s="67"/>
      <c r="Q8" s="48" t="s">
        <v>27</v>
      </c>
      <c r="AG8" s="50" t="s">
        <v>26</v>
      </c>
      <c r="AH8" s="48" t="s">
        <v>27</v>
      </c>
      <c r="AI8" s="46" t="s">
        <v>22</v>
      </c>
    </row>
    <row r="9" spans="1:35">
      <c r="A9" s="48">
        <v>3</v>
      </c>
      <c r="B9" s="51" t="s">
        <v>28</v>
      </c>
      <c r="C9" s="52">
        <f>+C7-C8</f>
        <v>616560</v>
      </c>
      <c r="D9" s="52">
        <f t="shared" ref="D9:E9" si="1">+D7-D8</f>
        <v>1906399.9999999998</v>
      </c>
      <c r="E9" s="52">
        <f t="shared" si="1"/>
        <v>1143840</v>
      </c>
      <c r="F9" s="52">
        <f t="shared" si="0"/>
        <v>3666800</v>
      </c>
      <c r="Q9" s="51" t="s">
        <v>28</v>
      </c>
      <c r="AG9" s="50" t="s">
        <v>29</v>
      </c>
      <c r="AH9" s="51" t="s">
        <v>28</v>
      </c>
      <c r="AI9" s="46" t="s">
        <v>30</v>
      </c>
    </row>
    <row r="10" spans="1:35">
      <c r="A10" s="48">
        <v>4</v>
      </c>
      <c r="B10" s="50" t="s">
        <v>31</v>
      </c>
      <c r="C10" s="52">
        <f>C6*材料成本!E41</f>
        <v>472740</v>
      </c>
      <c r="D10" s="52">
        <f>D6*材料成本!E42</f>
        <v>1437300</v>
      </c>
      <c r="E10" s="52">
        <f>E6*材料成本!E43</f>
        <v>862379.99999999988</v>
      </c>
      <c r="F10" s="52">
        <f t="shared" si="0"/>
        <v>2772420</v>
      </c>
      <c r="Q10" s="50" t="s">
        <v>31</v>
      </c>
      <c r="AG10" s="50" t="s">
        <v>32</v>
      </c>
      <c r="AH10" s="50" t="s">
        <v>31</v>
      </c>
      <c r="AI10" s="46" t="s">
        <v>33</v>
      </c>
    </row>
    <row r="11" spans="1:35">
      <c r="A11" s="48">
        <v>5</v>
      </c>
      <c r="B11" s="50" t="s">
        <v>34</v>
      </c>
      <c r="C11" s="52">
        <f>+C6*C36</f>
        <v>31994.37963252046</v>
      </c>
      <c r="D11" s="52">
        <f t="shared" ref="D11:E11" si="2">+D6*D36</f>
        <v>98926.4391647804</v>
      </c>
      <c r="E11" s="52">
        <f t="shared" si="2"/>
        <v>59355.863498868239</v>
      </c>
      <c r="F11" s="52">
        <f t="shared" si="0"/>
        <v>190276.68229616911</v>
      </c>
      <c r="Q11" s="50" t="s">
        <v>34</v>
      </c>
      <c r="AG11" s="50" t="s">
        <v>35</v>
      </c>
      <c r="AH11" s="50" t="s">
        <v>34</v>
      </c>
    </row>
    <row r="12" spans="1:35">
      <c r="A12" s="48">
        <v>6</v>
      </c>
      <c r="B12" s="50" t="s">
        <v>36</v>
      </c>
      <c r="C12" s="52">
        <f>+C6*C37</f>
        <v>5580.6698699311255</v>
      </c>
      <c r="D12" s="52">
        <f t="shared" ref="D12:E12" si="3">+D6*D37</f>
        <v>17255.399377249087</v>
      </c>
      <c r="E12" s="52">
        <f t="shared" si="3"/>
        <v>10353.239626349452</v>
      </c>
      <c r="F12" s="52">
        <f t="shared" si="0"/>
        <v>33189.308873529662</v>
      </c>
      <c r="Q12" s="50" t="s">
        <v>36</v>
      </c>
      <c r="AG12" s="50" t="s">
        <v>37</v>
      </c>
      <c r="AH12" s="50" t="s">
        <v>36</v>
      </c>
    </row>
    <row r="13" spans="1:35">
      <c r="A13" s="48">
        <v>7</v>
      </c>
      <c r="B13" s="50" t="s">
        <v>38</v>
      </c>
      <c r="C13" s="52">
        <f>+C6*C38</f>
        <v>6782.1599999999989</v>
      </c>
      <c r="D13" s="52">
        <f t="shared" ref="D13:E13" si="4">+D6*D38</f>
        <v>20970.399999999998</v>
      </c>
      <c r="E13" s="52">
        <f t="shared" si="4"/>
        <v>12582.239999999998</v>
      </c>
      <c r="F13" s="52">
        <f t="shared" si="0"/>
        <v>40334.799999999996</v>
      </c>
      <c r="Q13" s="50" t="s">
        <v>38</v>
      </c>
      <c r="AG13" s="50" t="s">
        <v>39</v>
      </c>
      <c r="AH13" s="50" t="s">
        <v>38</v>
      </c>
      <c r="AI13" s="46" t="s">
        <v>22</v>
      </c>
    </row>
    <row r="14" spans="1:35">
      <c r="A14" s="48">
        <v>8</v>
      </c>
      <c r="B14" s="53" t="s">
        <v>40</v>
      </c>
      <c r="C14" s="52">
        <f>SUM(C11:C13)</f>
        <v>44357.20950245158</v>
      </c>
      <c r="D14" s="52">
        <f t="shared" ref="D14:E14" si="5">SUM(D11:D13)</f>
        <v>137152.23854202949</v>
      </c>
      <c r="E14" s="52">
        <f t="shared" si="5"/>
        <v>82291.343125217682</v>
      </c>
      <c r="F14" s="52">
        <f t="shared" si="0"/>
        <v>263800.79116969876</v>
      </c>
      <c r="H14" s="67"/>
      <c r="Q14" s="53" t="s">
        <v>40</v>
      </c>
      <c r="AG14" s="50" t="s">
        <v>41</v>
      </c>
      <c r="AH14" s="53" t="s">
        <v>40</v>
      </c>
    </row>
    <row r="15" spans="1:35">
      <c r="A15" s="48">
        <v>9</v>
      </c>
      <c r="B15" s="53" t="s">
        <v>42</v>
      </c>
      <c r="C15" s="52">
        <f>+C9-C10-C14</f>
        <v>99462.790497548413</v>
      </c>
      <c r="D15" s="52">
        <f t="shared" ref="D15:E15" si="6">+D9-D10-D14</f>
        <v>331947.76145797025</v>
      </c>
      <c r="E15" s="52">
        <f t="shared" si="6"/>
        <v>199168.65687478243</v>
      </c>
      <c r="F15" s="52">
        <f t="shared" si="0"/>
        <v>630579.20883030107</v>
      </c>
      <c r="Q15" s="53" t="s">
        <v>42</v>
      </c>
      <c r="AG15" s="50" t="s">
        <v>43</v>
      </c>
      <c r="AH15" s="53" t="s">
        <v>42</v>
      </c>
    </row>
    <row r="16" spans="1:35">
      <c r="A16" s="48">
        <v>10</v>
      </c>
      <c r="B16" s="50" t="s">
        <v>44</v>
      </c>
      <c r="C16" s="54">
        <f>+C15/C9</f>
        <v>0.16131891543004478</v>
      </c>
      <c r="D16" s="54">
        <f t="shared" ref="D16:E16" si="7">+D15/D9</f>
        <v>0.17412282913238056</v>
      </c>
      <c r="E16" s="54">
        <f t="shared" si="7"/>
        <v>0.17412282913238078</v>
      </c>
      <c r="F16" s="54">
        <f t="shared" ref="F16" si="8">+F15/F9</f>
        <v>0.17196989441210347</v>
      </c>
      <c r="Q16" s="50" t="s">
        <v>44</v>
      </c>
      <c r="AG16" s="50" t="s">
        <v>45</v>
      </c>
      <c r="AH16" s="50" t="s">
        <v>44</v>
      </c>
    </row>
    <row r="17" spans="1:35">
      <c r="A17" s="48">
        <v>11</v>
      </c>
      <c r="B17" s="50" t="s">
        <v>46</v>
      </c>
      <c r="C17" s="52">
        <f>C6*C43+C18</f>
        <v>94451.638857142854</v>
      </c>
      <c r="D17" s="52">
        <f t="shared" ref="D17:E17" si="9">D6*D43+D18</f>
        <v>264088.09714285715</v>
      </c>
      <c r="E17" s="52">
        <f t="shared" si="9"/>
        <v>158452.85828571429</v>
      </c>
      <c r="F17" s="52">
        <f t="shared" si="0"/>
        <v>516992.59428571432</v>
      </c>
      <c r="G17" s="162"/>
      <c r="H17" s="163"/>
      <c r="I17" s="163"/>
      <c r="Q17" s="50" t="s">
        <v>46</v>
      </c>
      <c r="AG17" s="50" t="s">
        <v>47</v>
      </c>
      <c r="AH17" s="50" t="s">
        <v>46</v>
      </c>
    </row>
    <row r="18" spans="1:35" s="44" customFormat="1">
      <c r="A18" s="48">
        <v>12</v>
      </c>
      <c r="B18" s="55" t="s">
        <v>148</v>
      </c>
      <c r="C18" s="56">
        <f>$F$18/$F$6*C6</f>
        <v>47223.142857142862</v>
      </c>
      <c r="D18" s="56">
        <f>$F$18/$F$6*D6</f>
        <v>118057.85714285714</v>
      </c>
      <c r="E18" s="56">
        <f>$F$18/$F$6*E6</f>
        <v>70834.71428571429</v>
      </c>
      <c r="F18" s="56">
        <f>项目投资!D26</f>
        <v>236115.71428571432</v>
      </c>
      <c r="G18" s="164" t="s">
        <v>149</v>
      </c>
      <c r="H18" s="164"/>
      <c r="I18" s="164"/>
    </row>
    <row r="19" spans="1:35">
      <c r="A19" s="48">
        <v>13</v>
      </c>
      <c r="B19" s="50" t="s">
        <v>48</v>
      </c>
      <c r="C19" s="52">
        <f>C6*C44</f>
        <v>2096.3039999999996</v>
      </c>
      <c r="D19" s="52">
        <f t="shared" ref="D19:E19" si="10">D6*D44</f>
        <v>6481.7599999999984</v>
      </c>
      <c r="E19" s="52">
        <f t="shared" si="10"/>
        <v>3889.0559999999991</v>
      </c>
      <c r="F19" s="52">
        <f>SUM(C19:E19)</f>
        <v>12467.119999999997</v>
      </c>
      <c r="G19" s="165"/>
      <c r="H19" s="163"/>
      <c r="I19" s="163"/>
      <c r="Q19" s="50" t="s">
        <v>48</v>
      </c>
      <c r="AG19" s="50" t="s">
        <v>49</v>
      </c>
      <c r="AH19" s="50" t="s">
        <v>48</v>
      </c>
      <c r="AI19" s="46" t="s">
        <v>22</v>
      </c>
    </row>
    <row r="20" spans="1:35">
      <c r="A20" s="48">
        <v>14</v>
      </c>
      <c r="B20" s="50" t="s">
        <v>50</v>
      </c>
      <c r="C20" s="52">
        <f>C6*C45</f>
        <v>21394.631999999998</v>
      </c>
      <c r="D20" s="52">
        <f t="shared" ref="D20:E20" si="11">D6*D45</f>
        <v>66152.08</v>
      </c>
      <c r="E20" s="52">
        <f t="shared" si="11"/>
        <v>39691.248</v>
      </c>
      <c r="F20" s="52">
        <f>SUM(C20:E20)</f>
        <v>127237.95999999999</v>
      </c>
      <c r="Q20" s="50" t="s">
        <v>50</v>
      </c>
      <c r="AG20" s="50" t="s">
        <v>51</v>
      </c>
      <c r="AH20" s="50" t="s">
        <v>50</v>
      </c>
    </row>
    <row r="21" spans="1:35">
      <c r="A21" s="48">
        <v>15</v>
      </c>
      <c r="B21" s="50" t="s">
        <v>52</v>
      </c>
      <c r="C21" s="57">
        <f>$F$21/$F$6*C6</f>
        <v>0</v>
      </c>
      <c r="D21" s="57">
        <f>$F$21/$F$6*D6</f>
        <v>0</v>
      </c>
      <c r="E21" s="57">
        <f>$F$21/$F$6*E6</f>
        <v>0</v>
      </c>
      <c r="F21" s="52">
        <f>项目投资!D27</f>
        <v>0</v>
      </c>
      <c r="Q21" s="50" t="s">
        <v>52</v>
      </c>
      <c r="AG21" s="50"/>
      <c r="AH21" s="50"/>
    </row>
    <row r="22" spans="1:35">
      <c r="A22" s="48">
        <v>16</v>
      </c>
      <c r="B22" s="50" t="s">
        <v>53</v>
      </c>
      <c r="C22" s="52">
        <f>C6*C47</f>
        <v>24662.399999999998</v>
      </c>
      <c r="D22" s="52">
        <f t="shared" ref="D22:E22" si="12">D6*D47</f>
        <v>76256</v>
      </c>
      <c r="E22" s="52">
        <f t="shared" si="12"/>
        <v>45753.599999999999</v>
      </c>
      <c r="F22" s="52">
        <f>SUM(C22:E22)</f>
        <v>146672</v>
      </c>
      <c r="Q22" s="50" t="s">
        <v>53</v>
      </c>
      <c r="AG22" s="50" t="s">
        <v>54</v>
      </c>
      <c r="AH22" s="50" t="s">
        <v>53</v>
      </c>
    </row>
    <row r="23" spans="1:35">
      <c r="A23" s="48">
        <v>17</v>
      </c>
      <c r="B23" s="53" t="s">
        <v>55</v>
      </c>
      <c r="C23" s="57">
        <f>+C22+C21+C20+C19+C17</f>
        <v>142604.97485714284</v>
      </c>
      <c r="D23" s="57">
        <f t="shared" ref="D23:E23" si="13">+D22+D21+D20+D19+D17</f>
        <v>412977.93714285718</v>
      </c>
      <c r="E23" s="57">
        <f t="shared" si="13"/>
        <v>247786.76228571427</v>
      </c>
      <c r="F23" s="57">
        <f>+F22+F21+F20+F19+F17</f>
        <v>803369.67428571428</v>
      </c>
      <c r="Q23" s="53" t="s">
        <v>55</v>
      </c>
      <c r="AG23" s="50" t="s">
        <v>56</v>
      </c>
      <c r="AH23" s="53" t="s">
        <v>55</v>
      </c>
    </row>
    <row r="24" spans="1:35">
      <c r="A24" s="48">
        <v>18</v>
      </c>
      <c r="B24" s="58" t="s">
        <v>57</v>
      </c>
      <c r="C24" s="57">
        <f>+C15-C23</f>
        <v>-43142.184359594423</v>
      </c>
      <c r="D24" s="57">
        <f t="shared" ref="D24:E24" si="14">+D15-D23</f>
        <v>-81030.175684886926</v>
      </c>
      <c r="E24" s="57">
        <f t="shared" si="14"/>
        <v>-48618.105410931836</v>
      </c>
      <c r="F24" s="57">
        <f t="shared" ref="F24" si="15">+F15-F23</f>
        <v>-172790.46545541321</v>
      </c>
      <c r="H24" s="69"/>
      <c r="Q24" s="50" t="s">
        <v>57</v>
      </c>
      <c r="AG24" s="50" t="s">
        <v>58</v>
      </c>
      <c r="AH24" s="50" t="s">
        <v>57</v>
      </c>
    </row>
    <row r="25" spans="1:35">
      <c r="A25" s="48">
        <v>19</v>
      </c>
      <c r="B25" s="50" t="s">
        <v>248</v>
      </c>
      <c r="C25" s="57">
        <f>IF(C24&lt;0,0,C24*0.15)</f>
        <v>0</v>
      </c>
      <c r="D25" s="57">
        <f t="shared" ref="D25:E25" si="16">IF(D24&lt;0,0,D24*0.15)</f>
        <v>0</v>
      </c>
      <c r="E25" s="57">
        <f t="shared" si="16"/>
        <v>0</v>
      </c>
      <c r="F25" s="57">
        <f>IF(F24&lt;0,0,F24*0.15)</f>
        <v>0</v>
      </c>
      <c r="G25" s="65"/>
      <c r="H25" s="65"/>
      <c r="I25" s="65"/>
      <c r="Q25" s="50" t="s">
        <v>59</v>
      </c>
      <c r="AG25" s="50" t="s">
        <v>60</v>
      </c>
      <c r="AH25" s="50" t="s">
        <v>59</v>
      </c>
    </row>
    <row r="26" spans="1:35">
      <c r="A26" s="48">
        <v>20</v>
      </c>
      <c r="B26" s="50" t="s">
        <v>61</v>
      </c>
      <c r="C26" s="57">
        <f t="shared" ref="C26:E26" si="17">C24-C25</f>
        <v>-43142.184359594423</v>
      </c>
      <c r="D26" s="57">
        <f t="shared" si="17"/>
        <v>-81030.175684886926</v>
      </c>
      <c r="E26" s="57">
        <f t="shared" si="17"/>
        <v>-48618.105410931836</v>
      </c>
      <c r="F26" s="52">
        <f>SUM(C26:E26)</f>
        <v>-172790.46545541318</v>
      </c>
      <c r="G26" s="65"/>
      <c r="H26" s="65"/>
      <c r="I26" s="65"/>
      <c r="Q26" s="50" t="s">
        <v>61</v>
      </c>
      <c r="AG26" s="50" t="s">
        <v>62</v>
      </c>
      <c r="AH26" s="50" t="s">
        <v>61</v>
      </c>
    </row>
    <row r="27" spans="1:35">
      <c r="A27" s="48">
        <v>21</v>
      </c>
      <c r="B27" s="50" t="s">
        <v>65</v>
      </c>
      <c r="C27" s="59">
        <f t="shared" ref="C27:F27" si="18">C26/C7</f>
        <v>-6.9972402295955666E-2</v>
      </c>
      <c r="D27" s="59">
        <f t="shared" si="18"/>
        <v>-4.2504288546415726E-2</v>
      </c>
      <c r="E27" s="59">
        <f t="shared" si="18"/>
        <v>-4.2504288546415442E-2</v>
      </c>
      <c r="F27" s="59">
        <f t="shared" si="18"/>
        <v>-4.7122958834791423E-2</v>
      </c>
      <c r="G27" s="65"/>
      <c r="H27" s="65"/>
      <c r="I27" s="65"/>
      <c r="Q27" s="50" t="s">
        <v>65</v>
      </c>
      <c r="AG27" s="50" t="s">
        <v>64</v>
      </c>
      <c r="AH27" s="50" t="s">
        <v>65</v>
      </c>
    </row>
    <row r="28" spans="1:35">
      <c r="G28" s="65"/>
      <c r="H28" s="65"/>
      <c r="I28" s="65"/>
      <c r="Q28" s="50"/>
    </row>
    <row r="29" spans="1:35">
      <c r="A29" s="46" t="s">
        <v>66</v>
      </c>
      <c r="F29" s="47" t="s">
        <v>151</v>
      </c>
      <c r="G29" s="65"/>
      <c r="H29" s="65"/>
      <c r="I29" s="65"/>
      <c r="Q29" s="50"/>
      <c r="AG29" s="46" t="s">
        <v>66</v>
      </c>
    </row>
    <row r="30" spans="1:35">
      <c r="A30" s="50" t="s">
        <v>67</v>
      </c>
      <c r="B30" s="53" t="s">
        <v>68</v>
      </c>
      <c r="C30" s="57"/>
      <c r="D30" s="57"/>
      <c r="E30" s="57"/>
      <c r="F30" s="57"/>
      <c r="G30" s="65"/>
      <c r="H30" s="65"/>
      <c r="I30" s="65"/>
      <c r="K30" s="65"/>
      <c r="Q30" s="53" t="s">
        <v>68</v>
      </c>
      <c r="AG30" s="50" t="s">
        <v>69</v>
      </c>
      <c r="AH30" s="53" t="s">
        <v>68</v>
      </c>
    </row>
    <row r="31" spans="1:35">
      <c r="A31" s="60">
        <v>1</v>
      </c>
      <c r="B31" s="55" t="s">
        <v>70</v>
      </c>
      <c r="C31" s="61">
        <f>销量!C8</f>
        <v>308.27999999999997</v>
      </c>
      <c r="D31" s="61">
        <f>销量!D8</f>
        <v>381.28</v>
      </c>
      <c r="E31" s="61">
        <f>销量!E8</f>
        <v>381.28</v>
      </c>
      <c r="F31" s="57"/>
      <c r="G31" s="65"/>
      <c r="H31" s="65"/>
      <c r="I31" s="65"/>
      <c r="K31" s="65"/>
      <c r="Q31" s="50" t="s">
        <v>70</v>
      </c>
      <c r="AG31" s="50" t="s">
        <v>24</v>
      </c>
      <c r="AH31" s="50" t="s">
        <v>70</v>
      </c>
    </row>
    <row r="32" spans="1:35">
      <c r="A32" s="60">
        <v>2</v>
      </c>
      <c r="B32" s="50" t="s">
        <v>152</v>
      </c>
      <c r="C32" s="52">
        <f>C31*1</f>
        <v>308.27999999999997</v>
      </c>
      <c r="D32" s="52">
        <f t="shared" ref="D32:E32" si="19">D31*1</f>
        <v>381.28</v>
      </c>
      <c r="E32" s="52">
        <f t="shared" si="19"/>
        <v>381.28</v>
      </c>
      <c r="F32" s="57"/>
      <c r="G32" s="65"/>
      <c r="H32" s="65"/>
      <c r="I32" s="65"/>
      <c r="J32" s="65"/>
      <c r="K32" s="65"/>
      <c r="L32" s="65"/>
      <c r="M32" s="65"/>
      <c r="AG32" s="50"/>
      <c r="AH32" s="50"/>
    </row>
    <row r="33" spans="1:34">
      <c r="A33" s="60">
        <v>3</v>
      </c>
      <c r="B33" s="55" t="s">
        <v>71</v>
      </c>
      <c r="C33" s="52">
        <f>材料成本!E41</f>
        <v>236.37</v>
      </c>
      <c r="D33" s="52">
        <f>材料成本!E42</f>
        <v>287.45999999999998</v>
      </c>
      <c r="E33" s="52">
        <f>材料成本!E43</f>
        <v>287.45999999999998</v>
      </c>
      <c r="F33" s="57"/>
      <c r="H33" s="65"/>
      <c r="I33" s="65"/>
      <c r="J33" s="65"/>
      <c r="K33" s="65"/>
      <c r="L33" s="65"/>
      <c r="M33" s="65"/>
      <c r="Q33" s="50" t="s">
        <v>71</v>
      </c>
      <c r="AG33" s="50" t="s">
        <v>26</v>
      </c>
      <c r="AH33" s="50" t="s">
        <v>71</v>
      </c>
    </row>
    <row r="34" spans="1:34" ht="17.25" customHeight="1">
      <c r="A34" s="60">
        <v>4</v>
      </c>
      <c r="B34" s="50" t="s">
        <v>73</v>
      </c>
      <c r="C34" s="62">
        <f>C32-C33</f>
        <v>71.909999999999968</v>
      </c>
      <c r="D34" s="62">
        <f t="shared" ref="D34:E34" si="20">D32-D33</f>
        <v>93.82</v>
      </c>
      <c r="E34" s="62">
        <f t="shared" si="20"/>
        <v>93.82</v>
      </c>
      <c r="F34" s="57"/>
      <c r="H34" s="65"/>
      <c r="I34" s="65"/>
      <c r="J34" s="65"/>
      <c r="K34" s="65"/>
      <c r="L34" s="65"/>
      <c r="M34" s="65"/>
      <c r="Q34" s="50" t="s">
        <v>73</v>
      </c>
      <c r="AG34" s="50" t="s">
        <v>72</v>
      </c>
      <c r="AH34" s="50" t="s">
        <v>73</v>
      </c>
    </row>
    <row r="35" spans="1:34">
      <c r="A35" s="50" t="s">
        <v>69</v>
      </c>
      <c r="B35" s="53" t="s">
        <v>10</v>
      </c>
      <c r="C35" s="57"/>
      <c r="D35" s="57"/>
      <c r="E35" s="57"/>
      <c r="F35" s="57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53" t="s">
        <v>10</v>
      </c>
      <c r="AG35" s="50" t="s">
        <v>75</v>
      </c>
      <c r="AH35" s="53" t="s">
        <v>10</v>
      </c>
    </row>
    <row r="36" spans="1:34">
      <c r="A36" s="60">
        <v>1</v>
      </c>
      <c r="B36" s="50" t="s">
        <v>76</v>
      </c>
      <c r="C36" s="56">
        <f>标准成本!F4</f>
        <v>15.99718981626023</v>
      </c>
      <c r="D36" s="56">
        <f>标准成本!F18</f>
        <v>19.78528783295608</v>
      </c>
      <c r="E36" s="56">
        <f>标准成本!F32</f>
        <v>19.78528783295608</v>
      </c>
      <c r="F36" s="61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50" t="s">
        <v>76</v>
      </c>
      <c r="AG36" s="50" t="s">
        <v>72</v>
      </c>
      <c r="AH36" s="50" t="s">
        <v>76</v>
      </c>
    </row>
    <row r="37" spans="1:34">
      <c r="A37" s="60">
        <v>2</v>
      </c>
      <c r="B37" s="50" t="s">
        <v>77</v>
      </c>
      <c r="C37" s="56">
        <f>标准成本!F6</f>
        <v>2.7903349349655628</v>
      </c>
      <c r="D37" s="56">
        <f>标准成本!F20</f>
        <v>3.4510798754498175</v>
      </c>
      <c r="E37" s="56">
        <f>标准成本!F34</f>
        <v>3.4510798754498175</v>
      </c>
      <c r="F37" s="61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50" t="s">
        <v>77</v>
      </c>
      <c r="AG37" s="50" t="s">
        <v>29</v>
      </c>
      <c r="AH37" s="50" t="s">
        <v>77</v>
      </c>
    </row>
    <row r="38" spans="1:34">
      <c r="A38" s="60">
        <v>3</v>
      </c>
      <c r="B38" s="50" t="s">
        <v>78</v>
      </c>
      <c r="C38" s="56">
        <f>标准成本!F10</f>
        <v>3.3910799999999997</v>
      </c>
      <c r="D38" s="56">
        <f>标准成本!F24</f>
        <v>4.1940799999999996</v>
      </c>
      <c r="E38" s="56">
        <f>标准成本!F38</f>
        <v>4.1940799999999996</v>
      </c>
      <c r="F38" s="61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50" t="s">
        <v>78</v>
      </c>
      <c r="AG38" s="50" t="s">
        <v>35</v>
      </c>
      <c r="AH38" s="50" t="s">
        <v>78</v>
      </c>
    </row>
    <row r="39" spans="1:34">
      <c r="A39" s="50" t="s">
        <v>75</v>
      </c>
      <c r="B39" s="53" t="s">
        <v>80</v>
      </c>
      <c r="C39" s="57"/>
      <c r="D39" s="57"/>
      <c r="E39" s="57"/>
      <c r="F39" s="57"/>
      <c r="Q39" s="53" t="s">
        <v>80</v>
      </c>
      <c r="AG39" s="50" t="s">
        <v>79</v>
      </c>
      <c r="AH39" s="53" t="s">
        <v>80</v>
      </c>
    </row>
    <row r="40" spans="1:34">
      <c r="A40" s="60">
        <v>1</v>
      </c>
      <c r="B40" s="50" t="s">
        <v>82</v>
      </c>
      <c r="C40" s="57">
        <f>C34-C36-C37-C38</f>
        <v>49.73139524877417</v>
      </c>
      <c r="D40" s="57">
        <f t="shared" ref="D40:E40" si="21">D34-D36-D37-D38</f>
        <v>66.3895522915941</v>
      </c>
      <c r="E40" s="57">
        <f t="shared" si="21"/>
        <v>66.3895522915941</v>
      </c>
      <c r="F40" s="57"/>
      <c r="Q40" s="50" t="s">
        <v>82</v>
      </c>
      <c r="AG40" s="50" t="s">
        <v>24</v>
      </c>
      <c r="AH40" s="50" t="s">
        <v>82</v>
      </c>
    </row>
    <row r="41" spans="1:34">
      <c r="A41" s="60">
        <v>2</v>
      </c>
      <c r="B41" s="50" t="s">
        <v>83</v>
      </c>
      <c r="C41" s="57"/>
      <c r="D41" s="57"/>
      <c r="E41" s="57"/>
      <c r="F41" s="57"/>
      <c r="Q41" s="50" t="s">
        <v>83</v>
      </c>
      <c r="AG41" s="50" t="s">
        <v>26</v>
      </c>
      <c r="AH41" s="50" t="s">
        <v>83</v>
      </c>
    </row>
    <row r="42" spans="1:34">
      <c r="A42" s="50" t="s">
        <v>79</v>
      </c>
      <c r="B42" s="53" t="s">
        <v>85</v>
      </c>
      <c r="C42" s="57"/>
      <c r="D42" s="57"/>
      <c r="E42" s="57"/>
      <c r="F42" s="57"/>
      <c r="Q42" s="53" t="s">
        <v>85</v>
      </c>
      <c r="AG42" s="50" t="s">
        <v>84</v>
      </c>
      <c r="AH42" s="53" t="s">
        <v>85</v>
      </c>
    </row>
    <row r="43" spans="1:34">
      <c r="A43" s="60">
        <v>1</v>
      </c>
      <c r="B43" s="58" t="s">
        <v>86</v>
      </c>
      <c r="C43" s="56">
        <f>标准成本!F5</f>
        <v>23.614248</v>
      </c>
      <c r="D43" s="56">
        <f>标准成本!F19</f>
        <v>29.206047999999999</v>
      </c>
      <c r="E43" s="56">
        <f>标准成本!F33</f>
        <v>29.206047999999999</v>
      </c>
      <c r="F43" s="57"/>
      <c r="Q43" s="50" t="s">
        <v>86</v>
      </c>
      <c r="AG43" s="50" t="s">
        <v>24</v>
      </c>
      <c r="AH43" s="50" t="s">
        <v>86</v>
      </c>
    </row>
    <row r="44" spans="1:34">
      <c r="A44" s="60">
        <v>2</v>
      </c>
      <c r="B44" s="58" t="s">
        <v>87</v>
      </c>
      <c r="C44" s="56">
        <f>标准成本!F9</f>
        <v>1.0481519999999998</v>
      </c>
      <c r="D44" s="56">
        <f>标准成本!F23</f>
        <v>1.2963519999999997</v>
      </c>
      <c r="E44" s="56">
        <f>标准成本!F37</f>
        <v>1.2963519999999997</v>
      </c>
      <c r="F44" s="57"/>
      <c r="Q44" s="50" t="s">
        <v>87</v>
      </c>
      <c r="AG44" s="50" t="s">
        <v>26</v>
      </c>
      <c r="AH44" s="50" t="s">
        <v>87</v>
      </c>
    </row>
    <row r="45" spans="1:34">
      <c r="A45" s="60">
        <v>3</v>
      </c>
      <c r="B45" s="58" t="s">
        <v>88</v>
      </c>
      <c r="C45" s="56">
        <f>标准成本!F8</f>
        <v>10.697315999999999</v>
      </c>
      <c r="D45" s="56">
        <f>标准成本!F22</f>
        <v>13.230416</v>
      </c>
      <c r="E45" s="56">
        <f>标准成本!F36</f>
        <v>13.230416</v>
      </c>
      <c r="F45" s="57"/>
      <c r="Q45" s="50" t="s">
        <v>88</v>
      </c>
      <c r="AG45" s="50" t="s">
        <v>72</v>
      </c>
      <c r="AH45" s="50" t="s">
        <v>88</v>
      </c>
    </row>
    <row r="46" spans="1:34" s="45" customFormat="1">
      <c r="A46" s="60">
        <v>4</v>
      </c>
      <c r="B46" s="58" t="s">
        <v>89</v>
      </c>
      <c r="C46" s="63">
        <f>C21/C6</f>
        <v>0</v>
      </c>
      <c r="D46" s="63">
        <f t="shared" ref="D46:E46" si="22">D21/D6</f>
        <v>0</v>
      </c>
      <c r="E46" s="63">
        <f t="shared" si="22"/>
        <v>0</v>
      </c>
      <c r="F46" s="63"/>
      <c r="Q46" s="58" t="s">
        <v>91</v>
      </c>
      <c r="AG46" s="58" t="s">
        <v>32</v>
      </c>
      <c r="AH46" s="58" t="s">
        <v>91</v>
      </c>
    </row>
    <row r="47" spans="1:34" s="45" customFormat="1">
      <c r="A47" s="60">
        <v>5</v>
      </c>
      <c r="B47" s="58" t="s">
        <v>91</v>
      </c>
      <c r="C47" s="63">
        <f>标准成本!F11</f>
        <v>12.331199999999999</v>
      </c>
      <c r="D47" s="63">
        <f>标准成本!F25</f>
        <v>15.251199999999999</v>
      </c>
      <c r="E47" s="63">
        <f>标准成本!F39</f>
        <v>15.251199999999999</v>
      </c>
      <c r="F47" s="63"/>
      <c r="Q47" s="58" t="s">
        <v>91</v>
      </c>
      <c r="AG47" s="58" t="s">
        <v>32</v>
      </c>
      <c r="AH47" s="58" t="s">
        <v>91</v>
      </c>
    </row>
    <row r="48" spans="1:34">
      <c r="A48" s="50" t="s">
        <v>84</v>
      </c>
      <c r="B48" s="53" t="s">
        <v>102</v>
      </c>
      <c r="C48" s="57">
        <f>C40-C43-C44-C45-C47-C46</f>
        <v>2.0404792487741741</v>
      </c>
      <c r="D48" s="57">
        <f t="shared" ref="D48:E48" si="23">D40-D43-D44-D45-D47-D46</f>
        <v>7.4055362915941085</v>
      </c>
      <c r="E48" s="57">
        <f t="shared" si="23"/>
        <v>7.4055362915941085</v>
      </c>
      <c r="F48" s="57"/>
      <c r="Q48" s="53" t="s">
        <v>102</v>
      </c>
      <c r="AG48" s="50" t="s">
        <v>101</v>
      </c>
      <c r="AH48" s="53" t="s">
        <v>102</v>
      </c>
    </row>
    <row r="51" spans="2:11">
      <c r="C51" s="64"/>
      <c r="D51" s="64"/>
      <c r="E51" s="64"/>
    </row>
    <row r="54" spans="2:11">
      <c r="B54" s="65"/>
      <c r="C54" s="66"/>
      <c r="D54" s="66"/>
      <c r="E54" s="66"/>
      <c r="F54" s="66"/>
      <c r="G54" s="65"/>
      <c r="H54" s="65"/>
      <c r="I54" s="65"/>
      <c r="J54" s="65"/>
      <c r="K54" s="65"/>
    </row>
    <row r="55" spans="2:11">
      <c r="B55" s="65"/>
      <c r="C55" s="66"/>
      <c r="D55" s="66"/>
      <c r="E55" s="66"/>
      <c r="F55" s="66"/>
      <c r="G55" s="65"/>
      <c r="H55" s="65"/>
      <c r="I55" s="65"/>
      <c r="J55" s="65"/>
      <c r="K55" s="65"/>
    </row>
    <row r="56" spans="2:11">
      <c r="B56" s="65"/>
      <c r="C56" s="66"/>
      <c r="D56" s="66"/>
      <c r="E56" s="66"/>
      <c r="F56" s="66"/>
      <c r="G56" s="65"/>
      <c r="H56" s="65"/>
      <c r="I56" s="65"/>
      <c r="J56" s="65"/>
      <c r="K56" s="65"/>
    </row>
    <row r="57" spans="2:11">
      <c r="B57" s="65"/>
      <c r="C57" s="66"/>
      <c r="D57" s="66"/>
      <c r="E57" s="66"/>
      <c r="F57" s="66"/>
      <c r="G57" s="65"/>
      <c r="H57" s="65"/>
      <c r="I57" s="65"/>
      <c r="J57" s="65"/>
      <c r="K57" s="65"/>
    </row>
    <row r="58" spans="2:11">
      <c r="B58" s="65"/>
      <c r="C58" s="66"/>
      <c r="D58" s="66"/>
      <c r="E58" s="66"/>
      <c r="F58" s="66"/>
      <c r="G58" s="65"/>
      <c r="H58" s="65"/>
      <c r="I58" s="65"/>
      <c r="J58" s="65"/>
      <c r="K58" s="65"/>
    </row>
    <row r="59" spans="2:11">
      <c r="B59" s="65"/>
      <c r="C59" s="66"/>
      <c r="D59" s="66"/>
      <c r="E59" s="66"/>
      <c r="F59" s="66"/>
      <c r="G59" s="65"/>
      <c r="H59" s="65"/>
      <c r="I59" s="65"/>
      <c r="J59" s="65"/>
      <c r="K59" s="65"/>
    </row>
    <row r="60" spans="2:11">
      <c r="B60" s="65"/>
      <c r="C60" s="66"/>
      <c r="D60" s="66"/>
      <c r="E60" s="66"/>
      <c r="F60" s="66"/>
      <c r="G60" s="65"/>
      <c r="H60" s="65"/>
      <c r="I60" s="65"/>
      <c r="J60" s="65"/>
      <c r="K60" s="65"/>
    </row>
    <row r="61" spans="2:11">
      <c r="B61" s="65"/>
      <c r="C61" s="66"/>
      <c r="D61" s="66"/>
      <c r="E61" s="66"/>
      <c r="F61" s="66"/>
      <c r="G61" s="65"/>
      <c r="H61" s="65"/>
      <c r="I61" s="65"/>
      <c r="J61" s="65"/>
      <c r="K61" s="65"/>
    </row>
    <row r="62" spans="2:11">
      <c r="B62" s="65"/>
      <c r="C62" s="66"/>
      <c r="D62" s="66"/>
      <c r="E62" s="66"/>
      <c r="F62" s="66"/>
      <c r="G62" s="65"/>
      <c r="H62" s="65"/>
      <c r="I62" s="65"/>
      <c r="J62" s="65"/>
      <c r="K62" s="65"/>
    </row>
    <row r="63" spans="2:11">
      <c r="B63" s="65"/>
      <c r="C63" s="66"/>
      <c r="D63" s="66"/>
      <c r="E63" s="66"/>
      <c r="F63" s="66"/>
      <c r="G63" s="65"/>
      <c r="H63" s="65"/>
      <c r="I63" s="65"/>
      <c r="J63" s="65"/>
      <c r="K63" s="65"/>
    </row>
    <row r="64" spans="2:11">
      <c r="B64" s="65"/>
      <c r="C64" s="66"/>
      <c r="D64" s="66"/>
      <c r="E64" s="66"/>
      <c r="F64" s="66"/>
      <c r="G64" s="65"/>
      <c r="H64" s="65"/>
      <c r="I64" s="65"/>
      <c r="J64" s="65"/>
      <c r="K64" s="65"/>
    </row>
    <row r="65" spans="2:11">
      <c r="B65" s="65"/>
      <c r="C65" s="66"/>
      <c r="D65" s="66"/>
      <c r="E65" s="66"/>
      <c r="F65" s="66"/>
      <c r="G65" s="65"/>
      <c r="H65" s="65"/>
      <c r="I65" s="65"/>
      <c r="J65" s="65"/>
      <c r="K65" s="65"/>
    </row>
    <row r="66" spans="2:11">
      <c r="B66" s="65"/>
      <c r="C66" s="66"/>
      <c r="D66" s="66"/>
      <c r="E66" s="66"/>
      <c r="F66" s="66"/>
      <c r="G66" s="65"/>
      <c r="H66" s="65"/>
      <c r="I66" s="65"/>
      <c r="J66" s="65"/>
      <c r="K66" s="65"/>
    </row>
    <row r="67" spans="2:11">
      <c r="B67" s="65"/>
      <c r="C67" s="66"/>
      <c r="D67" s="66"/>
      <c r="E67" s="66"/>
      <c r="F67" s="66"/>
      <c r="G67" s="65"/>
    </row>
    <row r="68" spans="2:11">
      <c r="B68" s="65"/>
      <c r="C68" s="66"/>
      <c r="D68" s="66"/>
      <c r="E68" s="66"/>
      <c r="F68" s="66"/>
      <c r="G68" s="65"/>
    </row>
    <row r="69" spans="2:11">
      <c r="B69" s="65"/>
      <c r="C69" s="66"/>
      <c r="D69" s="66"/>
      <c r="E69" s="66"/>
      <c r="F69" s="66"/>
      <c r="G69" s="65"/>
    </row>
    <row r="70" spans="2:11">
      <c r="B70" s="65"/>
      <c r="C70" s="66"/>
      <c r="D70" s="66"/>
      <c r="E70" s="66"/>
      <c r="F70" s="66"/>
      <c r="G70" s="65"/>
    </row>
    <row r="71" spans="2:11">
      <c r="B71" s="65"/>
      <c r="C71" s="66"/>
      <c r="D71" s="66"/>
      <c r="E71" s="66"/>
      <c r="F71" s="66"/>
      <c r="G71" s="65"/>
    </row>
    <row r="72" spans="2:11">
      <c r="B72" s="65"/>
      <c r="C72" s="66"/>
      <c r="D72" s="66"/>
      <c r="E72" s="66"/>
      <c r="F72" s="66"/>
      <c r="G72" s="65"/>
    </row>
    <row r="73" spans="2:11">
      <c r="B73" s="65"/>
      <c r="C73" s="66"/>
      <c r="D73" s="66"/>
      <c r="E73" s="66"/>
      <c r="F73" s="66"/>
      <c r="G73" s="65"/>
    </row>
    <row r="74" spans="2:11">
      <c r="B74" s="65"/>
      <c r="C74" s="66"/>
      <c r="D74" s="66"/>
      <c r="E74" s="66"/>
      <c r="F74" s="66"/>
      <c r="G74" s="65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20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6" customWidth="1"/>
    <col min="2" max="2" width="17.5" style="46" customWidth="1"/>
    <col min="3" max="9" width="13.25" style="47" customWidth="1"/>
    <col min="10" max="10" width="18.75" style="47" customWidth="1"/>
    <col min="11" max="11" width="12.375" style="46" customWidth="1"/>
    <col min="12" max="12" width="10.125" style="46" customWidth="1"/>
    <col min="13" max="19" width="9" style="46" customWidth="1"/>
    <col min="20" max="36" width="9" style="46"/>
    <col min="37" max="37" width="4.375" style="46" customWidth="1"/>
    <col min="38" max="38" width="13.875" style="46" customWidth="1"/>
    <col min="39" max="16384" width="9" style="46"/>
  </cols>
  <sheetData>
    <row r="1" spans="1:39">
      <c r="A1" s="266" t="s">
        <v>142</v>
      </c>
      <c r="B1" s="266"/>
      <c r="C1" s="270" t="s">
        <v>240</v>
      </c>
      <c r="D1" s="271"/>
      <c r="E1" s="271"/>
      <c r="F1" s="271"/>
      <c r="G1" s="271"/>
      <c r="H1" s="271"/>
      <c r="I1" s="271"/>
      <c r="J1" s="272"/>
    </row>
    <row r="2" spans="1:39">
      <c r="A2" s="266" t="s">
        <v>143</v>
      </c>
      <c r="B2" s="266"/>
      <c r="C2" s="273" t="str">
        <f>'2023年'!C2:F2</f>
        <v>北汽</v>
      </c>
      <c r="D2" s="273"/>
      <c r="E2" s="273"/>
      <c r="F2" s="273"/>
      <c r="G2" s="273"/>
      <c r="H2" s="273"/>
      <c r="I2" s="273"/>
      <c r="J2" s="273"/>
    </row>
    <row r="3" spans="1:39">
      <c r="A3" s="266" t="s">
        <v>144</v>
      </c>
      <c r="B3" s="266"/>
      <c r="C3" s="154">
        <f>销量!C5</f>
        <v>0</v>
      </c>
      <c r="D3" s="223"/>
      <c r="E3" s="223"/>
      <c r="F3" s="223"/>
      <c r="G3" s="223"/>
      <c r="H3" s="223"/>
      <c r="I3" s="223"/>
      <c r="J3" s="267" t="s">
        <v>20</v>
      </c>
    </row>
    <row r="4" spans="1:39" ht="28.5">
      <c r="A4" s="266" t="s">
        <v>145</v>
      </c>
      <c r="B4" s="266"/>
      <c r="C4" s="154" t="str">
        <f>销量!C6</f>
        <v>北汽B41V-C系列-LV1</v>
      </c>
      <c r="D4" s="154" t="str">
        <f>销量!D6</f>
        <v>B41V-C系列-LV2-LV3-P系列-LV3-左</v>
      </c>
      <c r="E4" s="154" t="str">
        <f>销量!E6</f>
        <v>B41V-C系列-LV2-LV3-P系列-LV3-左</v>
      </c>
      <c r="F4" s="154" t="str">
        <f>销量!F6</f>
        <v xml:space="preserve">B41V-P系列-LV1-LV2-左 </v>
      </c>
      <c r="G4" s="154" t="str">
        <f>销量!G6</f>
        <v xml:space="preserve">B41V-P系列-LV1-LV2-左 </v>
      </c>
      <c r="H4" s="154" t="str">
        <f>销量!H6</f>
        <v>B41V-C系列-LV2-LV3-P系列-LV3-左</v>
      </c>
      <c r="I4" s="154" t="str">
        <f>销量!I6</f>
        <v>B41V-混动-左</v>
      </c>
      <c r="J4" s="268"/>
    </row>
    <row r="5" spans="1:39">
      <c r="A5" s="266" t="s">
        <v>146</v>
      </c>
      <c r="B5" s="266"/>
      <c r="C5" s="49"/>
      <c r="D5" s="216"/>
      <c r="E5" s="216"/>
      <c r="F5" s="216"/>
      <c r="G5" s="216"/>
      <c r="H5" s="216"/>
      <c r="I5" s="216"/>
      <c r="J5" s="269"/>
      <c r="AM5" s="46" t="s">
        <v>21</v>
      </c>
    </row>
    <row r="6" spans="1:39" ht="17.25">
      <c r="A6" s="50" t="s">
        <v>19</v>
      </c>
      <c r="B6" s="51" t="s">
        <v>147</v>
      </c>
      <c r="C6" s="21">
        <f>销量!C10</f>
        <v>3600</v>
      </c>
      <c r="D6" s="21">
        <f>销量!D10</f>
        <v>9000</v>
      </c>
      <c r="E6" s="21">
        <f>销量!E10</f>
        <v>5400</v>
      </c>
      <c r="F6" s="21">
        <f>销量!F10</f>
        <v>6000</v>
      </c>
      <c r="G6" s="21">
        <f>销量!G10</f>
        <v>6000</v>
      </c>
      <c r="H6" s="21">
        <f>销量!H10</f>
        <v>4000</v>
      </c>
      <c r="I6" s="21">
        <f>销量!I10</f>
        <v>4000</v>
      </c>
      <c r="J6" s="52">
        <f>SUM(C6:I6)</f>
        <v>38000</v>
      </c>
      <c r="U6" s="51" t="s">
        <v>3</v>
      </c>
      <c r="AK6" s="50" t="s">
        <v>19</v>
      </c>
      <c r="AL6" s="51" t="s">
        <v>3</v>
      </c>
      <c r="AM6" s="46" t="s">
        <v>22</v>
      </c>
    </row>
    <row r="7" spans="1:39">
      <c r="A7" s="153">
        <v>1</v>
      </c>
      <c r="B7" s="51" t="s">
        <v>23</v>
      </c>
      <c r="C7" s="52">
        <f>C6*销量!C8</f>
        <v>1109808</v>
      </c>
      <c r="D7" s="52">
        <f>D6*销量!D8</f>
        <v>3431519.9999999995</v>
      </c>
      <c r="E7" s="52">
        <f>E6*销量!E8</f>
        <v>2058911.9999999998</v>
      </c>
      <c r="F7" s="52">
        <f>F6*销量!F8</f>
        <v>1699679.9999999998</v>
      </c>
      <c r="G7" s="52">
        <f>G6*销量!G8</f>
        <v>1699679.9999999998</v>
      </c>
      <c r="H7" s="52">
        <f>H6*销量!H8</f>
        <v>1525120</v>
      </c>
      <c r="I7" s="52">
        <f>I6*销量!I8</f>
        <v>1531120</v>
      </c>
      <c r="J7" s="52">
        <f>SUM(C7:I7)</f>
        <v>13055840</v>
      </c>
      <c r="K7" s="47"/>
      <c r="U7" s="51" t="s">
        <v>23</v>
      </c>
      <c r="AK7" s="50" t="s">
        <v>24</v>
      </c>
      <c r="AL7" s="51" t="s">
        <v>23</v>
      </c>
      <c r="AM7" s="46" t="s">
        <v>22</v>
      </c>
    </row>
    <row r="8" spans="1:39">
      <c r="A8" s="153">
        <v>2</v>
      </c>
      <c r="B8" s="153" t="s">
        <v>25</v>
      </c>
      <c r="C8" s="52">
        <f>C7*(1-销量!$M$7)</f>
        <v>0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>I7*(1-销量!$M$7)</f>
        <v>0</v>
      </c>
      <c r="J8" s="52">
        <f>SUM(C8:I8)</f>
        <v>0</v>
      </c>
      <c r="K8" s="67"/>
      <c r="U8" s="153" t="s">
        <v>27</v>
      </c>
      <c r="AK8" s="50" t="s">
        <v>26</v>
      </c>
      <c r="AL8" s="153" t="s">
        <v>27</v>
      </c>
      <c r="AM8" s="46" t="s">
        <v>22</v>
      </c>
    </row>
    <row r="9" spans="1:39">
      <c r="A9" s="153">
        <v>3</v>
      </c>
      <c r="B9" s="51" t="s">
        <v>28</v>
      </c>
      <c r="C9" s="52">
        <f>+C7-C8</f>
        <v>1109808</v>
      </c>
      <c r="D9" s="52">
        <f t="shared" ref="D9:I9" si="0">+D7-D8</f>
        <v>3431519.9999999995</v>
      </c>
      <c r="E9" s="52">
        <f t="shared" si="0"/>
        <v>2058911.9999999998</v>
      </c>
      <c r="F9" s="52">
        <f t="shared" si="0"/>
        <v>1699679.9999999998</v>
      </c>
      <c r="G9" s="52">
        <f t="shared" si="0"/>
        <v>1699679.9999999998</v>
      </c>
      <c r="H9" s="52">
        <f t="shared" si="0"/>
        <v>1525120</v>
      </c>
      <c r="I9" s="52">
        <f t="shared" si="0"/>
        <v>1531120</v>
      </c>
      <c r="J9" s="52">
        <f t="shared" ref="J9:J15" si="1">SUM(C9:I9)</f>
        <v>13055840</v>
      </c>
      <c r="U9" s="51" t="s">
        <v>28</v>
      </c>
      <c r="AK9" s="50" t="s">
        <v>29</v>
      </c>
      <c r="AL9" s="51" t="s">
        <v>28</v>
      </c>
      <c r="AM9" s="46" t="s">
        <v>30</v>
      </c>
    </row>
    <row r="10" spans="1:39">
      <c r="A10" s="153">
        <v>4</v>
      </c>
      <c r="B10" s="50" t="s">
        <v>31</v>
      </c>
      <c r="C10" s="52">
        <f>C6*材料成本!F41</f>
        <v>850932</v>
      </c>
      <c r="D10" s="52">
        <f>D6*材料成本!F42</f>
        <v>2587140</v>
      </c>
      <c r="E10" s="52">
        <f>E6*材料成本!F43</f>
        <v>1552284</v>
      </c>
      <c r="F10" s="52">
        <f>F6*材料成本!F44</f>
        <v>1236660</v>
      </c>
      <c r="G10" s="52">
        <f>G6*材料成本!F45</f>
        <v>1236660</v>
      </c>
      <c r="H10" s="52">
        <f>H6*材料成本!F46</f>
        <v>1149840</v>
      </c>
      <c r="I10" s="52">
        <f>I6*材料成本!F47</f>
        <v>1152080</v>
      </c>
      <c r="J10" s="52">
        <f>SUM(C10:I10)</f>
        <v>9765596</v>
      </c>
      <c r="U10" s="50" t="s">
        <v>31</v>
      </c>
      <c r="AK10" s="50" t="s">
        <v>32</v>
      </c>
      <c r="AL10" s="50" t="s">
        <v>31</v>
      </c>
      <c r="AM10" s="46" t="s">
        <v>33</v>
      </c>
    </row>
    <row r="11" spans="1:39">
      <c r="A11" s="153">
        <v>5</v>
      </c>
      <c r="B11" s="50" t="s">
        <v>34</v>
      </c>
      <c r="C11" s="52">
        <f>+C6*C36</f>
        <v>57589.883338536827</v>
      </c>
      <c r="D11" s="52">
        <f t="shared" ref="D11:I11" si="2">+D6*D36</f>
        <v>178067.59049660471</v>
      </c>
      <c r="E11" s="52">
        <f t="shared" si="2"/>
        <v>106840.55429796282</v>
      </c>
      <c r="F11" s="52">
        <f t="shared" si="2"/>
        <v>88199.375849556192</v>
      </c>
      <c r="G11" s="52">
        <f t="shared" si="2"/>
        <v>88199.375849556192</v>
      </c>
      <c r="H11" s="52">
        <f t="shared" si="2"/>
        <v>79141.151331824323</v>
      </c>
      <c r="I11" s="52">
        <f t="shared" si="2"/>
        <v>79452.501853744528</v>
      </c>
      <c r="J11" s="52">
        <f t="shared" si="1"/>
        <v>677490.43301778554</v>
      </c>
      <c r="U11" s="50" t="s">
        <v>34</v>
      </c>
      <c r="AK11" s="50" t="s">
        <v>35</v>
      </c>
      <c r="AL11" s="50" t="s">
        <v>34</v>
      </c>
    </row>
    <row r="12" spans="1:39">
      <c r="A12" s="153">
        <v>6</v>
      </c>
      <c r="B12" s="50" t="s">
        <v>36</v>
      </c>
      <c r="C12" s="52">
        <f>+C6*C37</f>
        <v>10045.205765876026</v>
      </c>
      <c r="D12" s="52">
        <f t="shared" ref="D12:I12" si="3">+D6*D37</f>
        <v>31059.718879048356</v>
      </c>
      <c r="E12" s="52">
        <f t="shared" si="3"/>
        <v>18635.831327429016</v>
      </c>
      <c r="F12" s="52">
        <f t="shared" si="3"/>
        <v>15384.314526606551</v>
      </c>
      <c r="G12" s="52">
        <f t="shared" si="3"/>
        <v>15384.314526606551</v>
      </c>
      <c r="H12" s="52">
        <f t="shared" si="3"/>
        <v>13804.319501799269</v>
      </c>
      <c r="I12" s="52">
        <f t="shared" si="3"/>
        <v>13858.627305126744</v>
      </c>
      <c r="J12" s="52">
        <f t="shared" si="1"/>
        <v>118172.33183249252</v>
      </c>
      <c r="U12" s="50" t="s">
        <v>36</v>
      </c>
      <c r="AK12" s="50" t="s">
        <v>37</v>
      </c>
      <c r="AL12" s="50" t="s">
        <v>36</v>
      </c>
    </row>
    <row r="13" spans="1:39">
      <c r="A13" s="153">
        <v>7</v>
      </c>
      <c r="B13" s="50" t="s">
        <v>38</v>
      </c>
      <c r="C13" s="52">
        <f>+C6*C38</f>
        <v>12207.887999999999</v>
      </c>
      <c r="D13" s="52">
        <f t="shared" ref="D13:I13" si="4">+D6*D38</f>
        <v>37746.719999999994</v>
      </c>
      <c r="E13" s="52">
        <f t="shared" si="4"/>
        <v>22648.031999999999</v>
      </c>
      <c r="F13" s="52">
        <f t="shared" si="4"/>
        <v>18696.48</v>
      </c>
      <c r="G13" s="52">
        <f t="shared" si="4"/>
        <v>18696.48</v>
      </c>
      <c r="H13" s="52">
        <f t="shared" si="4"/>
        <v>16776.32</v>
      </c>
      <c r="I13" s="52">
        <f t="shared" si="4"/>
        <v>16842.319999999996</v>
      </c>
      <c r="J13" s="52">
        <f t="shared" si="1"/>
        <v>143614.24</v>
      </c>
      <c r="U13" s="50" t="s">
        <v>38</v>
      </c>
      <c r="AK13" s="50" t="s">
        <v>39</v>
      </c>
      <c r="AL13" s="50" t="s">
        <v>38</v>
      </c>
      <c r="AM13" s="46" t="s">
        <v>22</v>
      </c>
    </row>
    <row r="14" spans="1:39">
      <c r="A14" s="153">
        <v>8</v>
      </c>
      <c r="B14" s="53" t="s">
        <v>40</v>
      </c>
      <c r="C14" s="52">
        <f>SUM(C11:C13)</f>
        <v>79842.977104412857</v>
      </c>
      <c r="D14" s="52">
        <f t="shared" ref="D14:I14" si="5">SUM(D11:D13)</f>
        <v>246874.02937565307</v>
      </c>
      <c r="E14" s="52">
        <f t="shared" si="5"/>
        <v>148124.41762539183</v>
      </c>
      <c r="F14" s="52">
        <f t="shared" si="5"/>
        <v>122280.17037616274</v>
      </c>
      <c r="G14" s="52">
        <f t="shared" si="5"/>
        <v>122280.17037616274</v>
      </c>
      <c r="H14" s="52">
        <f t="shared" si="5"/>
        <v>109721.79083362359</v>
      </c>
      <c r="I14" s="52">
        <f t="shared" si="5"/>
        <v>110153.44915887127</v>
      </c>
      <c r="J14" s="52">
        <f t="shared" si="1"/>
        <v>939277.00485027814</v>
      </c>
      <c r="U14" s="53" t="s">
        <v>40</v>
      </c>
      <c r="AK14" s="50" t="s">
        <v>41</v>
      </c>
      <c r="AL14" s="53" t="s">
        <v>40</v>
      </c>
    </row>
    <row r="15" spans="1:39">
      <c r="A15" s="153">
        <v>9</v>
      </c>
      <c r="B15" s="53" t="s">
        <v>42</v>
      </c>
      <c r="C15" s="52">
        <f>+C9-C10-C14</f>
        <v>179033.02289558714</v>
      </c>
      <c r="D15" s="52">
        <f t="shared" ref="D15:I15" si="6">+D9-D10-D14</f>
        <v>597505.97062434652</v>
      </c>
      <c r="E15" s="52">
        <f t="shared" si="6"/>
        <v>358503.58237460791</v>
      </c>
      <c r="F15" s="52">
        <f t="shared" si="6"/>
        <v>340739.82962383702</v>
      </c>
      <c r="G15" s="52">
        <f t="shared" si="6"/>
        <v>340739.82962383702</v>
      </c>
      <c r="H15" s="52">
        <f t="shared" si="6"/>
        <v>265558.20916637639</v>
      </c>
      <c r="I15" s="52">
        <f t="shared" si="6"/>
        <v>268886.55084112874</v>
      </c>
      <c r="J15" s="52">
        <f t="shared" si="1"/>
        <v>2350966.9951497209</v>
      </c>
      <c r="U15" s="53" t="s">
        <v>42</v>
      </c>
      <c r="AK15" s="50" t="s">
        <v>43</v>
      </c>
      <c r="AL15" s="53" t="s">
        <v>42</v>
      </c>
    </row>
    <row r="16" spans="1:39">
      <c r="A16" s="153">
        <v>10</v>
      </c>
      <c r="B16" s="50" t="s">
        <v>44</v>
      </c>
      <c r="C16" s="54">
        <f>+C15/C9</f>
        <v>0.16131891543004478</v>
      </c>
      <c r="D16" s="54">
        <f t="shared" ref="D16:I16" si="7">+D15/D9</f>
        <v>0.17412282913238059</v>
      </c>
      <c r="E16" s="54">
        <f t="shared" si="7"/>
        <v>0.17412282913238059</v>
      </c>
      <c r="F16" s="54">
        <f t="shared" si="7"/>
        <v>0.20047292997731164</v>
      </c>
      <c r="G16" s="54">
        <f t="shared" si="7"/>
        <v>0.20047292997731164</v>
      </c>
      <c r="H16" s="54">
        <f t="shared" si="7"/>
        <v>0.17412282913238067</v>
      </c>
      <c r="I16" s="54">
        <f t="shared" si="7"/>
        <v>0.17561428943592192</v>
      </c>
      <c r="J16" s="54">
        <f t="shared" ref="J16" si="8">+J15/J9</f>
        <v>0.18007014448321371</v>
      </c>
      <c r="U16" s="50" t="s">
        <v>44</v>
      </c>
      <c r="AK16" s="50" t="s">
        <v>45</v>
      </c>
      <c r="AL16" s="50" t="s">
        <v>44</v>
      </c>
    </row>
    <row r="17" spans="1:39">
      <c r="A17" s="153">
        <v>11</v>
      </c>
      <c r="B17" s="50" t="s">
        <v>46</v>
      </c>
      <c r="C17" s="52">
        <f>C6*C43+C18</f>
        <v>107380.14994285714</v>
      </c>
      <c r="D17" s="52">
        <f t="shared" ref="D17:I17" si="9">D6*D43+D18</f>
        <v>318776.57485714287</v>
      </c>
      <c r="E17" s="52">
        <f t="shared" si="9"/>
        <v>191265.94491428573</v>
      </c>
      <c r="F17" s="52">
        <f t="shared" si="9"/>
        <v>167476.91657142856</v>
      </c>
      <c r="G17" s="52">
        <f t="shared" si="9"/>
        <v>167476.91657142856</v>
      </c>
      <c r="H17" s="52">
        <f t="shared" si="9"/>
        <v>141678.47771428572</v>
      </c>
      <c r="I17" s="52">
        <f t="shared" si="9"/>
        <v>142138.0777142857</v>
      </c>
      <c r="J17" s="52">
        <f>SUM(C17:I17)</f>
        <v>1236193.0582857141</v>
      </c>
      <c r="K17" s="67"/>
      <c r="U17" s="50" t="s">
        <v>46</v>
      </c>
      <c r="AK17" s="50" t="s">
        <v>47</v>
      </c>
      <c r="AL17" s="50" t="s">
        <v>46</v>
      </c>
    </row>
    <row r="18" spans="1:39" s="44" customFormat="1">
      <c r="A18" s="153">
        <v>12</v>
      </c>
      <c r="B18" s="55" t="s">
        <v>148</v>
      </c>
      <c r="C18" s="56">
        <f>$J$18/$J$6*C6</f>
        <v>22368.857142857149</v>
      </c>
      <c r="D18" s="56">
        <f t="shared" ref="D18:I18" si="10">$J$18/$J$6*D6</f>
        <v>55922.14285714287</v>
      </c>
      <c r="E18" s="56">
        <f t="shared" si="10"/>
        <v>33553.285714285725</v>
      </c>
      <c r="F18" s="56">
        <f t="shared" si="10"/>
        <v>37281.42857142858</v>
      </c>
      <c r="G18" s="56">
        <f t="shared" si="10"/>
        <v>37281.42857142858</v>
      </c>
      <c r="H18" s="56">
        <f t="shared" si="10"/>
        <v>24854.285714285721</v>
      </c>
      <c r="I18" s="56">
        <f t="shared" si="10"/>
        <v>24854.285714285721</v>
      </c>
      <c r="J18" s="56">
        <f>项目投资!D26</f>
        <v>236115.71428571432</v>
      </c>
      <c r="K18" s="68" t="s">
        <v>149</v>
      </c>
      <c r="L18" s="68"/>
      <c r="M18" s="68"/>
    </row>
    <row r="19" spans="1:39">
      <c r="A19" s="153">
        <v>13</v>
      </c>
      <c r="B19" s="50" t="s">
        <v>48</v>
      </c>
      <c r="C19" s="52">
        <f>C6*C44</f>
        <v>3773.3471999999992</v>
      </c>
      <c r="D19" s="52">
        <f t="shared" ref="D19:I19" si="11">D6*D44</f>
        <v>11667.167999999998</v>
      </c>
      <c r="E19" s="52">
        <f t="shared" si="11"/>
        <v>7000.3007999999982</v>
      </c>
      <c r="F19" s="52">
        <f t="shared" si="11"/>
        <v>5778.9119999999994</v>
      </c>
      <c r="G19" s="52">
        <f t="shared" si="11"/>
        <v>5778.9119999999994</v>
      </c>
      <c r="H19" s="52">
        <f t="shared" si="11"/>
        <v>5185.4079999999985</v>
      </c>
      <c r="I19" s="52">
        <f t="shared" si="11"/>
        <v>5205.8079999999991</v>
      </c>
      <c r="J19" s="52">
        <f>SUM(C19:I19)</f>
        <v>44389.855999999985</v>
      </c>
      <c r="K19" s="44"/>
      <c r="U19" s="50" t="s">
        <v>48</v>
      </c>
      <c r="AK19" s="50" t="s">
        <v>49</v>
      </c>
      <c r="AL19" s="50" t="s">
        <v>48</v>
      </c>
      <c r="AM19" s="46" t="s">
        <v>22</v>
      </c>
    </row>
    <row r="20" spans="1:39">
      <c r="A20" s="153">
        <v>14</v>
      </c>
      <c r="B20" s="50" t="s">
        <v>50</v>
      </c>
      <c r="C20" s="52">
        <f>C6*C45</f>
        <v>38510.337599999999</v>
      </c>
      <c r="D20" s="52">
        <f t="shared" ref="D20:I20" si="12">D6*D45</f>
        <v>119073.74400000001</v>
      </c>
      <c r="E20" s="52">
        <f t="shared" si="12"/>
        <v>71444.246400000004</v>
      </c>
      <c r="F20" s="52">
        <f t="shared" si="12"/>
        <v>58978.895999999993</v>
      </c>
      <c r="G20" s="52">
        <f t="shared" si="12"/>
        <v>58978.895999999993</v>
      </c>
      <c r="H20" s="52">
        <f t="shared" si="12"/>
        <v>52921.663999999997</v>
      </c>
      <c r="I20" s="52">
        <f t="shared" si="12"/>
        <v>53129.864000000001</v>
      </c>
      <c r="J20" s="52">
        <f>SUM(C20:I20)</f>
        <v>453037.64799999999</v>
      </c>
      <c r="U20" s="50" t="s">
        <v>50</v>
      </c>
      <c r="AK20" s="50" t="s">
        <v>51</v>
      </c>
      <c r="AL20" s="50" t="s">
        <v>50</v>
      </c>
    </row>
    <row r="21" spans="1:39">
      <c r="A21" s="153">
        <v>15</v>
      </c>
      <c r="B21" s="50" t="s">
        <v>52</v>
      </c>
      <c r="C21" s="57">
        <f>$J$21/$J$6*C6</f>
        <v>0</v>
      </c>
      <c r="D21" s="57">
        <f t="shared" ref="D21:I21" si="13">$J$21/$J$6*D6</f>
        <v>0</v>
      </c>
      <c r="E21" s="57">
        <f t="shared" si="13"/>
        <v>0</v>
      </c>
      <c r="F21" s="57">
        <f t="shared" si="13"/>
        <v>0</v>
      </c>
      <c r="G21" s="57">
        <f t="shared" si="13"/>
        <v>0</v>
      </c>
      <c r="H21" s="57">
        <f t="shared" si="13"/>
        <v>0</v>
      </c>
      <c r="I21" s="57">
        <f t="shared" si="13"/>
        <v>0</v>
      </c>
      <c r="J21" s="52">
        <f>项目投资!D27</f>
        <v>0</v>
      </c>
      <c r="U21" s="50" t="s">
        <v>52</v>
      </c>
      <c r="AK21" s="50"/>
      <c r="AL21" s="50"/>
    </row>
    <row r="22" spans="1:39">
      <c r="A22" s="153">
        <v>16</v>
      </c>
      <c r="B22" s="50" t="s">
        <v>53</v>
      </c>
      <c r="C22" s="52">
        <f>C6*C47</f>
        <v>44392.32</v>
      </c>
      <c r="D22" s="52">
        <f t="shared" ref="D22:I22" si="14">D6*D47</f>
        <v>137260.79999999999</v>
      </c>
      <c r="E22" s="52">
        <f t="shared" si="14"/>
        <v>82356.479999999996</v>
      </c>
      <c r="F22" s="52">
        <f t="shared" si="14"/>
        <v>67987.199999999997</v>
      </c>
      <c r="G22" s="52">
        <f t="shared" si="14"/>
        <v>67987.199999999997</v>
      </c>
      <c r="H22" s="52">
        <f t="shared" si="14"/>
        <v>61004.799999999996</v>
      </c>
      <c r="I22" s="52">
        <f t="shared" si="14"/>
        <v>61244.799999999996</v>
      </c>
      <c r="J22" s="52">
        <f>SUM(C22:I22)</f>
        <v>522233.59999999998</v>
      </c>
      <c r="U22" s="50" t="s">
        <v>53</v>
      </c>
      <c r="AK22" s="50" t="s">
        <v>54</v>
      </c>
      <c r="AL22" s="50" t="s">
        <v>53</v>
      </c>
    </row>
    <row r="23" spans="1:39">
      <c r="A23" s="153">
        <v>17</v>
      </c>
      <c r="B23" s="53" t="s">
        <v>55</v>
      </c>
      <c r="C23" s="57">
        <f>+C22+C21+C20+C19+C17</f>
        <v>194056.15474285715</v>
      </c>
      <c r="D23" s="57">
        <f t="shared" ref="D23:I23" si="15">+D22+D21+D20+D19+D17</f>
        <v>586778.28685714281</v>
      </c>
      <c r="E23" s="57">
        <f t="shared" si="15"/>
        <v>352066.97211428569</v>
      </c>
      <c r="F23" s="57">
        <f t="shared" si="15"/>
        <v>300221.92457142856</v>
      </c>
      <c r="G23" s="57">
        <f t="shared" si="15"/>
        <v>300221.92457142856</v>
      </c>
      <c r="H23" s="57">
        <f t="shared" si="15"/>
        <v>260790.34971428569</v>
      </c>
      <c r="I23" s="57">
        <f t="shared" si="15"/>
        <v>261718.54971428571</v>
      </c>
      <c r="J23" s="57">
        <f t="shared" ref="J23" si="16">+J22+J21+J20+J19+J17</f>
        <v>2255854.1622857139</v>
      </c>
      <c r="U23" s="53" t="s">
        <v>55</v>
      </c>
      <c r="AK23" s="50" t="s">
        <v>56</v>
      </c>
      <c r="AL23" s="53" t="s">
        <v>55</v>
      </c>
    </row>
    <row r="24" spans="1:39">
      <c r="A24" s="153">
        <v>18</v>
      </c>
      <c r="B24" s="58" t="s">
        <v>57</v>
      </c>
      <c r="C24" s="57">
        <f>+C15-C23</f>
        <v>-15023.131847270008</v>
      </c>
      <c r="D24" s="57">
        <f t="shared" ref="D24:I24" si="17">+D15-D23</f>
        <v>10727.683767203707</v>
      </c>
      <c r="E24" s="57">
        <f t="shared" si="17"/>
        <v>6436.6102603222243</v>
      </c>
      <c r="F24" s="57">
        <f t="shared" si="17"/>
        <v>40517.90505240846</v>
      </c>
      <c r="G24" s="57">
        <f t="shared" si="17"/>
        <v>40517.90505240846</v>
      </c>
      <c r="H24" s="57">
        <f t="shared" si="17"/>
        <v>4767.8594520906918</v>
      </c>
      <c r="I24" s="57">
        <f t="shared" si="17"/>
        <v>7168.0011268430389</v>
      </c>
      <c r="J24" s="57">
        <f t="shared" ref="J24" si="18">+J15-J23</f>
        <v>95112.832864006981</v>
      </c>
      <c r="L24" s="69"/>
      <c r="U24" s="50" t="s">
        <v>57</v>
      </c>
      <c r="AK24" s="50" t="s">
        <v>58</v>
      </c>
      <c r="AL24" s="50" t="s">
        <v>57</v>
      </c>
    </row>
    <row r="25" spans="1:39">
      <c r="A25" s="153">
        <v>19</v>
      </c>
      <c r="B25" s="50" t="s">
        <v>250</v>
      </c>
      <c r="C25" s="57">
        <f>IF(C24&lt;0,0,C24*0.15)</f>
        <v>0</v>
      </c>
      <c r="D25" s="57">
        <f t="shared" ref="D25:I25" si="19">IF(D24&lt;0,0,D24*0.15)</f>
        <v>1609.1525650805561</v>
      </c>
      <c r="E25" s="57">
        <f t="shared" si="19"/>
        <v>965.49153904833361</v>
      </c>
      <c r="F25" s="57">
        <f t="shared" si="19"/>
        <v>6077.6857578612689</v>
      </c>
      <c r="G25" s="57">
        <f t="shared" si="19"/>
        <v>6077.6857578612689</v>
      </c>
      <c r="H25" s="57">
        <f t="shared" si="19"/>
        <v>715.17891781360379</v>
      </c>
      <c r="I25" s="57">
        <f t="shared" si="19"/>
        <v>1075.2001690264558</v>
      </c>
      <c r="J25" s="57">
        <f>IF(J24&lt;0,0,J24*0.15)</f>
        <v>14266.924929601048</v>
      </c>
      <c r="K25" s="65"/>
      <c r="L25" s="65"/>
      <c r="M25" s="65"/>
      <c r="U25" s="50" t="s">
        <v>59</v>
      </c>
      <c r="AK25" s="50" t="s">
        <v>60</v>
      </c>
      <c r="AL25" s="50" t="s">
        <v>59</v>
      </c>
    </row>
    <row r="26" spans="1:39">
      <c r="A26" s="153">
        <v>20</v>
      </c>
      <c r="B26" s="50" t="s">
        <v>61</v>
      </c>
      <c r="C26" s="57">
        <f t="shared" ref="C26:I26" si="20">C24-C25</f>
        <v>-15023.131847270008</v>
      </c>
      <c r="D26" s="57">
        <f t="shared" si="20"/>
        <v>9118.5312021231512</v>
      </c>
      <c r="E26" s="57">
        <f t="shared" si="20"/>
        <v>5471.1187212738905</v>
      </c>
      <c r="F26" s="57">
        <f t="shared" si="20"/>
        <v>34440.219294547191</v>
      </c>
      <c r="G26" s="57">
        <f t="shared" si="20"/>
        <v>34440.219294547191</v>
      </c>
      <c r="H26" s="57">
        <f t="shared" si="20"/>
        <v>4052.6805342770881</v>
      </c>
      <c r="I26" s="57">
        <f t="shared" si="20"/>
        <v>6092.8009578165829</v>
      </c>
      <c r="J26" s="52">
        <f>J24-J25</f>
        <v>80845.907934405928</v>
      </c>
      <c r="K26" s="65"/>
      <c r="L26" s="65"/>
      <c r="M26" s="65"/>
      <c r="U26" s="50" t="s">
        <v>61</v>
      </c>
      <c r="AK26" s="50" t="s">
        <v>62</v>
      </c>
      <c r="AL26" s="50" t="s">
        <v>61</v>
      </c>
    </row>
    <row r="27" spans="1:39">
      <c r="A27" s="153">
        <v>21</v>
      </c>
      <c r="B27" s="50" t="s">
        <v>65</v>
      </c>
      <c r="C27" s="59">
        <f t="shared" ref="C27:J27" si="21">C26/C7</f>
        <v>-1.3536694497850086E-2</v>
      </c>
      <c r="D27" s="59">
        <f t="shared" ref="D27:I27" si="22">D26/D7</f>
        <v>2.6572863343716931E-3</v>
      </c>
      <c r="E27" s="59">
        <f t="shared" si="22"/>
        <v>2.6572863343716931E-3</v>
      </c>
      <c r="F27" s="59">
        <f t="shared" si="22"/>
        <v>2.0262766694052525E-2</v>
      </c>
      <c r="G27" s="59">
        <f t="shared" si="22"/>
        <v>2.0262766694052525E-2</v>
      </c>
      <c r="H27" s="59">
        <f t="shared" si="22"/>
        <v>2.6572863343717794E-3</v>
      </c>
      <c r="I27" s="59">
        <f t="shared" si="22"/>
        <v>3.9793098893728665E-3</v>
      </c>
      <c r="J27" s="59">
        <f t="shared" si="21"/>
        <v>6.192317609162331E-3</v>
      </c>
      <c r="K27" s="65"/>
      <c r="L27" s="65"/>
      <c r="M27" s="65"/>
      <c r="U27" s="50" t="s">
        <v>65</v>
      </c>
      <c r="AK27" s="50" t="s">
        <v>64</v>
      </c>
      <c r="AL27" s="50" t="s">
        <v>65</v>
      </c>
    </row>
    <row r="28" spans="1:39">
      <c r="K28" s="65"/>
      <c r="L28" s="65"/>
      <c r="M28" s="65"/>
      <c r="U28" s="50"/>
    </row>
    <row r="29" spans="1:39">
      <c r="A29" s="46" t="s">
        <v>66</v>
      </c>
      <c r="J29" s="47" t="s">
        <v>151</v>
      </c>
      <c r="K29" s="65"/>
      <c r="L29" s="65"/>
      <c r="M29" s="65"/>
      <c r="U29" s="50"/>
      <c r="AK29" s="46" t="s">
        <v>66</v>
      </c>
    </row>
    <row r="30" spans="1:39">
      <c r="A30" s="50" t="s">
        <v>67</v>
      </c>
      <c r="B30" s="53" t="s">
        <v>68</v>
      </c>
      <c r="C30" s="57"/>
      <c r="D30" s="57"/>
      <c r="E30" s="57"/>
      <c r="F30" s="57"/>
      <c r="G30" s="57"/>
      <c r="H30" s="57"/>
      <c r="I30" s="57"/>
      <c r="J30" s="57"/>
      <c r="K30" s="65"/>
      <c r="L30" s="65"/>
      <c r="M30" s="65"/>
      <c r="O30" s="65"/>
      <c r="U30" s="53" t="s">
        <v>68</v>
      </c>
      <c r="AK30" s="50" t="s">
        <v>69</v>
      </c>
      <c r="AL30" s="53" t="s">
        <v>68</v>
      </c>
    </row>
    <row r="31" spans="1:39">
      <c r="A31" s="153">
        <v>1</v>
      </c>
      <c r="B31" s="55" t="s">
        <v>70</v>
      </c>
      <c r="C31" s="61">
        <f>销量!C8</f>
        <v>308.27999999999997</v>
      </c>
      <c r="D31" s="61">
        <f>销量!D8</f>
        <v>381.28</v>
      </c>
      <c r="E31" s="61">
        <f>销量!E8</f>
        <v>381.28</v>
      </c>
      <c r="F31" s="61">
        <f>销量!F8</f>
        <v>283.27999999999997</v>
      </c>
      <c r="G31" s="61">
        <f>销量!G8</f>
        <v>283.27999999999997</v>
      </c>
      <c r="H31" s="61">
        <f>销量!H8</f>
        <v>381.28</v>
      </c>
      <c r="I31" s="61">
        <f>销量!I8</f>
        <v>382.78</v>
      </c>
      <c r="J31" s="57"/>
      <c r="K31" s="65"/>
      <c r="L31" s="65"/>
      <c r="M31" s="65"/>
      <c r="O31" s="65"/>
      <c r="U31" s="50" t="s">
        <v>70</v>
      </c>
      <c r="AK31" s="50" t="s">
        <v>24</v>
      </c>
      <c r="AL31" s="50" t="s">
        <v>70</v>
      </c>
    </row>
    <row r="32" spans="1:39">
      <c r="A32" s="153">
        <v>2</v>
      </c>
      <c r="B32" s="50" t="s">
        <v>152</v>
      </c>
      <c r="C32" s="52">
        <f>C9/C6</f>
        <v>308.27999999999997</v>
      </c>
      <c r="D32" s="52">
        <f t="shared" ref="D32:I32" si="23">D9/D6</f>
        <v>381.28</v>
      </c>
      <c r="E32" s="52">
        <f t="shared" si="23"/>
        <v>381.28</v>
      </c>
      <c r="F32" s="52">
        <f t="shared" si="23"/>
        <v>283.27999999999997</v>
      </c>
      <c r="G32" s="52">
        <f t="shared" si="23"/>
        <v>283.27999999999997</v>
      </c>
      <c r="H32" s="52">
        <f t="shared" si="23"/>
        <v>381.28</v>
      </c>
      <c r="I32" s="52">
        <f t="shared" si="23"/>
        <v>382.78</v>
      </c>
      <c r="J32" s="57"/>
      <c r="K32" s="65"/>
      <c r="L32" s="65"/>
      <c r="M32" s="65"/>
      <c r="N32" s="65"/>
      <c r="O32" s="65"/>
      <c r="P32" s="65"/>
      <c r="Q32" s="65"/>
      <c r="AK32" s="50"/>
      <c r="AL32" s="50"/>
    </row>
    <row r="33" spans="1:38">
      <c r="A33" s="153">
        <v>3</v>
      </c>
      <c r="B33" s="55" t="s">
        <v>71</v>
      </c>
      <c r="C33" s="52">
        <f>材料成本!F41</f>
        <v>236.37</v>
      </c>
      <c r="D33" s="52">
        <f>材料成本!F42</f>
        <v>287.45999999999998</v>
      </c>
      <c r="E33" s="52">
        <f>材料成本!F43</f>
        <v>287.45999999999998</v>
      </c>
      <c r="F33" s="52">
        <f>材料成本!F44</f>
        <v>206.11</v>
      </c>
      <c r="G33" s="52">
        <f>材料成本!F45</f>
        <v>206.11</v>
      </c>
      <c r="H33" s="52">
        <f>材料成本!F46</f>
        <v>287.45999999999998</v>
      </c>
      <c r="I33" s="52">
        <f>材料成本!F47</f>
        <v>288.02</v>
      </c>
      <c r="J33" s="57"/>
      <c r="L33" s="65"/>
      <c r="M33" s="65"/>
      <c r="N33" s="65"/>
      <c r="O33" s="65"/>
      <c r="P33" s="65"/>
      <c r="Q33" s="65"/>
      <c r="U33" s="50" t="s">
        <v>71</v>
      </c>
      <c r="AK33" s="50" t="s">
        <v>26</v>
      </c>
      <c r="AL33" s="50" t="s">
        <v>71</v>
      </c>
    </row>
    <row r="34" spans="1:38" ht="17.25" customHeight="1">
      <c r="A34" s="153">
        <v>4</v>
      </c>
      <c r="B34" s="50" t="s">
        <v>73</v>
      </c>
      <c r="C34" s="62">
        <f>C32-C33</f>
        <v>71.909999999999968</v>
      </c>
      <c r="D34" s="62">
        <f t="shared" ref="D34:I34" si="24">D32-D33</f>
        <v>93.82</v>
      </c>
      <c r="E34" s="62">
        <f t="shared" si="24"/>
        <v>93.82</v>
      </c>
      <c r="F34" s="62">
        <f t="shared" si="24"/>
        <v>77.169999999999959</v>
      </c>
      <c r="G34" s="62">
        <f t="shared" si="24"/>
        <v>77.169999999999959</v>
      </c>
      <c r="H34" s="62">
        <f t="shared" si="24"/>
        <v>93.82</v>
      </c>
      <c r="I34" s="62">
        <f t="shared" si="24"/>
        <v>94.759999999999991</v>
      </c>
      <c r="J34" s="57"/>
      <c r="L34" s="65"/>
      <c r="M34" s="65"/>
      <c r="N34" s="65"/>
      <c r="O34" s="65"/>
      <c r="P34" s="65"/>
      <c r="Q34" s="65"/>
      <c r="U34" s="50" t="s">
        <v>73</v>
      </c>
      <c r="AK34" s="50" t="s">
        <v>72</v>
      </c>
      <c r="AL34" s="50" t="s">
        <v>73</v>
      </c>
    </row>
    <row r="35" spans="1:38">
      <c r="A35" s="50" t="s">
        <v>69</v>
      </c>
      <c r="B35" s="53" t="s">
        <v>10</v>
      </c>
      <c r="C35" s="57"/>
      <c r="D35" s="57"/>
      <c r="E35" s="57"/>
      <c r="F35" s="57"/>
      <c r="G35" s="57"/>
      <c r="H35" s="57"/>
      <c r="I35" s="57"/>
      <c r="J35" s="5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3" t="s">
        <v>10</v>
      </c>
      <c r="AK35" s="50" t="s">
        <v>75</v>
      </c>
      <c r="AL35" s="53" t="s">
        <v>10</v>
      </c>
    </row>
    <row r="36" spans="1:38">
      <c r="A36" s="153">
        <v>1</v>
      </c>
      <c r="B36" s="50" t="s">
        <v>76</v>
      </c>
      <c r="C36" s="56">
        <f>'2023年'!C36</f>
        <v>15.99718981626023</v>
      </c>
      <c r="D36" s="56">
        <f>'2023年'!D36</f>
        <v>19.78528783295608</v>
      </c>
      <c r="E36" s="56">
        <f>'2023年'!E36</f>
        <v>19.78528783295608</v>
      </c>
      <c r="F36" s="56">
        <f>标准成本!F45</f>
        <v>14.699895974926033</v>
      </c>
      <c r="G36" s="56">
        <f>标准成本!F58</f>
        <v>14.699895974926033</v>
      </c>
      <c r="H36" s="56">
        <f>标准成本!F71</f>
        <v>19.78528783295608</v>
      </c>
      <c r="I36" s="56">
        <f>标准成本!F85</f>
        <v>19.863125463436131</v>
      </c>
      <c r="J36" s="6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50" t="s">
        <v>76</v>
      </c>
      <c r="AK36" s="50" t="s">
        <v>72</v>
      </c>
      <c r="AL36" s="50" t="s">
        <v>76</v>
      </c>
    </row>
    <row r="37" spans="1:38">
      <c r="A37" s="153">
        <v>2</v>
      </c>
      <c r="B37" s="50" t="s">
        <v>77</v>
      </c>
      <c r="C37" s="56">
        <f>'2023年'!C37</f>
        <v>2.7903349349655628</v>
      </c>
      <c r="D37" s="56">
        <f>'2023年'!D37</f>
        <v>3.4510798754498175</v>
      </c>
      <c r="E37" s="56">
        <f>'2023年'!E37</f>
        <v>3.4510798754498175</v>
      </c>
      <c r="F37" s="56">
        <f>标准成本!F47</f>
        <v>2.564052421101092</v>
      </c>
      <c r="G37" s="56">
        <f>标准成本!F60</f>
        <v>2.564052421101092</v>
      </c>
      <c r="H37" s="56">
        <f>标准成本!F73</f>
        <v>3.4510798754498175</v>
      </c>
      <c r="I37" s="56">
        <f>标准成本!F87</f>
        <v>3.4646568262816859</v>
      </c>
      <c r="J37" s="61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50" t="s">
        <v>77</v>
      </c>
      <c r="AK37" s="50" t="s">
        <v>29</v>
      </c>
      <c r="AL37" s="50" t="s">
        <v>77</v>
      </c>
    </row>
    <row r="38" spans="1:38">
      <c r="A38" s="153">
        <v>3</v>
      </c>
      <c r="B38" s="50" t="s">
        <v>78</v>
      </c>
      <c r="C38" s="56">
        <f>'2023年'!C38</f>
        <v>3.3910799999999997</v>
      </c>
      <c r="D38" s="56">
        <f>'2023年'!D38</f>
        <v>4.1940799999999996</v>
      </c>
      <c r="E38" s="56">
        <f>'2023年'!E38</f>
        <v>4.1940799999999996</v>
      </c>
      <c r="F38" s="56">
        <f>标准成本!F51</f>
        <v>3.1160799999999997</v>
      </c>
      <c r="G38" s="56">
        <f>标准成本!F64</f>
        <v>3.1160799999999997</v>
      </c>
      <c r="H38" s="56">
        <f>标准成本!F77</f>
        <v>4.1940799999999996</v>
      </c>
      <c r="I38" s="56">
        <f>标准成本!F91</f>
        <v>4.2105799999999993</v>
      </c>
      <c r="J38" s="6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50" t="s">
        <v>78</v>
      </c>
      <c r="AK38" s="50" t="s">
        <v>35</v>
      </c>
      <c r="AL38" s="50" t="s">
        <v>78</v>
      </c>
    </row>
    <row r="39" spans="1:38">
      <c r="A39" s="50" t="s">
        <v>75</v>
      </c>
      <c r="B39" s="53" t="s">
        <v>80</v>
      </c>
      <c r="C39" s="57"/>
      <c r="D39" s="57"/>
      <c r="E39" s="57"/>
      <c r="F39" s="57"/>
      <c r="G39" s="57"/>
      <c r="H39" s="57"/>
      <c r="I39" s="57"/>
      <c r="J39" s="57"/>
      <c r="U39" s="53" t="s">
        <v>80</v>
      </c>
      <c r="AK39" s="50" t="s">
        <v>79</v>
      </c>
      <c r="AL39" s="53" t="s">
        <v>80</v>
      </c>
    </row>
    <row r="40" spans="1:38">
      <c r="A40" s="153">
        <v>1</v>
      </c>
      <c r="B40" s="50" t="s">
        <v>82</v>
      </c>
      <c r="C40" s="57">
        <f>C34-C36-C37-C38</f>
        <v>49.73139524877417</v>
      </c>
      <c r="D40" s="57">
        <f t="shared" ref="D40:I40" si="25">D34-D36-D37-D38</f>
        <v>66.3895522915941</v>
      </c>
      <c r="E40" s="57">
        <f t="shared" si="25"/>
        <v>66.3895522915941</v>
      </c>
      <c r="F40" s="57">
        <f t="shared" si="25"/>
        <v>56.78997160397283</v>
      </c>
      <c r="G40" s="57">
        <f t="shared" si="25"/>
        <v>56.78997160397283</v>
      </c>
      <c r="H40" s="57">
        <f t="shared" si="25"/>
        <v>66.3895522915941</v>
      </c>
      <c r="I40" s="57">
        <f t="shared" si="25"/>
        <v>67.221637710282181</v>
      </c>
      <c r="J40" s="57"/>
      <c r="U40" s="50" t="s">
        <v>82</v>
      </c>
      <c r="AK40" s="50" t="s">
        <v>24</v>
      </c>
      <c r="AL40" s="50" t="s">
        <v>82</v>
      </c>
    </row>
    <row r="41" spans="1:38">
      <c r="A41" s="153">
        <v>2</v>
      </c>
      <c r="B41" s="50" t="s">
        <v>83</v>
      </c>
      <c r="C41" s="57"/>
      <c r="D41" s="57"/>
      <c r="E41" s="57"/>
      <c r="F41" s="57"/>
      <c r="G41" s="57"/>
      <c r="H41" s="57"/>
      <c r="I41" s="57"/>
      <c r="J41" s="57"/>
      <c r="U41" s="50" t="s">
        <v>83</v>
      </c>
      <c r="AK41" s="50" t="s">
        <v>26</v>
      </c>
      <c r="AL41" s="50" t="s">
        <v>83</v>
      </c>
    </row>
    <row r="42" spans="1:38">
      <c r="A42" s="50" t="s">
        <v>79</v>
      </c>
      <c r="B42" s="53" t="s">
        <v>85</v>
      </c>
      <c r="C42" s="57"/>
      <c r="D42" s="57"/>
      <c r="E42" s="57"/>
      <c r="F42" s="57"/>
      <c r="G42" s="57"/>
      <c r="H42" s="57"/>
      <c r="I42" s="57"/>
      <c r="J42" s="57"/>
      <c r="U42" s="53" t="s">
        <v>85</v>
      </c>
      <c r="AK42" s="50" t="s">
        <v>84</v>
      </c>
      <c r="AL42" s="53" t="s">
        <v>85</v>
      </c>
    </row>
    <row r="43" spans="1:38">
      <c r="A43" s="153">
        <v>1</v>
      </c>
      <c r="B43" s="58" t="s">
        <v>86</v>
      </c>
      <c r="C43" s="56">
        <f>'2023年'!C43</f>
        <v>23.614248</v>
      </c>
      <c r="D43" s="56">
        <f>'2023年'!D43</f>
        <v>29.206047999999999</v>
      </c>
      <c r="E43" s="56">
        <f>'2023年'!E43</f>
        <v>29.206047999999999</v>
      </c>
      <c r="F43" s="56">
        <f>标准成本!F46</f>
        <v>21.699247999999997</v>
      </c>
      <c r="G43" s="56">
        <f>标准成本!F59</f>
        <v>21.699247999999997</v>
      </c>
      <c r="H43" s="56">
        <f>标准成本!F72</f>
        <v>29.206047999999999</v>
      </c>
      <c r="I43" s="56">
        <f>标准成本!F86</f>
        <v>29.320947999999998</v>
      </c>
      <c r="J43" s="57"/>
      <c r="U43" s="50" t="s">
        <v>86</v>
      </c>
      <c r="AK43" s="50" t="s">
        <v>24</v>
      </c>
      <c r="AL43" s="50" t="s">
        <v>86</v>
      </c>
    </row>
    <row r="44" spans="1:38">
      <c r="A44" s="153">
        <v>2</v>
      </c>
      <c r="B44" s="58" t="s">
        <v>87</v>
      </c>
      <c r="C44" s="56">
        <f>'2023年'!C44</f>
        <v>1.0481519999999998</v>
      </c>
      <c r="D44" s="56">
        <f>'2023年'!D44</f>
        <v>1.2963519999999997</v>
      </c>
      <c r="E44" s="56">
        <f>'2023年'!E44</f>
        <v>1.2963519999999997</v>
      </c>
      <c r="F44" s="56">
        <f>标准成本!F50</f>
        <v>0.9631519999999999</v>
      </c>
      <c r="G44" s="56">
        <f>标准成本!F63</f>
        <v>0.9631519999999999</v>
      </c>
      <c r="H44" s="56">
        <f>标准成本!F76</f>
        <v>1.2963519999999997</v>
      </c>
      <c r="I44" s="56">
        <f>标准成本!F90</f>
        <v>1.3014519999999998</v>
      </c>
      <c r="J44" s="57"/>
      <c r="U44" s="50" t="s">
        <v>87</v>
      </c>
      <c r="AK44" s="50" t="s">
        <v>26</v>
      </c>
      <c r="AL44" s="50" t="s">
        <v>87</v>
      </c>
    </row>
    <row r="45" spans="1:38">
      <c r="A45" s="153">
        <v>3</v>
      </c>
      <c r="B45" s="58" t="s">
        <v>88</v>
      </c>
      <c r="C45" s="56">
        <f>'2023年'!C45</f>
        <v>10.697315999999999</v>
      </c>
      <c r="D45" s="56">
        <f>'2023年'!D45</f>
        <v>13.230416</v>
      </c>
      <c r="E45" s="56">
        <f>'2023年'!E45</f>
        <v>13.230416</v>
      </c>
      <c r="F45" s="56">
        <f>标准成本!F49</f>
        <v>9.8298159999999992</v>
      </c>
      <c r="G45" s="56">
        <f>标准成本!F62</f>
        <v>9.8298159999999992</v>
      </c>
      <c r="H45" s="56">
        <f>标准成本!F75</f>
        <v>13.230416</v>
      </c>
      <c r="I45" s="56">
        <f>标准成本!F89</f>
        <v>13.282465999999999</v>
      </c>
      <c r="J45" s="57"/>
      <c r="U45" s="50" t="s">
        <v>88</v>
      </c>
      <c r="AK45" s="50" t="s">
        <v>72</v>
      </c>
      <c r="AL45" s="50" t="s">
        <v>88</v>
      </c>
    </row>
    <row r="46" spans="1:38" s="45" customFormat="1">
      <c r="A46" s="153">
        <v>4</v>
      </c>
      <c r="B46" s="58" t="s">
        <v>89</v>
      </c>
      <c r="C46" s="63">
        <f>C21/C6</f>
        <v>0</v>
      </c>
      <c r="D46" s="63">
        <f t="shared" ref="D46:I46" si="26">D21/D6</f>
        <v>0</v>
      </c>
      <c r="E46" s="63">
        <f t="shared" si="26"/>
        <v>0</v>
      </c>
      <c r="F46" s="63">
        <f t="shared" si="26"/>
        <v>0</v>
      </c>
      <c r="G46" s="63">
        <f t="shared" si="26"/>
        <v>0</v>
      </c>
      <c r="H46" s="63">
        <f t="shared" si="26"/>
        <v>0</v>
      </c>
      <c r="I46" s="63">
        <f t="shared" si="26"/>
        <v>0</v>
      </c>
      <c r="J46" s="63"/>
      <c r="U46" s="58" t="s">
        <v>91</v>
      </c>
      <c r="AK46" s="58" t="s">
        <v>32</v>
      </c>
      <c r="AL46" s="58" t="s">
        <v>91</v>
      </c>
    </row>
    <row r="47" spans="1:38" s="45" customFormat="1">
      <c r="A47" s="153">
        <v>5</v>
      </c>
      <c r="B47" s="58" t="s">
        <v>91</v>
      </c>
      <c r="C47" s="63">
        <f>'2023年'!C47</f>
        <v>12.331199999999999</v>
      </c>
      <c r="D47" s="63">
        <f>'2023年'!D47</f>
        <v>15.251199999999999</v>
      </c>
      <c r="E47" s="63">
        <f>'2023年'!E47</f>
        <v>15.251199999999999</v>
      </c>
      <c r="F47" s="63">
        <f>标准成本!F52</f>
        <v>11.331199999999999</v>
      </c>
      <c r="G47" s="63">
        <f>标准成本!F65</f>
        <v>11.331199999999999</v>
      </c>
      <c r="H47" s="63">
        <f>标准成本!F78</f>
        <v>15.251199999999999</v>
      </c>
      <c r="I47" s="63">
        <f>标准成本!F92</f>
        <v>15.311199999999999</v>
      </c>
      <c r="J47" s="63"/>
      <c r="U47" s="58" t="s">
        <v>91</v>
      </c>
      <c r="AK47" s="58" t="s">
        <v>32</v>
      </c>
      <c r="AL47" s="58" t="s">
        <v>91</v>
      </c>
    </row>
    <row r="48" spans="1:38">
      <c r="A48" s="50" t="s">
        <v>84</v>
      </c>
      <c r="B48" s="53" t="s">
        <v>102</v>
      </c>
      <c r="C48" s="57">
        <f>C40-C43-C44-C45-C47-C46</f>
        <v>2.0404792487741741</v>
      </c>
      <c r="D48" s="57">
        <f t="shared" ref="D48:I48" si="27">D40-D43-D44-D45-D47-D46</f>
        <v>7.4055362915941085</v>
      </c>
      <c r="E48" s="57">
        <f t="shared" si="27"/>
        <v>7.4055362915941085</v>
      </c>
      <c r="F48" s="57">
        <f t="shared" si="27"/>
        <v>12.966555603972832</v>
      </c>
      <c r="G48" s="57">
        <f t="shared" si="27"/>
        <v>12.966555603972832</v>
      </c>
      <c r="H48" s="57">
        <f t="shared" si="27"/>
        <v>7.4055362915941085</v>
      </c>
      <c r="I48" s="57">
        <f t="shared" si="27"/>
        <v>8.0055717102821831</v>
      </c>
      <c r="J48" s="57"/>
      <c r="U48" s="53" t="s">
        <v>102</v>
      </c>
      <c r="AK48" s="50" t="s">
        <v>101</v>
      </c>
      <c r="AL48" s="53" t="s">
        <v>102</v>
      </c>
    </row>
    <row r="51" spans="2:15">
      <c r="C51" s="64"/>
      <c r="D51" s="64"/>
      <c r="E51" s="64"/>
      <c r="F51" s="64"/>
      <c r="G51" s="64"/>
      <c r="H51" s="64"/>
      <c r="I51" s="64"/>
    </row>
    <row r="54" spans="2:15">
      <c r="B54" s="65"/>
      <c r="C54" s="66"/>
      <c r="D54" s="66"/>
      <c r="E54" s="66"/>
      <c r="F54" s="66"/>
      <c r="G54" s="66"/>
      <c r="H54" s="66"/>
      <c r="I54" s="66"/>
      <c r="J54" s="66"/>
      <c r="K54" s="65"/>
      <c r="L54" s="65"/>
      <c r="M54" s="65"/>
      <c r="N54" s="65"/>
      <c r="O54" s="65"/>
    </row>
    <row r="55" spans="2:15">
      <c r="B55" s="65"/>
      <c r="C55" s="66"/>
      <c r="D55" s="66"/>
      <c r="E55" s="66"/>
      <c r="F55" s="66"/>
      <c r="G55" s="66"/>
      <c r="H55" s="66"/>
      <c r="I55" s="66"/>
      <c r="J55" s="66"/>
      <c r="K55" s="65"/>
      <c r="L55" s="65"/>
      <c r="M55" s="65"/>
      <c r="N55" s="65"/>
      <c r="O55" s="65"/>
    </row>
    <row r="56" spans="2:15">
      <c r="B56" s="65"/>
      <c r="C56" s="66"/>
      <c r="D56" s="66"/>
      <c r="E56" s="66"/>
      <c r="F56" s="66"/>
      <c r="G56" s="66"/>
      <c r="H56" s="66"/>
      <c r="I56" s="66"/>
      <c r="J56" s="66"/>
      <c r="K56" s="65"/>
      <c r="L56" s="65"/>
      <c r="M56" s="65"/>
      <c r="N56" s="65"/>
      <c r="O56" s="65"/>
    </row>
    <row r="57" spans="2:15">
      <c r="B57" s="65"/>
      <c r="C57" s="66"/>
      <c r="D57" s="66"/>
      <c r="E57" s="66"/>
      <c r="F57" s="66"/>
      <c r="G57" s="66"/>
      <c r="H57" s="66"/>
      <c r="I57" s="66"/>
      <c r="J57" s="66"/>
      <c r="K57" s="65"/>
      <c r="L57" s="65"/>
      <c r="M57" s="65"/>
      <c r="N57" s="65"/>
      <c r="O57" s="65"/>
    </row>
    <row r="58" spans="2:15">
      <c r="B58" s="65"/>
      <c r="C58" s="66"/>
      <c r="D58" s="66"/>
      <c r="E58" s="66"/>
      <c r="F58" s="66"/>
      <c r="G58" s="66"/>
      <c r="H58" s="66"/>
      <c r="I58" s="66"/>
      <c r="J58" s="66"/>
      <c r="K58" s="65"/>
      <c r="L58" s="65"/>
      <c r="M58" s="65"/>
      <c r="N58" s="65"/>
      <c r="O58" s="65"/>
    </row>
    <row r="59" spans="2:15">
      <c r="B59" s="65"/>
      <c r="C59" s="66"/>
      <c r="D59" s="66"/>
      <c r="E59" s="66"/>
      <c r="F59" s="66"/>
      <c r="G59" s="66"/>
      <c r="H59" s="66"/>
      <c r="I59" s="66"/>
      <c r="J59" s="66"/>
      <c r="K59" s="65"/>
      <c r="L59" s="65"/>
      <c r="M59" s="65"/>
      <c r="N59" s="65"/>
      <c r="O59" s="65"/>
    </row>
    <row r="60" spans="2:15">
      <c r="B60" s="65"/>
      <c r="C60" s="66"/>
      <c r="D60" s="66"/>
      <c r="E60" s="66"/>
      <c r="F60" s="66"/>
      <c r="G60" s="66"/>
      <c r="H60" s="66"/>
      <c r="I60" s="66"/>
      <c r="J60" s="66"/>
      <c r="K60" s="65"/>
      <c r="L60" s="65"/>
      <c r="M60" s="65"/>
      <c r="N60" s="65"/>
      <c r="O60" s="65"/>
    </row>
    <row r="61" spans="2:15">
      <c r="B61" s="65"/>
      <c r="C61" s="66"/>
      <c r="D61" s="66"/>
      <c r="E61" s="66"/>
      <c r="F61" s="66"/>
      <c r="G61" s="66"/>
      <c r="H61" s="66"/>
      <c r="I61" s="66"/>
      <c r="J61" s="66"/>
      <c r="K61" s="65"/>
      <c r="L61" s="65"/>
      <c r="M61" s="65"/>
      <c r="N61" s="65"/>
      <c r="O61" s="65"/>
    </row>
    <row r="62" spans="2:15">
      <c r="B62" s="65"/>
      <c r="C62" s="66"/>
      <c r="D62" s="66"/>
      <c r="E62" s="66"/>
      <c r="F62" s="66"/>
      <c r="G62" s="66"/>
      <c r="H62" s="66"/>
      <c r="I62" s="66"/>
      <c r="J62" s="66"/>
      <c r="K62" s="65"/>
      <c r="L62" s="65"/>
      <c r="M62" s="65"/>
      <c r="N62" s="65"/>
      <c r="O62" s="65"/>
    </row>
    <row r="63" spans="2:15">
      <c r="B63" s="65"/>
      <c r="C63" s="66"/>
      <c r="D63" s="66"/>
      <c r="E63" s="66"/>
      <c r="F63" s="66"/>
      <c r="G63" s="66"/>
      <c r="H63" s="66"/>
      <c r="I63" s="66"/>
      <c r="J63" s="66"/>
      <c r="K63" s="65"/>
      <c r="L63" s="65"/>
      <c r="M63" s="65"/>
      <c r="N63" s="65"/>
      <c r="O63" s="65"/>
    </row>
    <row r="64" spans="2:15">
      <c r="B64" s="65"/>
      <c r="C64" s="66"/>
      <c r="D64" s="66"/>
      <c r="E64" s="66"/>
      <c r="F64" s="66"/>
      <c r="G64" s="66"/>
      <c r="H64" s="66"/>
      <c r="I64" s="66"/>
      <c r="J64" s="66"/>
      <c r="K64" s="65"/>
      <c r="L64" s="65"/>
      <c r="M64" s="65"/>
      <c r="N64" s="65"/>
      <c r="O64" s="65"/>
    </row>
    <row r="65" spans="2:15">
      <c r="B65" s="65"/>
      <c r="C65" s="66"/>
      <c r="D65" s="66"/>
      <c r="E65" s="66"/>
      <c r="F65" s="66"/>
      <c r="G65" s="66"/>
      <c r="H65" s="66"/>
      <c r="I65" s="66"/>
      <c r="J65" s="66"/>
      <c r="K65" s="65"/>
      <c r="L65" s="65"/>
      <c r="M65" s="65"/>
      <c r="N65" s="65"/>
      <c r="O65" s="65"/>
    </row>
    <row r="66" spans="2:15">
      <c r="B66" s="65"/>
      <c r="C66" s="66"/>
      <c r="D66" s="66"/>
      <c r="E66" s="66"/>
      <c r="F66" s="66"/>
      <c r="G66" s="66"/>
      <c r="H66" s="66"/>
      <c r="I66" s="66"/>
      <c r="J66" s="66"/>
      <c r="K66" s="65"/>
      <c r="L66" s="65"/>
      <c r="M66" s="65"/>
      <c r="N66" s="65"/>
      <c r="O66" s="65"/>
    </row>
    <row r="67" spans="2:15">
      <c r="B67" s="65"/>
      <c r="C67" s="66"/>
      <c r="D67" s="66"/>
      <c r="E67" s="66"/>
      <c r="F67" s="66"/>
      <c r="G67" s="66"/>
      <c r="H67" s="66"/>
      <c r="I67" s="66"/>
      <c r="J67" s="66"/>
      <c r="K67" s="65"/>
    </row>
    <row r="68" spans="2:15">
      <c r="B68" s="65"/>
      <c r="C68" s="66"/>
      <c r="D68" s="66"/>
      <c r="E68" s="66"/>
      <c r="F68" s="66"/>
      <c r="G68" s="66"/>
      <c r="H68" s="66"/>
      <c r="I68" s="66"/>
      <c r="J68" s="66"/>
      <c r="K68" s="65"/>
    </row>
    <row r="69" spans="2:15">
      <c r="B69" s="65"/>
      <c r="C69" s="66"/>
      <c r="D69" s="66"/>
      <c r="E69" s="66"/>
      <c r="F69" s="66"/>
      <c r="G69" s="66"/>
      <c r="H69" s="66"/>
      <c r="I69" s="66"/>
      <c r="J69" s="66"/>
      <c r="K69" s="65"/>
    </row>
    <row r="70" spans="2:15">
      <c r="B70" s="65"/>
      <c r="C70" s="66"/>
      <c r="D70" s="66"/>
      <c r="E70" s="66"/>
      <c r="F70" s="66"/>
      <c r="G70" s="66"/>
      <c r="H70" s="66"/>
      <c r="I70" s="66"/>
      <c r="J70" s="66"/>
      <c r="K70" s="65"/>
    </row>
    <row r="71" spans="2:15">
      <c r="B71" s="65"/>
      <c r="C71" s="66"/>
      <c r="D71" s="66"/>
      <c r="E71" s="66"/>
      <c r="F71" s="66"/>
      <c r="G71" s="66"/>
      <c r="H71" s="66"/>
      <c r="I71" s="66"/>
      <c r="J71" s="66"/>
      <c r="K71" s="65"/>
    </row>
    <row r="72" spans="2:15">
      <c r="B72" s="65"/>
      <c r="C72" s="66"/>
      <c r="D72" s="66"/>
      <c r="E72" s="66"/>
      <c r="F72" s="66"/>
      <c r="G72" s="66"/>
      <c r="H72" s="66"/>
      <c r="I72" s="66"/>
      <c r="J72" s="66"/>
      <c r="K72" s="65"/>
    </row>
    <row r="73" spans="2:15">
      <c r="B73" s="65"/>
      <c r="C73" s="66"/>
      <c r="D73" s="66"/>
      <c r="E73" s="66"/>
      <c r="F73" s="66"/>
      <c r="G73" s="66"/>
      <c r="H73" s="66"/>
      <c r="I73" s="66"/>
      <c r="J73" s="66"/>
      <c r="K73" s="65"/>
    </row>
    <row r="74" spans="2:15">
      <c r="B74" s="65"/>
      <c r="C74" s="66"/>
      <c r="D74" s="66"/>
      <c r="E74" s="66"/>
      <c r="F74" s="66"/>
      <c r="G74" s="66"/>
      <c r="H74" s="66"/>
      <c r="I74" s="66"/>
      <c r="J74" s="66"/>
      <c r="K74" s="65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17" activePane="bottomRight" state="frozen"/>
      <selection pane="topRight"/>
      <selection pane="bottomLeft"/>
      <selection pane="bottomRight" activeCell="J25" sqref="J25:J26"/>
    </sheetView>
  </sheetViews>
  <sheetFormatPr defaultColWidth="9" defaultRowHeight="16.5"/>
  <cols>
    <col min="1" max="1" width="5.125" style="46" customWidth="1"/>
    <col min="2" max="2" width="17.5" style="46" customWidth="1"/>
    <col min="3" max="9" width="13.25" style="47" customWidth="1"/>
    <col min="10" max="10" width="18.75" style="47" customWidth="1"/>
    <col min="11" max="11" width="12.375" style="46" customWidth="1"/>
    <col min="12" max="12" width="10.125" style="46" customWidth="1"/>
    <col min="13" max="19" width="9" style="46" customWidth="1"/>
    <col min="20" max="36" width="9" style="46"/>
    <col min="37" max="37" width="4.375" style="46" customWidth="1"/>
    <col min="38" max="38" width="13.875" style="46" customWidth="1"/>
    <col min="39" max="16384" width="9" style="46"/>
  </cols>
  <sheetData>
    <row r="1" spans="1:39">
      <c r="A1" s="266" t="s">
        <v>142</v>
      </c>
      <c r="B1" s="266"/>
      <c r="C1" s="270" t="s">
        <v>241</v>
      </c>
      <c r="D1" s="271"/>
      <c r="E1" s="271"/>
      <c r="F1" s="271"/>
      <c r="G1" s="271"/>
      <c r="H1" s="271"/>
      <c r="I1" s="271"/>
      <c r="J1" s="272"/>
    </row>
    <row r="2" spans="1:39">
      <c r="A2" s="266" t="s">
        <v>143</v>
      </c>
      <c r="B2" s="266"/>
      <c r="C2" s="273" t="str">
        <f>'2023年'!C2:F2</f>
        <v>北汽</v>
      </c>
      <c r="D2" s="273"/>
      <c r="E2" s="273"/>
      <c r="F2" s="273"/>
      <c r="G2" s="273"/>
      <c r="H2" s="273"/>
      <c r="I2" s="273"/>
      <c r="J2" s="273"/>
    </row>
    <row r="3" spans="1:39">
      <c r="A3" s="266" t="s">
        <v>144</v>
      </c>
      <c r="B3" s="266"/>
      <c r="C3" s="154">
        <f>销量!C5</f>
        <v>0</v>
      </c>
      <c r="D3" s="223"/>
      <c r="E3" s="223"/>
      <c r="F3" s="223"/>
      <c r="G3" s="223"/>
      <c r="H3" s="223"/>
      <c r="I3" s="223"/>
      <c r="J3" s="267" t="s">
        <v>20</v>
      </c>
    </row>
    <row r="4" spans="1:39" ht="28.5">
      <c r="A4" s="266" t="s">
        <v>145</v>
      </c>
      <c r="B4" s="266"/>
      <c r="C4" s="154" t="str">
        <f>销量!C6</f>
        <v>北汽B41V-C系列-LV1</v>
      </c>
      <c r="D4" s="154" t="str">
        <f>销量!D6</f>
        <v>B41V-C系列-LV2-LV3-P系列-LV3-左</v>
      </c>
      <c r="E4" s="154" t="str">
        <f>销量!E6</f>
        <v>B41V-C系列-LV2-LV3-P系列-LV3-左</v>
      </c>
      <c r="F4" s="154" t="str">
        <f>销量!F6</f>
        <v xml:space="preserve">B41V-P系列-LV1-LV2-左 </v>
      </c>
      <c r="G4" s="154" t="str">
        <f>销量!G6</f>
        <v xml:space="preserve">B41V-P系列-LV1-LV2-左 </v>
      </c>
      <c r="H4" s="154" t="str">
        <f>销量!H6</f>
        <v>B41V-C系列-LV2-LV3-P系列-LV3-左</v>
      </c>
      <c r="I4" s="154" t="str">
        <f>销量!I6</f>
        <v>B41V-混动-左</v>
      </c>
      <c r="J4" s="268"/>
    </row>
    <row r="5" spans="1:39">
      <c r="A5" s="266" t="s">
        <v>146</v>
      </c>
      <c r="B5" s="266"/>
      <c r="C5" s="49"/>
      <c r="D5" s="216"/>
      <c r="E5" s="216"/>
      <c r="F5" s="216"/>
      <c r="G5" s="216"/>
      <c r="H5" s="216"/>
      <c r="I5" s="216"/>
      <c r="J5" s="269"/>
      <c r="AM5" s="46" t="s">
        <v>21</v>
      </c>
    </row>
    <row r="6" spans="1:39" ht="17.25">
      <c r="A6" s="50" t="s">
        <v>19</v>
      </c>
      <c r="B6" s="51" t="s">
        <v>147</v>
      </c>
      <c r="C6" s="21">
        <f>销量!C11</f>
        <v>3200</v>
      </c>
      <c r="D6" s="21">
        <f>销量!D11</f>
        <v>8000</v>
      </c>
      <c r="E6" s="21">
        <f>销量!E11</f>
        <v>4800</v>
      </c>
      <c r="F6" s="21">
        <f>销量!F11</f>
        <v>5625</v>
      </c>
      <c r="G6" s="21">
        <f>销量!G11</f>
        <v>5625</v>
      </c>
      <c r="H6" s="21">
        <f>销量!H11</f>
        <v>3750</v>
      </c>
      <c r="I6" s="21">
        <f>销量!I11</f>
        <v>6000</v>
      </c>
      <c r="J6" s="52">
        <f>SUM(C6:I6)</f>
        <v>37000</v>
      </c>
      <c r="U6" s="51" t="s">
        <v>3</v>
      </c>
      <c r="AK6" s="50" t="s">
        <v>19</v>
      </c>
      <c r="AL6" s="51" t="s">
        <v>3</v>
      </c>
      <c r="AM6" s="46" t="s">
        <v>22</v>
      </c>
    </row>
    <row r="7" spans="1:39">
      <c r="A7" s="153">
        <v>1</v>
      </c>
      <c r="B7" s="51" t="s">
        <v>23</v>
      </c>
      <c r="C7" s="52">
        <f>C6*销量!C8</f>
        <v>986495.99999999988</v>
      </c>
      <c r="D7" s="52">
        <f>D6*销量!D8</f>
        <v>3050240</v>
      </c>
      <c r="E7" s="52">
        <f>E6*销量!E8</f>
        <v>1830143.9999999998</v>
      </c>
      <c r="F7" s="52">
        <f>F6*销量!F8</f>
        <v>1593449.9999999998</v>
      </c>
      <c r="G7" s="52">
        <f>G6*销量!G8</f>
        <v>1593449.9999999998</v>
      </c>
      <c r="H7" s="52">
        <f>H6*销量!H8</f>
        <v>1429800</v>
      </c>
      <c r="I7" s="52">
        <f>I6*销量!I8</f>
        <v>2296680</v>
      </c>
      <c r="J7" s="52">
        <f>SUM(C7:I7)</f>
        <v>12780260</v>
      </c>
      <c r="K7" s="47"/>
      <c r="U7" s="51" t="s">
        <v>23</v>
      </c>
      <c r="AK7" s="50" t="s">
        <v>24</v>
      </c>
      <c r="AL7" s="51" t="s">
        <v>23</v>
      </c>
      <c r="AM7" s="46" t="s">
        <v>22</v>
      </c>
    </row>
    <row r="8" spans="1:39">
      <c r="A8" s="153">
        <v>2</v>
      </c>
      <c r="B8" s="153" t="s">
        <v>25</v>
      </c>
      <c r="C8" s="52">
        <f>C7*(1-销量!$M$8)</f>
        <v>0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>I7*(1-销量!$M$8)</f>
        <v>0</v>
      </c>
      <c r="J8" s="52">
        <f t="shared" ref="J8:J15" si="0">SUM(C8:I8)</f>
        <v>0</v>
      </c>
      <c r="K8" s="67"/>
      <c r="U8" s="153" t="s">
        <v>27</v>
      </c>
      <c r="AK8" s="50" t="s">
        <v>26</v>
      </c>
      <c r="AL8" s="153" t="s">
        <v>27</v>
      </c>
      <c r="AM8" s="46" t="s">
        <v>22</v>
      </c>
    </row>
    <row r="9" spans="1:39">
      <c r="A9" s="153">
        <v>3</v>
      </c>
      <c r="B9" s="51" t="s">
        <v>28</v>
      </c>
      <c r="C9" s="52">
        <f>+C7-C8</f>
        <v>986495.99999999988</v>
      </c>
      <c r="D9" s="52">
        <f t="shared" ref="D9:I9" si="1">+D7-D8</f>
        <v>3050240</v>
      </c>
      <c r="E9" s="52">
        <f t="shared" si="1"/>
        <v>1830143.9999999998</v>
      </c>
      <c r="F9" s="52">
        <f t="shared" si="1"/>
        <v>1593449.9999999998</v>
      </c>
      <c r="G9" s="52">
        <f t="shared" si="1"/>
        <v>1593449.9999999998</v>
      </c>
      <c r="H9" s="52">
        <f t="shared" si="1"/>
        <v>1429800</v>
      </c>
      <c r="I9" s="52">
        <f t="shared" si="1"/>
        <v>2296680</v>
      </c>
      <c r="J9" s="52">
        <f t="shared" si="0"/>
        <v>12780260</v>
      </c>
      <c r="U9" s="51" t="s">
        <v>28</v>
      </c>
      <c r="AK9" s="50" t="s">
        <v>29</v>
      </c>
      <c r="AL9" s="51" t="s">
        <v>28</v>
      </c>
      <c r="AM9" s="46" t="s">
        <v>30</v>
      </c>
    </row>
    <row r="10" spans="1:39">
      <c r="A10" s="153">
        <v>4</v>
      </c>
      <c r="B10" s="50" t="s">
        <v>31</v>
      </c>
      <c r="C10" s="52">
        <f>C6*材料成本!G41</f>
        <v>756384</v>
      </c>
      <c r="D10" s="52">
        <f>D6*材料成本!G42</f>
        <v>2299680</v>
      </c>
      <c r="E10" s="52">
        <f>E6*材料成本!G43</f>
        <v>1379808</v>
      </c>
      <c r="F10" s="52">
        <f>F6*材料成本!G44</f>
        <v>1159368.75</v>
      </c>
      <c r="G10" s="52">
        <f>G6*材料成本!G45</f>
        <v>1159368.75</v>
      </c>
      <c r="H10" s="52">
        <f>H6*材料成本!G46</f>
        <v>1077975</v>
      </c>
      <c r="I10" s="52">
        <f>I6*材料成本!G47</f>
        <v>1728120</v>
      </c>
      <c r="J10" s="52">
        <f t="shared" si="0"/>
        <v>9560704.5</v>
      </c>
      <c r="U10" s="50" t="s">
        <v>31</v>
      </c>
      <c r="AK10" s="50" t="s">
        <v>32</v>
      </c>
      <c r="AL10" s="50" t="s">
        <v>31</v>
      </c>
      <c r="AM10" s="46" t="s">
        <v>33</v>
      </c>
    </row>
    <row r="11" spans="1:39">
      <c r="A11" s="153">
        <v>5</v>
      </c>
      <c r="B11" s="50" t="s">
        <v>34</v>
      </c>
      <c r="C11" s="52">
        <f>+C6*C36</f>
        <v>51191.007412032734</v>
      </c>
      <c r="D11" s="52">
        <f t="shared" ref="D11:I11" si="2">+D6*D36</f>
        <v>158282.30266364865</v>
      </c>
      <c r="E11" s="52">
        <f t="shared" si="2"/>
        <v>94969.381598189182</v>
      </c>
      <c r="F11" s="52">
        <f t="shared" si="2"/>
        <v>82686.914858958931</v>
      </c>
      <c r="G11" s="52">
        <f t="shared" si="2"/>
        <v>82686.914858958931</v>
      </c>
      <c r="H11" s="52">
        <f t="shared" si="2"/>
        <v>74194.829373585293</v>
      </c>
      <c r="I11" s="52">
        <f t="shared" si="2"/>
        <v>119178.75278061678</v>
      </c>
      <c r="J11" s="52">
        <f t="shared" si="0"/>
        <v>663190.10354599042</v>
      </c>
      <c r="U11" s="50" t="s">
        <v>34</v>
      </c>
      <c r="AK11" s="50" t="s">
        <v>35</v>
      </c>
      <c r="AL11" s="50" t="s">
        <v>34</v>
      </c>
    </row>
    <row r="12" spans="1:39">
      <c r="A12" s="153">
        <v>6</v>
      </c>
      <c r="B12" s="50" t="s">
        <v>36</v>
      </c>
      <c r="C12" s="52">
        <f>+C6*C37</f>
        <v>8929.0717918898008</v>
      </c>
      <c r="D12" s="52">
        <f t="shared" ref="D12:I12" si="3">+D6*D37</f>
        <v>27608.639003598539</v>
      </c>
      <c r="E12" s="52">
        <f t="shared" si="3"/>
        <v>16565.183402159124</v>
      </c>
      <c r="F12" s="52">
        <f t="shared" si="3"/>
        <v>14422.794868693643</v>
      </c>
      <c r="G12" s="52">
        <f t="shared" si="3"/>
        <v>14422.794868693643</v>
      </c>
      <c r="H12" s="52">
        <f t="shared" si="3"/>
        <v>12941.549532936815</v>
      </c>
      <c r="I12" s="52">
        <f t="shared" si="3"/>
        <v>20787.940957690116</v>
      </c>
      <c r="J12" s="52">
        <f t="shared" si="0"/>
        <v>115677.97442566167</v>
      </c>
      <c r="U12" s="50" t="s">
        <v>36</v>
      </c>
      <c r="AK12" s="50" t="s">
        <v>37</v>
      </c>
      <c r="AL12" s="50" t="s">
        <v>36</v>
      </c>
    </row>
    <row r="13" spans="1:39">
      <c r="A13" s="153">
        <v>7</v>
      </c>
      <c r="B13" s="50" t="s">
        <v>38</v>
      </c>
      <c r="C13" s="52">
        <f>+C6*C38</f>
        <v>10851.455999999998</v>
      </c>
      <c r="D13" s="52">
        <f t="shared" ref="D13:I13" si="4">+D6*D38</f>
        <v>33552.639999999999</v>
      </c>
      <c r="E13" s="52">
        <f t="shared" si="4"/>
        <v>20131.583999999999</v>
      </c>
      <c r="F13" s="52">
        <f t="shared" si="4"/>
        <v>17527.949999999997</v>
      </c>
      <c r="G13" s="52">
        <f t="shared" si="4"/>
        <v>17527.949999999997</v>
      </c>
      <c r="H13" s="52">
        <f t="shared" si="4"/>
        <v>15727.8</v>
      </c>
      <c r="I13" s="52">
        <f t="shared" si="4"/>
        <v>25263.479999999996</v>
      </c>
      <c r="J13" s="52">
        <f t="shared" si="0"/>
        <v>140582.85999999999</v>
      </c>
      <c r="U13" s="50" t="s">
        <v>38</v>
      </c>
      <c r="AK13" s="50" t="s">
        <v>39</v>
      </c>
      <c r="AL13" s="50" t="s">
        <v>38</v>
      </c>
      <c r="AM13" s="46" t="s">
        <v>22</v>
      </c>
    </row>
    <row r="14" spans="1:39">
      <c r="A14" s="153">
        <v>8</v>
      </c>
      <c r="B14" s="53" t="s">
        <v>40</v>
      </c>
      <c r="C14" s="52">
        <f>SUM(C11:C13)</f>
        <v>70971.53520392254</v>
      </c>
      <c r="D14" s="52">
        <f t="shared" ref="D14:I14" si="5">SUM(D11:D13)</f>
        <v>219443.58166724717</v>
      </c>
      <c r="E14" s="52">
        <f t="shared" si="5"/>
        <v>131666.14900034829</v>
      </c>
      <c r="F14" s="52">
        <f t="shared" si="5"/>
        <v>114637.65972765257</v>
      </c>
      <c r="G14" s="52">
        <f t="shared" si="5"/>
        <v>114637.65972765257</v>
      </c>
      <c r="H14" s="52">
        <f t="shared" si="5"/>
        <v>102864.17890652211</v>
      </c>
      <c r="I14" s="52">
        <f t="shared" si="5"/>
        <v>165230.17373830691</v>
      </c>
      <c r="J14" s="52">
        <f t="shared" si="0"/>
        <v>919450.93797165225</v>
      </c>
      <c r="U14" s="53" t="s">
        <v>40</v>
      </c>
      <c r="AK14" s="50" t="s">
        <v>41</v>
      </c>
      <c r="AL14" s="53" t="s">
        <v>40</v>
      </c>
    </row>
    <row r="15" spans="1:39">
      <c r="A15" s="153">
        <v>9</v>
      </c>
      <c r="B15" s="53" t="s">
        <v>42</v>
      </c>
      <c r="C15" s="52">
        <f>+C9-C10-C14</f>
        <v>159140.46479607734</v>
      </c>
      <c r="D15" s="52">
        <f t="shared" ref="D15:I15" si="6">+D9-D10-D14</f>
        <v>531116.41833275277</v>
      </c>
      <c r="E15" s="52">
        <f t="shared" si="6"/>
        <v>318669.85099965148</v>
      </c>
      <c r="F15" s="52">
        <f t="shared" si="6"/>
        <v>319443.59027234721</v>
      </c>
      <c r="G15" s="52">
        <f t="shared" si="6"/>
        <v>319443.59027234721</v>
      </c>
      <c r="H15" s="52">
        <f t="shared" si="6"/>
        <v>248960.82109347789</v>
      </c>
      <c r="I15" s="52">
        <f t="shared" si="6"/>
        <v>403329.82626169309</v>
      </c>
      <c r="J15" s="52">
        <f t="shared" si="0"/>
        <v>2300104.562028347</v>
      </c>
      <c r="U15" s="53" t="s">
        <v>42</v>
      </c>
      <c r="AK15" s="50" t="s">
        <v>43</v>
      </c>
      <c r="AL15" s="53" t="s">
        <v>42</v>
      </c>
    </row>
    <row r="16" spans="1:39">
      <c r="A16" s="153">
        <v>10</v>
      </c>
      <c r="B16" s="50" t="s">
        <v>44</v>
      </c>
      <c r="C16" s="54">
        <f>+C15/C9</f>
        <v>0.16131891543004467</v>
      </c>
      <c r="D16" s="54">
        <f t="shared" ref="D16:I16" si="7">+D15/D9</f>
        <v>0.17412282913238067</v>
      </c>
      <c r="E16" s="54">
        <f t="shared" si="7"/>
        <v>0.17412282913238059</v>
      </c>
      <c r="F16" s="54">
        <f t="shared" si="7"/>
        <v>0.20047292997731164</v>
      </c>
      <c r="G16" s="54">
        <f t="shared" si="7"/>
        <v>0.20047292997731164</v>
      </c>
      <c r="H16" s="54">
        <f t="shared" si="7"/>
        <v>0.17412282913238067</v>
      </c>
      <c r="I16" s="54">
        <f t="shared" si="7"/>
        <v>0.17561428943592189</v>
      </c>
      <c r="J16" s="54">
        <f t="shared" ref="J16" si="8">+J15/J9</f>
        <v>0.17997322136078195</v>
      </c>
      <c r="U16" s="50" t="s">
        <v>44</v>
      </c>
      <c r="AK16" s="50" t="s">
        <v>45</v>
      </c>
      <c r="AL16" s="50" t="s">
        <v>44</v>
      </c>
    </row>
    <row r="17" spans="1:39">
      <c r="A17" s="153">
        <v>11</v>
      </c>
      <c r="B17" s="50" t="s">
        <v>46</v>
      </c>
      <c r="C17" s="52">
        <f>C6*C43+C18</f>
        <v>95986.412132818528</v>
      </c>
      <c r="D17" s="52">
        <f t="shared" ref="D17:I17" si="9">D6*D43+D18</f>
        <v>284700.43033204635</v>
      </c>
      <c r="E17" s="52">
        <f t="shared" si="9"/>
        <v>170820.2581992278</v>
      </c>
      <c r="F17" s="52">
        <f t="shared" si="9"/>
        <v>157954.24007722008</v>
      </c>
      <c r="G17" s="52">
        <f t="shared" si="9"/>
        <v>157954.24007722008</v>
      </c>
      <c r="H17" s="52">
        <f t="shared" si="9"/>
        <v>133453.32671814671</v>
      </c>
      <c r="I17" s="52">
        <f t="shared" si="9"/>
        <v>214214.72274903476</v>
      </c>
      <c r="J17" s="52">
        <f>SUM(C17:I17)</f>
        <v>1215083.6302857143</v>
      </c>
      <c r="K17" s="67"/>
      <c r="U17" s="50" t="s">
        <v>46</v>
      </c>
      <c r="AK17" s="50" t="s">
        <v>47</v>
      </c>
      <c r="AL17" s="50" t="s">
        <v>46</v>
      </c>
    </row>
    <row r="18" spans="1:39" s="44" customFormat="1">
      <c r="A18" s="153">
        <v>12</v>
      </c>
      <c r="B18" s="55" t="s">
        <v>148</v>
      </c>
      <c r="C18" s="56">
        <f>$J$18/$J$6*C6</f>
        <v>20420.818532818535</v>
      </c>
      <c r="D18" s="56">
        <f t="shared" ref="D18:I18" si="10">$J$18/$J$6*D6</f>
        <v>51052.046332046339</v>
      </c>
      <c r="E18" s="56">
        <f t="shared" si="10"/>
        <v>30631.227799227803</v>
      </c>
      <c r="F18" s="56">
        <f t="shared" si="10"/>
        <v>35895.970077220081</v>
      </c>
      <c r="G18" s="56">
        <f t="shared" si="10"/>
        <v>35895.970077220081</v>
      </c>
      <c r="H18" s="56">
        <f t="shared" si="10"/>
        <v>23930.64671814672</v>
      </c>
      <c r="I18" s="56">
        <f t="shared" si="10"/>
        <v>38289.034749034756</v>
      </c>
      <c r="J18" s="56">
        <f>项目投资!D26</f>
        <v>236115.71428571432</v>
      </c>
      <c r="K18" s="68" t="s">
        <v>149</v>
      </c>
      <c r="L18" s="68"/>
      <c r="M18" s="68"/>
    </row>
    <row r="19" spans="1:39">
      <c r="A19" s="153">
        <v>13</v>
      </c>
      <c r="B19" s="50" t="s">
        <v>48</v>
      </c>
      <c r="C19" s="52">
        <f>C6*C44</f>
        <v>3354.0863999999992</v>
      </c>
      <c r="D19" s="52">
        <f t="shared" ref="D19:I19" si="11">D6*D44</f>
        <v>10370.815999999997</v>
      </c>
      <c r="E19" s="52">
        <f t="shared" si="11"/>
        <v>6222.489599999999</v>
      </c>
      <c r="F19" s="52">
        <f t="shared" si="11"/>
        <v>5417.73</v>
      </c>
      <c r="G19" s="52">
        <f t="shared" si="11"/>
        <v>5417.73</v>
      </c>
      <c r="H19" s="52">
        <f t="shared" si="11"/>
        <v>4861.3199999999988</v>
      </c>
      <c r="I19" s="52">
        <f t="shared" si="11"/>
        <v>7808.7119999999986</v>
      </c>
      <c r="J19" s="52">
        <f>SUM(C19:I19)</f>
        <v>43452.883999999991</v>
      </c>
      <c r="K19" s="44"/>
      <c r="U19" s="50" t="s">
        <v>48</v>
      </c>
      <c r="AK19" s="50" t="s">
        <v>49</v>
      </c>
      <c r="AL19" s="50" t="s">
        <v>48</v>
      </c>
      <c r="AM19" s="46" t="s">
        <v>22</v>
      </c>
    </row>
    <row r="20" spans="1:39">
      <c r="A20" s="153">
        <v>14</v>
      </c>
      <c r="B20" s="50" t="s">
        <v>50</v>
      </c>
      <c r="C20" s="52">
        <f>C6*C45</f>
        <v>34231.411199999995</v>
      </c>
      <c r="D20" s="52">
        <f t="shared" ref="D20:I20" si="12">D6*D45</f>
        <v>105843.32799999999</v>
      </c>
      <c r="E20" s="52">
        <f t="shared" si="12"/>
        <v>63505.996800000001</v>
      </c>
      <c r="F20" s="52">
        <f t="shared" si="12"/>
        <v>55292.714999999997</v>
      </c>
      <c r="G20" s="52">
        <f t="shared" si="12"/>
        <v>55292.714999999997</v>
      </c>
      <c r="H20" s="52">
        <f t="shared" si="12"/>
        <v>49614.06</v>
      </c>
      <c r="I20" s="52">
        <f t="shared" si="12"/>
        <v>79694.796000000002</v>
      </c>
      <c r="J20" s="52">
        <f>SUM(C20:I20)</f>
        <v>443475.022</v>
      </c>
      <c r="U20" s="50" t="s">
        <v>50</v>
      </c>
      <c r="AK20" s="50" t="s">
        <v>51</v>
      </c>
      <c r="AL20" s="50" t="s">
        <v>50</v>
      </c>
    </row>
    <row r="21" spans="1:39">
      <c r="A21" s="153">
        <v>15</v>
      </c>
      <c r="B21" s="50" t="s">
        <v>52</v>
      </c>
      <c r="C21" s="57">
        <f>$J$21/$J$6*C6</f>
        <v>0</v>
      </c>
      <c r="D21" s="57">
        <f t="shared" ref="D21:I21" si="13">$J$21/$J$6*D6</f>
        <v>0</v>
      </c>
      <c r="E21" s="57">
        <f t="shared" si="13"/>
        <v>0</v>
      </c>
      <c r="F21" s="57">
        <f t="shared" si="13"/>
        <v>0</v>
      </c>
      <c r="G21" s="57">
        <f t="shared" si="13"/>
        <v>0</v>
      </c>
      <c r="H21" s="57">
        <f t="shared" si="13"/>
        <v>0</v>
      </c>
      <c r="I21" s="57">
        <f t="shared" si="13"/>
        <v>0</v>
      </c>
      <c r="J21" s="52">
        <f>项目投资!D27</f>
        <v>0</v>
      </c>
      <c r="U21" s="50" t="s">
        <v>52</v>
      </c>
      <c r="AK21" s="50"/>
      <c r="AL21" s="50"/>
    </row>
    <row r="22" spans="1:39">
      <c r="A22" s="153">
        <v>16</v>
      </c>
      <c r="B22" s="50" t="s">
        <v>53</v>
      </c>
      <c r="C22" s="52">
        <f>C6*C47</f>
        <v>39459.839999999997</v>
      </c>
      <c r="D22" s="52">
        <f t="shared" ref="D22:I22" si="14">D6*D47</f>
        <v>122009.59999999999</v>
      </c>
      <c r="E22" s="52">
        <f t="shared" si="14"/>
        <v>73205.759999999995</v>
      </c>
      <c r="F22" s="52">
        <f t="shared" si="14"/>
        <v>63737.999999999993</v>
      </c>
      <c r="G22" s="52">
        <f t="shared" si="14"/>
        <v>63737.999999999993</v>
      </c>
      <c r="H22" s="52">
        <f t="shared" si="14"/>
        <v>57191.999999999993</v>
      </c>
      <c r="I22" s="52">
        <f t="shared" si="14"/>
        <v>91867.199999999997</v>
      </c>
      <c r="J22" s="52">
        <f>SUM(C22:I22)</f>
        <v>511210.4</v>
      </c>
      <c r="U22" s="50" t="s">
        <v>53</v>
      </c>
      <c r="AK22" s="50" t="s">
        <v>54</v>
      </c>
      <c r="AL22" s="50" t="s">
        <v>53</v>
      </c>
    </row>
    <row r="23" spans="1:39">
      <c r="A23" s="153">
        <v>17</v>
      </c>
      <c r="B23" s="53" t="s">
        <v>55</v>
      </c>
      <c r="C23" s="57">
        <f>+C22+C21+C20+C19+C17</f>
        <v>173031.74973281851</v>
      </c>
      <c r="D23" s="57">
        <f t="shared" ref="D23:I23" si="15">+D22+D21+D20+D19+D17</f>
        <v>522924.1743320463</v>
      </c>
      <c r="E23" s="57">
        <f t="shared" si="15"/>
        <v>313754.5045992278</v>
      </c>
      <c r="F23" s="57">
        <f t="shared" si="15"/>
        <v>282402.68507722009</v>
      </c>
      <c r="G23" s="57">
        <f t="shared" si="15"/>
        <v>282402.68507722009</v>
      </c>
      <c r="H23" s="57">
        <f t="shared" si="15"/>
        <v>245120.70671814668</v>
      </c>
      <c r="I23" s="57">
        <f t="shared" si="15"/>
        <v>393585.43074903474</v>
      </c>
      <c r="J23" s="57">
        <f t="shared" ref="J23" si="16">+J22+J21+J20+J19+J17</f>
        <v>2213221.9362857142</v>
      </c>
      <c r="U23" s="53" t="s">
        <v>55</v>
      </c>
      <c r="AK23" s="50" t="s">
        <v>56</v>
      </c>
      <c r="AL23" s="53" t="s">
        <v>55</v>
      </c>
    </row>
    <row r="24" spans="1:39">
      <c r="A24" s="153">
        <v>18</v>
      </c>
      <c r="B24" s="58" t="s">
        <v>57</v>
      </c>
      <c r="C24" s="57">
        <f>+C15-C23</f>
        <v>-13891.284936741169</v>
      </c>
      <c r="D24" s="57">
        <f t="shared" ref="D24:I24" si="17">+D15-D23</f>
        <v>8192.2440007064724</v>
      </c>
      <c r="E24" s="57">
        <f t="shared" si="17"/>
        <v>4915.3464004236739</v>
      </c>
      <c r="F24" s="57">
        <f t="shared" si="17"/>
        <v>37040.905195127125</v>
      </c>
      <c r="G24" s="57">
        <f t="shared" si="17"/>
        <v>37040.905195127125</v>
      </c>
      <c r="H24" s="57">
        <f t="shared" si="17"/>
        <v>3840.1143753312062</v>
      </c>
      <c r="I24" s="57">
        <f t="shared" si="17"/>
        <v>9744.395512658346</v>
      </c>
      <c r="J24" s="57">
        <f t="shared" ref="J24" si="18">+J15-J23</f>
        <v>86882.625742632896</v>
      </c>
      <c r="L24" s="69"/>
      <c r="U24" s="50" t="s">
        <v>57</v>
      </c>
      <c r="AK24" s="50" t="s">
        <v>58</v>
      </c>
      <c r="AL24" s="50" t="s">
        <v>57</v>
      </c>
    </row>
    <row r="25" spans="1:39">
      <c r="A25" s="153">
        <v>19</v>
      </c>
      <c r="B25" s="50" t="s">
        <v>150</v>
      </c>
      <c r="C25" s="57">
        <f>IF(C24&lt;0,0,C24*0.15)</f>
        <v>0</v>
      </c>
      <c r="D25" s="57">
        <f t="shared" ref="D25:I25" si="19">IF(D24&lt;0,0,D24*0.15)</f>
        <v>1228.8366001059708</v>
      </c>
      <c r="E25" s="57">
        <f t="shared" si="19"/>
        <v>737.30196006355106</v>
      </c>
      <c r="F25" s="57">
        <f t="shared" si="19"/>
        <v>5556.1357792690687</v>
      </c>
      <c r="G25" s="57">
        <f t="shared" si="19"/>
        <v>5556.1357792690687</v>
      </c>
      <c r="H25" s="57">
        <f t="shared" si="19"/>
        <v>576.01715629968089</v>
      </c>
      <c r="I25" s="57">
        <f t="shared" si="19"/>
        <v>1461.6593268987519</v>
      </c>
      <c r="J25" s="57">
        <f>IF(J24&lt;0,0,J24*0.15)</f>
        <v>13032.393861394934</v>
      </c>
      <c r="K25" s="65"/>
      <c r="L25" s="65"/>
      <c r="M25" s="65"/>
      <c r="U25" s="50" t="s">
        <v>59</v>
      </c>
      <c r="AK25" s="50" t="s">
        <v>60</v>
      </c>
      <c r="AL25" s="50" t="s">
        <v>59</v>
      </c>
    </row>
    <row r="26" spans="1:39">
      <c r="A26" s="153">
        <v>20</v>
      </c>
      <c r="B26" s="50" t="s">
        <v>61</v>
      </c>
      <c r="C26" s="57">
        <f t="shared" ref="C26:I26" si="20">C24-C25</f>
        <v>-13891.284936741169</v>
      </c>
      <c r="D26" s="57">
        <f t="shared" si="20"/>
        <v>6963.4074006005012</v>
      </c>
      <c r="E26" s="57">
        <f t="shared" si="20"/>
        <v>4178.0444403601232</v>
      </c>
      <c r="F26" s="57">
        <f t="shared" si="20"/>
        <v>31484.769415858056</v>
      </c>
      <c r="G26" s="57">
        <f t="shared" si="20"/>
        <v>31484.769415858056</v>
      </c>
      <c r="H26" s="57">
        <f t="shared" si="20"/>
        <v>3264.0972190315251</v>
      </c>
      <c r="I26" s="57">
        <f t="shared" si="20"/>
        <v>8282.7361857595934</v>
      </c>
      <c r="J26" s="52">
        <f>J24-J25</f>
        <v>73850.231881237967</v>
      </c>
      <c r="K26" s="65"/>
      <c r="L26" s="65"/>
      <c r="M26" s="65"/>
      <c r="U26" s="50" t="s">
        <v>61</v>
      </c>
      <c r="AK26" s="50" t="s">
        <v>62</v>
      </c>
      <c r="AL26" s="50" t="s">
        <v>61</v>
      </c>
    </row>
    <row r="27" spans="1:39">
      <c r="A27" s="153">
        <v>21</v>
      </c>
      <c r="B27" s="50" t="s">
        <v>65</v>
      </c>
      <c r="C27" s="59">
        <f t="shared" ref="C27:J27" si="21">C26/C7</f>
        <v>-1.4081440712117607E-2</v>
      </c>
      <c r="D27" s="59">
        <f t="shared" ref="D27:I27" si="22">D26/D7</f>
        <v>2.2829047552325394E-3</v>
      </c>
      <c r="E27" s="59">
        <f t="shared" si="22"/>
        <v>2.2829047552324427E-3</v>
      </c>
      <c r="F27" s="59">
        <f t="shared" si="22"/>
        <v>1.9758868753872453E-2</v>
      </c>
      <c r="G27" s="59">
        <f t="shared" si="22"/>
        <v>1.9758868753872453E-2</v>
      </c>
      <c r="H27" s="59">
        <f t="shared" si="22"/>
        <v>2.2829047552325676E-3</v>
      </c>
      <c r="I27" s="59">
        <f t="shared" si="22"/>
        <v>3.6063953993414814E-3</v>
      </c>
      <c r="J27" s="59">
        <f t="shared" si="21"/>
        <v>5.778460835791914E-3</v>
      </c>
      <c r="K27" s="65"/>
      <c r="L27" s="65"/>
      <c r="M27" s="65"/>
      <c r="U27" s="50" t="s">
        <v>65</v>
      </c>
      <c r="AK27" s="50" t="s">
        <v>64</v>
      </c>
      <c r="AL27" s="50" t="s">
        <v>65</v>
      </c>
    </row>
    <row r="28" spans="1:39">
      <c r="K28" s="65"/>
      <c r="L28" s="65"/>
      <c r="M28" s="65"/>
      <c r="U28" s="50"/>
    </row>
    <row r="29" spans="1:39">
      <c r="A29" s="46" t="s">
        <v>66</v>
      </c>
      <c r="J29" s="47" t="s">
        <v>151</v>
      </c>
      <c r="K29" s="65"/>
      <c r="L29" s="65"/>
      <c r="M29" s="65"/>
      <c r="U29" s="50"/>
      <c r="AK29" s="46" t="s">
        <v>66</v>
      </c>
    </row>
    <row r="30" spans="1:39">
      <c r="A30" s="50" t="s">
        <v>67</v>
      </c>
      <c r="B30" s="53" t="s">
        <v>68</v>
      </c>
      <c r="C30" s="57"/>
      <c r="D30" s="57"/>
      <c r="E30" s="57"/>
      <c r="F30" s="57"/>
      <c r="G30" s="57"/>
      <c r="H30" s="57"/>
      <c r="I30" s="57"/>
      <c r="J30" s="57"/>
      <c r="K30" s="65"/>
      <c r="L30" s="65"/>
      <c r="M30" s="65"/>
      <c r="O30" s="65"/>
      <c r="U30" s="53" t="s">
        <v>68</v>
      </c>
      <c r="AK30" s="50" t="s">
        <v>69</v>
      </c>
      <c r="AL30" s="53" t="s">
        <v>68</v>
      </c>
    </row>
    <row r="31" spans="1:39">
      <c r="A31" s="153">
        <v>1</v>
      </c>
      <c r="B31" s="55" t="s">
        <v>70</v>
      </c>
      <c r="C31" s="61">
        <f>销量!C8</f>
        <v>308.27999999999997</v>
      </c>
      <c r="D31" s="61">
        <f>销量!D8</f>
        <v>381.28</v>
      </c>
      <c r="E31" s="61">
        <f>销量!E8</f>
        <v>381.28</v>
      </c>
      <c r="F31" s="61">
        <f>销量!F8</f>
        <v>283.27999999999997</v>
      </c>
      <c r="G31" s="61">
        <f>销量!G8</f>
        <v>283.27999999999997</v>
      </c>
      <c r="H31" s="61">
        <f>销量!H8</f>
        <v>381.28</v>
      </c>
      <c r="I31" s="61">
        <f>销量!I8</f>
        <v>382.78</v>
      </c>
      <c r="J31" s="57"/>
      <c r="K31" s="65"/>
      <c r="L31" s="65"/>
      <c r="M31" s="65"/>
      <c r="O31" s="65"/>
      <c r="U31" s="50" t="s">
        <v>70</v>
      </c>
      <c r="AK31" s="50" t="s">
        <v>24</v>
      </c>
      <c r="AL31" s="50" t="s">
        <v>70</v>
      </c>
    </row>
    <row r="32" spans="1:39">
      <c r="A32" s="153">
        <v>2</v>
      </c>
      <c r="B32" s="50" t="s">
        <v>152</v>
      </c>
      <c r="C32" s="52">
        <f>C9/C6</f>
        <v>308.27999999999997</v>
      </c>
      <c r="D32" s="52">
        <f t="shared" ref="D32:I32" si="23">D9/D6</f>
        <v>381.28</v>
      </c>
      <c r="E32" s="52">
        <f t="shared" si="23"/>
        <v>381.28</v>
      </c>
      <c r="F32" s="52">
        <f t="shared" si="23"/>
        <v>283.27999999999997</v>
      </c>
      <c r="G32" s="52">
        <f t="shared" si="23"/>
        <v>283.27999999999997</v>
      </c>
      <c r="H32" s="52">
        <f t="shared" si="23"/>
        <v>381.28</v>
      </c>
      <c r="I32" s="52">
        <f t="shared" si="23"/>
        <v>382.78</v>
      </c>
      <c r="J32" s="57"/>
      <c r="K32" s="65"/>
      <c r="L32" s="65"/>
      <c r="M32" s="65"/>
      <c r="N32" s="65"/>
      <c r="O32" s="65"/>
      <c r="P32" s="65"/>
      <c r="Q32" s="65"/>
      <c r="AK32" s="50"/>
      <c r="AL32" s="50"/>
    </row>
    <row r="33" spans="1:38">
      <c r="A33" s="153">
        <v>3</v>
      </c>
      <c r="B33" s="55" t="s">
        <v>71</v>
      </c>
      <c r="C33" s="52">
        <f>材料成本!G41</f>
        <v>236.37</v>
      </c>
      <c r="D33" s="52">
        <f>材料成本!G42</f>
        <v>287.45999999999998</v>
      </c>
      <c r="E33" s="52">
        <f>材料成本!G43</f>
        <v>287.45999999999998</v>
      </c>
      <c r="F33" s="52">
        <f>材料成本!G44</f>
        <v>206.11</v>
      </c>
      <c r="G33" s="52">
        <f>材料成本!G45</f>
        <v>206.11</v>
      </c>
      <c r="H33" s="52">
        <f>材料成本!G46</f>
        <v>287.45999999999998</v>
      </c>
      <c r="I33" s="52">
        <f>材料成本!G47</f>
        <v>288.02</v>
      </c>
      <c r="J33" s="57"/>
      <c r="L33" s="65"/>
      <c r="M33" s="65"/>
      <c r="N33" s="65"/>
      <c r="O33" s="65"/>
      <c r="P33" s="65"/>
      <c r="Q33" s="65"/>
      <c r="U33" s="50" t="s">
        <v>71</v>
      </c>
      <c r="AK33" s="50" t="s">
        <v>26</v>
      </c>
      <c r="AL33" s="50" t="s">
        <v>71</v>
      </c>
    </row>
    <row r="34" spans="1:38" ht="17.25" customHeight="1">
      <c r="A34" s="153">
        <v>4</v>
      </c>
      <c r="B34" s="50" t="s">
        <v>73</v>
      </c>
      <c r="C34" s="62">
        <f>C32-C33</f>
        <v>71.909999999999968</v>
      </c>
      <c r="D34" s="62">
        <f t="shared" ref="D34:I34" si="24">D32-D33</f>
        <v>93.82</v>
      </c>
      <c r="E34" s="62">
        <f t="shared" si="24"/>
        <v>93.82</v>
      </c>
      <c r="F34" s="62">
        <f t="shared" si="24"/>
        <v>77.169999999999959</v>
      </c>
      <c r="G34" s="62">
        <f t="shared" si="24"/>
        <v>77.169999999999959</v>
      </c>
      <c r="H34" s="62">
        <f t="shared" si="24"/>
        <v>93.82</v>
      </c>
      <c r="I34" s="62">
        <f t="shared" si="24"/>
        <v>94.759999999999991</v>
      </c>
      <c r="J34" s="57"/>
      <c r="L34" s="65"/>
      <c r="M34" s="65"/>
      <c r="N34" s="65"/>
      <c r="O34" s="65"/>
      <c r="P34" s="65"/>
      <c r="Q34" s="65"/>
      <c r="U34" s="50" t="s">
        <v>73</v>
      </c>
      <c r="AK34" s="50" t="s">
        <v>72</v>
      </c>
      <c r="AL34" s="50" t="s">
        <v>73</v>
      </c>
    </row>
    <row r="35" spans="1:38">
      <c r="A35" s="50" t="s">
        <v>69</v>
      </c>
      <c r="B35" s="53" t="s">
        <v>10</v>
      </c>
      <c r="C35" s="57"/>
      <c r="D35" s="57"/>
      <c r="E35" s="57"/>
      <c r="F35" s="57"/>
      <c r="G35" s="57"/>
      <c r="H35" s="57"/>
      <c r="I35" s="57"/>
      <c r="J35" s="5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3" t="s">
        <v>10</v>
      </c>
      <c r="AK35" s="50" t="s">
        <v>75</v>
      </c>
      <c r="AL35" s="53" t="s">
        <v>10</v>
      </c>
    </row>
    <row r="36" spans="1:38">
      <c r="A36" s="153">
        <v>1</v>
      </c>
      <c r="B36" s="50" t="s">
        <v>76</v>
      </c>
      <c r="C36" s="56">
        <f>'2023年'!C36</f>
        <v>15.99718981626023</v>
      </c>
      <c r="D36" s="56">
        <f>'2023年'!D36</f>
        <v>19.78528783295608</v>
      </c>
      <c r="E36" s="56">
        <f>'2023年'!E36</f>
        <v>19.78528783295608</v>
      </c>
      <c r="F36" s="56">
        <f>'2024年'!F36</f>
        <v>14.699895974926033</v>
      </c>
      <c r="G36" s="56">
        <f>'2024年'!G36</f>
        <v>14.699895974926033</v>
      </c>
      <c r="H36" s="56">
        <f>'2024年'!H36</f>
        <v>19.78528783295608</v>
      </c>
      <c r="I36" s="56">
        <f>'2024年'!I36</f>
        <v>19.863125463436131</v>
      </c>
      <c r="J36" s="6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50" t="s">
        <v>76</v>
      </c>
      <c r="AK36" s="50" t="s">
        <v>72</v>
      </c>
      <c r="AL36" s="50" t="s">
        <v>76</v>
      </c>
    </row>
    <row r="37" spans="1:38">
      <c r="A37" s="153">
        <v>2</v>
      </c>
      <c r="B37" s="50" t="s">
        <v>77</v>
      </c>
      <c r="C37" s="56">
        <f>'2023年'!C37</f>
        <v>2.7903349349655628</v>
      </c>
      <c r="D37" s="56">
        <f>'2023年'!D37</f>
        <v>3.4510798754498175</v>
      </c>
      <c r="E37" s="56">
        <f>'2023年'!E37</f>
        <v>3.4510798754498175</v>
      </c>
      <c r="F37" s="56">
        <f>'2024年'!F37</f>
        <v>2.564052421101092</v>
      </c>
      <c r="G37" s="56">
        <f>'2024年'!G37</f>
        <v>2.564052421101092</v>
      </c>
      <c r="H37" s="56">
        <f>'2024年'!H37</f>
        <v>3.4510798754498175</v>
      </c>
      <c r="I37" s="56">
        <f>'2024年'!I37</f>
        <v>3.4646568262816859</v>
      </c>
      <c r="J37" s="61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50" t="s">
        <v>77</v>
      </c>
      <c r="AK37" s="50" t="s">
        <v>29</v>
      </c>
      <c r="AL37" s="50" t="s">
        <v>77</v>
      </c>
    </row>
    <row r="38" spans="1:38">
      <c r="A38" s="153">
        <v>3</v>
      </c>
      <c r="B38" s="50" t="s">
        <v>78</v>
      </c>
      <c r="C38" s="56">
        <f>'2023年'!C38</f>
        <v>3.3910799999999997</v>
      </c>
      <c r="D38" s="56">
        <f>'2023年'!D38</f>
        <v>4.1940799999999996</v>
      </c>
      <c r="E38" s="56">
        <f>'2023年'!E38</f>
        <v>4.1940799999999996</v>
      </c>
      <c r="F38" s="56">
        <f>'2024年'!F38</f>
        <v>3.1160799999999997</v>
      </c>
      <c r="G38" s="56">
        <f>'2024年'!G38</f>
        <v>3.1160799999999997</v>
      </c>
      <c r="H38" s="56">
        <f>'2024年'!H38</f>
        <v>4.1940799999999996</v>
      </c>
      <c r="I38" s="56">
        <f>'2024年'!I38</f>
        <v>4.2105799999999993</v>
      </c>
      <c r="J38" s="6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50" t="s">
        <v>78</v>
      </c>
      <c r="AK38" s="50" t="s">
        <v>35</v>
      </c>
      <c r="AL38" s="50" t="s">
        <v>78</v>
      </c>
    </row>
    <row r="39" spans="1:38">
      <c r="A39" s="50" t="s">
        <v>75</v>
      </c>
      <c r="B39" s="53" t="s">
        <v>80</v>
      </c>
      <c r="C39" s="57"/>
      <c r="D39" s="57"/>
      <c r="E39" s="57"/>
      <c r="F39" s="57"/>
      <c r="G39" s="57"/>
      <c r="H39" s="57"/>
      <c r="I39" s="57"/>
      <c r="J39" s="57"/>
      <c r="U39" s="53" t="s">
        <v>80</v>
      </c>
      <c r="AK39" s="50" t="s">
        <v>79</v>
      </c>
      <c r="AL39" s="53" t="s">
        <v>80</v>
      </c>
    </row>
    <row r="40" spans="1:38">
      <c r="A40" s="153">
        <v>1</v>
      </c>
      <c r="B40" s="50" t="s">
        <v>82</v>
      </c>
      <c r="C40" s="57">
        <f>C34-C36-C37-C38</f>
        <v>49.73139524877417</v>
      </c>
      <c r="D40" s="57">
        <f t="shared" ref="D40:I40" si="25">D34-D36-D37-D38</f>
        <v>66.3895522915941</v>
      </c>
      <c r="E40" s="57">
        <f t="shared" si="25"/>
        <v>66.3895522915941</v>
      </c>
      <c r="F40" s="57">
        <f t="shared" si="25"/>
        <v>56.78997160397283</v>
      </c>
      <c r="G40" s="57">
        <f t="shared" si="25"/>
        <v>56.78997160397283</v>
      </c>
      <c r="H40" s="57">
        <f t="shared" si="25"/>
        <v>66.3895522915941</v>
      </c>
      <c r="I40" s="57">
        <f t="shared" si="25"/>
        <v>67.221637710282181</v>
      </c>
      <c r="J40" s="57"/>
      <c r="U40" s="50" t="s">
        <v>82</v>
      </c>
      <c r="AK40" s="50" t="s">
        <v>24</v>
      </c>
      <c r="AL40" s="50" t="s">
        <v>82</v>
      </c>
    </row>
    <row r="41" spans="1:38">
      <c r="A41" s="153">
        <v>2</v>
      </c>
      <c r="B41" s="50" t="s">
        <v>83</v>
      </c>
      <c r="C41" s="57"/>
      <c r="D41" s="57"/>
      <c r="E41" s="57"/>
      <c r="F41" s="57"/>
      <c r="G41" s="57"/>
      <c r="H41" s="57"/>
      <c r="I41" s="57"/>
      <c r="J41" s="57"/>
      <c r="U41" s="50" t="s">
        <v>83</v>
      </c>
      <c r="AK41" s="50" t="s">
        <v>26</v>
      </c>
      <c r="AL41" s="50" t="s">
        <v>83</v>
      </c>
    </row>
    <row r="42" spans="1:38">
      <c r="A42" s="50" t="s">
        <v>79</v>
      </c>
      <c r="B42" s="53" t="s">
        <v>85</v>
      </c>
      <c r="C42" s="57"/>
      <c r="D42" s="57"/>
      <c r="E42" s="57"/>
      <c r="F42" s="57"/>
      <c r="G42" s="57"/>
      <c r="H42" s="57"/>
      <c r="I42" s="57"/>
      <c r="J42" s="57"/>
      <c r="U42" s="53" t="s">
        <v>85</v>
      </c>
      <c r="AK42" s="50" t="s">
        <v>84</v>
      </c>
      <c r="AL42" s="53" t="s">
        <v>85</v>
      </c>
    </row>
    <row r="43" spans="1:38">
      <c r="A43" s="153">
        <v>1</v>
      </c>
      <c r="B43" s="58" t="s">
        <v>86</v>
      </c>
      <c r="C43" s="56">
        <f>'2023年'!C43</f>
        <v>23.614248</v>
      </c>
      <c r="D43" s="56">
        <f>'2023年'!D43</f>
        <v>29.206047999999999</v>
      </c>
      <c r="E43" s="56">
        <f>'2023年'!E43</f>
        <v>29.206047999999999</v>
      </c>
      <c r="F43" s="56">
        <f>'2024年'!F43</f>
        <v>21.699247999999997</v>
      </c>
      <c r="G43" s="56">
        <f>'2024年'!G43</f>
        <v>21.699247999999997</v>
      </c>
      <c r="H43" s="56">
        <f>'2024年'!H43</f>
        <v>29.206047999999999</v>
      </c>
      <c r="I43" s="56">
        <f>'2024年'!I43</f>
        <v>29.320947999999998</v>
      </c>
      <c r="J43" s="57"/>
      <c r="U43" s="50" t="s">
        <v>86</v>
      </c>
      <c r="AK43" s="50" t="s">
        <v>24</v>
      </c>
      <c r="AL43" s="50" t="s">
        <v>86</v>
      </c>
    </row>
    <row r="44" spans="1:38">
      <c r="A44" s="153">
        <v>2</v>
      </c>
      <c r="B44" s="58" t="s">
        <v>87</v>
      </c>
      <c r="C44" s="56">
        <f>'2023年'!C44</f>
        <v>1.0481519999999998</v>
      </c>
      <c r="D44" s="56">
        <f>'2023年'!D44</f>
        <v>1.2963519999999997</v>
      </c>
      <c r="E44" s="56">
        <f>'2023年'!E44</f>
        <v>1.2963519999999997</v>
      </c>
      <c r="F44" s="56">
        <f>'2024年'!F44</f>
        <v>0.9631519999999999</v>
      </c>
      <c r="G44" s="56">
        <f>'2024年'!G44</f>
        <v>0.9631519999999999</v>
      </c>
      <c r="H44" s="56">
        <f>'2024年'!H44</f>
        <v>1.2963519999999997</v>
      </c>
      <c r="I44" s="56">
        <f>'2024年'!I44</f>
        <v>1.3014519999999998</v>
      </c>
      <c r="J44" s="57"/>
      <c r="U44" s="50" t="s">
        <v>87</v>
      </c>
      <c r="AK44" s="50" t="s">
        <v>26</v>
      </c>
      <c r="AL44" s="50" t="s">
        <v>87</v>
      </c>
    </row>
    <row r="45" spans="1:38">
      <c r="A45" s="153">
        <v>3</v>
      </c>
      <c r="B45" s="58" t="s">
        <v>88</v>
      </c>
      <c r="C45" s="56">
        <f>'2023年'!C45</f>
        <v>10.697315999999999</v>
      </c>
      <c r="D45" s="56">
        <f>'2023年'!D45</f>
        <v>13.230416</v>
      </c>
      <c r="E45" s="56">
        <f>'2023年'!E45</f>
        <v>13.230416</v>
      </c>
      <c r="F45" s="56">
        <f>'2024年'!F45</f>
        <v>9.8298159999999992</v>
      </c>
      <c r="G45" s="56">
        <f>'2024年'!G45</f>
        <v>9.8298159999999992</v>
      </c>
      <c r="H45" s="56">
        <f>'2024年'!H45</f>
        <v>13.230416</v>
      </c>
      <c r="I45" s="56">
        <f>'2024年'!I45</f>
        <v>13.282465999999999</v>
      </c>
      <c r="J45" s="57"/>
      <c r="U45" s="50" t="s">
        <v>88</v>
      </c>
      <c r="AK45" s="50" t="s">
        <v>72</v>
      </c>
      <c r="AL45" s="50" t="s">
        <v>88</v>
      </c>
    </row>
    <row r="46" spans="1:38" s="45" customFormat="1">
      <c r="A46" s="153">
        <v>4</v>
      </c>
      <c r="B46" s="58" t="s">
        <v>89</v>
      </c>
      <c r="C46" s="63">
        <f>C21/C6</f>
        <v>0</v>
      </c>
      <c r="D46" s="63">
        <f t="shared" ref="D46:I46" si="26">D21/D6</f>
        <v>0</v>
      </c>
      <c r="E46" s="63">
        <f t="shared" si="26"/>
        <v>0</v>
      </c>
      <c r="F46" s="63">
        <f t="shared" si="26"/>
        <v>0</v>
      </c>
      <c r="G46" s="63">
        <f t="shared" si="26"/>
        <v>0</v>
      </c>
      <c r="H46" s="63">
        <f t="shared" si="26"/>
        <v>0</v>
      </c>
      <c r="I46" s="63">
        <f t="shared" si="26"/>
        <v>0</v>
      </c>
      <c r="J46" s="63"/>
      <c r="U46" s="58" t="s">
        <v>91</v>
      </c>
      <c r="AK46" s="58" t="s">
        <v>32</v>
      </c>
      <c r="AL46" s="58" t="s">
        <v>91</v>
      </c>
    </row>
    <row r="47" spans="1:38" s="45" customFormat="1">
      <c r="A47" s="153">
        <v>5</v>
      </c>
      <c r="B47" s="58" t="s">
        <v>91</v>
      </c>
      <c r="C47" s="63">
        <f>'2023年'!C47</f>
        <v>12.331199999999999</v>
      </c>
      <c r="D47" s="63">
        <f>'2023年'!D47</f>
        <v>15.251199999999999</v>
      </c>
      <c r="E47" s="63">
        <f>'2023年'!E47</f>
        <v>15.251199999999999</v>
      </c>
      <c r="F47" s="63">
        <f>'2024年'!F47</f>
        <v>11.331199999999999</v>
      </c>
      <c r="G47" s="63">
        <f>'2024年'!G47</f>
        <v>11.331199999999999</v>
      </c>
      <c r="H47" s="63">
        <f>'2024年'!H47</f>
        <v>15.251199999999999</v>
      </c>
      <c r="I47" s="63">
        <f>'2024年'!I47</f>
        <v>15.311199999999999</v>
      </c>
      <c r="J47" s="63"/>
      <c r="U47" s="58" t="s">
        <v>91</v>
      </c>
      <c r="AK47" s="58" t="s">
        <v>32</v>
      </c>
      <c r="AL47" s="58" t="s">
        <v>91</v>
      </c>
    </row>
    <row r="48" spans="1:38">
      <c r="A48" s="50" t="s">
        <v>84</v>
      </c>
      <c r="B48" s="53" t="s">
        <v>102</v>
      </c>
      <c r="C48" s="57">
        <f>C40-C43-C44-C45-C47-C46</f>
        <v>2.0404792487741741</v>
      </c>
      <c r="D48" s="57">
        <f t="shared" ref="D48:I48" si="27">D40-D43-D44-D45-D47-D46</f>
        <v>7.4055362915941085</v>
      </c>
      <c r="E48" s="57">
        <f t="shared" si="27"/>
        <v>7.4055362915941085</v>
      </c>
      <c r="F48" s="57">
        <f t="shared" si="27"/>
        <v>12.966555603972832</v>
      </c>
      <c r="G48" s="57">
        <f t="shared" si="27"/>
        <v>12.966555603972832</v>
      </c>
      <c r="H48" s="57">
        <f t="shared" si="27"/>
        <v>7.4055362915941085</v>
      </c>
      <c r="I48" s="57">
        <f t="shared" si="27"/>
        <v>8.0055717102821831</v>
      </c>
      <c r="J48" s="57"/>
      <c r="U48" s="53" t="s">
        <v>102</v>
      </c>
      <c r="AK48" s="50" t="s">
        <v>101</v>
      </c>
      <c r="AL48" s="53" t="s">
        <v>102</v>
      </c>
    </row>
    <row r="51" spans="2:15">
      <c r="C51" s="64"/>
      <c r="D51" s="64"/>
      <c r="E51" s="64"/>
      <c r="F51" s="64"/>
      <c r="G51" s="64"/>
      <c r="H51" s="64"/>
      <c r="I51" s="64"/>
    </row>
    <row r="54" spans="2:15">
      <c r="B54" s="65"/>
      <c r="C54" s="66"/>
      <c r="D54" s="66"/>
      <c r="E54" s="66"/>
      <c r="F54" s="66"/>
      <c r="G54" s="66"/>
      <c r="H54" s="66"/>
      <c r="I54" s="66"/>
      <c r="J54" s="66"/>
      <c r="K54" s="65"/>
      <c r="L54" s="65"/>
      <c r="M54" s="65"/>
      <c r="N54" s="65"/>
      <c r="O54" s="65"/>
    </row>
    <row r="55" spans="2:15">
      <c r="B55" s="65"/>
      <c r="C55" s="66"/>
      <c r="D55" s="66"/>
      <c r="E55" s="66"/>
      <c r="F55" s="66"/>
      <c r="G55" s="66"/>
      <c r="H55" s="66"/>
      <c r="I55" s="66"/>
      <c r="J55" s="66"/>
      <c r="K55" s="65"/>
      <c r="L55" s="65"/>
      <c r="M55" s="65"/>
      <c r="N55" s="65"/>
      <c r="O55" s="65"/>
    </row>
    <row r="56" spans="2:15">
      <c r="B56" s="65"/>
      <c r="C56" s="66"/>
      <c r="D56" s="66"/>
      <c r="E56" s="66"/>
      <c r="F56" s="66"/>
      <c r="G56" s="66"/>
      <c r="H56" s="66"/>
      <c r="I56" s="66"/>
      <c r="J56" s="66"/>
      <c r="K56" s="65"/>
      <c r="L56" s="65"/>
      <c r="M56" s="65"/>
      <c r="N56" s="65"/>
      <c r="O56" s="65"/>
    </row>
    <row r="57" spans="2:15">
      <c r="B57" s="65"/>
      <c r="C57" s="66"/>
      <c r="D57" s="66"/>
      <c r="E57" s="66"/>
      <c r="F57" s="66"/>
      <c r="G57" s="66"/>
      <c r="H57" s="66"/>
      <c r="I57" s="66"/>
      <c r="J57" s="66"/>
      <c r="K57" s="65"/>
      <c r="L57" s="65"/>
      <c r="M57" s="65"/>
      <c r="N57" s="65"/>
      <c r="O57" s="65"/>
    </row>
    <row r="58" spans="2:15">
      <c r="B58" s="65"/>
      <c r="C58" s="66"/>
      <c r="D58" s="66"/>
      <c r="E58" s="66"/>
      <c r="F58" s="66"/>
      <c r="G58" s="66"/>
      <c r="H58" s="66"/>
      <c r="I58" s="66"/>
      <c r="J58" s="66"/>
      <c r="K58" s="65"/>
      <c r="L58" s="65"/>
      <c r="M58" s="65"/>
      <c r="N58" s="65"/>
      <c r="O58" s="65"/>
    </row>
    <row r="59" spans="2:15">
      <c r="B59" s="65"/>
      <c r="C59" s="66"/>
      <c r="D59" s="66"/>
      <c r="E59" s="66"/>
      <c r="F59" s="66"/>
      <c r="G59" s="66"/>
      <c r="H59" s="66"/>
      <c r="I59" s="66"/>
      <c r="J59" s="66"/>
      <c r="K59" s="65"/>
      <c r="L59" s="65"/>
      <c r="M59" s="65"/>
      <c r="N59" s="65"/>
      <c r="O59" s="65"/>
    </row>
    <row r="60" spans="2:15">
      <c r="B60" s="65"/>
      <c r="C60" s="66"/>
      <c r="D60" s="66"/>
      <c r="E60" s="66"/>
      <c r="F60" s="66"/>
      <c r="G60" s="66"/>
      <c r="H60" s="66"/>
      <c r="I60" s="66"/>
      <c r="J60" s="66"/>
      <c r="K60" s="65"/>
      <c r="L60" s="65"/>
      <c r="M60" s="65"/>
      <c r="N60" s="65"/>
      <c r="O60" s="65"/>
    </row>
    <row r="61" spans="2:15">
      <c r="B61" s="65"/>
      <c r="C61" s="66"/>
      <c r="D61" s="66"/>
      <c r="E61" s="66"/>
      <c r="F61" s="66"/>
      <c r="G61" s="66"/>
      <c r="H61" s="66"/>
      <c r="I61" s="66"/>
      <c r="J61" s="66"/>
      <c r="K61" s="65"/>
      <c r="L61" s="65"/>
      <c r="M61" s="65"/>
      <c r="N61" s="65"/>
      <c r="O61" s="65"/>
    </row>
    <row r="62" spans="2:15">
      <c r="B62" s="65"/>
      <c r="C62" s="66"/>
      <c r="D62" s="66"/>
      <c r="E62" s="66"/>
      <c r="F62" s="66"/>
      <c r="G62" s="66"/>
      <c r="H62" s="66"/>
      <c r="I62" s="66"/>
      <c r="J62" s="66"/>
      <c r="K62" s="65"/>
      <c r="L62" s="65"/>
      <c r="M62" s="65"/>
      <c r="N62" s="65"/>
      <c r="O62" s="65"/>
    </row>
    <row r="63" spans="2:15">
      <c r="B63" s="65"/>
      <c r="C63" s="66"/>
      <c r="D63" s="66"/>
      <c r="E63" s="66"/>
      <c r="F63" s="66"/>
      <c r="G63" s="66"/>
      <c r="H63" s="66"/>
      <c r="I63" s="66"/>
      <c r="J63" s="66"/>
      <c r="K63" s="65"/>
      <c r="L63" s="65"/>
      <c r="M63" s="65"/>
      <c r="N63" s="65"/>
      <c r="O63" s="65"/>
    </row>
    <row r="64" spans="2:15">
      <c r="B64" s="65"/>
      <c r="C64" s="66"/>
      <c r="D64" s="66"/>
      <c r="E64" s="66"/>
      <c r="F64" s="66"/>
      <c r="G64" s="66"/>
      <c r="H64" s="66"/>
      <c r="I64" s="66"/>
      <c r="J64" s="66"/>
      <c r="K64" s="65"/>
      <c r="L64" s="65"/>
      <c r="M64" s="65"/>
      <c r="N64" s="65"/>
      <c r="O64" s="65"/>
    </row>
    <row r="65" spans="2:15">
      <c r="B65" s="65"/>
      <c r="C65" s="66"/>
      <c r="D65" s="66"/>
      <c r="E65" s="66"/>
      <c r="F65" s="66"/>
      <c r="G65" s="66"/>
      <c r="H65" s="66"/>
      <c r="I65" s="66"/>
      <c r="J65" s="66"/>
      <c r="K65" s="65"/>
      <c r="L65" s="65"/>
      <c r="M65" s="65"/>
      <c r="N65" s="65"/>
      <c r="O65" s="65"/>
    </row>
    <row r="66" spans="2:15">
      <c r="B66" s="65"/>
      <c r="C66" s="66"/>
      <c r="D66" s="66"/>
      <c r="E66" s="66"/>
      <c r="F66" s="66"/>
      <c r="G66" s="66"/>
      <c r="H66" s="66"/>
      <c r="I66" s="66"/>
      <c r="J66" s="66"/>
      <c r="K66" s="65"/>
      <c r="L66" s="65"/>
      <c r="M66" s="65"/>
      <c r="N66" s="65"/>
      <c r="O66" s="65"/>
    </row>
    <row r="67" spans="2:15">
      <c r="B67" s="65"/>
      <c r="C67" s="66"/>
      <c r="D67" s="66"/>
      <c r="E67" s="66"/>
      <c r="F67" s="66"/>
      <c r="G67" s="66"/>
      <c r="H67" s="66"/>
      <c r="I67" s="66"/>
      <c r="J67" s="66"/>
      <c r="K67" s="65"/>
    </row>
    <row r="68" spans="2:15">
      <c r="B68" s="65"/>
      <c r="C68" s="66"/>
      <c r="D68" s="66"/>
      <c r="E68" s="66"/>
      <c r="F68" s="66"/>
      <c r="G68" s="66"/>
      <c r="H68" s="66"/>
      <c r="I68" s="66"/>
      <c r="J68" s="66"/>
      <c r="K68" s="65"/>
    </row>
    <row r="69" spans="2:15">
      <c r="B69" s="65"/>
      <c r="C69" s="66"/>
      <c r="D69" s="66"/>
      <c r="E69" s="66"/>
      <c r="F69" s="66"/>
      <c r="G69" s="66"/>
      <c r="H69" s="66"/>
      <c r="I69" s="66"/>
      <c r="J69" s="66"/>
      <c r="K69" s="65"/>
    </row>
    <row r="70" spans="2:15">
      <c r="B70" s="65"/>
      <c r="C70" s="66"/>
      <c r="D70" s="66"/>
      <c r="E70" s="66"/>
      <c r="F70" s="66"/>
      <c r="G70" s="66"/>
      <c r="H70" s="66"/>
      <c r="I70" s="66"/>
      <c r="J70" s="66"/>
      <c r="K70" s="65"/>
    </row>
    <row r="71" spans="2:15">
      <c r="B71" s="65"/>
      <c r="C71" s="66"/>
      <c r="D71" s="66"/>
      <c r="E71" s="66"/>
      <c r="F71" s="66"/>
      <c r="G71" s="66"/>
      <c r="H71" s="66"/>
      <c r="I71" s="66"/>
      <c r="J71" s="66"/>
      <c r="K71" s="65"/>
    </row>
    <row r="72" spans="2:15">
      <c r="B72" s="65"/>
      <c r="C72" s="66"/>
      <c r="D72" s="66"/>
      <c r="E72" s="66"/>
      <c r="F72" s="66"/>
      <c r="G72" s="66"/>
      <c r="H72" s="66"/>
      <c r="I72" s="66"/>
      <c r="J72" s="66"/>
      <c r="K72" s="65"/>
    </row>
    <row r="73" spans="2:15">
      <c r="B73" s="65"/>
      <c r="C73" s="66"/>
      <c r="D73" s="66"/>
      <c r="E73" s="66"/>
      <c r="F73" s="66"/>
      <c r="G73" s="66"/>
      <c r="H73" s="66"/>
      <c r="I73" s="66"/>
      <c r="J73" s="66"/>
      <c r="K73" s="65"/>
    </row>
    <row r="74" spans="2:15">
      <c r="B74" s="65"/>
      <c r="C74" s="66"/>
      <c r="D74" s="66"/>
      <c r="E74" s="66"/>
      <c r="F74" s="66"/>
      <c r="G74" s="66"/>
      <c r="H74" s="66"/>
      <c r="I74" s="66"/>
      <c r="J74" s="66"/>
      <c r="K74" s="65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20" activePane="bottomRight" state="frozen"/>
      <selection pane="topRight"/>
      <selection pane="bottomLeft"/>
      <selection pane="bottomRight" activeCell="J26" sqref="J26"/>
    </sheetView>
  </sheetViews>
  <sheetFormatPr defaultColWidth="9" defaultRowHeight="16.5"/>
  <cols>
    <col min="1" max="1" width="5.125" style="46" customWidth="1"/>
    <col min="2" max="2" width="17.5" style="46" customWidth="1"/>
    <col min="3" max="9" width="13.25" style="47" customWidth="1"/>
    <col min="10" max="10" width="18.75" style="47" customWidth="1"/>
    <col min="11" max="11" width="12.375" style="46" customWidth="1"/>
    <col min="12" max="12" width="10.125" style="46" customWidth="1"/>
    <col min="13" max="19" width="9" style="46" customWidth="1"/>
    <col min="20" max="36" width="9" style="46"/>
    <col min="37" max="37" width="4.375" style="46" customWidth="1"/>
    <col min="38" max="38" width="13.875" style="46" customWidth="1"/>
    <col min="39" max="16384" width="9" style="46"/>
  </cols>
  <sheetData>
    <row r="1" spans="1:39">
      <c r="A1" s="266" t="s">
        <v>142</v>
      </c>
      <c r="B1" s="266"/>
      <c r="C1" s="270" t="s">
        <v>242</v>
      </c>
      <c r="D1" s="271"/>
      <c r="E1" s="271"/>
      <c r="F1" s="271"/>
      <c r="G1" s="271"/>
      <c r="H1" s="271"/>
      <c r="I1" s="271"/>
      <c r="J1" s="272"/>
    </row>
    <row r="2" spans="1:39">
      <c r="A2" s="266" t="s">
        <v>143</v>
      </c>
      <c r="B2" s="266"/>
      <c r="C2" s="274" t="str">
        <f>'2023年'!C2:F2</f>
        <v>北汽</v>
      </c>
      <c r="D2" s="275"/>
      <c r="E2" s="275"/>
      <c r="F2" s="275"/>
      <c r="G2" s="275"/>
      <c r="H2" s="275"/>
      <c r="I2" s="275"/>
      <c r="J2" s="276"/>
    </row>
    <row r="3" spans="1:39">
      <c r="A3" s="266" t="s">
        <v>144</v>
      </c>
      <c r="B3" s="266"/>
      <c r="C3" s="154">
        <f>销量!C5</f>
        <v>0</v>
      </c>
      <c r="D3" s="223"/>
      <c r="E3" s="223"/>
      <c r="F3" s="223"/>
      <c r="G3" s="223"/>
      <c r="H3" s="223"/>
      <c r="I3" s="223"/>
      <c r="J3" s="267" t="s">
        <v>20</v>
      </c>
    </row>
    <row r="4" spans="1:39" ht="28.5">
      <c r="A4" s="266" t="s">
        <v>145</v>
      </c>
      <c r="B4" s="266"/>
      <c r="C4" s="154" t="str">
        <f>销量!C6</f>
        <v>北汽B41V-C系列-LV1</v>
      </c>
      <c r="D4" s="154" t="str">
        <f>销量!D6</f>
        <v>B41V-C系列-LV2-LV3-P系列-LV3-左</v>
      </c>
      <c r="E4" s="154" t="str">
        <f>销量!E6</f>
        <v>B41V-C系列-LV2-LV3-P系列-LV3-左</v>
      </c>
      <c r="F4" s="154" t="str">
        <f>销量!F6</f>
        <v xml:space="preserve">B41V-P系列-LV1-LV2-左 </v>
      </c>
      <c r="G4" s="154" t="str">
        <f>销量!G6</f>
        <v xml:space="preserve">B41V-P系列-LV1-LV2-左 </v>
      </c>
      <c r="H4" s="154" t="str">
        <f>销量!H6</f>
        <v>B41V-C系列-LV2-LV3-P系列-LV3-左</v>
      </c>
      <c r="I4" s="154" t="str">
        <f>销量!I6</f>
        <v>B41V-混动-左</v>
      </c>
      <c r="J4" s="268"/>
    </row>
    <row r="5" spans="1:39">
      <c r="A5" s="266" t="s">
        <v>146</v>
      </c>
      <c r="B5" s="266"/>
      <c r="C5" s="49"/>
      <c r="D5" s="216"/>
      <c r="E5" s="216"/>
      <c r="F5" s="216"/>
      <c r="G5" s="216"/>
      <c r="H5" s="216"/>
      <c r="I5" s="216"/>
      <c r="J5" s="269"/>
      <c r="AM5" s="46" t="s">
        <v>21</v>
      </c>
    </row>
    <row r="6" spans="1:39" ht="17.25">
      <c r="A6" s="50" t="s">
        <v>19</v>
      </c>
      <c r="B6" s="51" t="s">
        <v>147</v>
      </c>
      <c r="C6" s="21">
        <f>销量!C12</f>
        <v>3000</v>
      </c>
      <c r="D6" s="21">
        <f>销量!D12</f>
        <v>7500</v>
      </c>
      <c r="E6" s="21">
        <f>销量!E12</f>
        <v>4500</v>
      </c>
      <c r="F6" s="21">
        <f>销量!F12</f>
        <v>4500</v>
      </c>
      <c r="G6" s="21">
        <f>销量!G12</f>
        <v>4500</v>
      </c>
      <c r="H6" s="21">
        <f>销量!H12</f>
        <v>3000</v>
      </c>
      <c r="I6" s="21">
        <f>销量!I12</f>
        <v>3000</v>
      </c>
      <c r="J6" s="52">
        <f>SUM(C6:I6)</f>
        <v>30000</v>
      </c>
      <c r="U6" s="51" t="s">
        <v>3</v>
      </c>
      <c r="AK6" s="50" t="s">
        <v>19</v>
      </c>
      <c r="AL6" s="51" t="s">
        <v>3</v>
      </c>
      <c r="AM6" s="46" t="s">
        <v>22</v>
      </c>
    </row>
    <row r="7" spans="1:39">
      <c r="A7" s="153">
        <v>1</v>
      </c>
      <c r="B7" s="51" t="s">
        <v>23</v>
      </c>
      <c r="C7" s="52">
        <f>C6*销量!C8</f>
        <v>924839.99999999988</v>
      </c>
      <c r="D7" s="52">
        <f>D6*销量!D8</f>
        <v>2859600</v>
      </c>
      <c r="E7" s="52">
        <f>E6*销量!E8</f>
        <v>1715759.9999999998</v>
      </c>
      <c r="F7" s="52">
        <f>F6*销量!F8</f>
        <v>1274759.9999999998</v>
      </c>
      <c r="G7" s="52">
        <f>G6*销量!G8</f>
        <v>1274759.9999999998</v>
      </c>
      <c r="H7" s="52">
        <f>H6*销量!H8</f>
        <v>1143840</v>
      </c>
      <c r="I7" s="52">
        <f>I6*销量!I8</f>
        <v>1148340</v>
      </c>
      <c r="J7" s="52">
        <f>SUM(C7:I7)</f>
        <v>10341900</v>
      </c>
      <c r="K7" s="47"/>
      <c r="U7" s="51" t="s">
        <v>23</v>
      </c>
      <c r="AK7" s="50" t="s">
        <v>24</v>
      </c>
      <c r="AL7" s="51" t="s">
        <v>23</v>
      </c>
      <c r="AM7" s="46" t="s">
        <v>22</v>
      </c>
    </row>
    <row r="8" spans="1:39">
      <c r="A8" s="153">
        <v>2</v>
      </c>
      <c r="B8" s="153" t="s">
        <v>25</v>
      </c>
      <c r="C8" s="52">
        <f>C7*(1-销量!$M$9)</f>
        <v>0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>I7*(1-销量!$M$9)</f>
        <v>0</v>
      </c>
      <c r="J8" s="52">
        <f t="shared" ref="J8:J15" si="0">SUM(C8:I8)</f>
        <v>0</v>
      </c>
      <c r="K8" s="67"/>
      <c r="U8" s="153" t="s">
        <v>27</v>
      </c>
      <c r="AK8" s="50" t="s">
        <v>26</v>
      </c>
      <c r="AL8" s="153" t="s">
        <v>27</v>
      </c>
      <c r="AM8" s="46" t="s">
        <v>22</v>
      </c>
    </row>
    <row r="9" spans="1:39">
      <c r="A9" s="153">
        <v>3</v>
      </c>
      <c r="B9" s="51" t="s">
        <v>28</v>
      </c>
      <c r="C9" s="52">
        <f>+C7-C8</f>
        <v>924839.99999999988</v>
      </c>
      <c r="D9" s="52">
        <f t="shared" ref="D9:I9" si="1">+D7-D8</f>
        <v>2859600</v>
      </c>
      <c r="E9" s="52">
        <f t="shared" si="1"/>
        <v>1715759.9999999998</v>
      </c>
      <c r="F9" s="52">
        <f t="shared" si="1"/>
        <v>1274759.9999999998</v>
      </c>
      <c r="G9" s="52">
        <f t="shared" si="1"/>
        <v>1274759.9999999998</v>
      </c>
      <c r="H9" s="52">
        <f t="shared" si="1"/>
        <v>1143840</v>
      </c>
      <c r="I9" s="52">
        <f t="shared" si="1"/>
        <v>1148340</v>
      </c>
      <c r="J9" s="52">
        <f t="shared" si="0"/>
        <v>10341900</v>
      </c>
      <c r="U9" s="51" t="s">
        <v>28</v>
      </c>
      <c r="AK9" s="50" t="s">
        <v>29</v>
      </c>
      <c r="AL9" s="51" t="s">
        <v>28</v>
      </c>
      <c r="AM9" s="46" t="s">
        <v>30</v>
      </c>
    </row>
    <row r="10" spans="1:39">
      <c r="A10" s="153">
        <v>4</v>
      </c>
      <c r="B10" s="50" t="s">
        <v>31</v>
      </c>
      <c r="C10" s="52">
        <f>C6*材料成本!H41</f>
        <v>709110</v>
      </c>
      <c r="D10" s="52">
        <f>D6*材料成本!H42</f>
        <v>2155950</v>
      </c>
      <c r="E10" s="52">
        <f>E6*材料成本!H43</f>
        <v>1293570</v>
      </c>
      <c r="F10" s="52">
        <f>F6*材料成本!H44</f>
        <v>927495.00000000012</v>
      </c>
      <c r="G10" s="52">
        <f>G6*材料成本!H45</f>
        <v>927495.00000000012</v>
      </c>
      <c r="H10" s="52">
        <f>H6*材料成本!H46</f>
        <v>862379.99999999988</v>
      </c>
      <c r="I10" s="52">
        <f>I6*材料成本!H47</f>
        <v>864060</v>
      </c>
      <c r="J10" s="52">
        <f t="shared" si="0"/>
        <v>7740060</v>
      </c>
      <c r="U10" s="50" t="s">
        <v>31</v>
      </c>
      <c r="AK10" s="50" t="s">
        <v>32</v>
      </c>
      <c r="AL10" s="50" t="s">
        <v>31</v>
      </c>
      <c r="AM10" s="46" t="s">
        <v>33</v>
      </c>
    </row>
    <row r="11" spans="1:39">
      <c r="A11" s="153">
        <v>5</v>
      </c>
      <c r="B11" s="50" t="s">
        <v>34</v>
      </c>
      <c r="C11" s="52">
        <f>+C6*C36</f>
        <v>47991.56944878069</v>
      </c>
      <c r="D11" s="52">
        <f t="shared" ref="D11:I11" si="2">+D6*D36</f>
        <v>148389.65874717059</v>
      </c>
      <c r="E11" s="52">
        <f t="shared" si="2"/>
        <v>89033.795248302355</v>
      </c>
      <c r="F11" s="52">
        <f t="shared" si="2"/>
        <v>66149.531887167148</v>
      </c>
      <c r="G11" s="52">
        <f t="shared" si="2"/>
        <v>66149.531887167148</v>
      </c>
      <c r="H11" s="52">
        <f t="shared" si="2"/>
        <v>59355.863498868239</v>
      </c>
      <c r="I11" s="52">
        <f t="shared" si="2"/>
        <v>59589.376390308389</v>
      </c>
      <c r="J11" s="52">
        <f t="shared" si="0"/>
        <v>536659.32710776455</v>
      </c>
      <c r="U11" s="50" t="s">
        <v>34</v>
      </c>
      <c r="AK11" s="50" t="s">
        <v>35</v>
      </c>
      <c r="AL11" s="50" t="s">
        <v>34</v>
      </c>
    </row>
    <row r="12" spans="1:39">
      <c r="A12" s="153">
        <v>6</v>
      </c>
      <c r="B12" s="50" t="s">
        <v>36</v>
      </c>
      <c r="C12" s="52">
        <f>+C6*C37</f>
        <v>8371.0048048966892</v>
      </c>
      <c r="D12" s="52">
        <f t="shared" ref="D12:I12" si="3">+D6*D37</f>
        <v>25883.09906587363</v>
      </c>
      <c r="E12" s="52">
        <f t="shared" si="3"/>
        <v>15529.859439524178</v>
      </c>
      <c r="F12" s="52">
        <f t="shared" si="3"/>
        <v>11538.235894954914</v>
      </c>
      <c r="G12" s="52">
        <f t="shared" si="3"/>
        <v>11538.235894954914</v>
      </c>
      <c r="H12" s="52">
        <f t="shared" si="3"/>
        <v>10353.239626349452</v>
      </c>
      <c r="I12" s="52">
        <f t="shared" si="3"/>
        <v>10393.970478845058</v>
      </c>
      <c r="J12" s="52">
        <f t="shared" si="0"/>
        <v>93607.645205398847</v>
      </c>
      <c r="U12" s="50" t="s">
        <v>36</v>
      </c>
      <c r="AK12" s="50" t="s">
        <v>37</v>
      </c>
      <c r="AL12" s="50" t="s">
        <v>36</v>
      </c>
    </row>
    <row r="13" spans="1:39">
      <c r="A13" s="153">
        <v>7</v>
      </c>
      <c r="B13" s="50" t="s">
        <v>38</v>
      </c>
      <c r="C13" s="52">
        <f>+C6*C38</f>
        <v>10173.24</v>
      </c>
      <c r="D13" s="52">
        <f t="shared" ref="D13:I13" si="4">+D6*D38</f>
        <v>31455.599999999999</v>
      </c>
      <c r="E13" s="52">
        <f t="shared" si="4"/>
        <v>18873.359999999997</v>
      </c>
      <c r="F13" s="52">
        <f t="shared" si="4"/>
        <v>14022.359999999999</v>
      </c>
      <c r="G13" s="52">
        <f t="shared" si="4"/>
        <v>14022.359999999999</v>
      </c>
      <c r="H13" s="52">
        <f t="shared" si="4"/>
        <v>12582.239999999998</v>
      </c>
      <c r="I13" s="52">
        <f t="shared" si="4"/>
        <v>12631.739999999998</v>
      </c>
      <c r="J13" s="52">
        <f t="shared" si="0"/>
        <v>113760.9</v>
      </c>
      <c r="U13" s="50" t="s">
        <v>38</v>
      </c>
      <c r="AK13" s="50" t="s">
        <v>39</v>
      </c>
      <c r="AL13" s="50" t="s">
        <v>38</v>
      </c>
      <c r="AM13" s="46" t="s">
        <v>22</v>
      </c>
    </row>
    <row r="14" spans="1:39">
      <c r="A14" s="153">
        <v>8</v>
      </c>
      <c r="B14" s="53" t="s">
        <v>40</v>
      </c>
      <c r="C14" s="52">
        <f>SUM(C11:C13)</f>
        <v>66535.814253677381</v>
      </c>
      <c r="D14" s="52">
        <f t="shared" ref="D14:I14" si="5">SUM(D11:D13)</f>
        <v>205728.35781304422</v>
      </c>
      <c r="E14" s="52">
        <f t="shared" si="5"/>
        <v>123437.01468782654</v>
      </c>
      <c r="F14" s="52">
        <f t="shared" si="5"/>
        <v>91710.127782122057</v>
      </c>
      <c r="G14" s="52">
        <f t="shared" si="5"/>
        <v>91710.127782122057</v>
      </c>
      <c r="H14" s="52">
        <f t="shared" si="5"/>
        <v>82291.343125217682</v>
      </c>
      <c r="I14" s="52">
        <f t="shared" si="5"/>
        <v>82615.086869153456</v>
      </c>
      <c r="J14" s="52">
        <f t="shared" si="0"/>
        <v>744027.87231316336</v>
      </c>
      <c r="U14" s="53" t="s">
        <v>40</v>
      </c>
      <c r="AK14" s="50" t="s">
        <v>41</v>
      </c>
      <c r="AL14" s="53" t="s">
        <v>40</v>
      </c>
    </row>
    <row r="15" spans="1:39">
      <c r="A15" s="153">
        <v>9</v>
      </c>
      <c r="B15" s="53" t="s">
        <v>42</v>
      </c>
      <c r="C15" s="52">
        <f>+C9-C10-C14</f>
        <v>149194.1857463225</v>
      </c>
      <c r="D15" s="52">
        <f t="shared" ref="D15:I15" si="6">+D9-D10-D14</f>
        <v>497921.64218695578</v>
      </c>
      <c r="E15" s="52">
        <f t="shared" si="6"/>
        <v>298752.98531217326</v>
      </c>
      <c r="F15" s="52">
        <f t="shared" si="6"/>
        <v>255554.87221787759</v>
      </c>
      <c r="G15" s="52">
        <f t="shared" si="6"/>
        <v>255554.87221787759</v>
      </c>
      <c r="H15" s="52">
        <f t="shared" si="6"/>
        <v>199168.65687478243</v>
      </c>
      <c r="I15" s="52">
        <f t="shared" si="6"/>
        <v>201664.91313084654</v>
      </c>
      <c r="J15" s="52">
        <f t="shared" si="0"/>
        <v>1857812.1276868356</v>
      </c>
      <c r="U15" s="53" t="s">
        <v>42</v>
      </c>
      <c r="AK15" s="50" t="s">
        <v>43</v>
      </c>
      <c r="AL15" s="53" t="s">
        <v>42</v>
      </c>
    </row>
    <row r="16" spans="1:39">
      <c r="A16" s="153">
        <v>10</v>
      </c>
      <c r="B16" s="50" t="s">
        <v>44</v>
      </c>
      <c r="C16" s="54">
        <f>+C15/C9</f>
        <v>0.16131891543004467</v>
      </c>
      <c r="D16" s="54">
        <f t="shared" ref="D16:I16" si="7">+D15/D9</f>
        <v>0.17412282913238067</v>
      </c>
      <c r="E16" s="54">
        <f t="shared" si="7"/>
        <v>0.17412282913238059</v>
      </c>
      <c r="F16" s="54">
        <f t="shared" si="7"/>
        <v>0.20047292997731153</v>
      </c>
      <c r="G16" s="54">
        <f t="shared" si="7"/>
        <v>0.20047292997731153</v>
      </c>
      <c r="H16" s="54">
        <f t="shared" si="7"/>
        <v>0.17412282913238078</v>
      </c>
      <c r="I16" s="54">
        <f t="shared" si="7"/>
        <v>0.17561428943592189</v>
      </c>
      <c r="J16" s="54">
        <f t="shared" ref="J16" si="8">+J15/J9</f>
        <v>0.17963934361063591</v>
      </c>
      <c r="U16" s="50" t="s">
        <v>44</v>
      </c>
      <c r="AK16" s="50" t="s">
        <v>45</v>
      </c>
      <c r="AL16" s="50" t="s">
        <v>44</v>
      </c>
    </row>
    <row r="17" spans="1:39">
      <c r="A17" s="153">
        <v>11</v>
      </c>
      <c r="B17" s="50" t="s">
        <v>46</v>
      </c>
      <c r="C17" s="52">
        <f>C6*C43+C18</f>
        <v>94454.315428571441</v>
      </c>
      <c r="D17" s="52">
        <f t="shared" ref="D17:I17" si="9">D6*D43+D18</f>
        <v>278074.28857142857</v>
      </c>
      <c r="E17" s="52">
        <f t="shared" si="9"/>
        <v>166844.57314285715</v>
      </c>
      <c r="F17" s="52">
        <f t="shared" si="9"/>
        <v>133063.97314285714</v>
      </c>
      <c r="G17" s="52">
        <f t="shared" si="9"/>
        <v>133063.97314285714</v>
      </c>
      <c r="H17" s="52">
        <f t="shared" si="9"/>
        <v>111229.71542857144</v>
      </c>
      <c r="I17" s="52">
        <f t="shared" si="9"/>
        <v>111574.41542857143</v>
      </c>
      <c r="J17" s="52">
        <f>SUM(C17:I17)</f>
        <v>1028305.2542857144</v>
      </c>
      <c r="K17" s="67"/>
      <c r="U17" s="50" t="s">
        <v>46</v>
      </c>
      <c r="AK17" s="50" t="s">
        <v>47</v>
      </c>
      <c r="AL17" s="50" t="s">
        <v>46</v>
      </c>
    </row>
    <row r="18" spans="1:39" s="44" customFormat="1">
      <c r="A18" s="153">
        <v>12</v>
      </c>
      <c r="B18" s="55" t="s">
        <v>148</v>
      </c>
      <c r="C18" s="56">
        <f>$J$18/$J$6*C6</f>
        <v>23611.571428571435</v>
      </c>
      <c r="D18" s="56">
        <f t="shared" ref="D18:I18" si="10">$J$18/$J$6*D6</f>
        <v>59028.92857142858</v>
      </c>
      <c r="E18" s="56">
        <f t="shared" si="10"/>
        <v>35417.357142857152</v>
      </c>
      <c r="F18" s="56">
        <f t="shared" si="10"/>
        <v>35417.357142857152</v>
      </c>
      <c r="G18" s="56">
        <f t="shared" si="10"/>
        <v>35417.357142857152</v>
      </c>
      <c r="H18" s="56">
        <f t="shared" si="10"/>
        <v>23611.571428571435</v>
      </c>
      <c r="I18" s="56">
        <f t="shared" si="10"/>
        <v>23611.571428571435</v>
      </c>
      <c r="J18" s="56">
        <f>项目投资!D26</f>
        <v>236115.71428571432</v>
      </c>
      <c r="K18" s="68" t="s">
        <v>149</v>
      </c>
      <c r="L18" s="68"/>
      <c r="M18" s="68"/>
    </row>
    <row r="19" spans="1:39">
      <c r="A19" s="153">
        <v>13</v>
      </c>
      <c r="B19" s="50" t="s">
        <v>48</v>
      </c>
      <c r="C19" s="52">
        <f>C6*C44</f>
        <v>3144.4559999999992</v>
      </c>
      <c r="D19" s="52">
        <f t="shared" ref="D19:I19" si="11">D6*D44</f>
        <v>9722.6399999999976</v>
      </c>
      <c r="E19" s="52">
        <f t="shared" si="11"/>
        <v>5833.5839999999989</v>
      </c>
      <c r="F19" s="52">
        <f t="shared" si="11"/>
        <v>4334.1839999999993</v>
      </c>
      <c r="G19" s="52">
        <f t="shared" si="11"/>
        <v>4334.1839999999993</v>
      </c>
      <c r="H19" s="52">
        <f t="shared" si="11"/>
        <v>3889.0559999999991</v>
      </c>
      <c r="I19" s="52">
        <f t="shared" si="11"/>
        <v>3904.3559999999993</v>
      </c>
      <c r="J19" s="52">
        <f>SUM(C19:I19)</f>
        <v>35162.459999999992</v>
      </c>
      <c r="K19" s="44"/>
      <c r="U19" s="50" t="s">
        <v>48</v>
      </c>
      <c r="AK19" s="50" t="s">
        <v>49</v>
      </c>
      <c r="AL19" s="50" t="s">
        <v>48</v>
      </c>
      <c r="AM19" s="46" t="s">
        <v>22</v>
      </c>
    </row>
    <row r="20" spans="1:39">
      <c r="A20" s="153">
        <v>14</v>
      </c>
      <c r="B20" s="50" t="s">
        <v>50</v>
      </c>
      <c r="C20" s="52">
        <f>C6*C45</f>
        <v>32091.947999999997</v>
      </c>
      <c r="D20" s="52">
        <f t="shared" ref="D20:I20" si="12">D6*D45</f>
        <v>99228.12</v>
      </c>
      <c r="E20" s="52">
        <f t="shared" si="12"/>
        <v>59536.872000000003</v>
      </c>
      <c r="F20" s="52">
        <f t="shared" si="12"/>
        <v>44234.171999999999</v>
      </c>
      <c r="G20" s="52">
        <f t="shared" si="12"/>
        <v>44234.171999999999</v>
      </c>
      <c r="H20" s="52">
        <f t="shared" si="12"/>
        <v>39691.248</v>
      </c>
      <c r="I20" s="52">
        <f t="shared" si="12"/>
        <v>39847.398000000001</v>
      </c>
      <c r="J20" s="52">
        <f>SUM(C20:I20)</f>
        <v>358863.93</v>
      </c>
      <c r="U20" s="50" t="s">
        <v>50</v>
      </c>
      <c r="AK20" s="50" t="s">
        <v>51</v>
      </c>
      <c r="AL20" s="50" t="s">
        <v>50</v>
      </c>
    </row>
    <row r="21" spans="1:39">
      <c r="A21" s="153">
        <v>15</v>
      </c>
      <c r="B21" s="50" t="s">
        <v>52</v>
      </c>
      <c r="C21" s="57">
        <f>$J$21/$J$6*C6</f>
        <v>0</v>
      </c>
      <c r="D21" s="57">
        <f t="shared" ref="D21:I21" si="13">$J$21/$J$6*D6</f>
        <v>0</v>
      </c>
      <c r="E21" s="57">
        <f t="shared" si="13"/>
        <v>0</v>
      </c>
      <c r="F21" s="57">
        <f t="shared" si="13"/>
        <v>0</v>
      </c>
      <c r="G21" s="57">
        <f t="shared" si="13"/>
        <v>0</v>
      </c>
      <c r="H21" s="57">
        <f t="shared" si="13"/>
        <v>0</v>
      </c>
      <c r="I21" s="57">
        <f t="shared" si="13"/>
        <v>0</v>
      </c>
      <c r="J21" s="52">
        <f>项目投资!D27</f>
        <v>0</v>
      </c>
      <c r="U21" s="50" t="s">
        <v>52</v>
      </c>
      <c r="AK21" s="50"/>
      <c r="AL21" s="50"/>
    </row>
    <row r="22" spans="1:39">
      <c r="A22" s="153">
        <v>16</v>
      </c>
      <c r="B22" s="50" t="s">
        <v>53</v>
      </c>
      <c r="C22" s="52">
        <f>C6*C47</f>
        <v>36993.599999999999</v>
      </c>
      <c r="D22" s="52">
        <f t="shared" ref="D22:I22" si="14">D6*D47</f>
        <v>114383.99999999999</v>
      </c>
      <c r="E22" s="52">
        <f t="shared" si="14"/>
        <v>68630.399999999994</v>
      </c>
      <c r="F22" s="52">
        <f t="shared" si="14"/>
        <v>50990.399999999994</v>
      </c>
      <c r="G22" s="52">
        <f t="shared" si="14"/>
        <v>50990.399999999994</v>
      </c>
      <c r="H22" s="52">
        <f t="shared" si="14"/>
        <v>45753.599999999999</v>
      </c>
      <c r="I22" s="52">
        <f t="shared" si="14"/>
        <v>45933.599999999999</v>
      </c>
      <c r="J22" s="52">
        <f>SUM(C22:I22)</f>
        <v>413675.99999999988</v>
      </c>
      <c r="U22" s="50" t="s">
        <v>53</v>
      </c>
      <c r="AK22" s="50" t="s">
        <v>54</v>
      </c>
      <c r="AL22" s="50" t="s">
        <v>53</v>
      </c>
    </row>
    <row r="23" spans="1:39">
      <c r="A23" s="153">
        <v>17</v>
      </c>
      <c r="B23" s="53" t="s">
        <v>55</v>
      </c>
      <c r="C23" s="57">
        <f>+C22+C21+C20+C19+C17</f>
        <v>166684.31942857144</v>
      </c>
      <c r="D23" s="57">
        <f t="shared" ref="D23:I23" si="15">+D22+D21+D20+D19+D17</f>
        <v>501409.04857142852</v>
      </c>
      <c r="E23" s="57">
        <f t="shared" si="15"/>
        <v>300845.42914285715</v>
      </c>
      <c r="F23" s="57">
        <f t="shared" si="15"/>
        <v>232622.72914285713</v>
      </c>
      <c r="G23" s="57">
        <f t="shared" si="15"/>
        <v>232622.72914285713</v>
      </c>
      <c r="H23" s="57">
        <f t="shared" si="15"/>
        <v>200563.61942857143</v>
      </c>
      <c r="I23" s="57">
        <f t="shared" si="15"/>
        <v>201259.76942857142</v>
      </c>
      <c r="J23" s="57">
        <f t="shared" ref="J23" si="16">+J22+J21+J20+J19+J17</f>
        <v>1836007.6442857143</v>
      </c>
      <c r="U23" s="53" t="s">
        <v>55</v>
      </c>
      <c r="AK23" s="50" t="s">
        <v>56</v>
      </c>
      <c r="AL23" s="53" t="s">
        <v>55</v>
      </c>
    </row>
    <row r="24" spans="1:39">
      <c r="A24" s="153">
        <v>18</v>
      </c>
      <c r="B24" s="58" t="s">
        <v>57</v>
      </c>
      <c r="C24" s="57">
        <f>+C15-C23</f>
        <v>-17490.133682248939</v>
      </c>
      <c r="D24" s="57">
        <f t="shared" ref="D24:I24" si="17">+D15-D23</f>
        <v>-3487.4063844727352</v>
      </c>
      <c r="E24" s="57">
        <f t="shared" si="17"/>
        <v>-2092.4438306838856</v>
      </c>
      <c r="F24" s="57">
        <f t="shared" si="17"/>
        <v>22932.14307502046</v>
      </c>
      <c r="G24" s="57">
        <f t="shared" si="17"/>
        <v>22932.14307502046</v>
      </c>
      <c r="H24" s="57">
        <f t="shared" si="17"/>
        <v>-1394.9625537889951</v>
      </c>
      <c r="I24" s="57">
        <f t="shared" si="17"/>
        <v>405.14370227511972</v>
      </c>
      <c r="J24" s="57">
        <f t="shared" ref="J24" si="18">+J15-J23</f>
        <v>21804.483401121339</v>
      </c>
      <c r="L24" s="69"/>
      <c r="U24" s="50" t="s">
        <v>57</v>
      </c>
      <c r="AK24" s="50" t="s">
        <v>58</v>
      </c>
      <c r="AL24" s="50" t="s">
        <v>57</v>
      </c>
    </row>
    <row r="25" spans="1:39">
      <c r="A25" s="153">
        <v>19</v>
      </c>
      <c r="B25" s="50" t="s">
        <v>150</v>
      </c>
      <c r="C25" s="57">
        <f>IF(C24&lt;0,0,C24*0.15)</f>
        <v>0</v>
      </c>
      <c r="D25" s="57">
        <f t="shared" ref="D25:I25" si="19">IF(D24&lt;0,0,D24*0.15)</f>
        <v>0</v>
      </c>
      <c r="E25" s="57">
        <f t="shared" si="19"/>
        <v>0</v>
      </c>
      <c r="F25" s="57">
        <f t="shared" si="19"/>
        <v>3439.8214612530687</v>
      </c>
      <c r="G25" s="57">
        <f t="shared" si="19"/>
        <v>3439.8214612530687</v>
      </c>
      <c r="H25" s="57">
        <f t="shared" si="19"/>
        <v>0</v>
      </c>
      <c r="I25" s="57">
        <f t="shared" si="19"/>
        <v>60.771555341267955</v>
      </c>
      <c r="J25" s="57">
        <f>IF(J24&lt;0,0,J24*0.15)</f>
        <v>3270.6725101682009</v>
      </c>
      <c r="K25" s="65"/>
      <c r="L25" s="65"/>
      <c r="M25" s="65"/>
      <c r="U25" s="50" t="s">
        <v>59</v>
      </c>
      <c r="AK25" s="50" t="s">
        <v>60</v>
      </c>
      <c r="AL25" s="50" t="s">
        <v>59</v>
      </c>
    </row>
    <row r="26" spans="1:39">
      <c r="A26" s="153">
        <v>20</v>
      </c>
      <c r="B26" s="50" t="s">
        <v>61</v>
      </c>
      <c r="C26" s="57">
        <f t="shared" ref="C26:I26" si="20">C24-C25</f>
        <v>-17490.133682248939</v>
      </c>
      <c r="D26" s="57">
        <f t="shared" si="20"/>
        <v>-3487.4063844727352</v>
      </c>
      <c r="E26" s="57">
        <f t="shared" si="20"/>
        <v>-2092.4438306838856</v>
      </c>
      <c r="F26" s="57">
        <f t="shared" si="20"/>
        <v>19492.321613767392</v>
      </c>
      <c r="G26" s="57">
        <f t="shared" si="20"/>
        <v>19492.321613767392</v>
      </c>
      <c r="H26" s="57">
        <f t="shared" si="20"/>
        <v>-1394.9625537889951</v>
      </c>
      <c r="I26" s="57">
        <f t="shared" si="20"/>
        <v>344.37214693385175</v>
      </c>
      <c r="J26" s="52">
        <f>J24-J25</f>
        <v>18533.810890953137</v>
      </c>
      <c r="K26" s="65"/>
      <c r="L26" s="65"/>
      <c r="M26" s="65"/>
      <c r="U26" s="50" t="s">
        <v>61</v>
      </c>
      <c r="AK26" s="50" t="s">
        <v>62</v>
      </c>
      <c r="AL26" s="50" t="s">
        <v>61</v>
      </c>
    </row>
    <row r="27" spans="1:39">
      <c r="A27" s="153">
        <v>21</v>
      </c>
      <c r="B27" s="50" t="s">
        <v>65</v>
      </c>
      <c r="C27" s="59">
        <f t="shared" ref="C27:J27" si="21">C26/C7</f>
        <v>-1.891152381195552E-2</v>
      </c>
      <c r="D27" s="59">
        <f t="shared" ref="D27:I27" si="22">D26/D7</f>
        <v>-1.2195434272180498E-3</v>
      </c>
      <c r="E27" s="59">
        <f t="shared" si="22"/>
        <v>-1.2195434272181925E-3</v>
      </c>
      <c r="F27" s="59">
        <f t="shared" si="22"/>
        <v>1.5290973684275781E-2</v>
      </c>
      <c r="G27" s="59">
        <f t="shared" si="22"/>
        <v>1.5290973684275781E-2</v>
      </c>
      <c r="H27" s="59">
        <f t="shared" si="22"/>
        <v>-1.2195434272179633E-3</v>
      </c>
      <c r="I27" s="59">
        <f t="shared" si="22"/>
        <v>2.9988692106331901E-4</v>
      </c>
      <c r="J27" s="59">
        <f t="shared" si="21"/>
        <v>1.7921088862736187E-3</v>
      </c>
      <c r="K27" s="65"/>
      <c r="L27" s="65"/>
      <c r="M27" s="65"/>
      <c r="U27" s="50" t="s">
        <v>65</v>
      </c>
      <c r="AK27" s="50" t="s">
        <v>64</v>
      </c>
      <c r="AL27" s="50" t="s">
        <v>65</v>
      </c>
    </row>
    <row r="28" spans="1:39">
      <c r="K28" s="65"/>
      <c r="L28" s="65"/>
      <c r="M28" s="65"/>
      <c r="U28" s="50"/>
    </row>
    <row r="29" spans="1:39">
      <c r="A29" s="46" t="s">
        <v>66</v>
      </c>
      <c r="J29" s="47" t="s">
        <v>151</v>
      </c>
      <c r="K29" s="65"/>
      <c r="L29" s="65"/>
      <c r="M29" s="65"/>
      <c r="U29" s="50"/>
      <c r="AK29" s="46" t="s">
        <v>66</v>
      </c>
    </row>
    <row r="30" spans="1:39">
      <c r="A30" s="50" t="s">
        <v>67</v>
      </c>
      <c r="B30" s="53" t="s">
        <v>68</v>
      </c>
      <c r="C30" s="57"/>
      <c r="D30" s="57"/>
      <c r="E30" s="57"/>
      <c r="F30" s="57"/>
      <c r="G30" s="57"/>
      <c r="H30" s="57"/>
      <c r="I30" s="57"/>
      <c r="J30" s="57"/>
      <c r="K30" s="65"/>
      <c r="L30" s="65"/>
      <c r="M30" s="65"/>
      <c r="O30" s="65"/>
      <c r="U30" s="53" t="s">
        <v>68</v>
      </c>
      <c r="AK30" s="50" t="s">
        <v>69</v>
      </c>
      <c r="AL30" s="53" t="s">
        <v>68</v>
      </c>
    </row>
    <row r="31" spans="1:39">
      <c r="A31" s="153">
        <v>1</v>
      </c>
      <c r="B31" s="55" t="s">
        <v>70</v>
      </c>
      <c r="C31" s="61">
        <f>销量!C8</f>
        <v>308.27999999999997</v>
      </c>
      <c r="D31" s="61">
        <f>销量!D8</f>
        <v>381.28</v>
      </c>
      <c r="E31" s="61">
        <f>销量!E8</f>
        <v>381.28</v>
      </c>
      <c r="F31" s="61">
        <f>销量!F8</f>
        <v>283.27999999999997</v>
      </c>
      <c r="G31" s="61">
        <f>销量!G8</f>
        <v>283.27999999999997</v>
      </c>
      <c r="H31" s="61">
        <f>销量!H8</f>
        <v>381.28</v>
      </c>
      <c r="I31" s="61">
        <f>销量!I8</f>
        <v>382.78</v>
      </c>
      <c r="J31" s="57"/>
      <c r="K31" s="65"/>
      <c r="L31" s="65"/>
      <c r="M31" s="65"/>
      <c r="O31" s="65"/>
      <c r="U31" s="50" t="s">
        <v>70</v>
      </c>
      <c r="AK31" s="50" t="s">
        <v>24</v>
      </c>
      <c r="AL31" s="50" t="s">
        <v>70</v>
      </c>
    </row>
    <row r="32" spans="1:39">
      <c r="A32" s="153">
        <v>2</v>
      </c>
      <c r="B32" s="50" t="s">
        <v>152</v>
      </c>
      <c r="C32" s="52">
        <f>C9/C6</f>
        <v>308.27999999999997</v>
      </c>
      <c r="D32" s="52">
        <f t="shared" ref="D32:I32" si="23">D9/D6</f>
        <v>381.28</v>
      </c>
      <c r="E32" s="52">
        <f t="shared" si="23"/>
        <v>381.28</v>
      </c>
      <c r="F32" s="52">
        <f t="shared" si="23"/>
        <v>283.27999999999997</v>
      </c>
      <c r="G32" s="52">
        <f t="shared" si="23"/>
        <v>283.27999999999997</v>
      </c>
      <c r="H32" s="52">
        <f t="shared" si="23"/>
        <v>381.28</v>
      </c>
      <c r="I32" s="52">
        <f t="shared" si="23"/>
        <v>382.78</v>
      </c>
      <c r="J32" s="57"/>
      <c r="K32" s="65"/>
      <c r="L32" s="65"/>
      <c r="M32" s="65"/>
      <c r="N32" s="65"/>
      <c r="O32" s="65"/>
      <c r="P32" s="65"/>
      <c r="Q32" s="65"/>
      <c r="AK32" s="50"/>
      <c r="AL32" s="50"/>
    </row>
    <row r="33" spans="1:38">
      <c r="A33" s="153">
        <v>3</v>
      </c>
      <c r="B33" s="55" t="s">
        <v>71</v>
      </c>
      <c r="C33" s="52">
        <f>材料成本!H41</f>
        <v>236.37</v>
      </c>
      <c r="D33" s="52">
        <f>材料成本!H42</f>
        <v>287.45999999999998</v>
      </c>
      <c r="E33" s="52">
        <f>材料成本!H43</f>
        <v>287.45999999999998</v>
      </c>
      <c r="F33" s="52">
        <f>材料成本!H44</f>
        <v>206.11</v>
      </c>
      <c r="G33" s="52">
        <f>材料成本!H45</f>
        <v>206.11</v>
      </c>
      <c r="H33" s="52">
        <f>材料成本!H46</f>
        <v>287.45999999999998</v>
      </c>
      <c r="I33" s="52">
        <f>材料成本!H47</f>
        <v>288.02</v>
      </c>
      <c r="J33" s="57"/>
      <c r="L33" s="65"/>
      <c r="M33" s="65"/>
      <c r="N33" s="65"/>
      <c r="O33" s="65"/>
      <c r="P33" s="65"/>
      <c r="Q33" s="65"/>
      <c r="U33" s="50" t="s">
        <v>71</v>
      </c>
      <c r="AK33" s="50" t="s">
        <v>26</v>
      </c>
      <c r="AL33" s="50" t="s">
        <v>71</v>
      </c>
    </row>
    <row r="34" spans="1:38" ht="17.25" customHeight="1">
      <c r="A34" s="153">
        <v>4</v>
      </c>
      <c r="B34" s="50" t="s">
        <v>73</v>
      </c>
      <c r="C34" s="62">
        <f>C32-C33</f>
        <v>71.909999999999968</v>
      </c>
      <c r="D34" s="62">
        <f t="shared" ref="D34:I34" si="24">D32-D33</f>
        <v>93.82</v>
      </c>
      <c r="E34" s="62">
        <f t="shared" si="24"/>
        <v>93.82</v>
      </c>
      <c r="F34" s="62">
        <f t="shared" si="24"/>
        <v>77.169999999999959</v>
      </c>
      <c r="G34" s="62">
        <f t="shared" si="24"/>
        <v>77.169999999999959</v>
      </c>
      <c r="H34" s="62">
        <f t="shared" si="24"/>
        <v>93.82</v>
      </c>
      <c r="I34" s="62">
        <f t="shared" si="24"/>
        <v>94.759999999999991</v>
      </c>
      <c r="J34" s="57"/>
      <c r="L34" s="65"/>
      <c r="M34" s="65"/>
      <c r="N34" s="65"/>
      <c r="O34" s="65"/>
      <c r="P34" s="65"/>
      <c r="Q34" s="65"/>
      <c r="U34" s="50" t="s">
        <v>73</v>
      </c>
      <c r="AK34" s="50" t="s">
        <v>72</v>
      </c>
      <c r="AL34" s="50" t="s">
        <v>73</v>
      </c>
    </row>
    <row r="35" spans="1:38">
      <c r="A35" s="50" t="s">
        <v>69</v>
      </c>
      <c r="B35" s="53" t="s">
        <v>10</v>
      </c>
      <c r="C35" s="57"/>
      <c r="D35" s="57"/>
      <c r="E35" s="57"/>
      <c r="F35" s="57"/>
      <c r="G35" s="57"/>
      <c r="H35" s="57"/>
      <c r="I35" s="57"/>
      <c r="J35" s="5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3" t="s">
        <v>10</v>
      </c>
      <c r="AK35" s="50" t="s">
        <v>75</v>
      </c>
      <c r="AL35" s="53" t="s">
        <v>10</v>
      </c>
    </row>
    <row r="36" spans="1:38">
      <c r="A36" s="153">
        <v>1</v>
      </c>
      <c r="B36" s="50" t="s">
        <v>76</v>
      </c>
      <c r="C36" s="56">
        <f>'2023年'!C36</f>
        <v>15.99718981626023</v>
      </c>
      <c r="D36" s="56">
        <f>'2023年'!D36</f>
        <v>19.78528783295608</v>
      </c>
      <c r="E36" s="56">
        <f>'2023年'!E36</f>
        <v>19.78528783295608</v>
      </c>
      <c r="F36" s="56">
        <f>'2024年'!F36</f>
        <v>14.699895974926033</v>
      </c>
      <c r="G36" s="56">
        <f>'2024年'!G36</f>
        <v>14.699895974926033</v>
      </c>
      <c r="H36" s="56">
        <f>'2024年'!H36</f>
        <v>19.78528783295608</v>
      </c>
      <c r="I36" s="56">
        <f>'2024年'!I36</f>
        <v>19.863125463436131</v>
      </c>
      <c r="J36" s="6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50" t="s">
        <v>76</v>
      </c>
      <c r="AK36" s="50" t="s">
        <v>72</v>
      </c>
      <c r="AL36" s="50" t="s">
        <v>76</v>
      </c>
    </row>
    <row r="37" spans="1:38">
      <c r="A37" s="153">
        <v>2</v>
      </c>
      <c r="B37" s="50" t="s">
        <v>77</v>
      </c>
      <c r="C37" s="56">
        <f>'2023年'!C37</f>
        <v>2.7903349349655628</v>
      </c>
      <c r="D37" s="56">
        <f>'2023年'!D37</f>
        <v>3.4510798754498175</v>
      </c>
      <c r="E37" s="56">
        <f>'2023年'!E37</f>
        <v>3.4510798754498175</v>
      </c>
      <c r="F37" s="56">
        <f>'2024年'!F37</f>
        <v>2.564052421101092</v>
      </c>
      <c r="G37" s="56">
        <f>'2024年'!G37</f>
        <v>2.564052421101092</v>
      </c>
      <c r="H37" s="56">
        <f>'2024年'!H37</f>
        <v>3.4510798754498175</v>
      </c>
      <c r="I37" s="56">
        <f>'2024年'!I37</f>
        <v>3.4646568262816859</v>
      </c>
      <c r="J37" s="61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50" t="s">
        <v>77</v>
      </c>
      <c r="AK37" s="50" t="s">
        <v>29</v>
      </c>
      <c r="AL37" s="50" t="s">
        <v>77</v>
      </c>
    </row>
    <row r="38" spans="1:38">
      <c r="A38" s="153">
        <v>3</v>
      </c>
      <c r="B38" s="50" t="s">
        <v>78</v>
      </c>
      <c r="C38" s="56">
        <f>'2023年'!C38</f>
        <v>3.3910799999999997</v>
      </c>
      <c r="D38" s="56">
        <f>'2023年'!D38</f>
        <v>4.1940799999999996</v>
      </c>
      <c r="E38" s="56">
        <f>'2023年'!E38</f>
        <v>4.1940799999999996</v>
      </c>
      <c r="F38" s="56">
        <f>'2024年'!F38</f>
        <v>3.1160799999999997</v>
      </c>
      <c r="G38" s="56">
        <f>'2024年'!G38</f>
        <v>3.1160799999999997</v>
      </c>
      <c r="H38" s="56">
        <f>'2024年'!H38</f>
        <v>4.1940799999999996</v>
      </c>
      <c r="I38" s="56">
        <f>'2024年'!I38</f>
        <v>4.2105799999999993</v>
      </c>
      <c r="J38" s="6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50" t="s">
        <v>78</v>
      </c>
      <c r="AK38" s="50" t="s">
        <v>35</v>
      </c>
      <c r="AL38" s="50" t="s">
        <v>78</v>
      </c>
    </row>
    <row r="39" spans="1:38">
      <c r="A39" s="50" t="s">
        <v>75</v>
      </c>
      <c r="B39" s="53" t="s">
        <v>80</v>
      </c>
      <c r="C39" s="57"/>
      <c r="D39" s="57"/>
      <c r="E39" s="57"/>
      <c r="F39" s="57"/>
      <c r="G39" s="57"/>
      <c r="H39" s="57"/>
      <c r="I39" s="57"/>
      <c r="J39" s="57"/>
      <c r="U39" s="53" t="s">
        <v>80</v>
      </c>
      <c r="AK39" s="50" t="s">
        <v>79</v>
      </c>
      <c r="AL39" s="53" t="s">
        <v>80</v>
      </c>
    </row>
    <row r="40" spans="1:38">
      <c r="A40" s="153">
        <v>1</v>
      </c>
      <c r="B40" s="50" t="s">
        <v>82</v>
      </c>
      <c r="C40" s="57">
        <f>C34-C36-C37-C38</f>
        <v>49.73139524877417</v>
      </c>
      <c r="D40" s="57">
        <f t="shared" ref="D40:I40" si="25">D34-D36-D37-D38</f>
        <v>66.3895522915941</v>
      </c>
      <c r="E40" s="57">
        <f t="shared" si="25"/>
        <v>66.3895522915941</v>
      </c>
      <c r="F40" s="57">
        <f t="shared" si="25"/>
        <v>56.78997160397283</v>
      </c>
      <c r="G40" s="57">
        <f t="shared" si="25"/>
        <v>56.78997160397283</v>
      </c>
      <c r="H40" s="57">
        <f t="shared" si="25"/>
        <v>66.3895522915941</v>
      </c>
      <c r="I40" s="57">
        <f t="shared" si="25"/>
        <v>67.221637710282181</v>
      </c>
      <c r="J40" s="57"/>
      <c r="U40" s="50" t="s">
        <v>82</v>
      </c>
      <c r="AK40" s="50" t="s">
        <v>24</v>
      </c>
      <c r="AL40" s="50" t="s">
        <v>82</v>
      </c>
    </row>
    <row r="41" spans="1:38">
      <c r="A41" s="153">
        <v>2</v>
      </c>
      <c r="B41" s="50" t="s">
        <v>83</v>
      </c>
      <c r="C41" s="57"/>
      <c r="D41" s="57"/>
      <c r="E41" s="57"/>
      <c r="F41" s="57"/>
      <c r="G41" s="57"/>
      <c r="H41" s="57"/>
      <c r="I41" s="57"/>
      <c r="J41" s="57"/>
      <c r="U41" s="50" t="s">
        <v>83</v>
      </c>
      <c r="AK41" s="50" t="s">
        <v>26</v>
      </c>
      <c r="AL41" s="50" t="s">
        <v>83</v>
      </c>
    </row>
    <row r="42" spans="1:38">
      <c r="A42" s="50" t="s">
        <v>79</v>
      </c>
      <c r="B42" s="53" t="s">
        <v>85</v>
      </c>
      <c r="C42" s="57"/>
      <c r="D42" s="57"/>
      <c r="E42" s="57"/>
      <c r="F42" s="57"/>
      <c r="G42" s="57"/>
      <c r="H42" s="57"/>
      <c r="I42" s="57"/>
      <c r="J42" s="57"/>
      <c r="U42" s="53" t="s">
        <v>85</v>
      </c>
      <c r="AK42" s="50" t="s">
        <v>84</v>
      </c>
      <c r="AL42" s="53" t="s">
        <v>85</v>
      </c>
    </row>
    <row r="43" spans="1:38">
      <c r="A43" s="153">
        <v>1</v>
      </c>
      <c r="B43" s="58" t="s">
        <v>86</v>
      </c>
      <c r="C43" s="56">
        <f>'2023年'!C43</f>
        <v>23.614248</v>
      </c>
      <c r="D43" s="56">
        <f>'2023年'!D43</f>
        <v>29.206047999999999</v>
      </c>
      <c r="E43" s="56">
        <f>'2023年'!E43</f>
        <v>29.206047999999999</v>
      </c>
      <c r="F43" s="56">
        <f>'2024年'!F43</f>
        <v>21.699247999999997</v>
      </c>
      <c r="G43" s="56">
        <f>'2024年'!G43</f>
        <v>21.699247999999997</v>
      </c>
      <c r="H43" s="56">
        <f>'2024年'!H43</f>
        <v>29.206047999999999</v>
      </c>
      <c r="I43" s="56">
        <f>'2024年'!I43</f>
        <v>29.320947999999998</v>
      </c>
      <c r="J43" s="57"/>
      <c r="U43" s="50" t="s">
        <v>86</v>
      </c>
      <c r="AK43" s="50" t="s">
        <v>24</v>
      </c>
      <c r="AL43" s="50" t="s">
        <v>86</v>
      </c>
    </row>
    <row r="44" spans="1:38">
      <c r="A44" s="153">
        <v>2</v>
      </c>
      <c r="B44" s="58" t="s">
        <v>87</v>
      </c>
      <c r="C44" s="56">
        <f>'2023年'!C44</f>
        <v>1.0481519999999998</v>
      </c>
      <c r="D44" s="56">
        <f>'2023年'!D44</f>
        <v>1.2963519999999997</v>
      </c>
      <c r="E44" s="56">
        <f>'2023年'!E44</f>
        <v>1.2963519999999997</v>
      </c>
      <c r="F44" s="56">
        <f>'2024年'!F44</f>
        <v>0.9631519999999999</v>
      </c>
      <c r="G44" s="56">
        <f>'2024年'!G44</f>
        <v>0.9631519999999999</v>
      </c>
      <c r="H44" s="56">
        <f>'2024年'!H44</f>
        <v>1.2963519999999997</v>
      </c>
      <c r="I44" s="56">
        <f>'2024年'!I44</f>
        <v>1.3014519999999998</v>
      </c>
      <c r="J44" s="57"/>
      <c r="U44" s="50" t="s">
        <v>87</v>
      </c>
      <c r="AK44" s="50" t="s">
        <v>26</v>
      </c>
      <c r="AL44" s="50" t="s">
        <v>87</v>
      </c>
    </row>
    <row r="45" spans="1:38">
      <c r="A45" s="153">
        <v>3</v>
      </c>
      <c r="B45" s="58" t="s">
        <v>88</v>
      </c>
      <c r="C45" s="56">
        <f>'2023年'!C45</f>
        <v>10.697315999999999</v>
      </c>
      <c r="D45" s="56">
        <f>'2023年'!D45</f>
        <v>13.230416</v>
      </c>
      <c r="E45" s="56">
        <f>'2023年'!E45</f>
        <v>13.230416</v>
      </c>
      <c r="F45" s="56">
        <f>'2024年'!F45</f>
        <v>9.8298159999999992</v>
      </c>
      <c r="G45" s="56">
        <f>'2024年'!G45</f>
        <v>9.8298159999999992</v>
      </c>
      <c r="H45" s="56">
        <f>'2024年'!H45</f>
        <v>13.230416</v>
      </c>
      <c r="I45" s="56">
        <f>'2024年'!I45</f>
        <v>13.282465999999999</v>
      </c>
      <c r="J45" s="57"/>
      <c r="U45" s="50" t="s">
        <v>88</v>
      </c>
      <c r="AK45" s="50" t="s">
        <v>72</v>
      </c>
      <c r="AL45" s="50" t="s">
        <v>88</v>
      </c>
    </row>
    <row r="46" spans="1:38" s="45" customFormat="1">
      <c r="A46" s="153">
        <v>4</v>
      </c>
      <c r="B46" s="58" t="s">
        <v>89</v>
      </c>
      <c r="C46" s="63">
        <f>C21/C6</f>
        <v>0</v>
      </c>
      <c r="D46" s="63">
        <f t="shared" ref="D46:I46" si="26">D21/D6</f>
        <v>0</v>
      </c>
      <c r="E46" s="63">
        <f t="shared" si="26"/>
        <v>0</v>
      </c>
      <c r="F46" s="63">
        <f t="shared" si="26"/>
        <v>0</v>
      </c>
      <c r="G46" s="63">
        <f t="shared" si="26"/>
        <v>0</v>
      </c>
      <c r="H46" s="63">
        <f t="shared" si="26"/>
        <v>0</v>
      </c>
      <c r="I46" s="63">
        <f t="shared" si="26"/>
        <v>0</v>
      </c>
      <c r="J46" s="63"/>
      <c r="U46" s="58" t="s">
        <v>91</v>
      </c>
      <c r="AK46" s="58" t="s">
        <v>32</v>
      </c>
      <c r="AL46" s="58" t="s">
        <v>91</v>
      </c>
    </row>
    <row r="47" spans="1:38" s="45" customFormat="1">
      <c r="A47" s="153">
        <v>5</v>
      </c>
      <c r="B47" s="58" t="s">
        <v>91</v>
      </c>
      <c r="C47" s="63">
        <f>'2023年'!C47</f>
        <v>12.331199999999999</v>
      </c>
      <c r="D47" s="63">
        <f>'2023年'!D47</f>
        <v>15.251199999999999</v>
      </c>
      <c r="E47" s="63">
        <f>'2023年'!E47</f>
        <v>15.251199999999999</v>
      </c>
      <c r="F47" s="63">
        <f>'2024年'!F47</f>
        <v>11.331199999999999</v>
      </c>
      <c r="G47" s="63">
        <f>'2024年'!G47</f>
        <v>11.331199999999999</v>
      </c>
      <c r="H47" s="63">
        <f>'2024年'!H47</f>
        <v>15.251199999999999</v>
      </c>
      <c r="I47" s="63">
        <f>'2024年'!I47</f>
        <v>15.311199999999999</v>
      </c>
      <c r="J47" s="63"/>
      <c r="U47" s="58" t="s">
        <v>91</v>
      </c>
      <c r="AK47" s="58" t="s">
        <v>32</v>
      </c>
      <c r="AL47" s="58" t="s">
        <v>91</v>
      </c>
    </row>
    <row r="48" spans="1:38">
      <c r="A48" s="50" t="s">
        <v>84</v>
      </c>
      <c r="B48" s="53" t="s">
        <v>102</v>
      </c>
      <c r="C48" s="57">
        <f>C40-C43-C44-C45-C47-C46</f>
        <v>2.0404792487741741</v>
      </c>
      <c r="D48" s="57">
        <f t="shared" ref="D48:I48" si="27">D40-D43-D44-D45-D47-D46</f>
        <v>7.4055362915941085</v>
      </c>
      <c r="E48" s="57">
        <f t="shared" si="27"/>
        <v>7.4055362915941085</v>
      </c>
      <c r="F48" s="57">
        <f t="shared" si="27"/>
        <v>12.966555603972832</v>
      </c>
      <c r="G48" s="57">
        <f t="shared" si="27"/>
        <v>12.966555603972832</v>
      </c>
      <c r="H48" s="57">
        <f t="shared" si="27"/>
        <v>7.4055362915941085</v>
      </c>
      <c r="I48" s="57">
        <f t="shared" si="27"/>
        <v>8.0055717102821831</v>
      </c>
      <c r="J48" s="57"/>
      <c r="U48" s="53" t="s">
        <v>102</v>
      </c>
      <c r="AK48" s="50" t="s">
        <v>101</v>
      </c>
      <c r="AL48" s="53" t="s">
        <v>102</v>
      </c>
    </row>
    <row r="51" spans="2:15">
      <c r="C51" s="64"/>
      <c r="D51" s="64"/>
      <c r="E51" s="64"/>
      <c r="F51" s="64"/>
      <c r="G51" s="64"/>
      <c r="H51" s="64"/>
      <c r="I51" s="64"/>
    </row>
    <row r="54" spans="2:15">
      <c r="B54" s="65"/>
      <c r="C54" s="66"/>
      <c r="D54" s="66"/>
      <c r="E54" s="66"/>
      <c r="F54" s="66"/>
      <c r="G54" s="66"/>
      <c r="H54" s="66"/>
      <c r="I54" s="66"/>
      <c r="J54" s="66"/>
      <c r="K54" s="65"/>
      <c r="L54" s="65"/>
      <c r="M54" s="65"/>
      <c r="N54" s="65"/>
      <c r="O54" s="65"/>
    </row>
    <row r="55" spans="2:15">
      <c r="B55" s="65"/>
      <c r="C55" s="66"/>
      <c r="D55" s="66"/>
      <c r="E55" s="66"/>
      <c r="F55" s="66"/>
      <c r="G55" s="66"/>
      <c r="H55" s="66"/>
      <c r="I55" s="66"/>
      <c r="J55" s="66"/>
      <c r="K55" s="65"/>
      <c r="L55" s="65"/>
      <c r="M55" s="65"/>
      <c r="N55" s="65"/>
      <c r="O55" s="65"/>
    </row>
    <row r="56" spans="2:15">
      <c r="B56" s="65"/>
      <c r="C56" s="66"/>
      <c r="D56" s="66"/>
      <c r="E56" s="66"/>
      <c r="F56" s="66"/>
      <c r="G56" s="66"/>
      <c r="H56" s="66"/>
      <c r="I56" s="66"/>
      <c r="J56" s="66"/>
      <c r="K56" s="65"/>
      <c r="L56" s="65"/>
      <c r="M56" s="65"/>
      <c r="N56" s="65"/>
      <c r="O56" s="65"/>
    </row>
    <row r="57" spans="2:15">
      <c r="B57" s="65"/>
      <c r="C57" s="66"/>
      <c r="D57" s="66"/>
      <c r="E57" s="66"/>
      <c r="F57" s="66"/>
      <c r="G57" s="66"/>
      <c r="H57" s="66"/>
      <c r="I57" s="66"/>
      <c r="J57" s="66"/>
      <c r="K57" s="65"/>
      <c r="L57" s="65"/>
      <c r="M57" s="65"/>
      <c r="N57" s="65"/>
      <c r="O57" s="65"/>
    </row>
    <row r="58" spans="2:15">
      <c r="B58" s="65"/>
      <c r="C58" s="66"/>
      <c r="D58" s="66"/>
      <c r="E58" s="66"/>
      <c r="F58" s="66"/>
      <c r="G58" s="66"/>
      <c r="H58" s="66"/>
      <c r="I58" s="66"/>
      <c r="J58" s="66"/>
      <c r="K58" s="65"/>
      <c r="L58" s="65"/>
      <c r="M58" s="65"/>
      <c r="N58" s="65"/>
      <c r="O58" s="65"/>
    </row>
    <row r="59" spans="2:15">
      <c r="B59" s="65"/>
      <c r="C59" s="66"/>
      <c r="D59" s="66"/>
      <c r="E59" s="66"/>
      <c r="F59" s="66"/>
      <c r="G59" s="66"/>
      <c r="H59" s="66"/>
      <c r="I59" s="66"/>
      <c r="J59" s="66"/>
      <c r="K59" s="65"/>
      <c r="L59" s="65"/>
      <c r="M59" s="65"/>
      <c r="N59" s="65"/>
      <c r="O59" s="65"/>
    </row>
    <row r="60" spans="2:15">
      <c r="B60" s="65"/>
      <c r="C60" s="66"/>
      <c r="D60" s="66"/>
      <c r="E60" s="66"/>
      <c r="F60" s="66"/>
      <c r="G60" s="66"/>
      <c r="H60" s="66"/>
      <c r="I60" s="66"/>
      <c r="J60" s="66"/>
      <c r="K60" s="65"/>
      <c r="L60" s="65"/>
      <c r="M60" s="65"/>
      <c r="N60" s="65"/>
      <c r="O60" s="65"/>
    </row>
    <row r="61" spans="2:15">
      <c r="B61" s="65"/>
      <c r="C61" s="66"/>
      <c r="D61" s="66"/>
      <c r="E61" s="66"/>
      <c r="F61" s="66"/>
      <c r="G61" s="66"/>
      <c r="H61" s="66"/>
      <c r="I61" s="66"/>
      <c r="J61" s="66"/>
      <c r="K61" s="65"/>
      <c r="L61" s="65"/>
      <c r="M61" s="65"/>
      <c r="N61" s="65"/>
      <c r="O61" s="65"/>
    </row>
    <row r="62" spans="2:15">
      <c r="B62" s="65"/>
      <c r="C62" s="66"/>
      <c r="D62" s="66"/>
      <c r="E62" s="66"/>
      <c r="F62" s="66"/>
      <c r="G62" s="66"/>
      <c r="H62" s="66"/>
      <c r="I62" s="66"/>
      <c r="J62" s="66"/>
      <c r="K62" s="65"/>
      <c r="L62" s="65"/>
      <c r="M62" s="65"/>
      <c r="N62" s="65"/>
      <c r="O62" s="65"/>
    </row>
    <row r="63" spans="2:15">
      <c r="B63" s="65"/>
      <c r="C63" s="66"/>
      <c r="D63" s="66"/>
      <c r="E63" s="66"/>
      <c r="F63" s="66"/>
      <c r="G63" s="66"/>
      <c r="H63" s="66"/>
      <c r="I63" s="66"/>
      <c r="J63" s="66"/>
      <c r="K63" s="65"/>
      <c r="L63" s="65"/>
      <c r="M63" s="65"/>
      <c r="N63" s="65"/>
      <c r="O63" s="65"/>
    </row>
    <row r="64" spans="2:15">
      <c r="B64" s="65"/>
      <c r="C64" s="66"/>
      <c r="D64" s="66"/>
      <c r="E64" s="66"/>
      <c r="F64" s="66"/>
      <c r="G64" s="66"/>
      <c r="H64" s="66"/>
      <c r="I64" s="66"/>
      <c r="J64" s="66"/>
      <c r="K64" s="65"/>
      <c r="L64" s="65"/>
      <c r="M64" s="65"/>
      <c r="N64" s="65"/>
      <c r="O64" s="65"/>
    </row>
    <row r="65" spans="2:15">
      <c r="B65" s="65"/>
      <c r="C65" s="66"/>
      <c r="D65" s="66"/>
      <c r="E65" s="66"/>
      <c r="F65" s="66"/>
      <c r="G65" s="66"/>
      <c r="H65" s="66"/>
      <c r="I65" s="66"/>
      <c r="J65" s="66"/>
      <c r="K65" s="65"/>
      <c r="L65" s="65"/>
      <c r="M65" s="65"/>
      <c r="N65" s="65"/>
      <c r="O65" s="65"/>
    </row>
    <row r="66" spans="2:15">
      <c r="B66" s="65"/>
      <c r="C66" s="66"/>
      <c r="D66" s="66"/>
      <c r="E66" s="66"/>
      <c r="F66" s="66"/>
      <c r="G66" s="66"/>
      <c r="H66" s="66"/>
      <c r="I66" s="66"/>
      <c r="J66" s="66"/>
      <c r="K66" s="65"/>
      <c r="L66" s="65"/>
      <c r="M66" s="65"/>
      <c r="N66" s="65"/>
      <c r="O66" s="65"/>
    </row>
    <row r="67" spans="2:15">
      <c r="B67" s="65"/>
      <c r="C67" s="66"/>
      <c r="D67" s="66"/>
      <c r="E67" s="66"/>
      <c r="F67" s="66"/>
      <c r="G67" s="66"/>
      <c r="H67" s="66"/>
      <c r="I67" s="66"/>
      <c r="J67" s="66"/>
      <c r="K67" s="65"/>
    </row>
    <row r="68" spans="2:15">
      <c r="B68" s="65"/>
      <c r="C68" s="66"/>
      <c r="D68" s="66"/>
      <c r="E68" s="66"/>
      <c r="F68" s="66"/>
      <c r="G68" s="66"/>
      <c r="H68" s="66"/>
      <c r="I68" s="66"/>
      <c r="J68" s="66"/>
      <c r="K68" s="65"/>
    </row>
    <row r="69" spans="2:15">
      <c r="B69" s="65"/>
      <c r="C69" s="66"/>
      <c r="D69" s="66"/>
      <c r="E69" s="66"/>
      <c r="F69" s="66"/>
      <c r="G69" s="66"/>
      <c r="H69" s="66"/>
      <c r="I69" s="66"/>
      <c r="J69" s="66"/>
      <c r="K69" s="65"/>
    </row>
    <row r="70" spans="2:15">
      <c r="B70" s="65"/>
      <c r="C70" s="66"/>
      <c r="D70" s="66"/>
      <c r="E70" s="66"/>
      <c r="F70" s="66"/>
      <c r="G70" s="66"/>
      <c r="H70" s="66"/>
      <c r="I70" s="66"/>
      <c r="J70" s="66"/>
      <c r="K70" s="65"/>
    </row>
    <row r="71" spans="2:15">
      <c r="B71" s="65"/>
      <c r="C71" s="66"/>
      <c r="D71" s="66"/>
      <c r="E71" s="66"/>
      <c r="F71" s="66"/>
      <c r="G71" s="66"/>
      <c r="H71" s="66"/>
      <c r="I71" s="66"/>
      <c r="J71" s="66"/>
      <c r="K71" s="65"/>
    </row>
    <row r="72" spans="2:15">
      <c r="B72" s="65"/>
      <c r="C72" s="66"/>
      <c r="D72" s="66"/>
      <c r="E72" s="66"/>
      <c r="F72" s="66"/>
      <c r="G72" s="66"/>
      <c r="H72" s="66"/>
      <c r="I72" s="66"/>
      <c r="J72" s="66"/>
      <c r="K72" s="65"/>
    </row>
    <row r="73" spans="2:15">
      <c r="B73" s="65"/>
      <c r="C73" s="66"/>
      <c r="D73" s="66"/>
      <c r="E73" s="66"/>
      <c r="F73" s="66"/>
      <c r="G73" s="66"/>
      <c r="H73" s="66"/>
      <c r="I73" s="66"/>
      <c r="J73" s="66"/>
      <c r="K73" s="65"/>
    </row>
    <row r="74" spans="2:15">
      <c r="B74" s="65"/>
      <c r="C74" s="66"/>
      <c r="D74" s="66"/>
      <c r="E74" s="66"/>
      <c r="F74" s="66"/>
      <c r="G74" s="66"/>
      <c r="H74" s="66"/>
      <c r="I74" s="66"/>
      <c r="J74" s="66"/>
      <c r="K74" s="65"/>
    </row>
  </sheetData>
  <mergeCells count="8">
    <mergeCell ref="J3:J5"/>
    <mergeCell ref="C2:J2"/>
    <mergeCell ref="C1:J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23" activePane="bottomRight" state="frozen"/>
      <selection pane="topRight"/>
      <selection pane="bottomLeft"/>
      <selection pane="bottomRight" activeCell="J25" sqref="J25:J26"/>
    </sheetView>
  </sheetViews>
  <sheetFormatPr defaultColWidth="9" defaultRowHeight="16.5"/>
  <cols>
    <col min="1" max="1" width="5.125" style="46" customWidth="1"/>
    <col min="2" max="2" width="17.5" style="46" customWidth="1"/>
    <col min="3" max="9" width="13.25" style="47" customWidth="1"/>
    <col min="10" max="10" width="18.75" style="47" customWidth="1"/>
    <col min="11" max="11" width="12.375" style="46" customWidth="1"/>
    <col min="12" max="12" width="14.5" style="46" customWidth="1"/>
    <col min="13" max="19" width="9" style="46" customWidth="1"/>
    <col min="20" max="36" width="9" style="46"/>
    <col min="37" max="37" width="4.375" style="46" customWidth="1"/>
    <col min="38" max="38" width="13.875" style="46" customWidth="1"/>
    <col min="39" max="16384" width="9" style="46"/>
  </cols>
  <sheetData>
    <row r="1" spans="1:39">
      <c r="A1" s="266" t="s">
        <v>142</v>
      </c>
      <c r="B1" s="266"/>
      <c r="C1" s="270" t="s">
        <v>243</v>
      </c>
      <c r="D1" s="271"/>
      <c r="E1" s="271"/>
      <c r="F1" s="271"/>
      <c r="G1" s="271"/>
      <c r="H1" s="271"/>
      <c r="I1" s="271"/>
      <c r="J1" s="272"/>
    </row>
    <row r="2" spans="1:39">
      <c r="A2" s="266" t="s">
        <v>143</v>
      </c>
      <c r="B2" s="266"/>
      <c r="C2" s="273" t="str">
        <f>'2023年'!C2:F2</f>
        <v>北汽</v>
      </c>
      <c r="D2" s="273"/>
      <c r="E2" s="273"/>
      <c r="F2" s="273"/>
      <c r="G2" s="273"/>
      <c r="H2" s="273"/>
      <c r="I2" s="273"/>
      <c r="J2" s="273"/>
    </row>
    <row r="3" spans="1:39">
      <c r="A3" s="266" t="s">
        <v>144</v>
      </c>
      <c r="B3" s="266"/>
      <c r="C3" s="154">
        <f>销量!C5</f>
        <v>0</v>
      </c>
      <c r="D3" s="223"/>
      <c r="E3" s="223"/>
      <c r="F3" s="223"/>
      <c r="G3" s="223"/>
      <c r="H3" s="223"/>
      <c r="I3" s="223"/>
      <c r="J3" s="267" t="s">
        <v>20</v>
      </c>
    </row>
    <row r="4" spans="1:39" ht="28.5">
      <c r="A4" s="266" t="s">
        <v>145</v>
      </c>
      <c r="B4" s="266"/>
      <c r="C4" s="154" t="str">
        <f>销量!C6</f>
        <v>北汽B41V-C系列-LV1</v>
      </c>
      <c r="D4" s="154" t="str">
        <f>销量!D6</f>
        <v>B41V-C系列-LV2-LV3-P系列-LV3-左</v>
      </c>
      <c r="E4" s="154" t="str">
        <f>销量!E6</f>
        <v>B41V-C系列-LV2-LV3-P系列-LV3-左</v>
      </c>
      <c r="F4" s="154" t="str">
        <f>销量!F6</f>
        <v xml:space="preserve">B41V-P系列-LV1-LV2-左 </v>
      </c>
      <c r="G4" s="154" t="str">
        <f>销量!G6</f>
        <v xml:space="preserve">B41V-P系列-LV1-LV2-左 </v>
      </c>
      <c r="H4" s="154" t="str">
        <f>销量!H6</f>
        <v>B41V-C系列-LV2-LV3-P系列-LV3-左</v>
      </c>
      <c r="I4" s="154" t="str">
        <f>销量!I6</f>
        <v>B41V-混动-左</v>
      </c>
      <c r="J4" s="268"/>
    </row>
    <row r="5" spans="1:39">
      <c r="A5" s="266" t="s">
        <v>146</v>
      </c>
      <c r="B5" s="266"/>
      <c r="C5" s="49"/>
      <c r="D5" s="216"/>
      <c r="E5" s="216"/>
      <c r="F5" s="216"/>
      <c r="G5" s="216"/>
      <c r="H5" s="216"/>
      <c r="I5" s="216"/>
      <c r="J5" s="269"/>
      <c r="AM5" s="46" t="s">
        <v>21</v>
      </c>
    </row>
    <row r="6" spans="1:39" ht="17.25">
      <c r="A6" s="50" t="s">
        <v>19</v>
      </c>
      <c r="B6" s="51" t="s">
        <v>147</v>
      </c>
      <c r="C6" s="21">
        <f>销量!C13</f>
        <v>3600</v>
      </c>
      <c r="D6" s="21">
        <f>销量!D13</f>
        <v>9000</v>
      </c>
      <c r="E6" s="21">
        <f>销量!E13</f>
        <v>5400</v>
      </c>
      <c r="F6" s="21">
        <f>销量!F13</f>
        <v>6000</v>
      </c>
      <c r="G6" s="21">
        <f>销量!G13</f>
        <v>6000</v>
      </c>
      <c r="H6" s="21">
        <f>销量!H13</f>
        <v>4000</v>
      </c>
      <c r="I6" s="21">
        <f>销量!I13</f>
        <v>3500</v>
      </c>
      <c r="J6" s="52">
        <f>SUM(C6:I6)</f>
        <v>37500</v>
      </c>
      <c r="U6" s="51" t="s">
        <v>3</v>
      </c>
      <c r="AK6" s="50" t="s">
        <v>19</v>
      </c>
      <c r="AL6" s="51" t="s">
        <v>3</v>
      </c>
      <c r="AM6" s="46" t="s">
        <v>22</v>
      </c>
    </row>
    <row r="7" spans="1:39">
      <c r="A7" s="172">
        <v>1</v>
      </c>
      <c r="B7" s="51" t="s">
        <v>23</v>
      </c>
      <c r="C7" s="52">
        <f>C6*销量!C8</f>
        <v>1109808</v>
      </c>
      <c r="D7" s="52">
        <f>D6*销量!D8</f>
        <v>3431519.9999999995</v>
      </c>
      <c r="E7" s="52">
        <f>E6*销量!E8</f>
        <v>2058911.9999999998</v>
      </c>
      <c r="F7" s="52">
        <f>F6*销量!F8</f>
        <v>1699679.9999999998</v>
      </c>
      <c r="G7" s="52">
        <f>G6*销量!G8</f>
        <v>1699679.9999999998</v>
      </c>
      <c r="H7" s="52">
        <f>H6*销量!H8</f>
        <v>1525120</v>
      </c>
      <c r="I7" s="52">
        <f>I6*销量!I8</f>
        <v>1339730</v>
      </c>
      <c r="J7" s="52">
        <f>SUM(C7:I7)</f>
        <v>12864450</v>
      </c>
      <c r="K7" s="47"/>
      <c r="U7" s="51" t="s">
        <v>23</v>
      </c>
      <c r="AK7" s="50" t="s">
        <v>24</v>
      </c>
      <c r="AL7" s="51" t="s">
        <v>23</v>
      </c>
      <c r="AM7" s="46" t="s">
        <v>22</v>
      </c>
    </row>
    <row r="8" spans="1:39">
      <c r="A8" s="172">
        <v>2</v>
      </c>
      <c r="B8" s="172" t="s">
        <v>25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>I7*(1-销量!$M$10)</f>
        <v>0</v>
      </c>
      <c r="J8" s="52">
        <f t="shared" ref="J8:J15" si="0">SUM(C8:I8)</f>
        <v>0</v>
      </c>
      <c r="K8" s="67"/>
      <c r="U8" s="172" t="s">
        <v>27</v>
      </c>
      <c r="AK8" s="50" t="s">
        <v>26</v>
      </c>
      <c r="AL8" s="172" t="s">
        <v>27</v>
      </c>
      <c r="AM8" s="46" t="s">
        <v>22</v>
      </c>
    </row>
    <row r="9" spans="1:39">
      <c r="A9" s="172">
        <v>3</v>
      </c>
      <c r="B9" s="51" t="s">
        <v>28</v>
      </c>
      <c r="C9" s="52">
        <f>+C7-C8</f>
        <v>1109808</v>
      </c>
      <c r="D9" s="52">
        <f t="shared" ref="D9:I9" si="1">+D7-D8</f>
        <v>3431519.9999999995</v>
      </c>
      <c r="E9" s="52">
        <f t="shared" si="1"/>
        <v>2058911.9999999998</v>
      </c>
      <c r="F9" s="52">
        <f t="shared" si="1"/>
        <v>1699679.9999999998</v>
      </c>
      <c r="G9" s="52">
        <f t="shared" si="1"/>
        <v>1699679.9999999998</v>
      </c>
      <c r="H9" s="52">
        <f t="shared" si="1"/>
        <v>1525120</v>
      </c>
      <c r="I9" s="52">
        <f t="shared" si="1"/>
        <v>1339730</v>
      </c>
      <c r="J9" s="52">
        <f t="shared" si="0"/>
        <v>12864450</v>
      </c>
      <c r="U9" s="51" t="s">
        <v>28</v>
      </c>
      <c r="AK9" s="50" t="s">
        <v>29</v>
      </c>
      <c r="AL9" s="51" t="s">
        <v>28</v>
      </c>
      <c r="AM9" s="46" t="s">
        <v>30</v>
      </c>
    </row>
    <row r="10" spans="1:39">
      <c r="A10" s="172">
        <v>4</v>
      </c>
      <c r="B10" s="50" t="s">
        <v>31</v>
      </c>
      <c r="C10" s="52">
        <f>C6*材料成本!I41</f>
        <v>850932</v>
      </c>
      <c r="D10" s="52">
        <f>D6*材料成本!I42</f>
        <v>2587140</v>
      </c>
      <c r="E10" s="52">
        <f>E6*材料成本!I43</f>
        <v>1552284</v>
      </c>
      <c r="F10" s="52">
        <f>F6*材料成本!I44</f>
        <v>1236660</v>
      </c>
      <c r="G10" s="52">
        <f>G6*材料成本!I45</f>
        <v>1236660</v>
      </c>
      <c r="H10" s="52">
        <f>H6*材料成本!I46</f>
        <v>1149840</v>
      </c>
      <c r="I10" s="52">
        <f>I6*材料成本!I47</f>
        <v>1008069.9999999999</v>
      </c>
      <c r="J10" s="52">
        <f t="shared" si="0"/>
        <v>9621586</v>
      </c>
      <c r="U10" s="50" t="s">
        <v>31</v>
      </c>
      <c r="AK10" s="50" t="s">
        <v>32</v>
      </c>
      <c r="AL10" s="50" t="s">
        <v>31</v>
      </c>
      <c r="AM10" s="46" t="s">
        <v>33</v>
      </c>
    </row>
    <row r="11" spans="1:39">
      <c r="A11" s="172">
        <v>5</v>
      </c>
      <c r="B11" s="50" t="s">
        <v>34</v>
      </c>
      <c r="C11" s="52">
        <f>+C6*C36</f>
        <v>57589.883338536827</v>
      </c>
      <c r="D11" s="52">
        <f t="shared" ref="D11:I11" si="2">+D6*D36</f>
        <v>178067.59049660471</v>
      </c>
      <c r="E11" s="52">
        <f t="shared" si="2"/>
        <v>106840.55429796282</v>
      </c>
      <c r="F11" s="52">
        <f t="shared" si="2"/>
        <v>88199.375849556192</v>
      </c>
      <c r="G11" s="52">
        <f t="shared" si="2"/>
        <v>88199.375849556192</v>
      </c>
      <c r="H11" s="52">
        <f t="shared" si="2"/>
        <v>79141.151331824323</v>
      </c>
      <c r="I11" s="52">
        <f t="shared" si="2"/>
        <v>69520.939122026452</v>
      </c>
      <c r="J11" s="52">
        <f t="shared" si="0"/>
        <v>667558.87028606748</v>
      </c>
      <c r="U11" s="50" t="s">
        <v>34</v>
      </c>
      <c r="AK11" s="50" t="s">
        <v>35</v>
      </c>
      <c r="AL11" s="50" t="s">
        <v>34</v>
      </c>
    </row>
    <row r="12" spans="1:39">
      <c r="A12" s="172">
        <v>6</v>
      </c>
      <c r="B12" s="50" t="s">
        <v>36</v>
      </c>
      <c r="C12" s="52">
        <f>+C6*C37</f>
        <v>10045.205765876026</v>
      </c>
      <c r="D12" s="52">
        <f t="shared" ref="D12:I12" si="3">+D6*D37</f>
        <v>31059.718879048356</v>
      </c>
      <c r="E12" s="52">
        <f t="shared" si="3"/>
        <v>18635.831327429016</v>
      </c>
      <c r="F12" s="52">
        <f t="shared" si="3"/>
        <v>15384.314526606551</v>
      </c>
      <c r="G12" s="52">
        <f t="shared" si="3"/>
        <v>15384.314526606551</v>
      </c>
      <c r="H12" s="52">
        <f t="shared" si="3"/>
        <v>13804.319501799269</v>
      </c>
      <c r="I12" s="52">
        <f t="shared" si="3"/>
        <v>12126.2988919859</v>
      </c>
      <c r="J12" s="52">
        <f t="shared" si="0"/>
        <v>116440.00341935168</v>
      </c>
      <c r="U12" s="50" t="s">
        <v>36</v>
      </c>
      <c r="AK12" s="50" t="s">
        <v>37</v>
      </c>
      <c r="AL12" s="50" t="s">
        <v>36</v>
      </c>
    </row>
    <row r="13" spans="1:39">
      <c r="A13" s="172">
        <v>7</v>
      </c>
      <c r="B13" s="50" t="s">
        <v>38</v>
      </c>
      <c r="C13" s="52">
        <f>+C6*C38</f>
        <v>12207.887999999999</v>
      </c>
      <c r="D13" s="52">
        <f t="shared" ref="D13:I13" si="4">+D6*D38</f>
        <v>37746.719999999994</v>
      </c>
      <c r="E13" s="52">
        <f t="shared" si="4"/>
        <v>22648.031999999999</v>
      </c>
      <c r="F13" s="52">
        <f t="shared" si="4"/>
        <v>18696.48</v>
      </c>
      <c r="G13" s="52">
        <f t="shared" si="4"/>
        <v>18696.48</v>
      </c>
      <c r="H13" s="52">
        <f t="shared" si="4"/>
        <v>16776.32</v>
      </c>
      <c r="I13" s="52">
        <f t="shared" si="4"/>
        <v>14737.029999999997</v>
      </c>
      <c r="J13" s="52">
        <f t="shared" si="0"/>
        <v>141508.94999999998</v>
      </c>
      <c r="L13" s="67"/>
      <c r="U13" s="50" t="s">
        <v>38</v>
      </c>
      <c r="AK13" s="50" t="s">
        <v>39</v>
      </c>
      <c r="AL13" s="50" t="s">
        <v>38</v>
      </c>
      <c r="AM13" s="46" t="s">
        <v>22</v>
      </c>
    </row>
    <row r="14" spans="1:39">
      <c r="A14" s="172">
        <v>8</v>
      </c>
      <c r="B14" s="53" t="s">
        <v>40</v>
      </c>
      <c r="C14" s="52">
        <f>SUM(C11:C13)</f>
        <v>79842.977104412857</v>
      </c>
      <c r="D14" s="52">
        <f t="shared" ref="D14:I14" si="5">SUM(D11:D13)</f>
        <v>246874.02937565307</v>
      </c>
      <c r="E14" s="52">
        <f t="shared" si="5"/>
        <v>148124.41762539183</v>
      </c>
      <c r="F14" s="52">
        <f t="shared" si="5"/>
        <v>122280.17037616274</v>
      </c>
      <c r="G14" s="52">
        <f t="shared" si="5"/>
        <v>122280.17037616274</v>
      </c>
      <c r="H14" s="52">
        <f t="shared" si="5"/>
        <v>109721.79083362359</v>
      </c>
      <c r="I14" s="52">
        <f t="shared" si="5"/>
        <v>96384.268014012356</v>
      </c>
      <c r="J14" s="52">
        <f t="shared" si="0"/>
        <v>925507.8237054192</v>
      </c>
      <c r="U14" s="53" t="s">
        <v>40</v>
      </c>
      <c r="AK14" s="50" t="s">
        <v>41</v>
      </c>
      <c r="AL14" s="53" t="s">
        <v>40</v>
      </c>
    </row>
    <row r="15" spans="1:39">
      <c r="A15" s="172">
        <v>9</v>
      </c>
      <c r="B15" s="53" t="s">
        <v>42</v>
      </c>
      <c r="C15" s="52">
        <f>+C9-C10-C14</f>
        <v>179033.02289558714</v>
      </c>
      <c r="D15" s="52">
        <f t="shared" ref="D15:I15" si="6">+D9-D10-D14</f>
        <v>597505.97062434652</v>
      </c>
      <c r="E15" s="52">
        <f t="shared" si="6"/>
        <v>358503.58237460791</v>
      </c>
      <c r="F15" s="52">
        <f t="shared" si="6"/>
        <v>340739.82962383702</v>
      </c>
      <c r="G15" s="52">
        <f t="shared" si="6"/>
        <v>340739.82962383702</v>
      </c>
      <c r="H15" s="52">
        <f t="shared" si="6"/>
        <v>265558.20916637639</v>
      </c>
      <c r="I15" s="52">
        <f t="shared" si="6"/>
        <v>235275.73198598775</v>
      </c>
      <c r="J15" s="52">
        <f t="shared" si="0"/>
        <v>2317356.1762945796</v>
      </c>
      <c r="U15" s="53" t="s">
        <v>42</v>
      </c>
      <c r="AK15" s="50" t="s">
        <v>43</v>
      </c>
      <c r="AL15" s="53" t="s">
        <v>42</v>
      </c>
    </row>
    <row r="16" spans="1:39">
      <c r="A16" s="172">
        <v>10</v>
      </c>
      <c r="B16" s="50" t="s">
        <v>44</v>
      </c>
      <c r="C16" s="54">
        <f>+C15/C9</f>
        <v>0.16131891543004478</v>
      </c>
      <c r="D16" s="54">
        <f t="shared" ref="D16:I16" si="7">+D15/D9</f>
        <v>0.17412282913238059</v>
      </c>
      <c r="E16" s="54">
        <f t="shared" si="7"/>
        <v>0.17412282913238059</v>
      </c>
      <c r="F16" s="54">
        <f t="shared" si="7"/>
        <v>0.20047292997731164</v>
      </c>
      <c r="G16" s="54">
        <f t="shared" si="7"/>
        <v>0.20047292997731164</v>
      </c>
      <c r="H16" s="54">
        <f t="shared" si="7"/>
        <v>0.17412282913238067</v>
      </c>
      <c r="I16" s="54">
        <f t="shared" si="7"/>
        <v>0.17561428943592197</v>
      </c>
      <c r="J16" s="54">
        <f t="shared" ref="J16" si="8">+J15/J9</f>
        <v>0.18013643617057704</v>
      </c>
      <c r="U16" s="50" t="s">
        <v>44</v>
      </c>
      <c r="AK16" s="50" t="s">
        <v>45</v>
      </c>
      <c r="AL16" s="50" t="s">
        <v>44</v>
      </c>
    </row>
    <row r="17" spans="1:39">
      <c r="A17" s="172">
        <v>11</v>
      </c>
      <c r="B17" s="50" t="s">
        <v>46</v>
      </c>
      <c r="C17" s="52">
        <f>C6*C43+C18</f>
        <v>107678.40137142857</v>
      </c>
      <c r="D17" s="52">
        <f t="shared" ref="D17:I17" si="9">D6*D43+D18</f>
        <v>319522.2034285714</v>
      </c>
      <c r="E17" s="52">
        <f t="shared" si="9"/>
        <v>191713.32205714285</v>
      </c>
      <c r="F17" s="52">
        <f t="shared" si="9"/>
        <v>167974.00228571426</v>
      </c>
      <c r="G17" s="52">
        <f t="shared" si="9"/>
        <v>167974.00228571426</v>
      </c>
      <c r="H17" s="52">
        <f t="shared" si="9"/>
        <v>142009.86819047621</v>
      </c>
      <c r="I17" s="52">
        <f t="shared" si="9"/>
        <v>124660.78466666667</v>
      </c>
      <c r="J17" s="52">
        <f>SUM(C17:I17)</f>
        <v>1221532.5842857142</v>
      </c>
      <c r="K17" s="67"/>
      <c r="U17" s="50" t="s">
        <v>46</v>
      </c>
      <c r="AK17" s="50" t="s">
        <v>47</v>
      </c>
      <c r="AL17" s="50" t="s">
        <v>46</v>
      </c>
    </row>
    <row r="18" spans="1:39" s="44" customFormat="1">
      <c r="A18" s="172">
        <v>12</v>
      </c>
      <c r="B18" s="55" t="s">
        <v>148</v>
      </c>
      <c r="C18" s="56">
        <f>$J$18/$J$6*C6</f>
        <v>22667.108571428573</v>
      </c>
      <c r="D18" s="56">
        <f t="shared" ref="D18:I18" si="10">$J$18/$J$6*D6</f>
        <v>56667.771428571439</v>
      </c>
      <c r="E18" s="56">
        <f t="shared" si="10"/>
        <v>34000.662857142859</v>
      </c>
      <c r="F18" s="56">
        <f t="shared" si="10"/>
        <v>37778.514285714293</v>
      </c>
      <c r="G18" s="56">
        <f t="shared" si="10"/>
        <v>37778.514285714293</v>
      </c>
      <c r="H18" s="56">
        <f t="shared" si="10"/>
        <v>25185.676190476195</v>
      </c>
      <c r="I18" s="56">
        <f t="shared" si="10"/>
        <v>22037.466666666671</v>
      </c>
      <c r="J18" s="56">
        <f>项目投资!D26</f>
        <v>236115.71428571432</v>
      </c>
      <c r="K18" s="68" t="s">
        <v>149</v>
      </c>
      <c r="L18" s="68"/>
      <c r="M18" s="68"/>
    </row>
    <row r="19" spans="1:39">
      <c r="A19" s="172">
        <v>13</v>
      </c>
      <c r="B19" s="50" t="s">
        <v>48</v>
      </c>
      <c r="C19" s="52">
        <f>C6*C44</f>
        <v>3773.3471999999992</v>
      </c>
      <c r="D19" s="52">
        <f t="shared" ref="D19:I19" si="11">D6*D44</f>
        <v>11667.167999999998</v>
      </c>
      <c r="E19" s="52">
        <f t="shared" si="11"/>
        <v>7000.3007999999982</v>
      </c>
      <c r="F19" s="52">
        <f t="shared" si="11"/>
        <v>5778.9119999999994</v>
      </c>
      <c r="G19" s="52">
        <f t="shared" si="11"/>
        <v>5778.9119999999994</v>
      </c>
      <c r="H19" s="52">
        <f t="shared" si="11"/>
        <v>5185.4079999999985</v>
      </c>
      <c r="I19" s="52">
        <f t="shared" si="11"/>
        <v>4555.0819999999994</v>
      </c>
      <c r="J19" s="52">
        <f>SUM(C19:I19)</f>
        <v>43739.12999999999</v>
      </c>
      <c r="K19" s="44"/>
      <c r="U19" s="50" t="s">
        <v>48</v>
      </c>
      <c r="AK19" s="50" t="s">
        <v>49</v>
      </c>
      <c r="AL19" s="50" t="s">
        <v>48</v>
      </c>
      <c r="AM19" s="46" t="s">
        <v>22</v>
      </c>
    </row>
    <row r="20" spans="1:39">
      <c r="A20" s="172">
        <v>14</v>
      </c>
      <c r="B20" s="50" t="s">
        <v>50</v>
      </c>
      <c r="C20" s="52">
        <f>C6*C45</f>
        <v>38510.337599999999</v>
      </c>
      <c r="D20" s="52">
        <f t="shared" ref="D20:I20" si="12">D6*D45</f>
        <v>119073.74400000001</v>
      </c>
      <c r="E20" s="52">
        <f t="shared" si="12"/>
        <v>71444.246400000004</v>
      </c>
      <c r="F20" s="52">
        <f t="shared" si="12"/>
        <v>58978.895999999993</v>
      </c>
      <c r="G20" s="52">
        <f t="shared" si="12"/>
        <v>58978.895999999993</v>
      </c>
      <c r="H20" s="52">
        <f t="shared" si="12"/>
        <v>52921.663999999997</v>
      </c>
      <c r="I20" s="52">
        <f t="shared" si="12"/>
        <v>46488.631000000001</v>
      </c>
      <c r="J20" s="52">
        <f>SUM(C20:I20)</f>
        <v>446396.41499999998</v>
      </c>
      <c r="U20" s="50" t="s">
        <v>50</v>
      </c>
      <c r="AK20" s="50" t="s">
        <v>51</v>
      </c>
      <c r="AL20" s="50" t="s">
        <v>50</v>
      </c>
    </row>
    <row r="21" spans="1:39">
      <c r="A21" s="172">
        <v>15</v>
      </c>
      <c r="B21" s="50" t="s">
        <v>52</v>
      </c>
      <c r="C21" s="57">
        <f>$J$21/$J$6*C6</f>
        <v>0</v>
      </c>
      <c r="D21" s="57">
        <f t="shared" ref="D21:I21" si="13">$J$21/$J$6*D6</f>
        <v>0</v>
      </c>
      <c r="E21" s="57">
        <f t="shared" si="13"/>
        <v>0</v>
      </c>
      <c r="F21" s="57">
        <f t="shared" si="13"/>
        <v>0</v>
      </c>
      <c r="G21" s="57">
        <f t="shared" si="13"/>
        <v>0</v>
      </c>
      <c r="H21" s="57">
        <f t="shared" si="13"/>
        <v>0</v>
      </c>
      <c r="I21" s="57">
        <f t="shared" si="13"/>
        <v>0</v>
      </c>
      <c r="J21" s="52">
        <f>项目投资!D27</f>
        <v>0</v>
      </c>
      <c r="U21" s="50" t="s">
        <v>52</v>
      </c>
      <c r="AK21" s="50"/>
      <c r="AL21" s="50"/>
    </row>
    <row r="22" spans="1:39">
      <c r="A22" s="172">
        <v>16</v>
      </c>
      <c r="B22" s="50" t="s">
        <v>53</v>
      </c>
      <c r="C22" s="52">
        <f>C6*C47</f>
        <v>44392.32</v>
      </c>
      <c r="D22" s="52">
        <f t="shared" ref="D22:I22" si="14">D6*D47</f>
        <v>137260.79999999999</v>
      </c>
      <c r="E22" s="52">
        <f t="shared" si="14"/>
        <v>82356.479999999996</v>
      </c>
      <c r="F22" s="52">
        <f t="shared" si="14"/>
        <v>67987.199999999997</v>
      </c>
      <c r="G22" s="52">
        <f t="shared" si="14"/>
        <v>67987.199999999997</v>
      </c>
      <c r="H22" s="52">
        <f t="shared" si="14"/>
        <v>61004.799999999996</v>
      </c>
      <c r="I22" s="52">
        <f t="shared" si="14"/>
        <v>53589.2</v>
      </c>
      <c r="J22" s="52">
        <f>SUM(C22:I22)</f>
        <v>514578</v>
      </c>
      <c r="U22" s="50" t="s">
        <v>53</v>
      </c>
      <c r="AK22" s="50" t="s">
        <v>54</v>
      </c>
      <c r="AL22" s="50" t="s">
        <v>53</v>
      </c>
    </row>
    <row r="23" spans="1:39">
      <c r="A23" s="172">
        <v>17</v>
      </c>
      <c r="B23" s="53" t="s">
        <v>55</v>
      </c>
      <c r="C23" s="57">
        <f>+C22+C21+C20+C19+C17</f>
        <v>194354.40617142856</v>
      </c>
      <c r="D23" s="57">
        <f t="shared" ref="D23:I23" si="15">+D22+D21+D20+D19+D17</f>
        <v>587523.9154285714</v>
      </c>
      <c r="E23" s="57">
        <f t="shared" si="15"/>
        <v>352514.34925714287</v>
      </c>
      <c r="F23" s="57">
        <f t="shared" si="15"/>
        <v>300719.01028571429</v>
      </c>
      <c r="G23" s="57">
        <f t="shared" si="15"/>
        <v>300719.01028571429</v>
      </c>
      <c r="H23" s="57">
        <f t="shared" si="15"/>
        <v>261121.74019047618</v>
      </c>
      <c r="I23" s="57">
        <f t="shared" si="15"/>
        <v>229293.69766666667</v>
      </c>
      <c r="J23" s="57">
        <f t="shared" ref="J23" si="16">+J22+J21+J20+J19+J17</f>
        <v>2226246.1292857141</v>
      </c>
      <c r="U23" s="53" t="s">
        <v>55</v>
      </c>
      <c r="AK23" s="50" t="s">
        <v>56</v>
      </c>
      <c r="AL23" s="53" t="s">
        <v>55</v>
      </c>
    </row>
    <row r="24" spans="1:39">
      <c r="A24" s="172">
        <v>18</v>
      </c>
      <c r="B24" s="58" t="s">
        <v>57</v>
      </c>
      <c r="C24" s="57">
        <f>+C15-C23</f>
        <v>-15321.383275841421</v>
      </c>
      <c r="D24" s="57">
        <f t="shared" ref="D24:I24" si="17">+D15-D23</f>
        <v>9982.0551957751159</v>
      </c>
      <c r="E24" s="57">
        <f t="shared" si="17"/>
        <v>5989.2331174650462</v>
      </c>
      <c r="F24" s="57">
        <f t="shared" si="17"/>
        <v>40020.819338122732</v>
      </c>
      <c r="G24" s="57">
        <f t="shared" si="17"/>
        <v>40020.819338122732</v>
      </c>
      <c r="H24" s="57">
        <f t="shared" si="17"/>
        <v>4436.4689759002067</v>
      </c>
      <c r="I24" s="57">
        <f t="shared" si="17"/>
        <v>5982.034319321072</v>
      </c>
      <c r="J24" s="57">
        <f t="shared" ref="J24" si="18">+J15-J23</f>
        <v>91110.047008865513</v>
      </c>
      <c r="L24" s="69"/>
      <c r="U24" s="50" t="s">
        <v>57</v>
      </c>
      <c r="AK24" s="50" t="s">
        <v>58</v>
      </c>
      <c r="AL24" s="50" t="s">
        <v>57</v>
      </c>
    </row>
    <row r="25" spans="1:39">
      <c r="A25" s="172">
        <v>19</v>
      </c>
      <c r="B25" s="50" t="s">
        <v>249</v>
      </c>
      <c r="C25" s="57">
        <f>IF(C24&lt;0,0,C24*0.15)</f>
        <v>0</v>
      </c>
      <c r="D25" s="57">
        <f t="shared" ref="D25:I25" si="19">IF(D24&lt;0,0,D24*0.15)</f>
        <v>1497.3082793662672</v>
      </c>
      <c r="E25" s="57">
        <f t="shared" si="19"/>
        <v>898.38496761975694</v>
      </c>
      <c r="F25" s="57">
        <f t="shared" si="19"/>
        <v>6003.1229007184093</v>
      </c>
      <c r="G25" s="57">
        <f t="shared" si="19"/>
        <v>6003.1229007184093</v>
      </c>
      <c r="H25" s="57">
        <f t="shared" si="19"/>
        <v>665.47034638503101</v>
      </c>
      <c r="I25" s="57">
        <f t="shared" si="19"/>
        <v>897.30514789816073</v>
      </c>
      <c r="J25" s="57">
        <f>IF(J24&lt;0,0,J24*0.15)</f>
        <v>13666.507051329827</v>
      </c>
      <c r="K25" s="65"/>
      <c r="L25" s="65"/>
      <c r="M25" s="65"/>
      <c r="U25" s="50" t="s">
        <v>59</v>
      </c>
      <c r="AK25" s="50" t="s">
        <v>60</v>
      </c>
      <c r="AL25" s="50" t="s">
        <v>59</v>
      </c>
    </row>
    <row r="26" spans="1:39">
      <c r="A26" s="172">
        <v>20</v>
      </c>
      <c r="B26" s="50" t="s">
        <v>61</v>
      </c>
      <c r="C26" s="57">
        <f t="shared" ref="C26:I26" si="20">C24-C25</f>
        <v>-15321.383275841421</v>
      </c>
      <c r="D26" s="57">
        <f t="shared" si="20"/>
        <v>8484.7469164088488</v>
      </c>
      <c r="E26" s="57">
        <f t="shared" si="20"/>
        <v>5090.8481498452893</v>
      </c>
      <c r="F26" s="57">
        <f t="shared" si="20"/>
        <v>34017.696437404324</v>
      </c>
      <c r="G26" s="57">
        <f t="shared" si="20"/>
        <v>34017.696437404324</v>
      </c>
      <c r="H26" s="57">
        <f t="shared" si="20"/>
        <v>3770.9986295151757</v>
      </c>
      <c r="I26" s="57">
        <f t="shared" si="20"/>
        <v>5084.7291714229113</v>
      </c>
      <c r="J26" s="52">
        <f>J24-J25</f>
        <v>77443.539957535686</v>
      </c>
      <c r="K26" s="65"/>
      <c r="L26" s="65"/>
      <c r="M26" s="65"/>
      <c r="U26" s="50" t="s">
        <v>61</v>
      </c>
      <c r="AK26" s="50" t="s">
        <v>62</v>
      </c>
      <c r="AL26" s="50" t="s">
        <v>61</v>
      </c>
    </row>
    <row r="27" spans="1:39">
      <c r="A27" s="172">
        <v>21</v>
      </c>
      <c r="B27" s="50" t="s">
        <v>65</v>
      </c>
      <c r="C27" s="59">
        <f t="shared" ref="C27:J27" si="21">C26/C7</f>
        <v>-1.3805435963555336E-2</v>
      </c>
      <c r="D27" s="59">
        <f t="shared" ref="D27:I27" si="22">D26/D7</f>
        <v>2.4725914219963312E-3</v>
      </c>
      <c r="E27" s="59">
        <f t="shared" si="22"/>
        <v>2.4725914219963212E-3</v>
      </c>
      <c r="F27" s="59">
        <f t="shared" si="22"/>
        <v>2.0014177043563688E-2</v>
      </c>
      <c r="G27" s="59">
        <f t="shared" si="22"/>
        <v>2.0014177043563688E-2</v>
      </c>
      <c r="H27" s="59">
        <f t="shared" si="22"/>
        <v>2.4725914219964171E-3</v>
      </c>
      <c r="I27" s="59">
        <f t="shared" si="22"/>
        <v>3.79533874095744E-3</v>
      </c>
      <c r="J27" s="59">
        <f t="shared" si="21"/>
        <v>6.019965094313063E-3</v>
      </c>
      <c r="K27" s="65"/>
      <c r="L27" s="65"/>
      <c r="M27" s="65"/>
      <c r="U27" s="50" t="s">
        <v>65</v>
      </c>
      <c r="AK27" s="50" t="s">
        <v>64</v>
      </c>
      <c r="AL27" s="50" t="s">
        <v>65</v>
      </c>
    </row>
    <row r="28" spans="1:39">
      <c r="K28" s="65"/>
      <c r="L28" s="65"/>
      <c r="M28" s="65"/>
      <c r="U28" s="50"/>
    </row>
    <row r="29" spans="1:39">
      <c r="A29" s="46" t="s">
        <v>66</v>
      </c>
      <c r="J29" s="47" t="s">
        <v>151</v>
      </c>
      <c r="K29" s="65"/>
      <c r="L29" s="65"/>
      <c r="M29" s="65"/>
      <c r="U29" s="50"/>
      <c r="AK29" s="46" t="s">
        <v>66</v>
      </c>
    </row>
    <row r="30" spans="1:39">
      <c r="A30" s="50" t="s">
        <v>67</v>
      </c>
      <c r="B30" s="53" t="s">
        <v>68</v>
      </c>
      <c r="C30" s="57"/>
      <c r="D30" s="57"/>
      <c r="E30" s="57"/>
      <c r="F30" s="57"/>
      <c r="G30" s="57"/>
      <c r="H30" s="57"/>
      <c r="I30" s="57"/>
      <c r="J30" s="57"/>
      <c r="K30" s="65"/>
      <c r="L30" s="65"/>
      <c r="M30" s="65"/>
      <c r="O30" s="65"/>
      <c r="U30" s="53" t="s">
        <v>68</v>
      </c>
      <c r="AK30" s="50" t="s">
        <v>69</v>
      </c>
      <c r="AL30" s="53" t="s">
        <v>68</v>
      </c>
    </row>
    <row r="31" spans="1:39">
      <c r="A31" s="172">
        <v>1</v>
      </c>
      <c r="B31" s="55" t="s">
        <v>70</v>
      </c>
      <c r="C31" s="61">
        <f>销量!C8</f>
        <v>308.27999999999997</v>
      </c>
      <c r="D31" s="61">
        <f>销量!D8</f>
        <v>381.28</v>
      </c>
      <c r="E31" s="61">
        <f>销量!E8</f>
        <v>381.28</v>
      </c>
      <c r="F31" s="61">
        <f>销量!F8</f>
        <v>283.27999999999997</v>
      </c>
      <c r="G31" s="61">
        <f>销量!G8</f>
        <v>283.27999999999997</v>
      </c>
      <c r="H31" s="61">
        <f>销量!H8</f>
        <v>381.28</v>
      </c>
      <c r="I31" s="61">
        <f>销量!I8</f>
        <v>382.78</v>
      </c>
      <c r="J31" s="57"/>
      <c r="K31" s="65"/>
      <c r="L31" s="65"/>
      <c r="M31" s="65"/>
      <c r="O31" s="65"/>
      <c r="U31" s="50" t="s">
        <v>70</v>
      </c>
      <c r="AK31" s="50" t="s">
        <v>24</v>
      </c>
      <c r="AL31" s="50" t="s">
        <v>70</v>
      </c>
    </row>
    <row r="32" spans="1:39">
      <c r="A32" s="172">
        <v>2</v>
      </c>
      <c r="B32" s="50" t="s">
        <v>152</v>
      </c>
      <c r="C32" s="52">
        <f>C9/C6</f>
        <v>308.27999999999997</v>
      </c>
      <c r="D32" s="52">
        <f t="shared" ref="D32:I32" si="23">D9/D6</f>
        <v>381.28</v>
      </c>
      <c r="E32" s="52">
        <f t="shared" si="23"/>
        <v>381.28</v>
      </c>
      <c r="F32" s="52">
        <f t="shared" si="23"/>
        <v>283.27999999999997</v>
      </c>
      <c r="G32" s="52">
        <f t="shared" si="23"/>
        <v>283.27999999999997</v>
      </c>
      <c r="H32" s="52">
        <f t="shared" si="23"/>
        <v>381.28</v>
      </c>
      <c r="I32" s="52">
        <f t="shared" si="23"/>
        <v>382.78</v>
      </c>
      <c r="J32" s="57"/>
      <c r="K32" s="65"/>
      <c r="L32" s="65"/>
      <c r="M32" s="65"/>
      <c r="N32" s="65"/>
      <c r="O32" s="65"/>
      <c r="P32" s="65"/>
      <c r="Q32" s="65"/>
      <c r="AK32" s="50"/>
      <c r="AL32" s="50"/>
    </row>
    <row r="33" spans="1:38">
      <c r="A33" s="172">
        <v>3</v>
      </c>
      <c r="B33" s="55" t="s">
        <v>71</v>
      </c>
      <c r="C33" s="52">
        <f>材料成本!I41</f>
        <v>236.37</v>
      </c>
      <c r="D33" s="52">
        <f>材料成本!I42</f>
        <v>287.45999999999998</v>
      </c>
      <c r="E33" s="52">
        <f>材料成本!I43</f>
        <v>287.45999999999998</v>
      </c>
      <c r="F33" s="52">
        <f>材料成本!I44</f>
        <v>206.11</v>
      </c>
      <c r="G33" s="52">
        <f>材料成本!I45</f>
        <v>206.11</v>
      </c>
      <c r="H33" s="52">
        <f>材料成本!I46</f>
        <v>287.45999999999998</v>
      </c>
      <c r="I33" s="52">
        <f>材料成本!I47</f>
        <v>288.02</v>
      </c>
      <c r="J33" s="57"/>
      <c r="L33" s="65"/>
      <c r="M33" s="65"/>
      <c r="N33" s="65"/>
      <c r="O33" s="65"/>
      <c r="P33" s="65"/>
      <c r="Q33" s="65"/>
      <c r="U33" s="50" t="s">
        <v>71</v>
      </c>
      <c r="AK33" s="50" t="s">
        <v>26</v>
      </c>
      <c r="AL33" s="50" t="s">
        <v>71</v>
      </c>
    </row>
    <row r="34" spans="1:38" ht="17.25" customHeight="1">
      <c r="A34" s="172">
        <v>4</v>
      </c>
      <c r="B34" s="50" t="s">
        <v>73</v>
      </c>
      <c r="C34" s="62">
        <f>C32-C33</f>
        <v>71.909999999999968</v>
      </c>
      <c r="D34" s="62">
        <f t="shared" ref="D34:I34" si="24">D32-D33</f>
        <v>93.82</v>
      </c>
      <c r="E34" s="62">
        <f t="shared" si="24"/>
        <v>93.82</v>
      </c>
      <c r="F34" s="62">
        <f t="shared" si="24"/>
        <v>77.169999999999959</v>
      </c>
      <c r="G34" s="62">
        <f t="shared" si="24"/>
        <v>77.169999999999959</v>
      </c>
      <c r="H34" s="62">
        <f t="shared" si="24"/>
        <v>93.82</v>
      </c>
      <c r="I34" s="62">
        <f t="shared" si="24"/>
        <v>94.759999999999991</v>
      </c>
      <c r="J34" s="57"/>
      <c r="L34" s="65"/>
      <c r="M34" s="65"/>
      <c r="N34" s="65"/>
      <c r="O34" s="65"/>
      <c r="P34" s="65"/>
      <c r="Q34" s="65"/>
      <c r="U34" s="50" t="s">
        <v>73</v>
      </c>
      <c r="AK34" s="50" t="s">
        <v>72</v>
      </c>
      <c r="AL34" s="50" t="s">
        <v>73</v>
      </c>
    </row>
    <row r="35" spans="1:38">
      <c r="A35" s="50" t="s">
        <v>69</v>
      </c>
      <c r="B35" s="53" t="s">
        <v>10</v>
      </c>
      <c r="C35" s="57"/>
      <c r="D35" s="57"/>
      <c r="E35" s="57"/>
      <c r="F35" s="57"/>
      <c r="G35" s="57"/>
      <c r="H35" s="57"/>
      <c r="I35" s="57"/>
      <c r="J35" s="5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3" t="s">
        <v>10</v>
      </c>
      <c r="AK35" s="50" t="s">
        <v>75</v>
      </c>
      <c r="AL35" s="53" t="s">
        <v>10</v>
      </c>
    </row>
    <row r="36" spans="1:38">
      <c r="A36" s="172">
        <v>1</v>
      </c>
      <c r="B36" s="50" t="s">
        <v>76</v>
      </c>
      <c r="C36" s="56">
        <f>'2023年'!C36</f>
        <v>15.99718981626023</v>
      </c>
      <c r="D36" s="56">
        <f>'2023年'!D36</f>
        <v>19.78528783295608</v>
      </c>
      <c r="E36" s="56">
        <f>'2023年'!E36</f>
        <v>19.78528783295608</v>
      </c>
      <c r="F36" s="56">
        <f>'2024年'!F36</f>
        <v>14.699895974926033</v>
      </c>
      <c r="G36" s="56">
        <f>'2024年'!G36</f>
        <v>14.699895974926033</v>
      </c>
      <c r="H36" s="56">
        <f>'2024年'!H36</f>
        <v>19.78528783295608</v>
      </c>
      <c r="I36" s="56">
        <f>'2024年'!I36</f>
        <v>19.863125463436131</v>
      </c>
      <c r="J36" s="6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50" t="s">
        <v>76</v>
      </c>
      <c r="AK36" s="50" t="s">
        <v>72</v>
      </c>
      <c r="AL36" s="50" t="s">
        <v>76</v>
      </c>
    </row>
    <row r="37" spans="1:38">
      <c r="A37" s="172">
        <v>2</v>
      </c>
      <c r="B37" s="50" t="s">
        <v>77</v>
      </c>
      <c r="C37" s="56">
        <f>'2023年'!C37</f>
        <v>2.7903349349655628</v>
      </c>
      <c r="D37" s="56">
        <f>'2023年'!D37</f>
        <v>3.4510798754498175</v>
      </c>
      <c r="E37" s="56">
        <f>'2023年'!E37</f>
        <v>3.4510798754498175</v>
      </c>
      <c r="F37" s="56">
        <f>'2024年'!F37</f>
        <v>2.564052421101092</v>
      </c>
      <c r="G37" s="56">
        <f>'2024年'!G37</f>
        <v>2.564052421101092</v>
      </c>
      <c r="H37" s="56">
        <f>'2024年'!H37</f>
        <v>3.4510798754498175</v>
      </c>
      <c r="I37" s="56">
        <f>'2024年'!I37</f>
        <v>3.4646568262816859</v>
      </c>
      <c r="J37" s="61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50" t="s">
        <v>77</v>
      </c>
      <c r="AK37" s="50" t="s">
        <v>29</v>
      </c>
      <c r="AL37" s="50" t="s">
        <v>77</v>
      </c>
    </row>
    <row r="38" spans="1:38">
      <c r="A38" s="172">
        <v>3</v>
      </c>
      <c r="B38" s="50" t="s">
        <v>78</v>
      </c>
      <c r="C38" s="56">
        <f>'2023年'!C38</f>
        <v>3.3910799999999997</v>
      </c>
      <c r="D38" s="56">
        <f>'2023年'!D38</f>
        <v>4.1940799999999996</v>
      </c>
      <c r="E38" s="56">
        <f>'2023年'!E38</f>
        <v>4.1940799999999996</v>
      </c>
      <c r="F38" s="56">
        <f>'2024年'!F38</f>
        <v>3.1160799999999997</v>
      </c>
      <c r="G38" s="56">
        <f>'2024年'!G38</f>
        <v>3.1160799999999997</v>
      </c>
      <c r="H38" s="56">
        <f>'2024年'!H38</f>
        <v>4.1940799999999996</v>
      </c>
      <c r="I38" s="56">
        <f>'2024年'!I38</f>
        <v>4.2105799999999993</v>
      </c>
      <c r="J38" s="6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50" t="s">
        <v>78</v>
      </c>
      <c r="AK38" s="50" t="s">
        <v>35</v>
      </c>
      <c r="AL38" s="50" t="s">
        <v>78</v>
      </c>
    </row>
    <row r="39" spans="1:38">
      <c r="A39" s="50" t="s">
        <v>75</v>
      </c>
      <c r="B39" s="53" t="s">
        <v>80</v>
      </c>
      <c r="C39" s="57"/>
      <c r="D39" s="57"/>
      <c r="E39" s="57"/>
      <c r="F39" s="57"/>
      <c r="G39" s="57"/>
      <c r="H39" s="57"/>
      <c r="I39" s="57"/>
      <c r="J39" s="57"/>
      <c r="U39" s="53" t="s">
        <v>80</v>
      </c>
      <c r="AK39" s="50" t="s">
        <v>79</v>
      </c>
      <c r="AL39" s="53" t="s">
        <v>80</v>
      </c>
    </row>
    <row r="40" spans="1:38">
      <c r="A40" s="172">
        <v>1</v>
      </c>
      <c r="B40" s="50" t="s">
        <v>82</v>
      </c>
      <c r="C40" s="57">
        <f>C34-C36-C37-C38</f>
        <v>49.73139524877417</v>
      </c>
      <c r="D40" s="57">
        <f t="shared" ref="D40:I40" si="25">D34-D36-D37-D38</f>
        <v>66.3895522915941</v>
      </c>
      <c r="E40" s="57">
        <f t="shared" si="25"/>
        <v>66.3895522915941</v>
      </c>
      <c r="F40" s="57">
        <f t="shared" si="25"/>
        <v>56.78997160397283</v>
      </c>
      <c r="G40" s="57">
        <f t="shared" si="25"/>
        <v>56.78997160397283</v>
      </c>
      <c r="H40" s="57">
        <f t="shared" si="25"/>
        <v>66.3895522915941</v>
      </c>
      <c r="I40" s="57">
        <f t="shared" si="25"/>
        <v>67.221637710282181</v>
      </c>
      <c r="J40" s="57"/>
      <c r="U40" s="50" t="s">
        <v>82</v>
      </c>
      <c r="AK40" s="50" t="s">
        <v>24</v>
      </c>
      <c r="AL40" s="50" t="s">
        <v>82</v>
      </c>
    </row>
    <row r="41" spans="1:38">
      <c r="A41" s="172">
        <v>2</v>
      </c>
      <c r="B41" s="50" t="s">
        <v>83</v>
      </c>
      <c r="C41" s="57"/>
      <c r="D41" s="57"/>
      <c r="E41" s="57"/>
      <c r="F41" s="57"/>
      <c r="G41" s="57"/>
      <c r="H41" s="57"/>
      <c r="I41" s="57"/>
      <c r="J41" s="57"/>
      <c r="U41" s="50" t="s">
        <v>83</v>
      </c>
      <c r="AK41" s="50" t="s">
        <v>26</v>
      </c>
      <c r="AL41" s="50" t="s">
        <v>83</v>
      </c>
    </row>
    <row r="42" spans="1:38">
      <c r="A42" s="50" t="s">
        <v>79</v>
      </c>
      <c r="B42" s="53" t="s">
        <v>85</v>
      </c>
      <c r="C42" s="57"/>
      <c r="D42" s="57"/>
      <c r="E42" s="57"/>
      <c r="F42" s="57"/>
      <c r="G42" s="57"/>
      <c r="H42" s="57"/>
      <c r="I42" s="57"/>
      <c r="J42" s="57"/>
      <c r="U42" s="53" t="s">
        <v>85</v>
      </c>
      <c r="AK42" s="50" t="s">
        <v>84</v>
      </c>
      <c r="AL42" s="53" t="s">
        <v>85</v>
      </c>
    </row>
    <row r="43" spans="1:38">
      <c r="A43" s="172">
        <v>1</v>
      </c>
      <c r="B43" s="58" t="s">
        <v>86</v>
      </c>
      <c r="C43" s="56">
        <f>'2023年'!C43</f>
        <v>23.614248</v>
      </c>
      <c r="D43" s="56">
        <f>'2023年'!D43</f>
        <v>29.206047999999999</v>
      </c>
      <c r="E43" s="56">
        <f>'2023年'!E43</f>
        <v>29.206047999999999</v>
      </c>
      <c r="F43" s="56">
        <f>'2024年'!F43</f>
        <v>21.699247999999997</v>
      </c>
      <c r="G43" s="56">
        <f>'2024年'!G43</f>
        <v>21.699247999999997</v>
      </c>
      <c r="H43" s="56">
        <f>'2024年'!H43</f>
        <v>29.206047999999999</v>
      </c>
      <c r="I43" s="56">
        <f>'2024年'!I43</f>
        <v>29.320947999999998</v>
      </c>
      <c r="J43" s="57"/>
      <c r="U43" s="50" t="s">
        <v>86</v>
      </c>
      <c r="AK43" s="50" t="s">
        <v>24</v>
      </c>
      <c r="AL43" s="50" t="s">
        <v>86</v>
      </c>
    </row>
    <row r="44" spans="1:38">
      <c r="A44" s="172">
        <v>2</v>
      </c>
      <c r="B44" s="58" t="s">
        <v>87</v>
      </c>
      <c r="C44" s="56">
        <f>'2023年'!C44</f>
        <v>1.0481519999999998</v>
      </c>
      <c r="D44" s="56">
        <f>'2023年'!D44</f>
        <v>1.2963519999999997</v>
      </c>
      <c r="E44" s="56">
        <f>'2023年'!E44</f>
        <v>1.2963519999999997</v>
      </c>
      <c r="F44" s="56">
        <f>'2024年'!F44</f>
        <v>0.9631519999999999</v>
      </c>
      <c r="G44" s="56">
        <f>'2024年'!G44</f>
        <v>0.9631519999999999</v>
      </c>
      <c r="H44" s="56">
        <f>'2024年'!H44</f>
        <v>1.2963519999999997</v>
      </c>
      <c r="I44" s="56">
        <f>'2024年'!I44</f>
        <v>1.3014519999999998</v>
      </c>
      <c r="J44" s="57"/>
      <c r="U44" s="50" t="s">
        <v>87</v>
      </c>
      <c r="AK44" s="50" t="s">
        <v>26</v>
      </c>
      <c r="AL44" s="50" t="s">
        <v>87</v>
      </c>
    </row>
    <row r="45" spans="1:38">
      <c r="A45" s="172">
        <v>3</v>
      </c>
      <c r="B45" s="58" t="s">
        <v>88</v>
      </c>
      <c r="C45" s="56">
        <f>'2023年'!C45</f>
        <v>10.697315999999999</v>
      </c>
      <c r="D45" s="56">
        <f>'2023年'!D45</f>
        <v>13.230416</v>
      </c>
      <c r="E45" s="56">
        <f>'2023年'!E45</f>
        <v>13.230416</v>
      </c>
      <c r="F45" s="56">
        <f>'2024年'!F45</f>
        <v>9.8298159999999992</v>
      </c>
      <c r="G45" s="56">
        <f>'2024年'!G45</f>
        <v>9.8298159999999992</v>
      </c>
      <c r="H45" s="56">
        <f>'2024年'!H45</f>
        <v>13.230416</v>
      </c>
      <c r="I45" s="56">
        <f>'2024年'!I45</f>
        <v>13.282465999999999</v>
      </c>
      <c r="J45" s="57"/>
      <c r="U45" s="50" t="s">
        <v>88</v>
      </c>
      <c r="AK45" s="50" t="s">
        <v>72</v>
      </c>
      <c r="AL45" s="50" t="s">
        <v>88</v>
      </c>
    </row>
    <row r="46" spans="1:38" s="45" customFormat="1">
      <c r="A46" s="172">
        <v>4</v>
      </c>
      <c r="B46" s="58" t="s">
        <v>89</v>
      </c>
      <c r="C46" s="63">
        <f>C21/C6</f>
        <v>0</v>
      </c>
      <c r="D46" s="63">
        <f t="shared" ref="D46:I46" si="26">D21/D6</f>
        <v>0</v>
      </c>
      <c r="E46" s="63">
        <f t="shared" si="26"/>
        <v>0</v>
      </c>
      <c r="F46" s="63">
        <f t="shared" si="26"/>
        <v>0</v>
      </c>
      <c r="G46" s="63">
        <f t="shared" si="26"/>
        <v>0</v>
      </c>
      <c r="H46" s="63">
        <f t="shared" si="26"/>
        <v>0</v>
      </c>
      <c r="I46" s="63">
        <f t="shared" si="26"/>
        <v>0</v>
      </c>
      <c r="J46" s="63"/>
      <c r="U46" s="58" t="s">
        <v>91</v>
      </c>
      <c r="AK46" s="58" t="s">
        <v>32</v>
      </c>
      <c r="AL46" s="58" t="s">
        <v>91</v>
      </c>
    </row>
    <row r="47" spans="1:38" s="45" customFormat="1">
      <c r="A47" s="172">
        <v>5</v>
      </c>
      <c r="B47" s="58" t="s">
        <v>91</v>
      </c>
      <c r="C47" s="63">
        <f>'2023年'!C47</f>
        <v>12.331199999999999</v>
      </c>
      <c r="D47" s="63">
        <f>'2023年'!D47</f>
        <v>15.251199999999999</v>
      </c>
      <c r="E47" s="63">
        <f>'2023年'!E47</f>
        <v>15.251199999999999</v>
      </c>
      <c r="F47" s="63">
        <f>'2024年'!F47</f>
        <v>11.331199999999999</v>
      </c>
      <c r="G47" s="63">
        <f>'2024年'!G47</f>
        <v>11.331199999999999</v>
      </c>
      <c r="H47" s="63">
        <f>'2024年'!H47</f>
        <v>15.251199999999999</v>
      </c>
      <c r="I47" s="63">
        <f>'2024年'!I47</f>
        <v>15.311199999999999</v>
      </c>
      <c r="J47" s="63"/>
      <c r="U47" s="58" t="s">
        <v>91</v>
      </c>
      <c r="AK47" s="58" t="s">
        <v>32</v>
      </c>
      <c r="AL47" s="58" t="s">
        <v>91</v>
      </c>
    </row>
    <row r="48" spans="1:38">
      <c r="A48" s="50" t="s">
        <v>84</v>
      </c>
      <c r="B48" s="53" t="s">
        <v>102</v>
      </c>
      <c r="C48" s="57">
        <f>C40-C43-C44-C45-C47-C46</f>
        <v>2.0404792487741741</v>
      </c>
      <c r="D48" s="57">
        <f t="shared" ref="D48:I48" si="27">D40-D43-D44-D45-D47-D46</f>
        <v>7.4055362915941085</v>
      </c>
      <c r="E48" s="57">
        <f t="shared" si="27"/>
        <v>7.4055362915941085</v>
      </c>
      <c r="F48" s="57">
        <f t="shared" si="27"/>
        <v>12.966555603972832</v>
      </c>
      <c r="G48" s="57">
        <f t="shared" si="27"/>
        <v>12.966555603972832</v>
      </c>
      <c r="H48" s="57">
        <f t="shared" si="27"/>
        <v>7.4055362915941085</v>
      </c>
      <c r="I48" s="57">
        <f t="shared" si="27"/>
        <v>8.0055717102821831</v>
      </c>
      <c r="J48" s="57"/>
      <c r="U48" s="53" t="s">
        <v>102</v>
      </c>
      <c r="AK48" s="50" t="s">
        <v>101</v>
      </c>
      <c r="AL48" s="53" t="s">
        <v>102</v>
      </c>
    </row>
    <row r="51" spans="2:15">
      <c r="C51" s="64"/>
      <c r="D51" s="64"/>
      <c r="E51" s="64"/>
      <c r="F51" s="64"/>
      <c r="G51" s="64"/>
      <c r="H51" s="64"/>
      <c r="I51" s="64"/>
    </row>
    <row r="54" spans="2:15">
      <c r="B54" s="65"/>
      <c r="C54" s="66"/>
      <c r="D54" s="66"/>
      <c r="E54" s="66"/>
      <c r="F54" s="66"/>
      <c r="G54" s="66"/>
      <c r="H54" s="66"/>
      <c r="I54" s="66"/>
      <c r="J54" s="66"/>
      <c r="K54" s="65"/>
      <c r="L54" s="65"/>
      <c r="M54" s="65"/>
      <c r="N54" s="65"/>
      <c r="O54" s="65"/>
    </row>
    <row r="55" spans="2:15">
      <c r="B55" s="65"/>
      <c r="C55" s="66"/>
      <c r="D55" s="66"/>
      <c r="E55" s="66"/>
      <c r="F55" s="66"/>
      <c r="G55" s="66"/>
      <c r="H55" s="66"/>
      <c r="I55" s="66"/>
      <c r="J55" s="66"/>
      <c r="K55" s="65"/>
      <c r="L55" s="65"/>
      <c r="M55" s="65"/>
      <c r="N55" s="65"/>
      <c r="O55" s="65"/>
    </row>
    <row r="56" spans="2:15">
      <c r="B56" s="65"/>
      <c r="C56" s="66"/>
      <c r="D56" s="66"/>
      <c r="E56" s="66"/>
      <c r="F56" s="66"/>
      <c r="G56" s="66"/>
      <c r="H56" s="66"/>
      <c r="I56" s="66"/>
      <c r="J56" s="66"/>
      <c r="K56" s="65"/>
      <c r="L56" s="65"/>
      <c r="M56" s="65"/>
      <c r="N56" s="65"/>
      <c r="O56" s="65"/>
    </row>
    <row r="57" spans="2:15">
      <c r="B57" s="65"/>
      <c r="C57" s="66"/>
      <c r="D57" s="66"/>
      <c r="E57" s="66"/>
      <c r="F57" s="66"/>
      <c r="G57" s="66"/>
      <c r="H57" s="66"/>
      <c r="I57" s="66"/>
      <c r="J57" s="66"/>
      <c r="K57" s="65"/>
      <c r="L57" s="65"/>
      <c r="M57" s="65"/>
      <c r="N57" s="65"/>
      <c r="O57" s="65"/>
    </row>
    <row r="58" spans="2:15">
      <c r="B58" s="65"/>
      <c r="C58" s="66"/>
      <c r="D58" s="66"/>
      <c r="E58" s="66"/>
      <c r="F58" s="66"/>
      <c r="G58" s="66"/>
      <c r="H58" s="66"/>
      <c r="I58" s="66"/>
      <c r="J58" s="66"/>
      <c r="K58" s="65"/>
      <c r="L58" s="65"/>
      <c r="M58" s="65"/>
      <c r="N58" s="65"/>
      <c r="O58" s="65"/>
    </row>
    <row r="59" spans="2:15">
      <c r="B59" s="65"/>
      <c r="C59" s="66"/>
      <c r="D59" s="66"/>
      <c r="E59" s="66"/>
      <c r="F59" s="66"/>
      <c r="G59" s="66"/>
      <c r="H59" s="66"/>
      <c r="I59" s="66"/>
      <c r="J59" s="66"/>
      <c r="K59" s="65"/>
      <c r="L59" s="65"/>
      <c r="M59" s="65"/>
      <c r="N59" s="65"/>
      <c r="O59" s="65"/>
    </row>
    <row r="60" spans="2:15">
      <c r="B60" s="65"/>
      <c r="C60" s="66"/>
      <c r="D60" s="66"/>
      <c r="E60" s="66"/>
      <c r="F60" s="66"/>
      <c r="G60" s="66"/>
      <c r="H60" s="66"/>
      <c r="I60" s="66"/>
      <c r="J60" s="66"/>
      <c r="K60" s="65"/>
      <c r="L60" s="65"/>
      <c r="M60" s="65"/>
      <c r="N60" s="65"/>
      <c r="O60" s="65"/>
    </row>
    <row r="61" spans="2:15">
      <c r="B61" s="65"/>
      <c r="C61" s="66"/>
      <c r="D61" s="66"/>
      <c r="E61" s="66"/>
      <c r="F61" s="66"/>
      <c r="G61" s="66"/>
      <c r="H61" s="66"/>
      <c r="I61" s="66"/>
      <c r="J61" s="66"/>
      <c r="K61" s="65"/>
      <c r="L61" s="65"/>
      <c r="M61" s="65"/>
      <c r="N61" s="65"/>
      <c r="O61" s="65"/>
    </row>
    <row r="62" spans="2:15">
      <c r="B62" s="65"/>
      <c r="C62" s="66"/>
      <c r="D62" s="66"/>
      <c r="E62" s="66"/>
      <c r="F62" s="66"/>
      <c r="G62" s="66"/>
      <c r="H62" s="66"/>
      <c r="I62" s="66"/>
      <c r="J62" s="66"/>
      <c r="K62" s="65"/>
      <c r="L62" s="65"/>
      <c r="M62" s="65"/>
      <c r="N62" s="65"/>
      <c r="O62" s="65"/>
    </row>
    <row r="63" spans="2:15">
      <c r="B63" s="65"/>
      <c r="C63" s="66"/>
      <c r="D63" s="66"/>
      <c r="E63" s="66"/>
      <c r="F63" s="66"/>
      <c r="G63" s="66"/>
      <c r="H63" s="66"/>
      <c r="I63" s="66"/>
      <c r="J63" s="66"/>
      <c r="K63" s="65"/>
      <c r="L63" s="65"/>
      <c r="M63" s="65"/>
      <c r="N63" s="65"/>
      <c r="O63" s="65"/>
    </row>
    <row r="64" spans="2:15">
      <c r="B64" s="65"/>
      <c r="C64" s="66"/>
      <c r="D64" s="66"/>
      <c r="E64" s="66"/>
      <c r="F64" s="66"/>
      <c r="G64" s="66"/>
      <c r="H64" s="66"/>
      <c r="I64" s="66"/>
      <c r="J64" s="66"/>
      <c r="K64" s="65"/>
      <c r="L64" s="65"/>
      <c r="M64" s="65"/>
      <c r="N64" s="65"/>
      <c r="O64" s="65"/>
    </row>
    <row r="65" spans="2:15">
      <c r="B65" s="65"/>
      <c r="C65" s="66"/>
      <c r="D65" s="66"/>
      <c r="E65" s="66"/>
      <c r="F65" s="66"/>
      <c r="G65" s="66"/>
      <c r="H65" s="66"/>
      <c r="I65" s="66"/>
      <c r="J65" s="66"/>
      <c r="K65" s="65"/>
      <c r="L65" s="65"/>
      <c r="M65" s="65"/>
      <c r="N65" s="65"/>
      <c r="O65" s="65"/>
    </row>
    <row r="66" spans="2:15">
      <c r="B66" s="65"/>
      <c r="C66" s="66"/>
      <c r="D66" s="66"/>
      <c r="E66" s="66"/>
      <c r="F66" s="66"/>
      <c r="G66" s="66"/>
      <c r="H66" s="66"/>
      <c r="I66" s="66"/>
      <c r="J66" s="66"/>
      <c r="K66" s="65"/>
      <c r="L66" s="65"/>
      <c r="M66" s="65"/>
      <c r="N66" s="65"/>
      <c r="O66" s="65"/>
    </row>
    <row r="67" spans="2:15">
      <c r="B67" s="65"/>
      <c r="C67" s="66"/>
      <c r="D67" s="66"/>
      <c r="E67" s="66"/>
      <c r="F67" s="66"/>
      <c r="G67" s="66"/>
      <c r="H67" s="66"/>
      <c r="I67" s="66"/>
      <c r="J67" s="66"/>
      <c r="K67" s="65"/>
    </row>
    <row r="68" spans="2:15">
      <c r="B68" s="65"/>
      <c r="C68" s="66"/>
      <c r="D68" s="66"/>
      <c r="E68" s="66"/>
      <c r="F68" s="66"/>
      <c r="G68" s="66"/>
      <c r="H68" s="66"/>
      <c r="I68" s="66"/>
      <c r="J68" s="66"/>
      <c r="K68" s="65"/>
    </row>
    <row r="69" spans="2:15">
      <c r="B69" s="65"/>
      <c r="C69" s="66"/>
      <c r="D69" s="66"/>
      <c r="E69" s="66"/>
      <c r="F69" s="66"/>
      <c r="G69" s="66"/>
      <c r="H69" s="66"/>
      <c r="I69" s="66"/>
      <c r="J69" s="66"/>
      <c r="K69" s="65"/>
    </row>
    <row r="70" spans="2:15">
      <c r="B70" s="65"/>
      <c r="C70" s="66"/>
      <c r="D70" s="66"/>
      <c r="E70" s="66"/>
      <c r="F70" s="66"/>
      <c r="G70" s="66"/>
      <c r="H70" s="66"/>
      <c r="I70" s="66"/>
      <c r="J70" s="66"/>
      <c r="K70" s="65"/>
    </row>
    <row r="71" spans="2:15">
      <c r="B71" s="65"/>
      <c r="C71" s="66"/>
      <c r="D71" s="66"/>
      <c r="E71" s="66"/>
      <c r="F71" s="66"/>
      <c r="G71" s="66"/>
      <c r="H71" s="66"/>
      <c r="I71" s="66"/>
      <c r="J71" s="66"/>
      <c r="K71" s="65"/>
    </row>
    <row r="72" spans="2:15">
      <c r="B72" s="65"/>
      <c r="C72" s="66"/>
      <c r="D72" s="66"/>
      <c r="E72" s="66"/>
      <c r="F72" s="66"/>
      <c r="G72" s="66"/>
      <c r="H72" s="66"/>
      <c r="I72" s="66"/>
      <c r="J72" s="66"/>
      <c r="K72" s="65"/>
    </row>
    <row r="73" spans="2:15">
      <c r="B73" s="65"/>
      <c r="C73" s="66"/>
      <c r="D73" s="66"/>
      <c r="E73" s="66"/>
      <c r="F73" s="66"/>
      <c r="G73" s="66"/>
      <c r="H73" s="66"/>
      <c r="I73" s="66"/>
      <c r="J73" s="66"/>
      <c r="K73" s="65"/>
    </row>
    <row r="74" spans="2:15">
      <c r="B74" s="65"/>
      <c r="C74" s="66"/>
      <c r="D74" s="66"/>
      <c r="E74" s="66"/>
      <c r="F74" s="66"/>
      <c r="G74" s="66"/>
      <c r="H74" s="66"/>
      <c r="I74" s="66"/>
      <c r="J74" s="66"/>
      <c r="K74" s="65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workbookViewId="0">
      <pane xSplit="2" ySplit="7" topLeftCell="C17" activePane="bottomRight" state="frozen"/>
      <selection pane="topRight"/>
      <selection pane="bottomLeft"/>
      <selection pane="bottomRight" activeCell="J27" sqref="J27"/>
    </sheetView>
  </sheetViews>
  <sheetFormatPr defaultColWidth="9" defaultRowHeight="16.5"/>
  <cols>
    <col min="1" max="1" width="5.125" style="46" customWidth="1"/>
    <col min="2" max="2" width="17.5" style="46" customWidth="1"/>
    <col min="3" max="9" width="13.25" style="47" customWidth="1"/>
    <col min="10" max="10" width="18.75" style="47" customWidth="1"/>
    <col min="11" max="11" width="12.375" style="46" customWidth="1"/>
    <col min="12" max="12" width="10.125" style="46" customWidth="1"/>
    <col min="13" max="19" width="9" style="46" customWidth="1"/>
    <col min="20" max="36" width="9" style="46"/>
    <col min="37" max="37" width="4.375" style="46" customWidth="1"/>
    <col min="38" max="38" width="13.875" style="46" customWidth="1"/>
    <col min="39" max="16384" width="9" style="46"/>
  </cols>
  <sheetData>
    <row r="1" spans="1:39">
      <c r="A1" s="266" t="s">
        <v>142</v>
      </c>
      <c r="B1" s="266"/>
      <c r="C1" s="270" t="s">
        <v>244</v>
      </c>
      <c r="D1" s="271"/>
      <c r="E1" s="271"/>
      <c r="F1" s="271"/>
      <c r="G1" s="271"/>
      <c r="H1" s="271"/>
      <c r="I1" s="271"/>
      <c r="J1" s="272"/>
    </row>
    <row r="2" spans="1:39">
      <c r="A2" s="266" t="s">
        <v>143</v>
      </c>
      <c r="B2" s="266"/>
      <c r="C2" s="273" t="str">
        <f>'2023年'!C2:F2</f>
        <v>北汽</v>
      </c>
      <c r="D2" s="273"/>
      <c r="E2" s="273"/>
      <c r="F2" s="273"/>
      <c r="G2" s="273"/>
      <c r="H2" s="273"/>
      <c r="I2" s="273"/>
      <c r="J2" s="273"/>
    </row>
    <row r="3" spans="1:39">
      <c r="A3" s="266" t="s">
        <v>144</v>
      </c>
      <c r="B3" s="266"/>
      <c r="C3" s="154">
        <f>销量!C5</f>
        <v>0</v>
      </c>
      <c r="D3" s="223"/>
      <c r="E3" s="223"/>
      <c r="F3" s="223"/>
      <c r="G3" s="223"/>
      <c r="H3" s="223"/>
      <c r="I3" s="223"/>
      <c r="J3" s="267" t="s">
        <v>20</v>
      </c>
    </row>
    <row r="4" spans="1:39" ht="28.5">
      <c r="A4" s="266" t="s">
        <v>145</v>
      </c>
      <c r="B4" s="266"/>
      <c r="C4" s="154" t="str">
        <f>销量!C6</f>
        <v>北汽B41V-C系列-LV1</v>
      </c>
      <c r="D4" s="154" t="str">
        <f>销量!D6</f>
        <v>B41V-C系列-LV2-LV3-P系列-LV3-左</v>
      </c>
      <c r="E4" s="154" t="str">
        <f>销量!E6</f>
        <v>B41V-C系列-LV2-LV3-P系列-LV3-左</v>
      </c>
      <c r="F4" s="154" t="str">
        <f>销量!F6</f>
        <v xml:space="preserve">B41V-P系列-LV1-LV2-左 </v>
      </c>
      <c r="G4" s="154" t="str">
        <f>销量!G6</f>
        <v xml:space="preserve">B41V-P系列-LV1-LV2-左 </v>
      </c>
      <c r="H4" s="154" t="str">
        <f>销量!H6</f>
        <v>B41V-C系列-LV2-LV3-P系列-LV3-左</v>
      </c>
      <c r="I4" s="154" t="str">
        <f>销量!I6</f>
        <v>B41V-混动-左</v>
      </c>
      <c r="J4" s="268"/>
    </row>
    <row r="5" spans="1:39">
      <c r="A5" s="266" t="s">
        <v>146</v>
      </c>
      <c r="B5" s="266"/>
      <c r="C5" s="49"/>
      <c r="D5" s="216"/>
      <c r="E5" s="216"/>
      <c r="F5" s="216"/>
      <c r="G5" s="216"/>
      <c r="H5" s="216"/>
      <c r="I5" s="216"/>
      <c r="J5" s="269"/>
      <c r="AM5" s="46" t="s">
        <v>21</v>
      </c>
    </row>
    <row r="6" spans="1:39" ht="17.25">
      <c r="A6" s="50" t="s">
        <v>19</v>
      </c>
      <c r="B6" s="51" t="s">
        <v>147</v>
      </c>
      <c r="C6" s="21">
        <f>销量!C14</f>
        <v>3000</v>
      </c>
      <c r="D6" s="21">
        <f>销量!D14</f>
        <v>7500</v>
      </c>
      <c r="E6" s="21">
        <f>销量!E14</f>
        <v>4500</v>
      </c>
      <c r="F6" s="21">
        <f>销量!F14</f>
        <v>4875</v>
      </c>
      <c r="G6" s="21">
        <f>销量!G14</f>
        <v>4875</v>
      </c>
      <c r="H6" s="21">
        <f>销量!H14</f>
        <v>3250</v>
      </c>
      <c r="I6" s="21">
        <f>销量!I14</f>
        <v>2000</v>
      </c>
      <c r="J6" s="52">
        <f>SUM(C6:I6)</f>
        <v>30000</v>
      </c>
      <c r="U6" s="51" t="s">
        <v>3</v>
      </c>
      <c r="AK6" s="50" t="s">
        <v>19</v>
      </c>
      <c r="AL6" s="51" t="s">
        <v>3</v>
      </c>
      <c r="AM6" s="46" t="s">
        <v>22</v>
      </c>
    </row>
    <row r="7" spans="1:39">
      <c r="A7" s="153">
        <v>1</v>
      </c>
      <c r="B7" s="51" t="s">
        <v>23</v>
      </c>
      <c r="C7" s="52">
        <f>C6*销量!C8</f>
        <v>924839.99999999988</v>
      </c>
      <c r="D7" s="52">
        <f>D6*销量!D8</f>
        <v>2859600</v>
      </c>
      <c r="E7" s="52">
        <f>E6*销量!E8</f>
        <v>1715759.9999999998</v>
      </c>
      <c r="F7" s="52">
        <f>F6*销量!F8</f>
        <v>1380989.9999999998</v>
      </c>
      <c r="G7" s="52">
        <f>G6*销量!G8</f>
        <v>1380989.9999999998</v>
      </c>
      <c r="H7" s="52">
        <f>H6*销量!H8</f>
        <v>1239160</v>
      </c>
      <c r="I7" s="52">
        <f>I6*销量!I8</f>
        <v>765560</v>
      </c>
      <c r="J7" s="52">
        <f>SUM(C7:I7)</f>
        <v>10266900</v>
      </c>
      <c r="K7" s="47"/>
      <c r="U7" s="51" t="s">
        <v>23</v>
      </c>
      <c r="AK7" s="50" t="s">
        <v>24</v>
      </c>
      <c r="AL7" s="51" t="s">
        <v>23</v>
      </c>
      <c r="AM7" s="46" t="s">
        <v>22</v>
      </c>
    </row>
    <row r="8" spans="1:39">
      <c r="A8" s="153">
        <v>2</v>
      </c>
      <c r="B8" s="153" t="s">
        <v>25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>I7*(1-销量!$M$10)</f>
        <v>0</v>
      </c>
      <c r="J8" s="52">
        <f t="shared" ref="J8:J15" si="0">SUM(C8:I8)</f>
        <v>0</v>
      </c>
      <c r="K8" s="67"/>
      <c r="U8" s="153" t="s">
        <v>27</v>
      </c>
      <c r="AK8" s="50" t="s">
        <v>26</v>
      </c>
      <c r="AL8" s="153" t="s">
        <v>27</v>
      </c>
      <c r="AM8" s="46" t="s">
        <v>22</v>
      </c>
    </row>
    <row r="9" spans="1:39">
      <c r="A9" s="153">
        <v>3</v>
      </c>
      <c r="B9" s="51" t="s">
        <v>28</v>
      </c>
      <c r="C9" s="52">
        <f>+C7-C8</f>
        <v>924839.99999999988</v>
      </c>
      <c r="D9" s="52">
        <f t="shared" ref="D9:I9" si="1">+D7-D8</f>
        <v>2859600</v>
      </c>
      <c r="E9" s="52">
        <f t="shared" si="1"/>
        <v>1715759.9999999998</v>
      </c>
      <c r="F9" s="52">
        <f t="shared" si="1"/>
        <v>1380989.9999999998</v>
      </c>
      <c r="G9" s="52">
        <f t="shared" si="1"/>
        <v>1380989.9999999998</v>
      </c>
      <c r="H9" s="52">
        <f t="shared" si="1"/>
        <v>1239160</v>
      </c>
      <c r="I9" s="52">
        <f t="shared" si="1"/>
        <v>765560</v>
      </c>
      <c r="J9" s="52">
        <f t="shared" si="0"/>
        <v>10266900</v>
      </c>
      <c r="U9" s="51" t="s">
        <v>28</v>
      </c>
      <c r="AK9" s="50" t="s">
        <v>29</v>
      </c>
      <c r="AL9" s="51" t="s">
        <v>28</v>
      </c>
      <c r="AM9" s="46" t="s">
        <v>30</v>
      </c>
    </row>
    <row r="10" spans="1:39">
      <c r="A10" s="153">
        <v>4</v>
      </c>
      <c r="B10" s="50" t="s">
        <v>31</v>
      </c>
      <c r="C10" s="52">
        <f>C6*材料成本!J41</f>
        <v>709110</v>
      </c>
      <c r="D10" s="52">
        <f>D6*材料成本!J42</f>
        <v>2155950</v>
      </c>
      <c r="E10" s="52">
        <f>E6*材料成本!J43</f>
        <v>1293570</v>
      </c>
      <c r="F10" s="52">
        <f>F6*材料成本!J44</f>
        <v>1004786.2500000001</v>
      </c>
      <c r="G10" s="52">
        <f>G6*材料成本!J45</f>
        <v>1004786.2500000001</v>
      </c>
      <c r="H10" s="52">
        <f>H6*材料成本!J46</f>
        <v>934244.99999999988</v>
      </c>
      <c r="I10" s="52">
        <f>I6*材料成本!J47</f>
        <v>576040</v>
      </c>
      <c r="J10" s="52">
        <f t="shared" si="0"/>
        <v>7678487.5</v>
      </c>
      <c r="U10" s="50" t="s">
        <v>31</v>
      </c>
      <c r="AK10" s="50" t="s">
        <v>32</v>
      </c>
      <c r="AL10" s="50" t="s">
        <v>31</v>
      </c>
      <c r="AM10" s="46" t="s">
        <v>33</v>
      </c>
    </row>
    <row r="11" spans="1:39">
      <c r="A11" s="153">
        <v>5</v>
      </c>
      <c r="B11" s="50" t="s">
        <v>34</v>
      </c>
      <c r="C11" s="52">
        <f>+C6*C36</f>
        <v>47991.56944878069</v>
      </c>
      <c r="D11" s="52">
        <f t="shared" ref="D11:I11" si="2">+D6*D36</f>
        <v>148389.65874717059</v>
      </c>
      <c r="E11" s="52">
        <f t="shared" si="2"/>
        <v>89033.795248302355</v>
      </c>
      <c r="F11" s="52">
        <f t="shared" si="2"/>
        <v>71661.992877764409</v>
      </c>
      <c r="G11" s="52">
        <f t="shared" si="2"/>
        <v>71661.992877764409</v>
      </c>
      <c r="H11" s="52">
        <f t="shared" si="2"/>
        <v>64302.185457107262</v>
      </c>
      <c r="I11" s="52">
        <f t="shared" si="2"/>
        <v>39726.250926872264</v>
      </c>
      <c r="J11" s="52">
        <f t="shared" si="0"/>
        <v>532767.4455837619</v>
      </c>
      <c r="U11" s="50" t="s">
        <v>34</v>
      </c>
      <c r="AK11" s="50" t="s">
        <v>35</v>
      </c>
      <c r="AL11" s="50" t="s">
        <v>34</v>
      </c>
    </row>
    <row r="12" spans="1:39">
      <c r="A12" s="153">
        <v>6</v>
      </c>
      <c r="B12" s="50" t="s">
        <v>36</v>
      </c>
      <c r="C12" s="52">
        <f>+C6*C37</f>
        <v>8371.0048048966892</v>
      </c>
      <c r="D12" s="52">
        <f t="shared" ref="D12:I12" si="3">+D6*D37</f>
        <v>25883.09906587363</v>
      </c>
      <c r="E12" s="52">
        <f t="shared" si="3"/>
        <v>15529.859439524178</v>
      </c>
      <c r="F12" s="52">
        <f t="shared" si="3"/>
        <v>12499.755552867824</v>
      </c>
      <c r="G12" s="52">
        <f t="shared" si="3"/>
        <v>12499.755552867824</v>
      </c>
      <c r="H12" s="52">
        <f t="shared" si="3"/>
        <v>11216.009595211906</v>
      </c>
      <c r="I12" s="52">
        <f t="shared" si="3"/>
        <v>6929.3136525633718</v>
      </c>
      <c r="J12" s="52">
        <f t="shared" si="0"/>
        <v>92928.79766380541</v>
      </c>
      <c r="U12" s="50" t="s">
        <v>36</v>
      </c>
      <c r="AK12" s="50" t="s">
        <v>37</v>
      </c>
      <c r="AL12" s="50" t="s">
        <v>36</v>
      </c>
    </row>
    <row r="13" spans="1:39">
      <c r="A13" s="153">
        <v>7</v>
      </c>
      <c r="B13" s="50" t="s">
        <v>38</v>
      </c>
      <c r="C13" s="52">
        <f>+C6*C38</f>
        <v>10173.24</v>
      </c>
      <c r="D13" s="52">
        <f t="shared" ref="D13:I13" si="4">+D6*D38</f>
        <v>31455.599999999999</v>
      </c>
      <c r="E13" s="52">
        <f t="shared" si="4"/>
        <v>18873.359999999997</v>
      </c>
      <c r="F13" s="52">
        <f t="shared" si="4"/>
        <v>15190.89</v>
      </c>
      <c r="G13" s="52">
        <f t="shared" si="4"/>
        <v>15190.89</v>
      </c>
      <c r="H13" s="52">
        <f t="shared" si="4"/>
        <v>13630.759999999998</v>
      </c>
      <c r="I13" s="52">
        <f t="shared" si="4"/>
        <v>8421.159999999998</v>
      </c>
      <c r="J13" s="52">
        <f t="shared" si="0"/>
        <v>112935.9</v>
      </c>
      <c r="U13" s="50" t="s">
        <v>38</v>
      </c>
      <c r="AK13" s="50" t="s">
        <v>39</v>
      </c>
      <c r="AL13" s="50" t="s">
        <v>38</v>
      </c>
      <c r="AM13" s="46" t="s">
        <v>22</v>
      </c>
    </row>
    <row r="14" spans="1:39">
      <c r="A14" s="153">
        <v>8</v>
      </c>
      <c r="B14" s="53" t="s">
        <v>40</v>
      </c>
      <c r="C14" s="52">
        <f>SUM(C11:C13)</f>
        <v>66535.814253677381</v>
      </c>
      <c r="D14" s="52">
        <f t="shared" ref="D14:I14" si="5">SUM(D11:D13)</f>
        <v>205728.35781304422</v>
      </c>
      <c r="E14" s="52">
        <f t="shared" si="5"/>
        <v>123437.01468782654</v>
      </c>
      <c r="F14" s="52">
        <f t="shared" si="5"/>
        <v>99352.638430632229</v>
      </c>
      <c r="G14" s="52">
        <f t="shared" si="5"/>
        <v>99352.638430632229</v>
      </c>
      <c r="H14" s="52">
        <f t="shared" si="5"/>
        <v>89148.955052319157</v>
      </c>
      <c r="I14" s="52">
        <f t="shared" si="5"/>
        <v>55076.724579435635</v>
      </c>
      <c r="J14" s="52">
        <f t="shared" si="0"/>
        <v>738632.14324756747</v>
      </c>
      <c r="U14" s="53" t="s">
        <v>40</v>
      </c>
      <c r="AK14" s="50" t="s">
        <v>41</v>
      </c>
      <c r="AL14" s="53" t="s">
        <v>40</v>
      </c>
    </row>
    <row r="15" spans="1:39">
      <c r="A15" s="153">
        <v>9</v>
      </c>
      <c r="B15" s="53" t="s">
        <v>42</v>
      </c>
      <c r="C15" s="52">
        <f>+C9-C10-C14</f>
        <v>149194.1857463225</v>
      </c>
      <c r="D15" s="52">
        <f t="shared" ref="D15:I15" si="6">+D9-D10-D14</f>
        <v>497921.64218695578</v>
      </c>
      <c r="E15" s="52">
        <f t="shared" si="6"/>
        <v>298752.98531217326</v>
      </c>
      <c r="F15" s="52">
        <f t="shared" si="6"/>
        <v>276851.11156936741</v>
      </c>
      <c r="G15" s="52">
        <f t="shared" si="6"/>
        <v>276851.11156936741</v>
      </c>
      <c r="H15" s="52">
        <f t="shared" si="6"/>
        <v>215766.04494768096</v>
      </c>
      <c r="I15" s="52">
        <f t="shared" si="6"/>
        <v>134443.27542056437</v>
      </c>
      <c r="J15" s="52">
        <f t="shared" si="0"/>
        <v>1849780.3567524317</v>
      </c>
      <c r="U15" s="53" t="s">
        <v>42</v>
      </c>
      <c r="AK15" s="50" t="s">
        <v>43</v>
      </c>
      <c r="AL15" s="53" t="s">
        <v>42</v>
      </c>
    </row>
    <row r="16" spans="1:39">
      <c r="A16" s="153">
        <v>10</v>
      </c>
      <c r="B16" s="50" t="s">
        <v>44</v>
      </c>
      <c r="C16" s="54">
        <f>+C15/C9</f>
        <v>0.16131891543004467</v>
      </c>
      <c r="D16" s="54">
        <f t="shared" ref="D16:J16" si="7">+D15/D9</f>
        <v>0.17412282913238067</v>
      </c>
      <c r="E16" s="54">
        <f t="shared" si="7"/>
        <v>0.17412282913238059</v>
      </c>
      <c r="F16" s="54">
        <f t="shared" si="7"/>
        <v>0.20047292997731153</v>
      </c>
      <c r="G16" s="54">
        <f t="shared" si="7"/>
        <v>0.20047292997731153</v>
      </c>
      <c r="H16" s="54">
        <f t="shared" si="7"/>
        <v>0.17412282913238078</v>
      </c>
      <c r="I16" s="54">
        <f t="shared" si="7"/>
        <v>0.17561428943592192</v>
      </c>
      <c r="J16" s="54">
        <f t="shared" si="7"/>
        <v>0.18016931661479432</v>
      </c>
      <c r="U16" s="50" t="s">
        <v>44</v>
      </c>
      <c r="AK16" s="50" t="s">
        <v>45</v>
      </c>
      <c r="AL16" s="50" t="s">
        <v>44</v>
      </c>
    </row>
    <row r="17" spans="1:39">
      <c r="A17" s="153">
        <v>11</v>
      </c>
      <c r="B17" s="50" t="s">
        <v>46</v>
      </c>
      <c r="C17" s="52">
        <f>C6*C43+C18</f>
        <v>94454.315428571441</v>
      </c>
      <c r="D17" s="52">
        <f t="shared" ref="D17:I17" si="8">D6*D43+D18</f>
        <v>278074.28857142857</v>
      </c>
      <c r="E17" s="52">
        <f t="shared" si="8"/>
        <v>166844.57314285715</v>
      </c>
      <c r="F17" s="52">
        <f t="shared" si="8"/>
        <v>144152.63757142855</v>
      </c>
      <c r="G17" s="52">
        <f t="shared" si="8"/>
        <v>144152.63757142855</v>
      </c>
      <c r="H17" s="52">
        <f t="shared" si="8"/>
        <v>120498.85838095238</v>
      </c>
      <c r="I17" s="52">
        <f t="shared" si="8"/>
        <v>74382.943619047612</v>
      </c>
      <c r="J17" s="52">
        <f>SUM(C17:I17)</f>
        <v>1022560.2542857142</v>
      </c>
      <c r="K17" s="67"/>
      <c r="U17" s="50" t="s">
        <v>46</v>
      </c>
      <c r="AK17" s="50" t="s">
        <v>47</v>
      </c>
      <c r="AL17" s="50" t="s">
        <v>46</v>
      </c>
    </row>
    <row r="18" spans="1:39" s="44" customFormat="1">
      <c r="A18" s="153">
        <v>12</v>
      </c>
      <c r="B18" s="55" t="s">
        <v>148</v>
      </c>
      <c r="C18" s="56">
        <f>$J$18/$J$6*C6</f>
        <v>23611.571428571435</v>
      </c>
      <c r="D18" s="56">
        <f t="shared" ref="D18:I18" si="9">$J$18/$J$6*D6</f>
        <v>59028.92857142858</v>
      </c>
      <c r="E18" s="56">
        <f t="shared" si="9"/>
        <v>35417.357142857152</v>
      </c>
      <c r="F18" s="56">
        <f t="shared" si="9"/>
        <v>38368.80357142858</v>
      </c>
      <c r="G18" s="56">
        <f t="shared" si="9"/>
        <v>38368.80357142858</v>
      </c>
      <c r="H18" s="56">
        <f t="shared" si="9"/>
        <v>25579.202380952385</v>
      </c>
      <c r="I18" s="56">
        <f t="shared" si="9"/>
        <v>15741.047619047622</v>
      </c>
      <c r="J18" s="56">
        <f>项目投资!D26</f>
        <v>236115.71428571432</v>
      </c>
      <c r="K18" s="68" t="s">
        <v>149</v>
      </c>
      <c r="L18" s="68"/>
      <c r="M18" s="68"/>
    </row>
    <row r="19" spans="1:39">
      <c r="A19" s="153">
        <v>13</v>
      </c>
      <c r="B19" s="50" t="s">
        <v>48</v>
      </c>
      <c r="C19" s="52">
        <f>C6*C44</f>
        <v>3144.4559999999992</v>
      </c>
      <c r="D19" s="52">
        <f t="shared" ref="D19:I19" si="10">D6*D44</f>
        <v>9722.6399999999976</v>
      </c>
      <c r="E19" s="52">
        <f t="shared" si="10"/>
        <v>5833.5839999999989</v>
      </c>
      <c r="F19" s="52">
        <f t="shared" si="10"/>
        <v>4695.3659999999991</v>
      </c>
      <c r="G19" s="52">
        <f t="shared" si="10"/>
        <v>4695.3659999999991</v>
      </c>
      <c r="H19" s="52">
        <f t="shared" si="10"/>
        <v>4213.1439999999993</v>
      </c>
      <c r="I19" s="52">
        <f t="shared" si="10"/>
        <v>2602.9039999999995</v>
      </c>
      <c r="J19" s="52">
        <f>SUM(C19:I19)</f>
        <v>34907.459999999992</v>
      </c>
      <c r="K19" s="44"/>
      <c r="U19" s="50" t="s">
        <v>48</v>
      </c>
      <c r="AK19" s="50" t="s">
        <v>49</v>
      </c>
      <c r="AL19" s="50" t="s">
        <v>48</v>
      </c>
      <c r="AM19" s="46" t="s">
        <v>22</v>
      </c>
    </row>
    <row r="20" spans="1:39">
      <c r="A20" s="153">
        <v>14</v>
      </c>
      <c r="B20" s="50" t="s">
        <v>50</v>
      </c>
      <c r="C20" s="52">
        <f>C6*C45</f>
        <v>32091.947999999997</v>
      </c>
      <c r="D20" s="52">
        <f t="shared" ref="D20:I20" si="11">D6*D45</f>
        <v>99228.12</v>
      </c>
      <c r="E20" s="52">
        <f t="shared" si="11"/>
        <v>59536.872000000003</v>
      </c>
      <c r="F20" s="52">
        <f t="shared" si="11"/>
        <v>47920.352999999996</v>
      </c>
      <c r="G20" s="52">
        <f t="shared" si="11"/>
        <v>47920.352999999996</v>
      </c>
      <c r="H20" s="52">
        <f t="shared" si="11"/>
        <v>42998.851999999999</v>
      </c>
      <c r="I20" s="52">
        <f t="shared" si="11"/>
        <v>26564.932000000001</v>
      </c>
      <c r="J20" s="52">
        <f>SUM(C20:I20)</f>
        <v>356261.43000000005</v>
      </c>
      <c r="U20" s="50" t="s">
        <v>50</v>
      </c>
      <c r="AK20" s="50" t="s">
        <v>51</v>
      </c>
      <c r="AL20" s="50" t="s">
        <v>50</v>
      </c>
    </row>
    <row r="21" spans="1:39">
      <c r="A21" s="153">
        <v>15</v>
      </c>
      <c r="B21" s="50" t="s">
        <v>52</v>
      </c>
      <c r="C21" s="57">
        <f>$J$21/$J$6*C6</f>
        <v>0</v>
      </c>
      <c r="D21" s="57">
        <f t="shared" ref="D21:I21" si="12">$J$21/$J$6*D6</f>
        <v>0</v>
      </c>
      <c r="E21" s="57">
        <f t="shared" si="12"/>
        <v>0</v>
      </c>
      <c r="F21" s="57">
        <f t="shared" si="12"/>
        <v>0</v>
      </c>
      <c r="G21" s="57">
        <f t="shared" si="12"/>
        <v>0</v>
      </c>
      <c r="H21" s="57">
        <f t="shared" si="12"/>
        <v>0</v>
      </c>
      <c r="I21" s="57">
        <f t="shared" si="12"/>
        <v>0</v>
      </c>
      <c r="J21" s="52">
        <f>项目投资!D27</f>
        <v>0</v>
      </c>
      <c r="U21" s="50" t="s">
        <v>52</v>
      </c>
      <c r="AK21" s="50"/>
      <c r="AL21" s="50"/>
    </row>
    <row r="22" spans="1:39">
      <c r="A22" s="153">
        <v>16</v>
      </c>
      <c r="B22" s="50" t="s">
        <v>53</v>
      </c>
      <c r="C22" s="52">
        <f>C6*C47</f>
        <v>36993.599999999999</v>
      </c>
      <c r="D22" s="52">
        <f t="shared" ref="D22:I22" si="13">D6*D47</f>
        <v>114383.99999999999</v>
      </c>
      <c r="E22" s="52">
        <f t="shared" si="13"/>
        <v>68630.399999999994</v>
      </c>
      <c r="F22" s="52">
        <f t="shared" si="13"/>
        <v>55239.6</v>
      </c>
      <c r="G22" s="52">
        <f t="shared" si="13"/>
        <v>55239.6</v>
      </c>
      <c r="H22" s="52">
        <f t="shared" si="13"/>
        <v>49566.399999999994</v>
      </c>
      <c r="I22" s="52">
        <f t="shared" si="13"/>
        <v>30622.399999999998</v>
      </c>
      <c r="J22" s="52">
        <f>SUM(C22:I22)</f>
        <v>410676</v>
      </c>
      <c r="U22" s="50" t="s">
        <v>53</v>
      </c>
      <c r="AK22" s="50" t="s">
        <v>54</v>
      </c>
      <c r="AL22" s="50" t="s">
        <v>53</v>
      </c>
    </row>
    <row r="23" spans="1:39">
      <c r="A23" s="153">
        <v>17</v>
      </c>
      <c r="B23" s="53" t="s">
        <v>55</v>
      </c>
      <c r="C23" s="57">
        <f>+C22+C21+C20+C19+C17</f>
        <v>166684.31942857144</v>
      </c>
      <c r="D23" s="57">
        <f t="shared" ref="D23:I23" si="14">+D22+D21+D20+D19+D17</f>
        <v>501409.04857142852</v>
      </c>
      <c r="E23" s="57">
        <f t="shared" si="14"/>
        <v>300845.42914285715</v>
      </c>
      <c r="F23" s="57">
        <f t="shared" si="14"/>
        <v>252007.95657142854</v>
      </c>
      <c r="G23" s="57">
        <f t="shared" si="14"/>
        <v>252007.95657142854</v>
      </c>
      <c r="H23" s="57">
        <f t="shared" si="14"/>
        <v>217277.25438095239</v>
      </c>
      <c r="I23" s="57">
        <f t="shared" si="14"/>
        <v>134173.17961904762</v>
      </c>
      <c r="J23" s="57">
        <f t="shared" ref="J23" si="15">+J22+J21+J20+J19+J17</f>
        <v>1824405.1442857143</v>
      </c>
      <c r="U23" s="53" t="s">
        <v>55</v>
      </c>
      <c r="AK23" s="50" t="s">
        <v>56</v>
      </c>
      <c r="AL23" s="53" t="s">
        <v>55</v>
      </c>
    </row>
    <row r="24" spans="1:39">
      <c r="A24" s="153">
        <v>18</v>
      </c>
      <c r="B24" s="58" t="s">
        <v>57</v>
      </c>
      <c r="C24" s="57">
        <f>+C15-C23</f>
        <v>-17490.133682248939</v>
      </c>
      <c r="D24" s="57">
        <f t="shared" ref="D24:I24" si="16">+D15-D23</f>
        <v>-3487.4063844727352</v>
      </c>
      <c r="E24" s="57">
        <f t="shared" si="16"/>
        <v>-2092.4438306838856</v>
      </c>
      <c r="F24" s="57">
        <f t="shared" si="16"/>
        <v>24843.154997938866</v>
      </c>
      <c r="G24" s="57">
        <f t="shared" si="16"/>
        <v>24843.154997938866</v>
      </c>
      <c r="H24" s="57">
        <f t="shared" si="16"/>
        <v>-1511.2094332714332</v>
      </c>
      <c r="I24" s="57">
        <f t="shared" si="16"/>
        <v>270.09580151675618</v>
      </c>
      <c r="J24" s="57">
        <f t="shared" ref="J24" si="17">+J15-J23</f>
        <v>25375.212466717465</v>
      </c>
      <c r="L24" s="69"/>
      <c r="U24" s="50" t="s">
        <v>57</v>
      </c>
      <c r="AK24" s="50" t="s">
        <v>58</v>
      </c>
      <c r="AL24" s="50" t="s">
        <v>57</v>
      </c>
    </row>
    <row r="25" spans="1:39">
      <c r="A25" s="153">
        <v>19</v>
      </c>
      <c r="B25" s="50" t="s">
        <v>250</v>
      </c>
      <c r="C25" s="57">
        <f>IF(C24&lt;0,0,C24*0.15)</f>
        <v>0</v>
      </c>
      <c r="D25" s="57">
        <f t="shared" ref="D25:I25" si="18">IF(D24&lt;0,0,D24*0.15)</f>
        <v>0</v>
      </c>
      <c r="E25" s="57">
        <f t="shared" si="18"/>
        <v>0</v>
      </c>
      <c r="F25" s="57">
        <f t="shared" si="18"/>
        <v>3726.4732496908296</v>
      </c>
      <c r="G25" s="57">
        <f t="shared" si="18"/>
        <v>3726.4732496908296</v>
      </c>
      <c r="H25" s="57">
        <f t="shared" si="18"/>
        <v>0</v>
      </c>
      <c r="I25" s="57">
        <f t="shared" si="18"/>
        <v>40.514370227513425</v>
      </c>
      <c r="J25" s="57">
        <f>IF(J24&lt;0,0,J24*0.15)</f>
        <v>3806.2818700076195</v>
      </c>
      <c r="K25" s="65"/>
      <c r="L25" s="65"/>
      <c r="M25" s="65"/>
      <c r="U25" s="50" t="s">
        <v>59</v>
      </c>
      <c r="AK25" s="50" t="s">
        <v>60</v>
      </c>
      <c r="AL25" s="50" t="s">
        <v>59</v>
      </c>
    </row>
    <row r="26" spans="1:39">
      <c r="A26" s="153">
        <v>20</v>
      </c>
      <c r="B26" s="50" t="s">
        <v>61</v>
      </c>
      <c r="C26" s="57">
        <f t="shared" ref="C26:I26" si="19">C24-C25</f>
        <v>-17490.133682248939</v>
      </c>
      <c r="D26" s="57">
        <f t="shared" si="19"/>
        <v>-3487.4063844727352</v>
      </c>
      <c r="E26" s="57">
        <f t="shared" si="19"/>
        <v>-2092.4438306838856</v>
      </c>
      <c r="F26" s="57">
        <f t="shared" si="19"/>
        <v>21116.681748248036</v>
      </c>
      <c r="G26" s="57">
        <f t="shared" si="19"/>
        <v>21116.681748248036</v>
      </c>
      <c r="H26" s="57">
        <f t="shared" si="19"/>
        <v>-1511.2094332714332</v>
      </c>
      <c r="I26" s="57">
        <f t="shared" si="19"/>
        <v>229.58143128924274</v>
      </c>
      <c r="J26" s="52">
        <f>J24-J25</f>
        <v>21568.930596709844</v>
      </c>
      <c r="K26" s="65"/>
      <c r="L26" s="65"/>
      <c r="M26" s="65"/>
      <c r="U26" s="50" t="s">
        <v>61</v>
      </c>
      <c r="AK26" s="50" t="s">
        <v>62</v>
      </c>
      <c r="AL26" s="50" t="s">
        <v>61</v>
      </c>
    </row>
    <row r="27" spans="1:39">
      <c r="A27" s="153">
        <v>21</v>
      </c>
      <c r="B27" s="50" t="s">
        <v>65</v>
      </c>
      <c r="C27" s="59">
        <f t="shared" ref="C27:J27" si="20">C26/C7</f>
        <v>-1.891152381195552E-2</v>
      </c>
      <c r="D27" s="59">
        <f t="shared" ref="D27:I27" si="21">D26/D7</f>
        <v>-1.2195434272180498E-3</v>
      </c>
      <c r="E27" s="59">
        <f t="shared" si="21"/>
        <v>-1.2195434272181925E-3</v>
      </c>
      <c r="F27" s="59">
        <f t="shared" si="21"/>
        <v>1.5290973684275802E-2</v>
      </c>
      <c r="G27" s="59">
        <f t="shared" si="21"/>
        <v>1.5290973684275802E-2</v>
      </c>
      <c r="H27" s="59">
        <f t="shared" si="21"/>
        <v>-1.2195434272179808E-3</v>
      </c>
      <c r="I27" s="59">
        <f t="shared" si="21"/>
        <v>2.9988692106332979E-4</v>
      </c>
      <c r="J27" s="59">
        <f t="shared" si="20"/>
        <v>2.1008221173586814E-3</v>
      </c>
      <c r="K27" s="65"/>
      <c r="L27" s="65"/>
      <c r="M27" s="65"/>
      <c r="U27" s="50" t="s">
        <v>65</v>
      </c>
      <c r="AK27" s="50" t="s">
        <v>64</v>
      </c>
      <c r="AL27" s="50" t="s">
        <v>65</v>
      </c>
    </row>
    <row r="28" spans="1:39">
      <c r="K28" s="65"/>
      <c r="L28" s="65"/>
      <c r="M28" s="65"/>
      <c r="U28" s="50"/>
    </row>
    <row r="29" spans="1:39">
      <c r="A29" s="46" t="s">
        <v>66</v>
      </c>
      <c r="J29" s="47" t="s">
        <v>151</v>
      </c>
      <c r="K29" s="65"/>
      <c r="L29" s="65"/>
      <c r="M29" s="65"/>
      <c r="U29" s="50"/>
      <c r="AK29" s="46" t="s">
        <v>66</v>
      </c>
    </row>
    <row r="30" spans="1:39">
      <c r="A30" s="50" t="s">
        <v>67</v>
      </c>
      <c r="B30" s="53" t="s">
        <v>68</v>
      </c>
      <c r="C30" s="57"/>
      <c r="D30" s="57"/>
      <c r="E30" s="57"/>
      <c r="F30" s="57"/>
      <c r="G30" s="57"/>
      <c r="H30" s="57"/>
      <c r="I30" s="57"/>
      <c r="J30" s="57"/>
      <c r="K30" s="65"/>
      <c r="L30" s="65"/>
      <c r="M30" s="65"/>
      <c r="O30" s="65"/>
      <c r="U30" s="53" t="s">
        <v>68</v>
      </c>
      <c r="AK30" s="50" t="s">
        <v>69</v>
      </c>
      <c r="AL30" s="53" t="s">
        <v>68</v>
      </c>
    </row>
    <row r="31" spans="1:39">
      <c r="A31" s="153">
        <v>1</v>
      </c>
      <c r="B31" s="55" t="s">
        <v>70</v>
      </c>
      <c r="C31" s="61">
        <f>销量!C8</f>
        <v>308.27999999999997</v>
      </c>
      <c r="D31" s="61">
        <f>销量!D8</f>
        <v>381.28</v>
      </c>
      <c r="E31" s="61">
        <f>销量!E8</f>
        <v>381.28</v>
      </c>
      <c r="F31" s="61">
        <f>销量!F8</f>
        <v>283.27999999999997</v>
      </c>
      <c r="G31" s="61">
        <f>销量!G8</f>
        <v>283.27999999999997</v>
      </c>
      <c r="H31" s="61">
        <f>销量!H8</f>
        <v>381.28</v>
      </c>
      <c r="I31" s="61">
        <f>销量!I8</f>
        <v>382.78</v>
      </c>
      <c r="J31" s="57"/>
      <c r="K31" s="65"/>
      <c r="L31" s="65"/>
      <c r="M31" s="65"/>
      <c r="O31" s="65"/>
      <c r="U31" s="50" t="s">
        <v>70</v>
      </c>
      <c r="AK31" s="50" t="s">
        <v>24</v>
      </c>
      <c r="AL31" s="50" t="s">
        <v>70</v>
      </c>
    </row>
    <row r="32" spans="1:39">
      <c r="A32" s="153">
        <v>2</v>
      </c>
      <c r="B32" s="50" t="s">
        <v>152</v>
      </c>
      <c r="C32" s="52">
        <f>C9/C6</f>
        <v>308.27999999999997</v>
      </c>
      <c r="D32" s="52">
        <f t="shared" ref="D32:I32" si="22">D9/D6</f>
        <v>381.28</v>
      </c>
      <c r="E32" s="52">
        <f t="shared" si="22"/>
        <v>381.28</v>
      </c>
      <c r="F32" s="52">
        <f t="shared" si="22"/>
        <v>283.27999999999997</v>
      </c>
      <c r="G32" s="52">
        <f t="shared" si="22"/>
        <v>283.27999999999997</v>
      </c>
      <c r="H32" s="52">
        <f t="shared" si="22"/>
        <v>381.28</v>
      </c>
      <c r="I32" s="52">
        <f t="shared" si="22"/>
        <v>382.78</v>
      </c>
      <c r="J32" s="57"/>
      <c r="K32" s="65"/>
      <c r="L32" s="65"/>
      <c r="M32" s="65"/>
      <c r="N32" s="65"/>
      <c r="O32" s="65"/>
      <c r="P32" s="65"/>
      <c r="Q32" s="65"/>
      <c r="AK32" s="50"/>
      <c r="AL32" s="50"/>
    </row>
    <row r="33" spans="1:38">
      <c r="A33" s="153">
        <v>3</v>
      </c>
      <c r="B33" s="55" t="s">
        <v>71</v>
      </c>
      <c r="C33" s="52">
        <f>材料成本!J41</f>
        <v>236.37</v>
      </c>
      <c r="D33" s="52">
        <f>材料成本!J42</f>
        <v>287.45999999999998</v>
      </c>
      <c r="E33" s="52">
        <f>材料成本!J43</f>
        <v>287.45999999999998</v>
      </c>
      <c r="F33" s="52">
        <f>材料成本!J44</f>
        <v>206.11</v>
      </c>
      <c r="G33" s="52">
        <f>材料成本!J45</f>
        <v>206.11</v>
      </c>
      <c r="H33" s="52">
        <f>材料成本!J46</f>
        <v>287.45999999999998</v>
      </c>
      <c r="I33" s="52">
        <f>材料成本!J47</f>
        <v>288.02</v>
      </c>
      <c r="J33" s="57"/>
      <c r="L33" s="65"/>
      <c r="M33" s="65"/>
      <c r="N33" s="65"/>
      <c r="O33" s="65"/>
      <c r="P33" s="65"/>
      <c r="Q33" s="65"/>
      <c r="U33" s="50" t="s">
        <v>71</v>
      </c>
      <c r="AK33" s="50" t="s">
        <v>26</v>
      </c>
      <c r="AL33" s="50" t="s">
        <v>71</v>
      </c>
    </row>
    <row r="34" spans="1:38" ht="17.25" customHeight="1">
      <c r="A34" s="153">
        <v>4</v>
      </c>
      <c r="B34" s="50" t="s">
        <v>73</v>
      </c>
      <c r="C34" s="62">
        <f>C32-C33</f>
        <v>71.909999999999968</v>
      </c>
      <c r="D34" s="62">
        <f t="shared" ref="D34:I34" si="23">D32-D33</f>
        <v>93.82</v>
      </c>
      <c r="E34" s="62">
        <f t="shared" si="23"/>
        <v>93.82</v>
      </c>
      <c r="F34" s="62">
        <f t="shared" si="23"/>
        <v>77.169999999999959</v>
      </c>
      <c r="G34" s="62">
        <f t="shared" si="23"/>
        <v>77.169999999999959</v>
      </c>
      <c r="H34" s="62">
        <f t="shared" si="23"/>
        <v>93.82</v>
      </c>
      <c r="I34" s="62">
        <f t="shared" si="23"/>
        <v>94.759999999999991</v>
      </c>
      <c r="J34" s="57"/>
      <c r="L34" s="65"/>
      <c r="M34" s="65"/>
      <c r="N34" s="65"/>
      <c r="O34" s="65"/>
      <c r="P34" s="65"/>
      <c r="Q34" s="65"/>
      <c r="U34" s="50" t="s">
        <v>73</v>
      </c>
      <c r="AK34" s="50" t="s">
        <v>72</v>
      </c>
      <c r="AL34" s="50" t="s">
        <v>73</v>
      </c>
    </row>
    <row r="35" spans="1:38">
      <c r="A35" s="50" t="s">
        <v>69</v>
      </c>
      <c r="B35" s="53" t="s">
        <v>10</v>
      </c>
      <c r="C35" s="57"/>
      <c r="D35" s="57"/>
      <c r="E35" s="57"/>
      <c r="F35" s="57"/>
      <c r="G35" s="57"/>
      <c r="H35" s="57"/>
      <c r="I35" s="57"/>
      <c r="J35" s="57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53" t="s">
        <v>10</v>
      </c>
      <c r="AK35" s="50" t="s">
        <v>75</v>
      </c>
      <c r="AL35" s="53" t="s">
        <v>10</v>
      </c>
    </row>
    <row r="36" spans="1:38">
      <c r="A36" s="153">
        <v>1</v>
      </c>
      <c r="B36" s="50" t="s">
        <v>76</v>
      </c>
      <c r="C36" s="56">
        <f>'2023年'!C36</f>
        <v>15.99718981626023</v>
      </c>
      <c r="D36" s="56">
        <f>'2023年'!D36</f>
        <v>19.78528783295608</v>
      </c>
      <c r="E36" s="56">
        <f>'2023年'!E36</f>
        <v>19.78528783295608</v>
      </c>
      <c r="F36" s="56">
        <f>'2024年'!F36</f>
        <v>14.699895974926033</v>
      </c>
      <c r="G36" s="56">
        <f>'2024年'!G36</f>
        <v>14.699895974926033</v>
      </c>
      <c r="H36" s="56">
        <f>'2024年'!H36</f>
        <v>19.78528783295608</v>
      </c>
      <c r="I36" s="56">
        <f>'2024年'!I36</f>
        <v>19.863125463436131</v>
      </c>
      <c r="J36" s="61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50" t="s">
        <v>76</v>
      </c>
      <c r="AK36" s="50" t="s">
        <v>72</v>
      </c>
      <c r="AL36" s="50" t="s">
        <v>76</v>
      </c>
    </row>
    <row r="37" spans="1:38">
      <c r="A37" s="153">
        <v>2</v>
      </c>
      <c r="B37" s="50" t="s">
        <v>77</v>
      </c>
      <c r="C37" s="56">
        <f>'2023年'!C37</f>
        <v>2.7903349349655628</v>
      </c>
      <c r="D37" s="56">
        <f>'2023年'!D37</f>
        <v>3.4510798754498175</v>
      </c>
      <c r="E37" s="56">
        <f>'2023年'!E37</f>
        <v>3.4510798754498175</v>
      </c>
      <c r="F37" s="56">
        <f>'2024年'!F37</f>
        <v>2.564052421101092</v>
      </c>
      <c r="G37" s="56">
        <f>'2024年'!G37</f>
        <v>2.564052421101092</v>
      </c>
      <c r="H37" s="56">
        <f>'2024年'!H37</f>
        <v>3.4510798754498175</v>
      </c>
      <c r="I37" s="56">
        <f>'2024年'!I37</f>
        <v>3.4646568262816859</v>
      </c>
      <c r="J37" s="61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50" t="s">
        <v>77</v>
      </c>
      <c r="AK37" s="50" t="s">
        <v>29</v>
      </c>
      <c r="AL37" s="50" t="s">
        <v>77</v>
      </c>
    </row>
    <row r="38" spans="1:38">
      <c r="A38" s="153">
        <v>3</v>
      </c>
      <c r="B38" s="50" t="s">
        <v>78</v>
      </c>
      <c r="C38" s="56">
        <f>'2023年'!C38</f>
        <v>3.3910799999999997</v>
      </c>
      <c r="D38" s="56">
        <f>'2023年'!D38</f>
        <v>4.1940799999999996</v>
      </c>
      <c r="E38" s="56">
        <f>'2023年'!E38</f>
        <v>4.1940799999999996</v>
      </c>
      <c r="F38" s="56">
        <f>'2024年'!F38</f>
        <v>3.1160799999999997</v>
      </c>
      <c r="G38" s="56">
        <f>'2024年'!G38</f>
        <v>3.1160799999999997</v>
      </c>
      <c r="H38" s="56">
        <f>'2024年'!H38</f>
        <v>4.1940799999999996</v>
      </c>
      <c r="I38" s="56">
        <f>'2024年'!I38</f>
        <v>4.2105799999999993</v>
      </c>
      <c r="J38" s="6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50" t="s">
        <v>78</v>
      </c>
      <c r="AK38" s="50" t="s">
        <v>35</v>
      </c>
      <c r="AL38" s="50" t="s">
        <v>78</v>
      </c>
    </row>
    <row r="39" spans="1:38">
      <c r="A39" s="50" t="s">
        <v>75</v>
      </c>
      <c r="B39" s="53" t="s">
        <v>80</v>
      </c>
      <c r="C39" s="57"/>
      <c r="D39" s="57"/>
      <c r="E39" s="57"/>
      <c r="F39" s="57"/>
      <c r="G39" s="57"/>
      <c r="H39" s="57"/>
      <c r="I39" s="57"/>
      <c r="J39" s="57"/>
      <c r="U39" s="53" t="s">
        <v>80</v>
      </c>
      <c r="AK39" s="50" t="s">
        <v>79</v>
      </c>
      <c r="AL39" s="53" t="s">
        <v>80</v>
      </c>
    </row>
    <row r="40" spans="1:38">
      <c r="A40" s="153">
        <v>1</v>
      </c>
      <c r="B40" s="50" t="s">
        <v>82</v>
      </c>
      <c r="C40" s="57">
        <f>C34-C36-C37-C38</f>
        <v>49.73139524877417</v>
      </c>
      <c r="D40" s="57">
        <f t="shared" ref="D40:I40" si="24">D34-D36-D37-D38</f>
        <v>66.3895522915941</v>
      </c>
      <c r="E40" s="57">
        <f t="shared" si="24"/>
        <v>66.3895522915941</v>
      </c>
      <c r="F40" s="57">
        <f t="shared" si="24"/>
        <v>56.78997160397283</v>
      </c>
      <c r="G40" s="57">
        <f t="shared" si="24"/>
        <v>56.78997160397283</v>
      </c>
      <c r="H40" s="57">
        <f t="shared" si="24"/>
        <v>66.3895522915941</v>
      </c>
      <c r="I40" s="57">
        <f t="shared" si="24"/>
        <v>67.221637710282181</v>
      </c>
      <c r="J40" s="57"/>
      <c r="U40" s="50" t="s">
        <v>82</v>
      </c>
      <c r="AK40" s="50" t="s">
        <v>24</v>
      </c>
      <c r="AL40" s="50" t="s">
        <v>82</v>
      </c>
    </row>
    <row r="41" spans="1:38">
      <c r="A41" s="153">
        <v>2</v>
      </c>
      <c r="B41" s="50" t="s">
        <v>83</v>
      </c>
      <c r="C41" s="57"/>
      <c r="D41" s="57"/>
      <c r="E41" s="57"/>
      <c r="F41" s="57"/>
      <c r="G41" s="57"/>
      <c r="H41" s="57"/>
      <c r="I41" s="57"/>
      <c r="J41" s="57"/>
      <c r="U41" s="50" t="s">
        <v>83</v>
      </c>
      <c r="AK41" s="50" t="s">
        <v>26</v>
      </c>
      <c r="AL41" s="50" t="s">
        <v>83</v>
      </c>
    </row>
    <row r="42" spans="1:38">
      <c r="A42" s="50" t="s">
        <v>79</v>
      </c>
      <c r="B42" s="53" t="s">
        <v>85</v>
      </c>
      <c r="C42" s="57"/>
      <c r="D42" s="57"/>
      <c r="E42" s="57"/>
      <c r="F42" s="57"/>
      <c r="G42" s="57"/>
      <c r="H42" s="57"/>
      <c r="I42" s="57"/>
      <c r="J42" s="57"/>
      <c r="U42" s="53" t="s">
        <v>85</v>
      </c>
      <c r="AK42" s="50" t="s">
        <v>84</v>
      </c>
      <c r="AL42" s="53" t="s">
        <v>85</v>
      </c>
    </row>
    <row r="43" spans="1:38">
      <c r="A43" s="153">
        <v>1</v>
      </c>
      <c r="B43" s="58" t="s">
        <v>86</v>
      </c>
      <c r="C43" s="56">
        <f>'2023年'!C43</f>
        <v>23.614248</v>
      </c>
      <c r="D43" s="56">
        <f>'2023年'!D43</f>
        <v>29.206047999999999</v>
      </c>
      <c r="E43" s="56">
        <f>'2023年'!E43</f>
        <v>29.206047999999999</v>
      </c>
      <c r="F43" s="56">
        <f>'2024年'!F43</f>
        <v>21.699247999999997</v>
      </c>
      <c r="G43" s="56">
        <f>'2024年'!G43</f>
        <v>21.699247999999997</v>
      </c>
      <c r="H43" s="56">
        <f>'2024年'!H43</f>
        <v>29.206047999999999</v>
      </c>
      <c r="I43" s="56">
        <f>'2024年'!I43</f>
        <v>29.320947999999998</v>
      </c>
      <c r="J43" s="57"/>
      <c r="U43" s="50" t="s">
        <v>86</v>
      </c>
      <c r="AK43" s="50" t="s">
        <v>24</v>
      </c>
      <c r="AL43" s="50" t="s">
        <v>86</v>
      </c>
    </row>
    <row r="44" spans="1:38">
      <c r="A44" s="153">
        <v>2</v>
      </c>
      <c r="B44" s="58" t="s">
        <v>87</v>
      </c>
      <c r="C44" s="56">
        <f>'2023年'!C44</f>
        <v>1.0481519999999998</v>
      </c>
      <c r="D44" s="56">
        <f>'2023年'!D44</f>
        <v>1.2963519999999997</v>
      </c>
      <c r="E44" s="56">
        <f>'2023年'!E44</f>
        <v>1.2963519999999997</v>
      </c>
      <c r="F44" s="56">
        <f>'2024年'!F44</f>
        <v>0.9631519999999999</v>
      </c>
      <c r="G44" s="56">
        <f>'2024年'!G44</f>
        <v>0.9631519999999999</v>
      </c>
      <c r="H44" s="56">
        <f>'2024年'!H44</f>
        <v>1.2963519999999997</v>
      </c>
      <c r="I44" s="56">
        <f>'2024年'!I44</f>
        <v>1.3014519999999998</v>
      </c>
      <c r="J44" s="57"/>
      <c r="U44" s="50" t="s">
        <v>87</v>
      </c>
      <c r="AK44" s="50" t="s">
        <v>26</v>
      </c>
      <c r="AL44" s="50" t="s">
        <v>87</v>
      </c>
    </row>
    <row r="45" spans="1:38">
      <c r="A45" s="153">
        <v>3</v>
      </c>
      <c r="B45" s="58" t="s">
        <v>88</v>
      </c>
      <c r="C45" s="56">
        <f>'2023年'!C45</f>
        <v>10.697315999999999</v>
      </c>
      <c r="D45" s="56">
        <f>'2023年'!D45</f>
        <v>13.230416</v>
      </c>
      <c r="E45" s="56">
        <f>'2023年'!E45</f>
        <v>13.230416</v>
      </c>
      <c r="F45" s="56">
        <f>'2024年'!F45</f>
        <v>9.8298159999999992</v>
      </c>
      <c r="G45" s="56">
        <f>'2024年'!G45</f>
        <v>9.8298159999999992</v>
      </c>
      <c r="H45" s="56">
        <f>'2024年'!H45</f>
        <v>13.230416</v>
      </c>
      <c r="I45" s="56">
        <f>'2024年'!I45</f>
        <v>13.282465999999999</v>
      </c>
      <c r="J45" s="57"/>
      <c r="U45" s="50" t="s">
        <v>88</v>
      </c>
      <c r="AK45" s="50" t="s">
        <v>72</v>
      </c>
      <c r="AL45" s="50" t="s">
        <v>88</v>
      </c>
    </row>
    <row r="46" spans="1:38" s="45" customFormat="1">
      <c r="A46" s="153">
        <v>4</v>
      </c>
      <c r="B46" s="58" t="s">
        <v>89</v>
      </c>
      <c r="C46" s="63">
        <f>C21/C6</f>
        <v>0</v>
      </c>
      <c r="D46" s="63">
        <f t="shared" ref="D46:I46" si="25">D21/D6</f>
        <v>0</v>
      </c>
      <c r="E46" s="63">
        <f t="shared" si="25"/>
        <v>0</v>
      </c>
      <c r="F46" s="63">
        <f t="shared" si="25"/>
        <v>0</v>
      </c>
      <c r="G46" s="63">
        <f t="shared" si="25"/>
        <v>0</v>
      </c>
      <c r="H46" s="63">
        <f t="shared" si="25"/>
        <v>0</v>
      </c>
      <c r="I46" s="63">
        <f t="shared" si="25"/>
        <v>0</v>
      </c>
      <c r="J46" s="63"/>
      <c r="U46" s="58" t="s">
        <v>91</v>
      </c>
      <c r="AK46" s="58" t="s">
        <v>32</v>
      </c>
      <c r="AL46" s="58" t="s">
        <v>91</v>
      </c>
    </row>
    <row r="47" spans="1:38" s="45" customFormat="1">
      <c r="A47" s="153">
        <v>5</v>
      </c>
      <c r="B47" s="58" t="s">
        <v>91</v>
      </c>
      <c r="C47" s="63">
        <f>'2023年'!C47</f>
        <v>12.331199999999999</v>
      </c>
      <c r="D47" s="63">
        <f>'2023年'!D47</f>
        <v>15.251199999999999</v>
      </c>
      <c r="E47" s="63">
        <f>'2023年'!E47</f>
        <v>15.251199999999999</v>
      </c>
      <c r="F47" s="63">
        <f>'2024年'!F47</f>
        <v>11.331199999999999</v>
      </c>
      <c r="G47" s="63">
        <f>'2024年'!G47</f>
        <v>11.331199999999999</v>
      </c>
      <c r="H47" s="63">
        <f>'2024年'!H47</f>
        <v>15.251199999999999</v>
      </c>
      <c r="I47" s="63">
        <f>'2024年'!I47</f>
        <v>15.311199999999999</v>
      </c>
      <c r="J47" s="63"/>
      <c r="U47" s="58" t="s">
        <v>91</v>
      </c>
      <c r="AK47" s="58" t="s">
        <v>32</v>
      </c>
      <c r="AL47" s="58" t="s">
        <v>91</v>
      </c>
    </row>
    <row r="48" spans="1:38">
      <c r="A48" s="50" t="s">
        <v>84</v>
      </c>
      <c r="B48" s="53" t="s">
        <v>102</v>
      </c>
      <c r="C48" s="57">
        <f>C40-C43-C44-C45-C47-C46</f>
        <v>2.0404792487741741</v>
      </c>
      <c r="D48" s="57">
        <f t="shared" ref="D48:I48" si="26">D40-D43-D44-D45-D47-D46</f>
        <v>7.4055362915941085</v>
      </c>
      <c r="E48" s="57">
        <f t="shared" si="26"/>
        <v>7.4055362915941085</v>
      </c>
      <c r="F48" s="57">
        <f t="shared" si="26"/>
        <v>12.966555603972832</v>
      </c>
      <c r="G48" s="57">
        <f t="shared" si="26"/>
        <v>12.966555603972832</v>
      </c>
      <c r="H48" s="57">
        <f t="shared" si="26"/>
        <v>7.4055362915941085</v>
      </c>
      <c r="I48" s="57">
        <f t="shared" si="26"/>
        <v>8.0055717102821831</v>
      </c>
      <c r="J48" s="57"/>
      <c r="U48" s="53" t="s">
        <v>102</v>
      </c>
      <c r="AK48" s="50" t="s">
        <v>101</v>
      </c>
      <c r="AL48" s="53" t="s">
        <v>102</v>
      </c>
    </row>
    <row r="51" spans="2:15">
      <c r="C51" s="64"/>
      <c r="D51" s="64"/>
      <c r="E51" s="64"/>
      <c r="F51" s="64"/>
      <c r="G51" s="64"/>
      <c r="H51" s="64"/>
      <c r="I51" s="64"/>
    </row>
    <row r="54" spans="2:15">
      <c r="B54" s="65"/>
      <c r="C54" s="66"/>
      <c r="D54" s="66"/>
      <c r="E54" s="66"/>
      <c r="F54" s="66"/>
      <c r="G54" s="66"/>
      <c r="H54" s="66"/>
      <c r="I54" s="66"/>
      <c r="J54" s="66"/>
      <c r="K54" s="65"/>
      <c r="L54" s="65"/>
      <c r="M54" s="65"/>
      <c r="N54" s="65"/>
      <c r="O54" s="65"/>
    </row>
    <row r="55" spans="2:15">
      <c r="B55" s="65"/>
      <c r="C55" s="66"/>
      <c r="D55" s="66"/>
      <c r="E55" s="66"/>
      <c r="F55" s="66"/>
      <c r="G55" s="66"/>
      <c r="H55" s="66"/>
      <c r="I55" s="66"/>
      <c r="J55" s="66"/>
      <c r="K55" s="65"/>
      <c r="L55" s="65"/>
      <c r="M55" s="65"/>
      <c r="N55" s="65"/>
      <c r="O55" s="65"/>
    </row>
    <row r="56" spans="2:15">
      <c r="B56" s="65"/>
      <c r="C56" s="66"/>
      <c r="D56" s="66"/>
      <c r="E56" s="66"/>
      <c r="F56" s="66"/>
      <c r="G56" s="66"/>
      <c r="H56" s="66"/>
      <c r="I56" s="66"/>
      <c r="J56" s="66"/>
      <c r="K56" s="65"/>
      <c r="L56" s="65"/>
      <c r="M56" s="65"/>
      <c r="N56" s="65"/>
      <c r="O56" s="65"/>
    </row>
    <row r="57" spans="2:15">
      <c r="B57" s="65"/>
      <c r="C57" s="66"/>
      <c r="D57" s="66"/>
      <c r="E57" s="66"/>
      <c r="F57" s="66"/>
      <c r="G57" s="66"/>
      <c r="H57" s="66"/>
      <c r="I57" s="66"/>
      <c r="J57" s="66"/>
      <c r="K57" s="65"/>
      <c r="L57" s="65"/>
      <c r="M57" s="65"/>
      <c r="N57" s="65"/>
      <c r="O57" s="65"/>
    </row>
    <row r="58" spans="2:15">
      <c r="B58" s="65"/>
      <c r="C58" s="66"/>
      <c r="D58" s="66"/>
      <c r="E58" s="66"/>
      <c r="F58" s="66"/>
      <c r="G58" s="66"/>
      <c r="H58" s="66"/>
      <c r="I58" s="66"/>
      <c r="J58" s="66"/>
      <c r="K58" s="65"/>
      <c r="L58" s="65"/>
      <c r="M58" s="65"/>
      <c r="N58" s="65"/>
      <c r="O58" s="65"/>
    </row>
    <row r="59" spans="2:15">
      <c r="B59" s="65"/>
      <c r="C59" s="66"/>
      <c r="D59" s="66"/>
      <c r="E59" s="66"/>
      <c r="F59" s="66"/>
      <c r="G59" s="66"/>
      <c r="H59" s="66"/>
      <c r="I59" s="66"/>
      <c r="J59" s="66"/>
      <c r="K59" s="65"/>
      <c r="L59" s="65"/>
      <c r="M59" s="65"/>
      <c r="N59" s="65"/>
      <c r="O59" s="65"/>
    </row>
    <row r="60" spans="2:15">
      <c r="B60" s="65"/>
      <c r="C60" s="66"/>
      <c r="D60" s="66"/>
      <c r="E60" s="66"/>
      <c r="F60" s="66"/>
      <c r="G60" s="66"/>
      <c r="H60" s="66"/>
      <c r="I60" s="66"/>
      <c r="J60" s="66"/>
      <c r="K60" s="65"/>
      <c r="L60" s="65"/>
      <c r="M60" s="65"/>
      <c r="N60" s="65"/>
      <c r="O60" s="65"/>
    </row>
    <row r="61" spans="2:15">
      <c r="B61" s="65"/>
      <c r="C61" s="66"/>
      <c r="D61" s="66"/>
      <c r="E61" s="66"/>
      <c r="F61" s="66"/>
      <c r="G61" s="66"/>
      <c r="H61" s="66"/>
      <c r="I61" s="66"/>
      <c r="J61" s="66"/>
      <c r="K61" s="65"/>
      <c r="L61" s="65"/>
      <c r="M61" s="65"/>
      <c r="N61" s="65"/>
      <c r="O61" s="65"/>
    </row>
    <row r="62" spans="2:15">
      <c r="B62" s="65"/>
      <c r="C62" s="66"/>
      <c r="D62" s="66"/>
      <c r="E62" s="66"/>
      <c r="F62" s="66"/>
      <c r="G62" s="66"/>
      <c r="H62" s="66"/>
      <c r="I62" s="66"/>
      <c r="J62" s="66"/>
      <c r="K62" s="65"/>
      <c r="L62" s="65"/>
      <c r="M62" s="65"/>
      <c r="N62" s="65"/>
      <c r="O62" s="65"/>
    </row>
    <row r="63" spans="2:15">
      <c r="B63" s="65"/>
      <c r="C63" s="66"/>
      <c r="D63" s="66"/>
      <c r="E63" s="66"/>
      <c r="F63" s="66"/>
      <c r="G63" s="66"/>
      <c r="H63" s="66"/>
      <c r="I63" s="66"/>
      <c r="J63" s="66"/>
      <c r="K63" s="65"/>
      <c r="L63" s="65"/>
      <c r="M63" s="65"/>
      <c r="N63" s="65"/>
      <c r="O63" s="65"/>
    </row>
    <row r="64" spans="2:15">
      <c r="B64" s="65"/>
      <c r="C64" s="66"/>
      <c r="D64" s="66"/>
      <c r="E64" s="66"/>
      <c r="F64" s="66"/>
      <c r="G64" s="66"/>
      <c r="H64" s="66"/>
      <c r="I64" s="66"/>
      <c r="J64" s="66"/>
      <c r="K64" s="65"/>
      <c r="L64" s="65"/>
      <c r="M64" s="65"/>
      <c r="N64" s="65"/>
      <c r="O64" s="65"/>
    </row>
    <row r="65" spans="2:15">
      <c r="B65" s="65"/>
      <c r="C65" s="66"/>
      <c r="D65" s="66"/>
      <c r="E65" s="66"/>
      <c r="F65" s="66"/>
      <c r="G65" s="66"/>
      <c r="H65" s="66"/>
      <c r="I65" s="66"/>
      <c r="J65" s="66"/>
      <c r="K65" s="65"/>
      <c r="L65" s="65"/>
      <c r="M65" s="65"/>
      <c r="N65" s="65"/>
      <c r="O65" s="65"/>
    </row>
    <row r="66" spans="2:15">
      <c r="B66" s="65"/>
      <c r="C66" s="66"/>
      <c r="D66" s="66"/>
      <c r="E66" s="66"/>
      <c r="F66" s="66"/>
      <c r="G66" s="66"/>
      <c r="H66" s="66"/>
      <c r="I66" s="66"/>
      <c r="J66" s="66"/>
      <c r="K66" s="65"/>
      <c r="L66" s="65"/>
      <c r="M66" s="65"/>
      <c r="N66" s="65"/>
      <c r="O66" s="65"/>
    </row>
    <row r="67" spans="2:15">
      <c r="B67" s="65"/>
      <c r="C67" s="66"/>
      <c r="D67" s="66"/>
      <c r="E67" s="66"/>
      <c r="F67" s="66"/>
      <c r="G67" s="66"/>
      <c r="H67" s="66"/>
      <c r="I67" s="66"/>
      <c r="J67" s="66"/>
      <c r="K67" s="65"/>
    </row>
    <row r="68" spans="2:15">
      <c r="B68" s="65"/>
      <c r="C68" s="66"/>
      <c r="D68" s="66"/>
      <c r="E68" s="66"/>
      <c r="F68" s="66"/>
      <c r="G68" s="66"/>
      <c r="H68" s="66"/>
      <c r="I68" s="66"/>
      <c r="J68" s="66"/>
      <c r="K68" s="65"/>
    </row>
    <row r="69" spans="2:15">
      <c r="B69" s="65"/>
      <c r="C69" s="66"/>
      <c r="D69" s="66"/>
      <c r="E69" s="66"/>
      <c r="F69" s="66"/>
      <c r="G69" s="66"/>
      <c r="H69" s="66"/>
      <c r="I69" s="66"/>
      <c r="J69" s="66"/>
      <c r="K69" s="65"/>
    </row>
    <row r="70" spans="2:15">
      <c r="B70" s="65"/>
      <c r="C70" s="66"/>
      <c r="D70" s="66"/>
      <c r="E70" s="66"/>
      <c r="F70" s="66"/>
      <c r="G70" s="66"/>
      <c r="H70" s="66"/>
      <c r="I70" s="66"/>
      <c r="J70" s="66"/>
      <c r="K70" s="65"/>
    </row>
    <row r="71" spans="2:15">
      <c r="B71" s="65"/>
      <c r="C71" s="66"/>
      <c r="D71" s="66"/>
      <c r="E71" s="66"/>
      <c r="F71" s="66"/>
      <c r="G71" s="66"/>
      <c r="H71" s="66"/>
      <c r="I71" s="66"/>
      <c r="J71" s="66"/>
      <c r="K71" s="65"/>
    </row>
    <row r="72" spans="2:15">
      <c r="B72" s="65"/>
      <c r="C72" s="66"/>
      <c r="D72" s="66"/>
      <c r="E72" s="66"/>
      <c r="F72" s="66"/>
      <c r="G72" s="66"/>
      <c r="H72" s="66"/>
      <c r="I72" s="66"/>
      <c r="J72" s="66"/>
      <c r="K72" s="65"/>
    </row>
    <row r="73" spans="2:15">
      <c r="B73" s="65"/>
      <c r="C73" s="66"/>
      <c r="D73" s="66"/>
      <c r="E73" s="66"/>
      <c r="F73" s="66"/>
      <c r="G73" s="66"/>
      <c r="H73" s="66"/>
      <c r="I73" s="66"/>
      <c r="J73" s="66"/>
      <c r="K73" s="65"/>
    </row>
    <row r="74" spans="2:15">
      <c r="B74" s="65"/>
      <c r="C74" s="66"/>
      <c r="D74" s="66"/>
      <c r="E74" s="66"/>
      <c r="F74" s="66"/>
      <c r="G74" s="66"/>
      <c r="H74" s="66"/>
      <c r="I74" s="66"/>
      <c r="J74" s="66"/>
      <c r="K74" s="65"/>
    </row>
  </sheetData>
  <mergeCells count="8">
    <mergeCell ref="A1:B1"/>
    <mergeCell ref="C1:J1"/>
    <mergeCell ref="A2:B2"/>
    <mergeCell ref="C2:J2"/>
    <mergeCell ref="A3:B3"/>
    <mergeCell ref="J3:J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 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'2026年'!Print_Area</vt:lpstr>
      <vt:lpstr>'2027年 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2022-08-10T06:49:55Z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