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510" windowWidth="18525" windowHeight="618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'2022年'!$A$1:$G$48</definedName>
    <definedName name="_xlnm.Print_Area" localSheetId="4">'2023年'!$A$1:$G$48</definedName>
    <definedName name="_xlnm.Print_Area" localSheetId="5">'2024年'!$A$1:$G$48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F7" i="61" l="1"/>
  <c r="F6" i="61"/>
  <c r="F5" i="61"/>
  <c r="F4" i="61"/>
  <c r="F51" i="50" l="1"/>
  <c r="C43" i="50"/>
  <c r="C30" i="50"/>
  <c r="F38" i="50"/>
  <c r="F24" i="50"/>
  <c r="C16" i="50"/>
  <c r="F10" i="50"/>
  <c r="G15" i="51" l="1"/>
  <c r="F113" i="50" l="1"/>
  <c r="F100" i="50"/>
  <c r="F87" i="50"/>
  <c r="F74" i="50"/>
  <c r="F61" i="50"/>
  <c r="F48" i="50"/>
  <c r="F35" i="50"/>
  <c r="F21" i="50"/>
  <c r="F8" i="61" l="1"/>
  <c r="E4" i="53" l="1"/>
  <c r="F4" i="53"/>
  <c r="G4" i="53"/>
  <c r="E5" i="53"/>
  <c r="F5" i="53"/>
  <c r="G5" i="53"/>
  <c r="D5" i="53"/>
  <c r="D4" i="53"/>
  <c r="I109" i="50"/>
  <c r="I96" i="50"/>
  <c r="I83" i="50"/>
  <c r="I70" i="50"/>
  <c r="I57" i="50"/>
  <c r="I44" i="50"/>
  <c r="H114" i="50"/>
  <c r="I113" i="50"/>
  <c r="H113" i="50"/>
  <c r="H101" i="50"/>
  <c r="I100" i="50"/>
  <c r="H100" i="50"/>
  <c r="H88" i="50"/>
  <c r="I87" i="50"/>
  <c r="H87" i="50"/>
  <c r="E100" i="50" l="1"/>
  <c r="E102" i="50"/>
  <c r="E101" i="50"/>
  <c r="E98" i="50"/>
  <c r="E99" i="50"/>
  <c r="E103" i="50"/>
  <c r="E111" i="50"/>
  <c r="E115" i="50"/>
  <c r="E112" i="50"/>
  <c r="E116" i="50"/>
  <c r="E113" i="50"/>
  <c r="E114" i="50"/>
  <c r="E75" i="50"/>
  <c r="E77" i="50"/>
  <c r="E72" i="50"/>
  <c r="E76" i="50"/>
  <c r="E73" i="50"/>
  <c r="E74" i="50"/>
  <c r="E61" i="50"/>
  <c r="E59" i="50"/>
  <c r="E62" i="50"/>
  <c r="E60" i="50"/>
  <c r="E64" i="50"/>
  <c r="E63" i="50"/>
  <c r="E85" i="50"/>
  <c r="E89" i="50"/>
  <c r="E86" i="50"/>
  <c r="E88" i="50"/>
  <c r="E87" i="50"/>
  <c r="E47" i="50"/>
  <c r="E48" i="50"/>
  <c r="E49" i="50"/>
  <c r="E51" i="50"/>
  <c r="E46" i="50"/>
  <c r="F43" i="43" s="1"/>
  <c r="E50" i="50"/>
  <c r="F44" i="43" s="1"/>
  <c r="E52" i="50"/>
  <c r="E117" i="50"/>
  <c r="E97" i="50"/>
  <c r="E91" i="50"/>
  <c r="E104" i="50"/>
  <c r="E84" i="50"/>
  <c r="E90" i="50"/>
  <c r="E110" i="50"/>
  <c r="I21" i="59"/>
  <c r="I21" i="58"/>
  <c r="E31" i="57"/>
  <c r="F31" i="57"/>
  <c r="E6" i="57"/>
  <c r="E7" i="57" s="1"/>
  <c r="F6" i="57"/>
  <c r="F7" i="57" s="1"/>
  <c r="E3" i="57"/>
  <c r="F3" i="57"/>
  <c r="E4" i="57"/>
  <c r="F4" i="57"/>
  <c r="E31" i="56"/>
  <c r="F31" i="56"/>
  <c r="E3" i="56"/>
  <c r="F3" i="56"/>
  <c r="E4" i="56"/>
  <c r="F4" i="56"/>
  <c r="E6" i="56"/>
  <c r="F6" i="56"/>
  <c r="F7" i="56" s="1"/>
  <c r="F31" i="43"/>
  <c r="F32" i="43" s="1"/>
  <c r="G8" i="43"/>
  <c r="D6" i="43"/>
  <c r="E6" i="43"/>
  <c r="F6" i="43"/>
  <c r="F7" i="43" s="1"/>
  <c r="D4" i="43"/>
  <c r="E4" i="43"/>
  <c r="F4" i="43"/>
  <c r="F3" i="43"/>
  <c r="D15" i="55"/>
  <c r="E15" i="55"/>
  <c r="F15" i="55"/>
  <c r="G15" i="55"/>
  <c r="H15" i="55"/>
  <c r="I15" i="55"/>
  <c r="J15" i="55"/>
  <c r="K15" i="55"/>
  <c r="F44" i="57" l="1"/>
  <c r="F44" i="56"/>
  <c r="F43" i="57"/>
  <c r="F43" i="56"/>
  <c r="F7" i="50" l="1"/>
  <c r="D33" i="53" l="1"/>
  <c r="F33" i="53"/>
  <c r="G33" i="53"/>
  <c r="E7" i="61" l="1"/>
  <c r="G7" i="61" s="1"/>
  <c r="H7" i="61" s="1"/>
  <c r="E44" i="53"/>
  <c r="F44" i="53" s="1"/>
  <c r="G44" i="53" s="1"/>
  <c r="E43" i="53"/>
  <c r="F43" i="53" s="1"/>
  <c r="G43" i="53" s="1"/>
  <c r="E6" i="61"/>
  <c r="G6" i="61" s="1"/>
  <c r="H6" i="61" s="1"/>
  <c r="E41" i="53"/>
  <c r="F41" i="53" s="1"/>
  <c r="G41" i="53" s="1"/>
  <c r="E4" i="61"/>
  <c r="D6" i="59"/>
  <c r="D7" i="59" s="1"/>
  <c r="E6" i="59"/>
  <c r="E7" i="59" s="1"/>
  <c r="F6" i="59"/>
  <c r="F12" i="59" s="1"/>
  <c r="G6" i="59"/>
  <c r="H6" i="59"/>
  <c r="H7" i="59" s="1"/>
  <c r="C6" i="59"/>
  <c r="H75" i="50"/>
  <c r="I74" i="50"/>
  <c r="H74" i="50"/>
  <c r="H62" i="50"/>
  <c r="I61" i="50"/>
  <c r="H61" i="50"/>
  <c r="H49" i="50"/>
  <c r="I48" i="50"/>
  <c r="H48" i="50"/>
  <c r="I31" i="50"/>
  <c r="H36" i="50"/>
  <c r="I35" i="50"/>
  <c r="H35" i="50"/>
  <c r="I17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3" i="57"/>
  <c r="D4" i="57"/>
  <c r="D6" i="57"/>
  <c r="D7" i="57" s="1"/>
  <c r="D31" i="57"/>
  <c r="D31" i="56"/>
  <c r="D3" i="56"/>
  <c r="D4" i="56"/>
  <c r="D6" i="56"/>
  <c r="E7" i="56"/>
  <c r="G4" i="61" l="1"/>
  <c r="E10" i="50"/>
  <c r="E5" i="50"/>
  <c r="C43" i="43" s="1"/>
  <c r="E9" i="50"/>
  <c r="C44" i="43" s="1"/>
  <c r="E22" i="50"/>
  <c r="E24" i="50"/>
  <c r="E23" i="50"/>
  <c r="D44" i="43" s="1"/>
  <c r="E25" i="50"/>
  <c r="E20" i="50"/>
  <c r="D37" i="43" s="1"/>
  <c r="E21" i="50"/>
  <c r="E19" i="50"/>
  <c r="D43" i="43" s="1"/>
  <c r="E33" i="50"/>
  <c r="E43" i="43" s="1"/>
  <c r="E37" i="50"/>
  <c r="E44" i="43" s="1"/>
  <c r="E36" i="50"/>
  <c r="E34" i="50"/>
  <c r="E38" i="50"/>
  <c r="E38" i="43" s="1"/>
  <c r="E35" i="50"/>
  <c r="E39" i="50"/>
  <c r="H33" i="59"/>
  <c r="H33" i="58"/>
  <c r="E71" i="50"/>
  <c r="E78" i="50"/>
  <c r="G22" i="59"/>
  <c r="F38" i="43"/>
  <c r="E45" i="50"/>
  <c r="F36" i="43" s="1"/>
  <c r="F45" i="43"/>
  <c r="F37" i="43"/>
  <c r="F47" i="43"/>
  <c r="E13" i="59"/>
  <c r="E37" i="43"/>
  <c r="E32" i="50"/>
  <c r="E36" i="43" s="1"/>
  <c r="E45" i="43"/>
  <c r="E47" i="43"/>
  <c r="E65" i="50"/>
  <c r="E58" i="50"/>
  <c r="E7" i="50"/>
  <c r="E6" i="50"/>
  <c r="E4" i="50"/>
  <c r="C36" i="43" s="1"/>
  <c r="C36" i="56" s="1"/>
  <c r="E8" i="50"/>
  <c r="C45" i="43" s="1"/>
  <c r="E11" i="50"/>
  <c r="D45" i="43"/>
  <c r="D38" i="43"/>
  <c r="D47" i="43"/>
  <c r="E18" i="50"/>
  <c r="D36" i="43" s="1"/>
  <c r="I6" i="59"/>
  <c r="E7" i="58"/>
  <c r="F11" i="59"/>
  <c r="D22" i="58"/>
  <c r="H22" i="58"/>
  <c r="E22" i="59"/>
  <c r="H22" i="59"/>
  <c r="D22" i="59"/>
  <c r="H12" i="59"/>
  <c r="D12" i="59"/>
  <c r="E11" i="59"/>
  <c r="F19" i="57"/>
  <c r="E19" i="59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F19" i="56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H4" i="61" l="1"/>
  <c r="E44" i="57"/>
  <c r="E19" i="57" s="1"/>
  <c r="E44" i="56"/>
  <c r="E19" i="56" s="1"/>
  <c r="E43" i="57"/>
  <c r="E43" i="56"/>
  <c r="D43" i="57"/>
  <c r="D43" i="56"/>
  <c r="D44" i="57"/>
  <c r="D19" i="57" s="1"/>
  <c r="D44" i="56"/>
  <c r="D19" i="56" s="1"/>
  <c r="F36" i="57"/>
  <c r="F11" i="57" s="1"/>
  <c r="F36" i="56"/>
  <c r="F11" i="56" s="1"/>
  <c r="F37" i="57"/>
  <c r="F12" i="57" s="1"/>
  <c r="F37" i="56"/>
  <c r="F12" i="56" s="1"/>
  <c r="F45" i="57"/>
  <c r="F45" i="56"/>
  <c r="F38" i="57"/>
  <c r="F13" i="57" s="1"/>
  <c r="F14" i="57" s="1"/>
  <c r="F38" i="56"/>
  <c r="F13" i="56" s="1"/>
  <c r="E37" i="56"/>
  <c r="E12" i="56" s="1"/>
  <c r="E37" i="57"/>
  <c r="E12" i="57" s="1"/>
  <c r="E45" i="56"/>
  <c r="E45" i="57"/>
  <c r="E38" i="57"/>
  <c r="E13" i="57" s="1"/>
  <c r="E38" i="56"/>
  <c r="E13" i="56" s="1"/>
  <c r="E36" i="56"/>
  <c r="E11" i="56" s="1"/>
  <c r="E36" i="57"/>
  <c r="E11" i="57" s="1"/>
  <c r="D45" i="56"/>
  <c r="D45" i="57"/>
  <c r="D38" i="56"/>
  <c r="D13" i="56" s="1"/>
  <c r="D38" i="57"/>
  <c r="D13" i="57" s="1"/>
  <c r="D37" i="57"/>
  <c r="D12" i="57" s="1"/>
  <c r="D37" i="56"/>
  <c r="D12" i="56" s="1"/>
  <c r="D36" i="56"/>
  <c r="D11" i="56" s="1"/>
  <c r="D36" i="57"/>
  <c r="D11" i="57" s="1"/>
  <c r="F47" i="57"/>
  <c r="F22" i="57" s="1"/>
  <c r="F47" i="56"/>
  <c r="F22" i="56" s="1"/>
  <c r="E47" i="56"/>
  <c r="E22" i="56" s="1"/>
  <c r="E47" i="57"/>
  <c r="E22" i="57" s="1"/>
  <c r="D47" i="56"/>
  <c r="D22" i="56" s="1"/>
  <c r="D47" i="57"/>
  <c r="D22" i="57" s="1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H10" i="59"/>
  <c r="E14" i="58"/>
  <c r="D14" i="59"/>
  <c r="H14" i="59"/>
  <c r="E14" i="59"/>
  <c r="F14" i="58"/>
  <c r="G14" i="58"/>
  <c r="D14" i="58"/>
  <c r="H14" i="58"/>
  <c r="G14" i="59"/>
  <c r="D14" i="57" l="1"/>
  <c r="E14" i="56"/>
  <c r="D14" i="56"/>
  <c r="F14" i="56"/>
  <c r="E14" i="57"/>
  <c r="H10" i="58" l="1"/>
  <c r="D31" i="43"/>
  <c r="D32" i="43" s="1"/>
  <c r="E31" i="43"/>
  <c r="E32" i="43" s="1"/>
  <c r="E3" i="43"/>
  <c r="D3" i="43"/>
  <c r="N7" i="55"/>
  <c r="N8" i="55" s="1"/>
  <c r="L10" i="55"/>
  <c r="L11" i="55"/>
  <c r="L12" i="55"/>
  <c r="L13" i="55"/>
  <c r="L14" i="55"/>
  <c r="C15" i="55"/>
  <c r="E12" i="43" l="1"/>
  <c r="E7" i="43"/>
  <c r="E9" i="43" s="1"/>
  <c r="E22" i="43"/>
  <c r="E13" i="43"/>
  <c r="F19" i="43"/>
  <c r="F11" i="43"/>
  <c r="D22" i="43"/>
  <c r="D13" i="43"/>
  <c r="D19" i="43"/>
  <c r="D12" i="43"/>
  <c r="D11" i="43"/>
  <c r="D20" i="43"/>
  <c r="F20" i="43"/>
  <c r="F9" i="43"/>
  <c r="F22" i="43"/>
  <c r="E19" i="43"/>
  <c r="D7" i="43"/>
  <c r="D9" i="43" s="1"/>
  <c r="F13" i="43"/>
  <c r="F12" i="43"/>
  <c r="E11" i="43"/>
  <c r="E20" i="43"/>
  <c r="E14" i="43" l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B9" i="51"/>
  <c r="O8" i="55" l="1"/>
  <c r="N9" i="55"/>
  <c r="O7" i="55"/>
  <c r="C31" i="59"/>
  <c r="C6" i="58"/>
  <c r="C31" i="58"/>
  <c r="C6" i="57"/>
  <c r="G6" i="57" s="1"/>
  <c r="C31" i="57"/>
  <c r="C6" i="56"/>
  <c r="G6" i="56" s="1"/>
  <c r="C31" i="56"/>
  <c r="E8" i="56" l="1"/>
  <c r="E9" i="56" s="1"/>
  <c r="E32" i="56" s="1"/>
  <c r="D8" i="56"/>
  <c r="D9" i="56" s="1"/>
  <c r="F8" i="56"/>
  <c r="F9" i="56" s="1"/>
  <c r="F32" i="56" s="1"/>
  <c r="E8" i="57"/>
  <c r="E9" i="57" s="1"/>
  <c r="E32" i="57" s="1"/>
  <c r="D8" i="57"/>
  <c r="D9" i="57" s="1"/>
  <c r="F8" i="57"/>
  <c r="F9" i="57" s="1"/>
  <c r="F32" i="57" s="1"/>
  <c r="E3" i="2"/>
  <c r="I6" i="58"/>
  <c r="D3" i="2"/>
  <c r="C7" i="56"/>
  <c r="G7" i="56" s="1"/>
  <c r="C7" i="57"/>
  <c r="G7" i="57" s="1"/>
  <c r="C7" i="58"/>
  <c r="I7" i="58" s="1"/>
  <c r="C38" i="43"/>
  <c r="C38" i="56" s="1"/>
  <c r="C19" i="59"/>
  <c r="I19" i="59" s="1"/>
  <c r="C37" i="43"/>
  <c r="C37" i="56" s="1"/>
  <c r="O9" i="55"/>
  <c r="N10" i="55"/>
  <c r="O10" i="55" s="1"/>
  <c r="C7" i="59"/>
  <c r="I7" i="59" s="1"/>
  <c r="C11" i="58"/>
  <c r="I11" i="58" s="1"/>
  <c r="C11" i="56"/>
  <c r="G11" i="56" s="1"/>
  <c r="C13" i="56" l="1"/>
  <c r="G13" i="56" s="1"/>
  <c r="C38" i="57"/>
  <c r="C13" i="57" s="1"/>
  <c r="C38" i="58"/>
  <c r="C13" i="58" s="1"/>
  <c r="I13" i="58" s="1"/>
  <c r="C38" i="59"/>
  <c r="C13" i="59" s="1"/>
  <c r="I13" i="59" s="1"/>
  <c r="C12" i="56"/>
  <c r="G12" i="56" s="1"/>
  <c r="C37" i="58"/>
  <c r="C12" i="58" s="1"/>
  <c r="I12" i="58" s="1"/>
  <c r="C37" i="59"/>
  <c r="C12" i="59" s="1"/>
  <c r="I12" i="59" s="1"/>
  <c r="C37" i="57"/>
  <c r="C12" i="57" s="1"/>
  <c r="G12" i="57" s="1"/>
  <c r="E8" i="59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C8" i="56"/>
  <c r="D4" i="2"/>
  <c r="E4" i="2"/>
  <c r="C8" i="57"/>
  <c r="G8" i="57" s="1"/>
  <c r="C8" i="58"/>
  <c r="C11" i="57"/>
  <c r="G11" i="57" s="1"/>
  <c r="D8" i="2"/>
  <c r="D34" i="2" s="1"/>
  <c r="C19" i="58"/>
  <c r="I19" i="58" s="1"/>
  <c r="C19" i="57"/>
  <c r="G19" i="57" s="1"/>
  <c r="C11" i="59"/>
  <c r="C19" i="56"/>
  <c r="G19" i="56" s="1"/>
  <c r="C8" i="59"/>
  <c r="G13" i="57" l="1"/>
  <c r="E10" i="2" s="1"/>
  <c r="E36" i="2" s="1"/>
  <c r="C9" i="56"/>
  <c r="G9" i="56" s="1"/>
  <c r="D6" i="2" s="1"/>
  <c r="D29" i="2" s="1"/>
  <c r="G8" i="56"/>
  <c r="D5" i="2" s="1"/>
  <c r="F20" i="56"/>
  <c r="E32" i="58"/>
  <c r="H32" i="58"/>
  <c r="H15" i="58"/>
  <c r="H16" i="58" s="1"/>
  <c r="F32" i="59"/>
  <c r="E32" i="59"/>
  <c r="I8" i="59"/>
  <c r="I8" i="58"/>
  <c r="E20" i="56"/>
  <c r="D20" i="56"/>
  <c r="D32" i="58"/>
  <c r="F32" i="58"/>
  <c r="D32" i="59"/>
  <c r="D20" i="57"/>
  <c r="F20" i="57"/>
  <c r="G32" i="58"/>
  <c r="E20" i="57"/>
  <c r="G32" i="59"/>
  <c r="H32" i="59"/>
  <c r="H15" i="59"/>
  <c r="H16" i="59" s="1"/>
  <c r="C14" i="59"/>
  <c r="I14" i="59" s="1"/>
  <c r="I11" i="59"/>
  <c r="C9" i="57"/>
  <c r="G9" i="57" s="1"/>
  <c r="E5" i="2"/>
  <c r="E8" i="2"/>
  <c r="E34" i="2" s="1"/>
  <c r="C14" i="56"/>
  <c r="G14" i="56" s="1"/>
  <c r="C9" i="58"/>
  <c r="I9" i="58" s="1"/>
  <c r="C14" i="57"/>
  <c r="G14" i="57" s="1"/>
  <c r="C14" i="58"/>
  <c r="I14" i="58" s="1"/>
  <c r="E16" i="2"/>
  <c r="D10" i="2"/>
  <c r="D36" i="2" s="1"/>
  <c r="D16" i="2"/>
  <c r="C9" i="59"/>
  <c r="I9" i="59" s="1"/>
  <c r="C32" i="56" l="1"/>
  <c r="C20" i="56" s="1"/>
  <c r="E42" i="2"/>
  <c r="D47" i="2"/>
  <c r="D42" i="2"/>
  <c r="G20" i="59"/>
  <c r="D20" i="59"/>
  <c r="F20" i="59"/>
  <c r="E20" i="58"/>
  <c r="G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G20" i="57" s="1"/>
  <c r="E6" i="2"/>
  <c r="E29" i="2" s="1"/>
  <c r="C32" i="58"/>
  <c r="C20" i="58" s="1"/>
  <c r="C32" i="59"/>
  <c r="E47" i="2" l="1"/>
  <c r="I20" i="58"/>
  <c r="E17" i="2"/>
  <c r="C20" i="59"/>
  <c r="I20" i="59" s="1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H8" i="50" l="1"/>
  <c r="I7" i="50"/>
  <c r="E33" i="53" l="1"/>
  <c r="L9" i="55"/>
  <c r="L15" i="55" s="1"/>
  <c r="G22" i="51"/>
  <c r="B27" i="5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E42" i="53" l="1"/>
  <c r="F42" i="53" s="1"/>
  <c r="G42" i="53" s="1"/>
  <c r="E5" i="61"/>
  <c r="C56" i="2"/>
  <c r="D27" i="51"/>
  <c r="F33" i="56"/>
  <c r="E10" i="36"/>
  <c r="E17" i="36" s="1"/>
  <c r="E19" i="36" s="1"/>
  <c r="C47" i="56"/>
  <c r="C22" i="56" s="1"/>
  <c r="G22" i="56" s="1"/>
  <c r="D19" i="2" s="1"/>
  <c r="D51" i="2" s="1"/>
  <c r="C47" i="58"/>
  <c r="C22" i="58" s="1"/>
  <c r="I22" i="58" s="1"/>
  <c r="C47" i="59"/>
  <c r="C22" i="59" s="1"/>
  <c r="I22" i="59" s="1"/>
  <c r="C47" i="57"/>
  <c r="C22" i="57" s="1"/>
  <c r="C33" i="59"/>
  <c r="C10" i="59"/>
  <c r="E33" i="58"/>
  <c r="G33" i="58"/>
  <c r="G34" i="58" s="1"/>
  <c r="G40" i="58" s="1"/>
  <c r="F33" i="58"/>
  <c r="F34" i="58" s="1"/>
  <c r="F40" i="58" s="1"/>
  <c r="D33" i="58"/>
  <c r="E33" i="43"/>
  <c r="E10" i="43"/>
  <c r="K10" i="36"/>
  <c r="K17" i="36" s="1"/>
  <c r="K19" i="36" s="1"/>
  <c r="F33" i="43"/>
  <c r="F10" i="43"/>
  <c r="D33" i="43"/>
  <c r="D10" i="43"/>
  <c r="C22" i="43"/>
  <c r="G22" i="43" s="1"/>
  <c r="C3" i="2"/>
  <c r="F3" i="2" s="1"/>
  <c r="C19" i="43"/>
  <c r="G19" i="43" s="1"/>
  <c r="C10" i="56"/>
  <c r="C33" i="43"/>
  <c r="C34" i="43" s="1"/>
  <c r="C40" i="43" s="1"/>
  <c r="C7" i="43"/>
  <c r="G7" i="43" s="1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G11" i="43" s="1"/>
  <c r="C12" i="43"/>
  <c r="G12" i="43" s="1"/>
  <c r="C13" i="43"/>
  <c r="G13" i="43" s="1"/>
  <c r="C20" i="43"/>
  <c r="G20" i="43" s="1"/>
  <c r="G5" i="61" l="1"/>
  <c r="E8" i="61"/>
  <c r="J26" i="51"/>
  <c r="D26" i="51"/>
  <c r="G18" i="56" s="1"/>
  <c r="G22" i="57"/>
  <c r="E19" i="2" s="1"/>
  <c r="E51" i="2" s="1"/>
  <c r="G10" i="43"/>
  <c r="C7" i="2" s="1"/>
  <c r="C30" i="2" s="1"/>
  <c r="G33" i="59"/>
  <c r="G34" i="59" s="1"/>
  <c r="G40" i="59" s="1"/>
  <c r="G10" i="59"/>
  <c r="E33" i="59"/>
  <c r="E34" i="59" s="1"/>
  <c r="E40" i="59" s="1"/>
  <c r="E10" i="59"/>
  <c r="C57" i="2"/>
  <c r="C55" i="2" s="1"/>
  <c r="F10" i="59"/>
  <c r="F33" i="59"/>
  <c r="F34" i="59" s="1"/>
  <c r="F40" i="59" s="1"/>
  <c r="D10" i="59"/>
  <c r="D33" i="59"/>
  <c r="D34" i="59" s="1"/>
  <c r="D40" i="59" s="1"/>
  <c r="F34" i="56"/>
  <c r="F40" i="56" s="1"/>
  <c r="F10" i="56"/>
  <c r="F15" i="56" s="1"/>
  <c r="F16" i="56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G9" i="43" s="1"/>
  <c r="C4" i="2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G14" i="43" s="1"/>
  <c r="G17" i="36"/>
  <c r="G19" i="36" s="1"/>
  <c r="E23" i="36"/>
  <c r="C18" i="36"/>
  <c r="D18" i="36" s="1"/>
  <c r="E18" i="36" s="1"/>
  <c r="C19" i="36"/>
  <c r="M10" i="36"/>
  <c r="D19" i="36"/>
  <c r="E22" i="36"/>
  <c r="H17" i="36"/>
  <c r="H19" i="36" s="1"/>
  <c r="G21" i="56"/>
  <c r="G21" i="57"/>
  <c r="C17" i="2"/>
  <c r="C43" i="2" s="1"/>
  <c r="C9" i="2"/>
  <c r="C35" i="2" s="1"/>
  <c r="G21" i="43"/>
  <c r="E27" i="51"/>
  <c r="F27" i="51" s="1"/>
  <c r="M17" i="36"/>
  <c r="H5" i="61" l="1"/>
  <c r="G8" i="61"/>
  <c r="H8" i="61" s="1"/>
  <c r="D60" i="2"/>
  <c r="G10" i="56"/>
  <c r="D7" i="2" s="1"/>
  <c r="D30" i="2" s="1"/>
  <c r="I18" i="59"/>
  <c r="E18" i="59" s="1"/>
  <c r="E17" i="59" s="1"/>
  <c r="I18" i="58"/>
  <c r="D28" i="51"/>
  <c r="E26" i="51"/>
  <c r="F26" i="51" s="1"/>
  <c r="F28" i="51" s="1"/>
  <c r="G18" i="57"/>
  <c r="G18" i="43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F9" i="2"/>
  <c r="F35" i="2" s="1"/>
  <c r="I22" i="36"/>
  <c r="E33" i="57"/>
  <c r="E34" i="57" s="1"/>
  <c r="E40" i="57" s="1"/>
  <c r="E10" i="57"/>
  <c r="E15" i="57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I23" i="36"/>
  <c r="F46" i="58"/>
  <c r="F48" i="58" s="1"/>
  <c r="H46" i="58"/>
  <c r="H48" i="58" s="1"/>
  <c r="D46" i="58"/>
  <c r="E46" i="58"/>
  <c r="G46" i="58"/>
  <c r="G48" i="58" s="1"/>
  <c r="D21" i="56"/>
  <c r="E21" i="56"/>
  <c r="E46" i="56" s="1"/>
  <c r="E48" i="56" s="1"/>
  <c r="F21" i="56"/>
  <c r="F46" i="56" s="1"/>
  <c r="F48" i="56" s="1"/>
  <c r="C21" i="43"/>
  <c r="D21" i="43"/>
  <c r="D46" i="43" s="1"/>
  <c r="D48" i="43" s="1"/>
  <c r="E21" i="43"/>
  <c r="E46" i="43" s="1"/>
  <c r="F21" i="43"/>
  <c r="F46" i="43" s="1"/>
  <c r="D21" i="59"/>
  <c r="H21" i="59"/>
  <c r="E21" i="59"/>
  <c r="G21" i="59"/>
  <c r="F21" i="59"/>
  <c r="G18" i="59"/>
  <c r="G17" i="59" s="1"/>
  <c r="D18" i="59"/>
  <c r="D17" i="59" s="1"/>
  <c r="E21" i="57"/>
  <c r="E46" i="57" s="1"/>
  <c r="D21" i="57"/>
  <c r="D46" i="57" s="1"/>
  <c r="F21" i="57"/>
  <c r="F46" i="57" s="1"/>
  <c r="D16" i="43"/>
  <c r="E34" i="43"/>
  <c r="E40" i="43" s="1"/>
  <c r="E15" i="43"/>
  <c r="C6" i="2"/>
  <c r="C15" i="56"/>
  <c r="G15" i="56" s="1"/>
  <c r="C18" i="58"/>
  <c r="C17" i="58" s="1"/>
  <c r="C20" i="36"/>
  <c r="D20" i="36" s="1"/>
  <c r="E20" i="36" s="1"/>
  <c r="C16" i="2"/>
  <c r="F16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I27" i="51"/>
  <c r="C19" i="2"/>
  <c r="F19" i="2" s="1"/>
  <c r="C18" i="2"/>
  <c r="F48" i="57" l="1"/>
  <c r="F18" i="59"/>
  <c r="F17" i="59" s="1"/>
  <c r="C18" i="59"/>
  <c r="C17" i="59" s="1"/>
  <c r="C23" i="59" s="1"/>
  <c r="D48" i="57"/>
  <c r="C18" i="43"/>
  <c r="H18" i="59"/>
  <c r="H17" i="59" s="1"/>
  <c r="E48" i="57"/>
  <c r="E60" i="2"/>
  <c r="G10" i="57"/>
  <c r="E7" i="2" s="1"/>
  <c r="E30" i="2" s="1"/>
  <c r="E16" i="57"/>
  <c r="E18" i="58"/>
  <c r="E17" i="58" s="1"/>
  <c r="E23" i="58" s="1"/>
  <c r="D18" i="58"/>
  <c r="D17" i="58" s="1"/>
  <c r="D23" i="58" s="1"/>
  <c r="D24" i="58" s="1"/>
  <c r="D25" i="58" s="1"/>
  <c r="D26" i="58" s="1"/>
  <c r="D27" i="58" s="1"/>
  <c r="E18" i="57"/>
  <c r="E17" i="57" s="1"/>
  <c r="E23" i="57" s="1"/>
  <c r="E24" i="57" s="1"/>
  <c r="E25" i="57" s="1"/>
  <c r="F18" i="58"/>
  <c r="F17" i="58" s="1"/>
  <c r="F23" i="58" s="1"/>
  <c r="G18" i="58"/>
  <c r="G17" i="58" s="1"/>
  <c r="G23" i="58" s="1"/>
  <c r="F18" i="57"/>
  <c r="F17" i="57" s="1"/>
  <c r="F23" i="57" s="1"/>
  <c r="F24" i="57" s="1"/>
  <c r="F25" i="57" s="1"/>
  <c r="H18" i="58"/>
  <c r="H17" i="58" s="1"/>
  <c r="H23" i="58" s="1"/>
  <c r="H24" i="58" s="1"/>
  <c r="H25" i="58" s="1"/>
  <c r="H26" i="58" s="1"/>
  <c r="H27" i="58" s="1"/>
  <c r="C60" i="2"/>
  <c r="C18" i="57"/>
  <c r="C17" i="57" s="1"/>
  <c r="D18" i="57"/>
  <c r="D17" i="57" s="1"/>
  <c r="D23" i="57" s="1"/>
  <c r="D24" i="57" s="1"/>
  <c r="D31" i="2"/>
  <c r="D32" i="2" s="1"/>
  <c r="E28" i="51"/>
  <c r="F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2"/>
  <c r="F18" i="36"/>
  <c r="G18" i="36" s="1"/>
  <c r="H18" i="36" s="1"/>
  <c r="E24" i="36" s="1"/>
  <c r="F10" i="2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E48" i="43"/>
  <c r="C16" i="43"/>
  <c r="E46" i="59"/>
  <c r="E48" i="59" s="1"/>
  <c r="E23" i="59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G46" i="59"/>
  <c r="G48" i="59" s="1"/>
  <c r="G23" i="59"/>
  <c r="D46" i="56"/>
  <c r="D48" i="56" s="1"/>
  <c r="C16" i="56"/>
  <c r="G16" i="56"/>
  <c r="D13" i="2" s="1"/>
  <c r="E16" i="43"/>
  <c r="F34" i="43"/>
  <c r="F40" i="43" s="1"/>
  <c r="F48" i="43" s="1"/>
  <c r="F15" i="43"/>
  <c r="C48" i="57"/>
  <c r="C15" i="57"/>
  <c r="G15" i="57" s="1"/>
  <c r="C33" i="58"/>
  <c r="C34" i="58" s="1"/>
  <c r="C40" i="58" s="1"/>
  <c r="C48" i="58" s="1"/>
  <c r="C23" i="58"/>
  <c r="C11" i="2"/>
  <c r="F11" i="2" s="1"/>
  <c r="C46" i="43"/>
  <c r="C48" i="43" s="1"/>
  <c r="G24" i="59" l="1"/>
  <c r="G17" i="57"/>
  <c r="E14" i="2" s="1"/>
  <c r="E41" i="2" s="1"/>
  <c r="I17" i="58"/>
  <c r="I23" i="58" s="1"/>
  <c r="G28" i="51"/>
  <c r="C23" i="57"/>
  <c r="C24" i="57" s="1"/>
  <c r="E31" i="2"/>
  <c r="E32" i="2" s="1"/>
  <c r="I20" i="36"/>
  <c r="J20" i="36" s="1"/>
  <c r="K20" i="36" s="1"/>
  <c r="L20" i="36" s="1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E24" i="59"/>
  <c r="E25" i="59" s="1"/>
  <c r="E26" i="59" s="1"/>
  <c r="E27" i="59" s="1"/>
  <c r="D34" i="58"/>
  <c r="D40" i="58" s="1"/>
  <c r="D48" i="58" s="1"/>
  <c r="F29" i="2"/>
  <c r="F51" i="2"/>
  <c r="F49" i="2"/>
  <c r="F50" i="2"/>
  <c r="E26" i="57"/>
  <c r="E27" i="57" s="1"/>
  <c r="G25" i="59"/>
  <c r="G26" i="59" s="1"/>
  <c r="G27" i="59" s="1"/>
  <c r="F26" i="57"/>
  <c r="F27" i="57" s="1"/>
  <c r="D12" i="2"/>
  <c r="D38" i="2" s="1"/>
  <c r="F16" i="43"/>
  <c r="G15" i="43"/>
  <c r="C16" i="57"/>
  <c r="C15" i="58"/>
  <c r="I15" i="58" s="1"/>
  <c r="C34" i="59"/>
  <c r="C40" i="59" s="1"/>
  <c r="C48" i="59" s="1"/>
  <c r="H28" i="51"/>
  <c r="I26" i="51"/>
  <c r="F60" i="2" s="1"/>
  <c r="I24" i="58" l="1"/>
  <c r="I25" i="58" s="1"/>
  <c r="G23" i="57"/>
  <c r="G24" i="57" s="1"/>
  <c r="G25" i="57" s="1"/>
  <c r="G26" i="57" s="1"/>
  <c r="G27" i="57" s="1"/>
  <c r="E24" i="2" s="1"/>
  <c r="E48" i="2"/>
  <c r="C25" i="57"/>
  <c r="C26" i="57" s="1"/>
  <c r="C27" i="57" s="1"/>
  <c r="F25" i="58"/>
  <c r="F26" i="58" s="1"/>
  <c r="F27" i="58" s="1"/>
  <c r="F25" i="59"/>
  <c r="F26" i="59" s="1"/>
  <c r="F27" i="59" s="1"/>
  <c r="E34" i="58"/>
  <c r="E40" i="58" s="1"/>
  <c r="E48" i="58" s="1"/>
  <c r="I10" i="59"/>
  <c r="G16" i="43"/>
  <c r="C12" i="2"/>
  <c r="C38" i="2" s="1"/>
  <c r="I16" i="58"/>
  <c r="C16" i="58"/>
  <c r="E12" i="2"/>
  <c r="E38" i="2" s="1"/>
  <c r="G16" i="57"/>
  <c r="E13" i="2" s="1"/>
  <c r="C24" i="58"/>
  <c r="E20" i="2" l="1"/>
  <c r="E39" i="2" s="1"/>
  <c r="E21" i="2"/>
  <c r="E53" i="2" s="1"/>
  <c r="C25" i="58"/>
  <c r="C26" i="58" s="1"/>
  <c r="E22" i="2"/>
  <c r="C15" i="59"/>
  <c r="I15" i="59" s="1"/>
  <c r="F7" i="2"/>
  <c r="C13" i="2"/>
  <c r="E23" i="2"/>
  <c r="I26" i="58" l="1"/>
  <c r="I27" i="58" s="1"/>
  <c r="C27" i="58"/>
  <c r="E52" i="2"/>
  <c r="E59" i="2"/>
  <c r="E58" i="2" s="1"/>
  <c r="C24" i="59"/>
  <c r="C16" i="59"/>
  <c r="F12" i="2"/>
  <c r="F30" i="2"/>
  <c r="F31" i="2" s="1"/>
  <c r="F32" i="2" s="1"/>
  <c r="I16" i="59"/>
  <c r="I24" i="59"/>
  <c r="I25" i="59" s="1"/>
  <c r="C25" i="59" l="1"/>
  <c r="C26" i="59" s="1"/>
  <c r="F13" i="2"/>
  <c r="F38" i="2"/>
  <c r="I26" i="59" l="1"/>
  <c r="C27" i="59"/>
  <c r="E18" i="43"/>
  <c r="E17" i="43" s="1"/>
  <c r="E23" i="43" s="1"/>
  <c r="E24" i="43" s="1"/>
  <c r="D18" i="43"/>
  <c r="D17" i="43" s="1"/>
  <c r="D23" i="43" s="1"/>
  <c r="D24" i="43" s="1"/>
  <c r="D25" i="43" s="1"/>
  <c r="F18" i="43"/>
  <c r="F17" i="43" s="1"/>
  <c r="C17" i="43"/>
  <c r="F23" i="43" l="1"/>
  <c r="F24" i="43" s="1"/>
  <c r="F25" i="43" s="1"/>
  <c r="G17" i="43"/>
  <c r="I27" i="59"/>
  <c r="C23" i="43"/>
  <c r="C24" i="43" s="1"/>
  <c r="C25" i="43" s="1"/>
  <c r="D26" i="43"/>
  <c r="D27" i="43" s="1"/>
  <c r="E25" i="43"/>
  <c r="E26" i="43" s="1"/>
  <c r="E27" i="43" s="1"/>
  <c r="F26" i="43" l="1"/>
  <c r="F27" i="43" s="1"/>
  <c r="G23" i="43"/>
  <c r="G24" i="43" s="1"/>
  <c r="G25" i="43" s="1"/>
  <c r="C14" i="2"/>
  <c r="C26" i="43"/>
  <c r="G26" i="43" l="1"/>
  <c r="G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F18" i="56"/>
  <c r="F17" i="56" s="1"/>
  <c r="F23" i="56" s="1"/>
  <c r="F24" i="56" s="1"/>
  <c r="F25" i="56" s="1"/>
  <c r="C18" i="56"/>
  <c r="C17" i="56" s="1"/>
  <c r="F26" i="56" l="1"/>
  <c r="F27" i="56" s="1"/>
  <c r="E26" i="56"/>
  <c r="E27" i="56" s="1"/>
  <c r="C23" i="56"/>
  <c r="C24" i="56" s="1"/>
  <c r="C25" i="56" s="1"/>
  <c r="G17" i="56"/>
  <c r="D26" i="56"/>
  <c r="D27" i="56" s="1"/>
  <c r="D14" i="2" l="1"/>
  <c r="G23" i="56"/>
  <c r="C26" i="56"/>
  <c r="D48" i="2" l="1"/>
  <c r="D41" i="2"/>
  <c r="C27" i="56"/>
  <c r="G24" i="56"/>
  <c r="G25" i="56" s="1"/>
  <c r="D20" i="2"/>
  <c r="F14" i="2"/>
  <c r="G26" i="56" l="1"/>
  <c r="F20" i="2"/>
  <c r="D39" i="2"/>
  <c r="F41" i="2"/>
  <c r="F48" i="2"/>
  <c r="D21" i="2"/>
  <c r="D53" i="2" s="1"/>
  <c r="D22" i="2" l="1"/>
  <c r="D23" i="2"/>
  <c r="D52" i="2" s="1"/>
  <c r="G27" i="56"/>
  <c r="D24" i="2" s="1"/>
  <c r="F39" i="2"/>
  <c r="F21" i="2"/>
  <c r="F22" i="2" s="1"/>
  <c r="D59" i="2" l="1"/>
  <c r="D58" i="2" s="1"/>
  <c r="F23" i="2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H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<sst xmlns="http://schemas.openxmlformats.org/spreadsheetml/2006/main" count="1431" uniqueCount="297">
  <si>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</si>
  <si>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</si>
  <si>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</si>
  <si>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</si>
  <si>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</si>
  <si>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</si>
  <si>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</si>
  <si>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</si>
  <si>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</si>
  <si>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</si>
  <si>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</si>
  <si>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</si>
  <si>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</si>
  <si>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</si>
  <si>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</si>
  <si>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</si>
  <si>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</si>
  <si>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</si>
  <si>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</si>
  <si>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</si>
  <si>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</si>
  <si>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</si>
  <si>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</si>
  <si>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</si>
  <si>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</si>
  <si>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</si>
  <si>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</si>
  <si>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</si>
  <si>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</si>
  <si>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</si>
  <si>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</si>
  <si>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</si>
  <si>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</si>
  <si>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</si>
  <si>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</si>
  <si>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</si>
  <si>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</si>
  <si>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</si>
  <si>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</si>
  <si>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</si>
  <si>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</si>
  <si>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</si>
  <si>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</si>
  <si>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</si>
  <si>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</si>
  <si>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</si>
  <si>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</si>
  <si>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</si>
  <si>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</si>
  <si>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</si>
  <si>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</si>
  <si>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</si>
  <si>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</si>
  <si>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</si>
  <si>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</si>
  <si>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</si>
  <si>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</si>
  <si>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</si>
  <si>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</si>
  <si>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</si>
  <si>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</si>
  <si>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</si>
  <si>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</si>
  <si>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</si>
  <si>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</si>
  <si>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</si>
  <si>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</si>
  <si>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</si>
  <si>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</si>
  <si>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</si>
  <si>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</si>
  <si>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</si>
  <si>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</si>
  <si>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</si>
  <si>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</si>
  <si>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</si>
  <si>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</si>
  <si>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</si>
  <si>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</si>
  <si>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</si>
  <si>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</si>
  <si>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</si>
  <si>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</si>
  <si>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</si>
  <si>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</si>
  <si>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</si>
  <si>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</si>
  <si>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</si>
  <si>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</si>
  <si>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</si>
  <si>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</si>
  <si>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</si>
  <si>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</si>
  <si>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</si>
  <si>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</si>
  <si>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</si>
  <si>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</si>
  <si>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</si>
  <si>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</si>
  <si>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</si>
  <si>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</si>
  <si>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</si>
  <si>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</si>
  <si>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</si>
  <si>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</si>
  <si>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</si>
  <si>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</si>
  <si>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</si>
  <si>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</si>
  <si>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</si>
  <si>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</si>
  <si>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</si>
  <si>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</si>
  <si>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</si>
  <si>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</si>
  <si>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</si>
  <si>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</si>
  <si>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</si>
  <si>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</si>
  <si>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</si>
  <si>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</si>
  <si>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</si>
  <si>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</si>
  <si>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</si>
  <si>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</si>
  <si>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</si>
  <si>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</si>
  <si>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</si>
  <si>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</si>
  <si>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</si>
  <si>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</si>
  <si>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</si>
  <si>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</si>
  <si>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</si>
  <si>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</si>
  <si>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</si>
  <si>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</si>
  <si>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</si>
  <si>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</si>
  <si>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</si>
  <si>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</si>
  <si>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</si>
  <si>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</si>
  <si>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</si>
  <si>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</si>
  <si>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</si>
  <si>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</si>
  <si>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</si>
  <si>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</si>
  <si>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</si>
  <si>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</si>
  <si>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</si>
  <si>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</si>
  <si>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</si>
  <si>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</si>
  <si>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</si>
  <si>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</si>
  <si>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</si>
  <si>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</si>
  <si>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</si>
  <si>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</si>
  <si>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</si>
  <si>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</si>
  <si>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</si>
  <si>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</si>
  <si>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</si>
  <si>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</si>
  <si>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</si>
  <si>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</si>
  <si>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</si>
  <si>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</si>
  <si>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</si>
  <si>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</si>
  <si>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</si>
  <si>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</si>
  <si>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</si>
  <si>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</si>
  <si>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</si>
  <si>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</si>
  <si>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</si>
  <si>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</si>
  <si>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</si>
  <si>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</si>
  <si>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</si>
  <si>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</si>
  <si>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</si>
  <si>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</si>
  <si>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</si>
  <si>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</si>
  <si>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</si>
  <si>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</si>
  <si>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</si>
  <si>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</si>
  <si>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</si>
  <si>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</si>
  <si>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</si>
  <si>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</si>
  <si>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</si>
  <si>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</si>
  <si>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</si>
  <si>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</si>
  <si>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</si>
  <si>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</si>
  <si>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</si>
  <si>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</si>
  <si>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</si>
  <si>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</si>
  <si>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</si>
  <si>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</si>
  <si>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</si>
  <si>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</si>
  <si>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</si>
  <si>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</si>
  <si>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</si>
  <si>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</si>
  <si>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</si>
  <si>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</si>
  <si>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</si>
  <si>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</si>
  <si>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</si>
  <si>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</si>
  <si>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</si>
  <si>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</si>
  <si>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</si>
  <si>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</si>
  <si>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</si>
  <si>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</si>
  <si>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</si>
  <si>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</si>
  <si>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</si>
  <si>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</si>
  <si>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</si>
  <si>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</si>
  <si>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</si>
  <si>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</si>
  <si>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</si>
  <si>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</si>
  <si>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</si>
  <si>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</si>
  <si>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</si>
  <si>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</si>
  <si>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</si>
  <si>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</si>
  <si>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</si>
  <si>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</si>
  <si>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</si>
  <si>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</si>
  <si>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</si>
  <si>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</si>
  <si>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</si>
  <si>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</si>
  <si>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</si>
  <si>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</si>
  <si>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</si>
  <si>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</si>
  <si>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</si>
  <si>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</si>
  <si>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t xml:space="preserve">    3年</t>
    <phoneticPr fontId="38" type="noConversion"/>
  </si>
  <si>
    <t>配置</t>
    <phoneticPr fontId="38" type="noConversion"/>
  </si>
  <si>
    <t>合计</t>
    <phoneticPr fontId="38" type="noConversion"/>
  </si>
  <si>
    <t>所得税(税率25%）</t>
    <phoneticPr fontId="38" type="noConversion"/>
  </si>
  <si>
    <t>西安工厂平均值</t>
    <phoneticPr fontId="38" type="noConversion"/>
  </si>
  <si>
    <t>变动费用参考西安工厂2021年实际及2022预算暂估。</t>
    <phoneticPr fontId="38" type="noConversion"/>
  </si>
  <si>
    <t xml:space="preserve">EST座椅项目研发费用预算表 </t>
    <phoneticPr fontId="38" type="noConversion"/>
  </si>
  <si>
    <t>福田</t>
    <phoneticPr fontId="38" type="noConversion"/>
  </si>
  <si>
    <r>
      <t xml:space="preserve">EST座椅项目可行性分析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</si>
  <si>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驾驶员座椅</t>
    <phoneticPr fontId="35" type="noConversion"/>
  </si>
  <si>
    <t>驾驶员座椅</t>
    <phoneticPr fontId="35" type="noConversion"/>
  </si>
  <si>
    <t>副驾驶员座椅</t>
    <phoneticPr fontId="35" type="noConversion"/>
  </si>
  <si>
    <t>H568100000139</t>
    <phoneticPr fontId="35" type="noConversion"/>
  </si>
  <si>
    <t>H568100000138</t>
    <phoneticPr fontId="35" type="noConversion"/>
  </si>
  <si>
    <t>H568100000140</t>
    <phoneticPr fontId="35" type="noConversion"/>
  </si>
  <si>
    <t>H568100000141</t>
    <phoneticPr fontId="35" type="noConversion"/>
  </si>
  <si>
    <t>标配，在H468100000096基础上换面料</t>
    <phoneticPr fontId="38" type="noConversion"/>
  </si>
  <si>
    <t>在H468100000096基础上换面料增加电加热功能。</t>
    <phoneticPr fontId="38" type="noConversion"/>
  </si>
  <si>
    <t xml:space="preserve">高配，在H468100000064基础上换面料（通风加热）
</t>
    <phoneticPr fontId="38" type="noConversion"/>
  </si>
  <si>
    <t>三点式安全带座垫翻折、靠背可调</t>
    <phoneticPr fontId="35" type="noConversion"/>
  </si>
  <si>
    <t>河北工厂</t>
  </si>
  <si>
    <t>北京怀柔</t>
    <phoneticPr fontId="35" type="noConversion"/>
  </si>
  <si>
    <t>银行电子承兑汇票、现汇</t>
    <phoneticPr fontId="35" type="noConversion"/>
  </si>
  <si>
    <t>同现有产品</t>
  </si>
  <si>
    <t>开发费分摊情况</t>
    <phoneticPr fontId="35" type="noConversion"/>
  </si>
  <si>
    <t>产品应用场景</t>
    <phoneticPr fontId="35" type="noConversion"/>
  </si>
  <si>
    <t>公路车</t>
    <phoneticPr fontId="35" type="noConversion"/>
  </si>
  <si>
    <t>如是工程车、公路用车？</t>
    <phoneticPr fontId="35" type="noConversion"/>
  </si>
  <si>
    <t>三包周期</t>
    <phoneticPr fontId="35" type="noConversion"/>
  </si>
  <si>
    <t>EST</t>
    <phoneticPr fontId="38" type="noConversion"/>
  </si>
  <si>
    <t>供应商年降：    3  年5%</t>
    <phoneticPr fontId="38" type="noConversion"/>
  </si>
  <si>
    <t>H568100000139</t>
  </si>
  <si>
    <t>H568100000138</t>
  </si>
  <si>
    <t>H568100000140</t>
  </si>
  <si>
    <t>H568100000141</t>
  </si>
  <si>
    <t>材料成本年降汇总表5%</t>
    <phoneticPr fontId="38" type="noConversion"/>
  </si>
  <si>
    <t>河北工厂平均值</t>
    <phoneticPr fontId="38" type="noConversion"/>
  </si>
  <si>
    <t>所得税(税率15%）</t>
    <phoneticPr fontId="38" type="noConversion"/>
  </si>
  <si>
    <t>成本预估由项目经理提供。供应商年度降价。</t>
    <phoneticPr fontId="38" type="noConversion"/>
  </si>
  <si>
    <t>财务费用按集团水平。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</si>
</sst>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0_);[Red]\(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vertical="center" wrapText="1"/>
    </xf>
    <xf numFmtId="0" fontId="41" fillId="0" borderId="1" xfId="0" applyFont="1" applyBorder="1">
      <alignment vertical="center"/>
    </xf>
    <xf numFmtId="0" fontId="41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0" borderId="0" xfId="0" applyFont="1">
      <alignment vertical="center"/>
    </xf>
    <xf numFmtId="43" fontId="2" fillId="7" borderId="0" xfId="0" applyNumberFormat="1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43" fontId="41" fillId="8" borderId="4" xfId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0" fontId="0" fillId="10" borderId="1" xfId="0" applyNumberFormat="1" applyFill="1" applyBorder="1" applyAlignment="1">
      <alignment horizontal="center" vertical="center"/>
    </xf>
    <xf numFmtId="10" fontId="0" fillId="10" borderId="0" xfId="3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49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readingOrder="1"/>
    </xf>
    <xf numFmtId="0" fontId="16" fillId="9" borderId="1" xfId="0" applyFont="1" applyFill="1" applyBorder="1" applyAlignment="1">
      <alignment horizontal="center" vertical="center" wrapText="1" readingOrder="1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/>
    </xf>
    <xf numFmtId="0" fontId="45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43" fontId="24" fillId="0" borderId="1" xfId="1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43" fontId="24" fillId="0" borderId="1" xfId="0" applyNumberFormat="1" applyFont="1" applyBorder="1" applyAlignment="1">
      <alignment horizontal="right" vertical="center"/>
    </xf>
    <xf numFmtId="9" fontId="24" fillId="0" borderId="1" xfId="3" applyFont="1" applyBorder="1" applyAlignment="1">
      <alignment horizontal="right" vertical="center"/>
    </xf>
    <xf numFmtId="43" fontId="24" fillId="0" borderId="1" xfId="1" applyNumberFormat="1" applyFont="1" applyFill="1" applyBorder="1" applyAlignment="1">
      <alignment horizontal="right" vertical="center"/>
    </xf>
    <xf numFmtId="0" fontId="52" fillId="0" borderId="1" xfId="0" applyFont="1" applyBorder="1" applyAlignment="1">
      <alignment horizontal="center" vertical="center" wrapText="1"/>
    </xf>
    <xf numFmtId="43" fontId="53" fillId="0" borderId="1" xfId="1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81" fontId="24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54</xdr:row>
      <xdr:rowOff>9525</xdr:rowOff>
    </xdr:from>
    <xdr:to>
      <xdr:col>11</xdr:col>
      <xdr:colOff>646372</xdr:colOff>
      <xdr:row>71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38" t="s">
        <v>7</v>
      </c>
      <c r="C5" s="144" t="s">
        <v>295</v>
      </c>
    </row>
    <row r="6" spans="1:4" s="139" customFormat="1" ht="33.75" customHeight="1">
      <c r="A6" s="142">
        <v>4</v>
      </c>
      <c r="B6" s="239"/>
      <c r="C6" s="143" t="s">
        <v>8</v>
      </c>
    </row>
    <row r="7" spans="1:4" s="139" customFormat="1" ht="33.75" customHeight="1">
      <c r="A7" s="142">
        <v>5</v>
      </c>
      <c r="B7" s="145" t="s">
        <v>9</v>
      </c>
      <c r="C7" s="143" t="s">
        <v>262</v>
      </c>
    </row>
    <row r="8" spans="1:4" s="139" customFormat="1" ht="33.75" customHeight="1">
      <c r="A8" s="142">
        <v>6</v>
      </c>
      <c r="B8" s="238" t="s">
        <v>10</v>
      </c>
      <c r="C8" s="143" t="s">
        <v>11</v>
      </c>
    </row>
    <row r="9" spans="1:4" s="139" customFormat="1" ht="33.75" customHeight="1">
      <c r="A9" s="142">
        <v>7</v>
      </c>
      <c r="B9" s="239"/>
      <c r="C9" s="143" t="s">
        <v>12</v>
      </c>
    </row>
    <row r="10" spans="1:4" s="139" customFormat="1" ht="33.75" customHeight="1">
      <c r="A10" s="142">
        <v>8</v>
      </c>
      <c r="B10" s="239"/>
      <c r="C10" s="144" t="s">
        <v>296</v>
      </c>
    </row>
    <row r="11" spans="1:4" s="139" customFormat="1" ht="33.75" customHeight="1">
      <c r="A11" s="142">
        <v>9</v>
      </c>
      <c r="B11" s="239"/>
      <c r="C11" s="143" t="s">
        <v>13</v>
      </c>
    </row>
    <row r="12" spans="1:4" s="139" customFormat="1" ht="33.75" customHeight="1">
      <c r="A12" s="142">
        <v>10</v>
      </c>
      <c r="B12" s="145" t="s">
        <v>14</v>
      </c>
      <c r="C12" s="143" t="s">
        <v>15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80" zoomScaleNormal="80" workbookViewId="0">
      <selection activeCell="D21" sqref="D21"/>
    </sheetView>
  </sheetViews>
  <sheetFormatPr defaultColWidth="9" defaultRowHeight="16.5"/>
  <cols>
    <col min="1" max="1" width="14" style="6" customWidth="1"/>
    <col min="2" max="2" width="14.125" style="6" customWidth="1"/>
    <col min="3" max="11" width="18.25" style="6" customWidth="1"/>
    <col min="12" max="12" width="11.625" style="6" customWidth="1"/>
    <col min="13" max="13" width="9.25" style="6" customWidth="1"/>
    <col min="14" max="14" width="9.125" style="6" customWidth="1"/>
    <col min="15" max="16384" width="9" style="6"/>
  </cols>
  <sheetData>
    <row r="1" spans="1:15" ht="29.25" customHeight="1">
      <c r="A1" s="16" t="s">
        <v>191</v>
      </c>
      <c r="E1" s="17"/>
      <c r="F1" s="17"/>
      <c r="G1" s="17"/>
      <c r="H1" s="17"/>
      <c r="I1" s="17"/>
      <c r="J1" s="17"/>
      <c r="K1" s="17"/>
      <c r="L1" s="17"/>
    </row>
    <row r="2" spans="1:15" ht="24" customHeight="1">
      <c r="A2" s="18" t="s">
        <v>192</v>
      </c>
      <c r="E2" s="17"/>
      <c r="F2" s="17"/>
      <c r="G2" s="17"/>
      <c r="H2" s="17"/>
      <c r="I2" s="17"/>
      <c r="J2" s="17"/>
      <c r="K2" s="17"/>
      <c r="L2" s="17"/>
    </row>
    <row r="3" spans="1:15" ht="17.25">
      <c r="C3" s="6" t="s">
        <v>193</v>
      </c>
      <c r="D3" s="9" t="s">
        <v>257</v>
      </c>
      <c r="E3" s="164">
        <v>0.05</v>
      </c>
      <c r="F3" s="164"/>
      <c r="G3" s="164"/>
      <c r="H3" s="164"/>
      <c r="K3" s="220"/>
    </row>
    <row r="4" spans="1:15">
      <c r="K4" s="221"/>
    </row>
    <row r="5" spans="1:15" ht="45" customHeight="1">
      <c r="A5" s="271" t="s">
        <v>194</v>
      </c>
      <c r="B5" s="8" t="s">
        <v>144</v>
      </c>
      <c r="C5" s="210" t="s">
        <v>266</v>
      </c>
      <c r="D5" s="210" t="s">
        <v>267</v>
      </c>
      <c r="E5" s="210" t="s">
        <v>267</v>
      </c>
      <c r="F5" s="210" t="s">
        <v>268</v>
      </c>
      <c r="G5" s="200"/>
      <c r="H5" s="200"/>
      <c r="I5" s="200"/>
      <c r="J5" s="200"/>
      <c r="K5" s="222"/>
      <c r="L5" s="270" t="s">
        <v>18</v>
      </c>
    </row>
    <row r="6" spans="1:15" ht="31.5" customHeight="1">
      <c r="A6" s="271"/>
      <c r="B6" s="8" t="s">
        <v>145</v>
      </c>
      <c r="C6" s="210" t="s">
        <v>269</v>
      </c>
      <c r="D6" s="210" t="s">
        <v>270</v>
      </c>
      <c r="E6" s="210" t="s">
        <v>271</v>
      </c>
      <c r="F6" s="210" t="s">
        <v>272</v>
      </c>
      <c r="G6" s="201"/>
      <c r="H6" s="201"/>
      <c r="I6" s="201"/>
      <c r="J6" s="201"/>
      <c r="K6" s="201"/>
      <c r="L6" s="270"/>
      <c r="N6" s="6">
        <v>100</v>
      </c>
    </row>
    <row r="7" spans="1:15" ht="32.25" customHeight="1">
      <c r="A7" s="271"/>
      <c r="B7" s="20" t="s">
        <v>195</v>
      </c>
      <c r="C7" s="211" t="s">
        <v>273</v>
      </c>
      <c r="D7" s="211" t="s">
        <v>274</v>
      </c>
      <c r="E7" s="211" t="s">
        <v>275</v>
      </c>
      <c r="F7" s="212" t="s">
        <v>276</v>
      </c>
      <c r="G7" s="201"/>
      <c r="H7" s="201"/>
      <c r="I7" s="201"/>
      <c r="J7" s="201"/>
      <c r="K7" s="201"/>
      <c r="L7" s="270"/>
      <c r="N7" s="6">
        <f>N6*(1-$E$3)</f>
        <v>95</v>
      </c>
      <c r="O7" s="6">
        <f>N7/$N$6</f>
        <v>0.95</v>
      </c>
    </row>
    <row r="8" spans="1:15" ht="33">
      <c r="A8" s="271"/>
      <c r="B8" s="20" t="s">
        <v>196</v>
      </c>
      <c r="C8" s="210">
        <v>2200</v>
      </c>
      <c r="D8" s="210">
        <v>2450</v>
      </c>
      <c r="E8" s="210">
        <v>2900</v>
      </c>
      <c r="F8" s="213">
        <v>535</v>
      </c>
      <c r="G8" s="201"/>
      <c r="H8" s="201"/>
      <c r="I8" s="201"/>
      <c r="J8" s="201"/>
      <c r="K8" s="201"/>
      <c r="L8" s="270"/>
      <c r="N8" s="6">
        <f>N7*(1-$E$3)</f>
        <v>90.25</v>
      </c>
      <c r="O8" s="6">
        <f t="shared" ref="O8:O10" si="0">N8/$N$6</f>
        <v>0.90249999999999997</v>
      </c>
    </row>
    <row r="9" spans="1:15" ht="17.25">
      <c r="A9" s="271" t="s">
        <v>197</v>
      </c>
      <c r="B9" s="177" t="s">
        <v>17</v>
      </c>
      <c r="C9" s="214">
        <v>3000</v>
      </c>
      <c r="D9" s="214">
        <v>500</v>
      </c>
      <c r="E9" s="214">
        <v>0</v>
      </c>
      <c r="F9" s="215">
        <v>3500</v>
      </c>
      <c r="G9" s="202"/>
      <c r="H9" s="202"/>
      <c r="I9" s="202"/>
      <c r="J9" s="202"/>
      <c r="K9" s="202"/>
      <c r="L9" s="25">
        <f>SUM(C9:K9)</f>
        <v>7000</v>
      </c>
      <c r="N9" s="6">
        <f t="shared" ref="N9:N10" si="1">N8*(1-$E$3)</f>
        <v>85.737499999999997</v>
      </c>
      <c r="O9" s="6">
        <f t="shared" si="0"/>
        <v>0.857375</v>
      </c>
    </row>
    <row r="10" spans="1:15" ht="17.25">
      <c r="A10" s="271"/>
      <c r="B10" s="177" t="s">
        <v>186</v>
      </c>
      <c r="C10" s="214">
        <v>7500</v>
      </c>
      <c r="D10" s="214">
        <v>2500</v>
      </c>
      <c r="E10" s="214">
        <v>1000</v>
      </c>
      <c r="F10" s="215">
        <v>11000</v>
      </c>
      <c r="G10" s="202"/>
      <c r="H10" s="202"/>
      <c r="I10" s="202"/>
      <c r="J10" s="203"/>
      <c r="K10" s="203"/>
      <c r="L10" s="25">
        <f t="shared" ref="L10:L14" si="2">SUM(C10:K10)</f>
        <v>22000</v>
      </c>
      <c r="N10" s="6">
        <f t="shared" si="1"/>
        <v>81.450624999999988</v>
      </c>
      <c r="O10" s="6">
        <f t="shared" si="0"/>
        <v>0.81450624999999988</v>
      </c>
    </row>
    <row r="11" spans="1:15" ht="17.25">
      <c r="A11" s="271"/>
      <c r="B11" s="177" t="s">
        <v>187</v>
      </c>
      <c r="C11" s="214">
        <v>10000</v>
      </c>
      <c r="D11" s="214">
        <v>3000</v>
      </c>
      <c r="E11" s="214">
        <v>2000</v>
      </c>
      <c r="F11" s="215">
        <v>15000</v>
      </c>
      <c r="G11" s="202"/>
      <c r="H11" s="202"/>
      <c r="I11" s="202"/>
      <c r="J11" s="202"/>
      <c r="K11" s="202"/>
      <c r="L11" s="25">
        <f t="shared" si="2"/>
        <v>30000</v>
      </c>
    </row>
    <row r="12" spans="1:15" ht="18.75">
      <c r="A12" s="271"/>
      <c r="B12" s="177"/>
      <c r="C12" s="204"/>
      <c r="D12" s="182"/>
      <c r="E12" s="182"/>
      <c r="F12" s="182"/>
      <c r="G12" s="182"/>
      <c r="H12" s="182"/>
      <c r="I12" s="204"/>
      <c r="J12" s="204"/>
      <c r="K12" s="205"/>
      <c r="L12" s="25">
        <f t="shared" si="2"/>
        <v>0</v>
      </c>
    </row>
    <row r="13" spans="1:15" ht="18.75">
      <c r="A13" s="271"/>
      <c r="B13" s="177"/>
      <c r="C13" s="204"/>
      <c r="D13" s="182"/>
      <c r="E13" s="182"/>
      <c r="F13" s="182"/>
      <c r="G13" s="182"/>
      <c r="H13" s="182"/>
      <c r="I13" s="204"/>
      <c r="J13" s="204"/>
      <c r="K13" s="205"/>
      <c r="L13" s="25">
        <f t="shared" si="2"/>
        <v>0</v>
      </c>
    </row>
    <row r="14" spans="1:15" ht="17.25">
      <c r="A14" s="271"/>
      <c r="B14" s="177"/>
      <c r="C14" s="204"/>
      <c r="D14" s="204"/>
      <c r="E14" s="204"/>
      <c r="F14" s="204"/>
      <c r="G14" s="204"/>
      <c r="H14" s="204"/>
      <c r="I14" s="204"/>
      <c r="J14" s="204"/>
      <c r="K14" s="204"/>
      <c r="L14" s="25">
        <f t="shared" si="2"/>
        <v>0</v>
      </c>
    </row>
    <row r="15" spans="1:15" ht="17.25">
      <c r="A15" s="270" t="s">
        <v>18</v>
      </c>
      <c r="B15" s="270"/>
      <c r="C15" s="23">
        <f t="shared" ref="C15:L15" si="3">SUM(C9:C14)</f>
        <v>20500</v>
      </c>
      <c r="D15" s="23">
        <f t="shared" si="3"/>
        <v>6000</v>
      </c>
      <c r="E15" s="23">
        <f t="shared" si="3"/>
        <v>3000</v>
      </c>
      <c r="F15" s="23">
        <f t="shared" si="3"/>
        <v>29500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3">
        <f t="shared" si="3"/>
        <v>0</v>
      </c>
      <c r="K15" s="23">
        <f t="shared" si="3"/>
        <v>0</v>
      </c>
      <c r="L15" s="23">
        <f t="shared" si="3"/>
        <v>59000</v>
      </c>
    </row>
    <row r="16" spans="1:15">
      <c r="A16" s="24"/>
      <c r="B16" s="24"/>
      <c r="C16" s="24"/>
    </row>
  </sheetData>
  <mergeCells count="4">
    <mergeCell ref="A15:B15"/>
    <mergeCell ref="A5:A8"/>
    <mergeCell ref="A9:A14"/>
    <mergeCell ref="L5:L8"/>
  </mergeCells>
  <phoneticPr fontId="38" type="noConversion"/>
  <conditionalFormatting sqref="K3">
    <cfRule type="cellIs" dxfId="0" priority="1" operator="equal">
      <formula>"价值版"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9"/>
  <sheetViews>
    <sheetView workbookViewId="0">
      <pane xSplit="3" ySplit="5" topLeftCell="D6" activePane="bottomRight" state="frozen"/>
      <selection pane="topRight"/>
      <selection pane="bottomLeft"/>
      <selection pane="bottomRight" activeCell="E10" sqref="E10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7" style="6" customWidth="1"/>
    <col min="6" max="6" width="16.25" style="6" customWidth="1"/>
    <col min="7" max="7" width="17.125" style="6" customWidth="1"/>
    <col min="8" max="8" width="17.375" style="6" customWidth="1"/>
    <col min="9" max="9" width="16" style="6" customWidth="1"/>
    <col min="10" max="16384" width="9" style="6"/>
  </cols>
  <sheetData>
    <row r="1" spans="1:10" s="5" customFormat="1" ht="28.5" customHeight="1">
      <c r="A1" s="285" t="s">
        <v>7</v>
      </c>
      <c r="B1" s="285"/>
      <c r="C1" s="7"/>
      <c r="I1" s="14"/>
    </row>
    <row r="2" spans="1:10">
      <c r="A2" s="286" t="s">
        <v>198</v>
      </c>
      <c r="B2" s="286"/>
      <c r="C2" s="287"/>
      <c r="D2" s="287"/>
      <c r="E2" s="288" t="s">
        <v>287</v>
      </c>
      <c r="F2" s="289"/>
      <c r="G2" s="289"/>
      <c r="H2" s="290"/>
    </row>
    <row r="3" spans="1:10">
      <c r="A3" s="279" t="s">
        <v>16</v>
      </c>
      <c r="B3" s="279" t="s">
        <v>199</v>
      </c>
      <c r="C3" s="8" t="s">
        <v>200</v>
      </c>
      <c r="D3" s="291" t="s">
        <v>286</v>
      </c>
      <c r="E3" s="291"/>
      <c r="F3" s="8" t="s">
        <v>201</v>
      </c>
      <c r="G3" s="207"/>
      <c r="H3" s="292" t="s">
        <v>154</v>
      </c>
    </row>
    <row r="4" spans="1:10">
      <c r="A4" s="279"/>
      <c r="B4" s="279"/>
      <c r="C4" s="8" t="s">
        <v>144</v>
      </c>
      <c r="D4" s="186" t="str">
        <f>销量!C5</f>
        <v>驾驶员座椅</v>
      </c>
      <c r="E4" s="186" t="str">
        <f>销量!D5</f>
        <v>驾驶员座椅</v>
      </c>
      <c r="F4" s="186" t="str">
        <f>销量!E5</f>
        <v>驾驶员座椅</v>
      </c>
      <c r="G4" s="186" t="str">
        <f>销量!F5</f>
        <v>副驾驶员座椅</v>
      </c>
      <c r="H4" s="293"/>
    </row>
    <row r="5" spans="1:10" ht="33">
      <c r="A5" s="279"/>
      <c r="B5" s="279"/>
      <c r="C5" s="8" t="s">
        <v>145</v>
      </c>
      <c r="D5" s="187" t="str">
        <f>销量!C6</f>
        <v>H568100000139</v>
      </c>
      <c r="E5" s="187" t="str">
        <f>销量!D6</f>
        <v>H568100000138</v>
      </c>
      <c r="F5" s="187" t="str">
        <f>销量!E6</f>
        <v>H568100000140</v>
      </c>
      <c r="G5" s="187" t="str">
        <f>销量!F6</f>
        <v>H568100000141</v>
      </c>
      <c r="H5" s="294"/>
    </row>
    <row r="6" spans="1:10" ht="16.5" customHeight="1">
      <c r="A6" s="11">
        <v>1</v>
      </c>
      <c r="B6" s="274"/>
      <c r="C6" s="275"/>
      <c r="D6" s="12">
        <v>1400.2462170856188</v>
      </c>
      <c r="E6" s="12">
        <v>1212.2848970856185</v>
      </c>
      <c r="F6" s="12">
        <v>1522.8971470856191</v>
      </c>
      <c r="G6" s="12">
        <v>526.40951093097351</v>
      </c>
      <c r="H6" s="206"/>
    </row>
    <row r="7" spans="1:10" ht="16.5" customHeight="1">
      <c r="A7" s="11">
        <v>2</v>
      </c>
      <c r="B7" s="274"/>
      <c r="C7" s="275"/>
      <c r="D7" s="10"/>
      <c r="E7" s="10"/>
      <c r="F7" s="10"/>
      <c r="G7" s="10"/>
      <c r="H7" s="15"/>
    </row>
    <row r="8" spans="1:10" ht="16.5" customHeight="1">
      <c r="A8" s="11">
        <v>3</v>
      </c>
      <c r="B8" s="274"/>
      <c r="C8" s="275"/>
      <c r="D8" s="12"/>
      <c r="E8" s="10"/>
      <c r="F8" s="12"/>
      <c r="G8" s="10"/>
      <c r="H8" s="15"/>
    </row>
    <row r="9" spans="1:10">
      <c r="A9" s="11">
        <v>4</v>
      </c>
      <c r="B9" s="274"/>
      <c r="C9" s="275"/>
      <c r="D9" s="12"/>
      <c r="E9" s="10"/>
      <c r="F9" s="12"/>
      <c r="G9" s="10"/>
      <c r="H9" s="15"/>
    </row>
    <row r="10" spans="1:10" ht="16.5" customHeight="1">
      <c r="A10" s="11">
        <v>5</v>
      </c>
      <c r="B10" s="274"/>
      <c r="C10" s="275"/>
      <c r="D10" s="12"/>
      <c r="E10" s="10"/>
      <c r="F10" s="12"/>
      <c r="G10" s="10"/>
      <c r="H10" s="15"/>
      <c r="I10" s="272"/>
      <c r="J10" s="273"/>
    </row>
    <row r="11" spans="1:10" ht="16.5" customHeight="1">
      <c r="A11" s="11">
        <v>6</v>
      </c>
      <c r="B11" s="274"/>
      <c r="C11" s="275"/>
      <c r="D11" s="12"/>
      <c r="E11" s="10"/>
      <c r="F11" s="12"/>
      <c r="G11" s="10"/>
      <c r="H11" s="15"/>
      <c r="I11" s="272"/>
      <c r="J11" s="273"/>
    </row>
    <row r="12" spans="1:10" ht="16.5" customHeight="1">
      <c r="A12" s="11">
        <v>7</v>
      </c>
      <c r="B12" s="274"/>
      <c r="C12" s="275"/>
      <c r="D12" s="12"/>
      <c r="E12" s="10"/>
      <c r="F12" s="12"/>
      <c r="G12" s="10"/>
      <c r="H12" s="15"/>
      <c r="I12" s="272"/>
      <c r="J12" s="273"/>
    </row>
    <row r="13" spans="1:10" ht="16.5" customHeight="1">
      <c r="A13" s="11">
        <v>8</v>
      </c>
      <c r="B13" s="274"/>
      <c r="C13" s="275"/>
      <c r="D13" s="12"/>
      <c r="E13" s="10"/>
      <c r="F13" s="12"/>
      <c r="G13" s="10"/>
      <c r="H13" s="15"/>
      <c r="I13" s="272"/>
      <c r="J13" s="273"/>
    </row>
    <row r="14" spans="1:10" ht="16.5" customHeight="1">
      <c r="A14" s="11">
        <v>9</v>
      </c>
      <c r="B14" s="274"/>
      <c r="C14" s="275"/>
      <c r="D14" s="12"/>
      <c r="E14" s="10"/>
      <c r="F14" s="12"/>
      <c r="G14" s="10"/>
      <c r="H14" s="15"/>
      <c r="I14" s="272"/>
      <c r="J14" s="273"/>
    </row>
    <row r="15" spans="1:10" ht="16.5" customHeight="1">
      <c r="A15" s="11">
        <v>10</v>
      </c>
      <c r="B15" s="274"/>
      <c r="C15" s="275"/>
      <c r="D15" s="12"/>
      <c r="E15" s="10"/>
      <c r="F15" s="12"/>
      <c r="G15" s="10"/>
      <c r="H15" s="15"/>
      <c r="I15" s="272"/>
      <c r="J15" s="273"/>
    </row>
    <row r="16" spans="1:10" ht="16.5" customHeight="1">
      <c r="A16" s="11">
        <v>11</v>
      </c>
      <c r="B16" s="274"/>
      <c r="C16" s="275"/>
      <c r="D16" s="12"/>
      <c r="E16" s="10"/>
      <c r="F16" s="12"/>
      <c r="G16" s="10"/>
      <c r="H16" s="15"/>
      <c r="I16" s="272"/>
      <c r="J16" s="273"/>
    </row>
    <row r="17" spans="1:10" ht="16.5" customHeight="1">
      <c r="A17" s="11">
        <v>12</v>
      </c>
      <c r="B17" s="274"/>
      <c r="C17" s="275"/>
      <c r="D17" s="12"/>
      <c r="E17" s="10"/>
      <c r="F17" s="12"/>
      <c r="G17" s="10"/>
      <c r="H17" s="15"/>
      <c r="I17" s="272"/>
      <c r="J17" s="273"/>
    </row>
    <row r="18" spans="1:10" ht="16.5" customHeight="1">
      <c r="A18" s="11">
        <v>13</v>
      </c>
      <c r="B18" s="274"/>
      <c r="C18" s="275"/>
      <c r="D18" s="12"/>
      <c r="E18" s="10"/>
      <c r="F18" s="12"/>
      <c r="G18" s="10"/>
      <c r="H18" s="15"/>
      <c r="I18" s="272"/>
      <c r="J18" s="273"/>
    </row>
    <row r="19" spans="1:10" ht="16.5" customHeight="1">
      <c r="A19" s="11">
        <v>14</v>
      </c>
      <c r="B19" s="274"/>
      <c r="C19" s="275"/>
      <c r="D19" s="12"/>
      <c r="E19" s="10"/>
      <c r="F19" s="12"/>
      <c r="G19" s="10"/>
      <c r="H19" s="15"/>
      <c r="I19" s="272"/>
      <c r="J19" s="273"/>
    </row>
    <row r="20" spans="1:10" ht="16.5" customHeight="1">
      <c r="A20" s="11">
        <v>15</v>
      </c>
      <c r="B20" s="274"/>
      <c r="C20" s="275"/>
      <c r="D20" s="12"/>
      <c r="E20" s="12"/>
      <c r="F20" s="12"/>
      <c r="G20" s="12"/>
      <c r="H20" s="15"/>
      <c r="I20" s="272"/>
      <c r="J20" s="273"/>
    </row>
    <row r="21" spans="1:10" ht="16.5" customHeight="1">
      <c r="A21" s="11">
        <v>16</v>
      </c>
      <c r="B21" s="274"/>
      <c r="C21" s="275"/>
      <c r="D21" s="10"/>
      <c r="E21" s="12"/>
      <c r="F21" s="10"/>
      <c r="G21" s="12"/>
      <c r="H21" s="15"/>
      <c r="I21" s="272"/>
      <c r="J21" s="273"/>
    </row>
    <row r="22" spans="1:10" ht="16.5" customHeight="1">
      <c r="A22" s="11">
        <v>17</v>
      </c>
      <c r="B22" s="274"/>
      <c r="C22" s="275"/>
      <c r="D22" s="10"/>
      <c r="E22" s="12"/>
      <c r="F22" s="10"/>
      <c r="G22" s="12"/>
      <c r="H22" s="15"/>
      <c r="I22" s="272"/>
      <c r="J22" s="273"/>
    </row>
    <row r="23" spans="1:10" ht="16.5" customHeight="1">
      <c r="A23" s="11">
        <v>18</v>
      </c>
      <c r="B23" s="274"/>
      <c r="C23" s="275"/>
      <c r="D23" s="10"/>
      <c r="E23" s="12"/>
      <c r="F23" s="10"/>
      <c r="G23" s="12"/>
      <c r="H23" s="15"/>
      <c r="I23" s="272"/>
      <c r="J23" s="273"/>
    </row>
    <row r="24" spans="1:10" ht="16.5" customHeight="1">
      <c r="A24" s="11">
        <v>19</v>
      </c>
      <c r="B24" s="274"/>
      <c r="C24" s="275"/>
      <c r="D24" s="10"/>
      <c r="E24" s="12"/>
      <c r="F24" s="10"/>
      <c r="G24" s="12"/>
      <c r="H24" s="15"/>
      <c r="I24" s="272"/>
      <c r="J24" s="273"/>
    </row>
    <row r="25" spans="1:10">
      <c r="A25" s="11">
        <v>20</v>
      </c>
      <c r="B25" s="274"/>
      <c r="C25" s="275"/>
      <c r="D25" s="10"/>
      <c r="E25" s="12"/>
      <c r="F25" s="10"/>
      <c r="G25" s="12"/>
      <c r="H25" s="15"/>
      <c r="I25" s="272"/>
      <c r="J25" s="273"/>
    </row>
    <row r="26" spans="1:10">
      <c r="A26" s="11">
        <v>21</v>
      </c>
      <c r="B26" s="274"/>
      <c r="C26" s="275"/>
      <c r="D26" s="10"/>
      <c r="E26" s="12"/>
      <c r="F26" s="10"/>
      <c r="G26" s="12"/>
      <c r="H26" s="15"/>
      <c r="I26" s="272"/>
      <c r="J26" s="273"/>
    </row>
    <row r="27" spans="1:10">
      <c r="A27" s="11">
        <v>22</v>
      </c>
      <c r="B27" s="274"/>
      <c r="C27" s="275"/>
      <c r="D27" s="10"/>
      <c r="E27" s="12"/>
      <c r="F27" s="10"/>
      <c r="G27" s="12"/>
      <c r="H27" s="15"/>
      <c r="I27" s="272"/>
      <c r="J27" s="273"/>
    </row>
    <row r="28" spans="1:10">
      <c r="A28" s="11">
        <v>23</v>
      </c>
      <c r="B28" s="274"/>
      <c r="C28" s="275"/>
      <c r="D28" s="10"/>
      <c r="E28" s="12"/>
      <c r="F28" s="10"/>
      <c r="G28" s="12"/>
      <c r="H28" s="15"/>
    </row>
    <row r="29" spans="1:10">
      <c r="A29" s="11">
        <v>24</v>
      </c>
      <c r="B29" s="274"/>
      <c r="C29" s="275"/>
      <c r="D29" s="10"/>
      <c r="E29" s="12"/>
      <c r="F29" s="10"/>
      <c r="G29" s="12"/>
      <c r="H29" s="15"/>
    </row>
    <row r="30" spans="1:10">
      <c r="A30" s="11">
        <v>25</v>
      </c>
      <c r="B30" s="274"/>
      <c r="C30" s="275"/>
      <c r="D30" s="12"/>
      <c r="E30" s="12"/>
      <c r="F30" s="12"/>
      <c r="G30" s="12"/>
      <c r="H30" s="15"/>
    </row>
    <row r="31" spans="1:10">
      <c r="A31" s="11">
        <v>26</v>
      </c>
      <c r="B31" s="274"/>
      <c r="C31" s="275"/>
      <c r="D31" s="12"/>
      <c r="E31" s="12"/>
      <c r="F31" s="12"/>
      <c r="G31" s="12"/>
      <c r="H31" s="15"/>
    </row>
    <row r="32" spans="1:10">
      <c r="A32" s="11">
        <v>27</v>
      </c>
      <c r="B32" s="274"/>
      <c r="C32" s="275"/>
      <c r="D32" s="10"/>
      <c r="E32" s="10"/>
      <c r="F32" s="10"/>
      <c r="G32" s="10"/>
      <c r="H32" s="15"/>
    </row>
    <row r="33" spans="1:8" ht="31.5" customHeight="1">
      <c r="A33" s="276" t="s">
        <v>202</v>
      </c>
      <c r="B33" s="277"/>
      <c r="C33" s="278"/>
      <c r="D33" s="13">
        <f t="shared" ref="D33:G33" si="0">SUM(D6:D32)</f>
        <v>1400.2462170856188</v>
      </c>
      <c r="E33" s="13">
        <f t="shared" si="0"/>
        <v>1212.2848970856185</v>
      </c>
      <c r="F33" s="13">
        <f t="shared" si="0"/>
        <v>1522.8971470856191</v>
      </c>
      <c r="G33" s="13">
        <f t="shared" si="0"/>
        <v>526.40951093097351</v>
      </c>
      <c r="H33" s="15"/>
    </row>
    <row r="34" spans="1:8">
      <c r="D34" s="165"/>
      <c r="E34" s="24"/>
      <c r="F34" s="24"/>
    </row>
    <row r="35" spans="1:8">
      <c r="D35" s="24"/>
      <c r="E35" s="24"/>
      <c r="F35" s="24"/>
    </row>
    <row r="36" spans="1:8">
      <c r="D36" s="194"/>
      <c r="E36" s="24"/>
      <c r="F36" s="24"/>
    </row>
    <row r="38" spans="1:8" ht="27.75" customHeight="1">
      <c r="D38" s="271" t="s">
        <v>292</v>
      </c>
      <c r="E38" s="271"/>
      <c r="F38" s="271"/>
      <c r="G38" s="271"/>
      <c r="H38" s="271"/>
    </row>
    <row r="39" spans="1:8">
      <c r="D39" s="280" t="s">
        <v>234</v>
      </c>
      <c r="E39" s="282" t="s">
        <v>235</v>
      </c>
      <c r="F39" s="283"/>
      <c r="G39" s="283"/>
      <c r="H39" s="284"/>
    </row>
    <row r="40" spans="1:8">
      <c r="D40" s="281"/>
      <c r="E40" s="169" t="s">
        <v>245</v>
      </c>
      <c r="F40" s="169" t="s">
        <v>246</v>
      </c>
      <c r="G40" s="169" t="s">
        <v>247</v>
      </c>
      <c r="H40" s="169"/>
    </row>
    <row r="41" spans="1:8">
      <c r="D41" s="187" t="s">
        <v>288</v>
      </c>
      <c r="E41" s="12">
        <f>D33</f>
        <v>1400.2462170856188</v>
      </c>
      <c r="F41" s="174">
        <f t="shared" ref="F41:G44" si="1">E41*(1-0.05)</f>
        <v>1330.2339062313379</v>
      </c>
      <c r="G41" s="174">
        <f t="shared" si="1"/>
        <v>1263.722210919771</v>
      </c>
      <c r="H41" s="174"/>
    </row>
    <row r="42" spans="1:8">
      <c r="D42" s="187" t="s">
        <v>289</v>
      </c>
      <c r="E42" s="12">
        <f>E33</f>
        <v>1212.2848970856185</v>
      </c>
      <c r="F42" s="174">
        <f t="shared" si="1"/>
        <v>1151.6706522313375</v>
      </c>
      <c r="G42" s="174">
        <f t="shared" si="1"/>
        <v>1094.0871196197706</v>
      </c>
      <c r="H42" s="174"/>
    </row>
    <row r="43" spans="1:8">
      <c r="D43" s="187" t="s">
        <v>290</v>
      </c>
      <c r="E43" s="12">
        <f>F33</f>
        <v>1522.8971470856191</v>
      </c>
      <c r="F43" s="174">
        <f t="shared" si="1"/>
        <v>1446.7522897313381</v>
      </c>
      <c r="G43" s="174">
        <f t="shared" si="1"/>
        <v>1374.4146752447712</v>
      </c>
      <c r="H43" s="174"/>
    </row>
    <row r="44" spans="1:8">
      <c r="D44" s="187" t="s">
        <v>291</v>
      </c>
      <c r="E44" s="12">
        <f>G33</f>
        <v>526.40951093097351</v>
      </c>
      <c r="F44" s="174">
        <f t="shared" si="1"/>
        <v>500.08903538442479</v>
      </c>
      <c r="G44" s="174">
        <f t="shared" si="1"/>
        <v>475.08458361520354</v>
      </c>
      <c r="H44" s="174"/>
    </row>
    <row r="45" spans="1:8">
      <c r="D45" s="186"/>
      <c r="E45" s="12"/>
      <c r="F45" s="174"/>
      <c r="G45" s="174"/>
      <c r="H45" s="174"/>
    </row>
    <row r="46" spans="1:8">
      <c r="D46" s="186"/>
      <c r="E46" s="12"/>
      <c r="F46" s="174"/>
      <c r="G46" s="174"/>
      <c r="H46" s="174"/>
    </row>
    <row r="47" spans="1:8">
      <c r="D47" s="186"/>
      <c r="E47" s="12"/>
      <c r="F47" s="174"/>
      <c r="G47" s="174"/>
      <c r="H47" s="15"/>
    </row>
    <row r="48" spans="1:8">
      <c r="D48" s="186"/>
      <c r="E48" s="12"/>
      <c r="F48" s="174"/>
      <c r="G48" s="174"/>
      <c r="H48" s="15"/>
    </row>
    <row r="49" spans="4:8">
      <c r="D49" s="186"/>
      <c r="E49" s="12"/>
      <c r="F49" s="174"/>
      <c r="G49" s="174"/>
      <c r="H49" s="15"/>
    </row>
  </sheetData>
  <mergeCells count="56">
    <mergeCell ref="D39:D40"/>
    <mergeCell ref="E39:H39"/>
    <mergeCell ref="A1:B1"/>
    <mergeCell ref="A2:D2"/>
    <mergeCell ref="E2:H2"/>
    <mergeCell ref="D3:E3"/>
    <mergeCell ref="H3:H5"/>
    <mergeCell ref="B6:C6"/>
    <mergeCell ref="B7:C7"/>
    <mergeCell ref="B8:C8"/>
    <mergeCell ref="B9:C9"/>
    <mergeCell ref="B10:C10"/>
    <mergeCell ref="B18:C18"/>
    <mergeCell ref="B19:C19"/>
    <mergeCell ref="B11:C11"/>
    <mergeCell ref="B13:C13"/>
    <mergeCell ref="B14:C14"/>
    <mergeCell ref="B15:C15"/>
    <mergeCell ref="B31:C31"/>
    <mergeCell ref="D38:H38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2:C12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I27:J27"/>
    <mergeCell ref="B23:C23"/>
    <mergeCell ref="I20:J20"/>
    <mergeCell ref="I21:J21"/>
    <mergeCell ref="I22:J22"/>
    <mergeCell ref="I23:J23"/>
    <mergeCell ref="I24:J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xSplit="2" ySplit="1" topLeftCell="C2" activePane="bottomRight" state="frozen"/>
      <selection pane="topRight"/>
      <selection pane="bottomLeft"/>
      <selection pane="bottomRight" activeCell="G7" sqref="G7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216" t="s">
        <v>16</v>
      </c>
      <c r="B1" s="216" t="s">
        <v>203</v>
      </c>
      <c r="C1" s="216" t="s">
        <v>204</v>
      </c>
      <c r="D1" s="216" t="s">
        <v>205</v>
      </c>
      <c r="E1" s="216" t="s">
        <v>206</v>
      </c>
    </row>
    <row r="2" spans="1:6" ht="27" customHeight="1">
      <c r="A2" s="216">
        <v>1</v>
      </c>
      <c r="B2" s="216" t="s">
        <v>207</v>
      </c>
      <c r="C2" s="217" t="s">
        <v>277</v>
      </c>
      <c r="D2" s="216"/>
      <c r="E2" s="216"/>
    </row>
    <row r="3" spans="1:6" ht="27" customHeight="1">
      <c r="A3" s="216">
        <v>2</v>
      </c>
      <c r="B3" s="216" t="s">
        <v>208</v>
      </c>
      <c r="C3" s="218" t="s">
        <v>278</v>
      </c>
      <c r="D3" s="216"/>
      <c r="E3" s="216"/>
    </row>
    <row r="4" spans="1:6" ht="27" customHeight="1">
      <c r="A4" s="216">
        <v>3</v>
      </c>
      <c r="B4" s="216" t="s">
        <v>209</v>
      </c>
      <c r="C4" s="217" t="s">
        <v>279</v>
      </c>
      <c r="D4" s="216"/>
      <c r="E4" s="216"/>
    </row>
    <row r="5" spans="1:6" ht="27" customHeight="1">
      <c r="A5" s="216">
        <v>4</v>
      </c>
      <c r="B5" s="216" t="s">
        <v>210</v>
      </c>
      <c r="C5" s="217" t="s">
        <v>277</v>
      </c>
      <c r="D5" s="216"/>
      <c r="E5" s="216"/>
    </row>
    <row r="6" spans="1:6" ht="27" customHeight="1">
      <c r="A6" s="216">
        <v>5</v>
      </c>
      <c r="B6" s="216" t="s">
        <v>211</v>
      </c>
      <c r="C6" s="217"/>
      <c r="D6" s="216"/>
      <c r="E6" s="216"/>
    </row>
    <row r="7" spans="1:6" ht="27" customHeight="1">
      <c r="A7" s="216">
        <v>6</v>
      </c>
      <c r="B7" s="216" t="s">
        <v>212</v>
      </c>
      <c r="C7" s="217" t="s">
        <v>280</v>
      </c>
      <c r="D7" s="216"/>
      <c r="E7" s="216"/>
    </row>
    <row r="8" spans="1:6" ht="27" customHeight="1">
      <c r="A8" s="216">
        <v>7</v>
      </c>
      <c r="B8" s="216" t="s">
        <v>213</v>
      </c>
      <c r="C8" s="217" t="s">
        <v>280</v>
      </c>
      <c r="D8" s="216"/>
      <c r="E8" s="216"/>
    </row>
    <row r="9" spans="1:6" ht="27" customHeight="1">
      <c r="A9" s="216">
        <v>8</v>
      </c>
      <c r="B9" s="216" t="s">
        <v>214</v>
      </c>
      <c r="C9" s="217" t="s">
        <v>280</v>
      </c>
      <c r="D9" s="216"/>
      <c r="E9" s="216"/>
    </row>
    <row r="10" spans="1:6" ht="27" customHeight="1">
      <c r="A10" s="216">
        <v>9</v>
      </c>
      <c r="B10" s="216" t="s">
        <v>215</v>
      </c>
      <c r="C10" s="217" t="s">
        <v>280</v>
      </c>
      <c r="D10" s="216"/>
      <c r="E10" s="216"/>
    </row>
    <row r="11" spans="1:6" ht="27" customHeight="1">
      <c r="A11" s="216">
        <v>10</v>
      </c>
      <c r="B11" s="216" t="s">
        <v>216</v>
      </c>
      <c r="C11" s="217"/>
      <c r="D11" s="216"/>
      <c r="E11" s="216"/>
      <c r="F11" s="163" t="s">
        <v>233</v>
      </c>
    </row>
    <row r="12" spans="1:6" ht="27" customHeight="1">
      <c r="A12" s="216">
        <v>11</v>
      </c>
      <c r="B12" s="216" t="s">
        <v>217</v>
      </c>
      <c r="C12" s="217"/>
      <c r="D12" s="216"/>
      <c r="E12" s="216"/>
    </row>
    <row r="13" spans="1:6" ht="27" customHeight="1">
      <c r="A13" s="216">
        <v>12</v>
      </c>
      <c r="B13" s="216" t="s">
        <v>281</v>
      </c>
      <c r="C13" s="219"/>
      <c r="D13" s="216"/>
      <c r="E13" s="216"/>
    </row>
    <row r="14" spans="1:6" ht="27" customHeight="1">
      <c r="A14" s="216">
        <v>13</v>
      </c>
      <c r="B14" s="216" t="s">
        <v>282</v>
      </c>
      <c r="C14" s="219" t="s">
        <v>283</v>
      </c>
      <c r="D14" s="216"/>
      <c r="E14" s="216" t="s">
        <v>284</v>
      </c>
    </row>
    <row r="15" spans="1:6" ht="27" customHeight="1">
      <c r="A15" s="216">
        <v>14</v>
      </c>
      <c r="B15" s="216" t="s">
        <v>285</v>
      </c>
      <c r="C15" s="219"/>
      <c r="D15" s="216"/>
      <c r="E15" s="216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zoomScale="85" zoomScaleNormal="85" workbookViewId="0">
      <selection activeCell="L10" sqref="L10"/>
    </sheetView>
  </sheetViews>
  <sheetFormatPr defaultColWidth="9" defaultRowHeight="13.5"/>
  <cols>
    <col min="1" max="2" width="9" style="67"/>
    <col min="3" max="3" width="13.875" style="67" customWidth="1"/>
    <col min="4" max="4" width="14.625" style="67" customWidth="1"/>
    <col min="5" max="5" width="13.3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295" t="s">
        <v>218</v>
      </c>
      <c r="H1" s="295"/>
      <c r="I1" s="148"/>
    </row>
    <row r="2" spans="1:12" ht="39" customHeight="1">
      <c r="A2" s="301" t="s">
        <v>219</v>
      </c>
      <c r="B2" s="301"/>
      <c r="C2" s="297" t="s">
        <v>293</v>
      </c>
      <c r="D2" s="302"/>
      <c r="E2" s="302"/>
      <c r="F2" s="302"/>
      <c r="G2" s="302"/>
      <c r="H2" s="298"/>
      <c r="I2" s="149" t="s">
        <v>226</v>
      </c>
      <c r="K2" s="168"/>
      <c r="L2" s="168"/>
    </row>
    <row r="3" spans="1:12" ht="34.5" customHeight="1">
      <c r="A3" s="301"/>
      <c r="B3" s="301"/>
      <c r="C3" s="158" t="s">
        <v>228</v>
      </c>
      <c r="D3" s="158" t="s">
        <v>229</v>
      </c>
      <c r="E3" s="158" t="s">
        <v>227</v>
      </c>
      <c r="F3" s="159" t="s">
        <v>232</v>
      </c>
      <c r="G3" s="159" t="s">
        <v>231</v>
      </c>
      <c r="H3" s="159" t="s">
        <v>230</v>
      </c>
      <c r="I3" s="162">
        <f>销量!C8</f>
        <v>2200</v>
      </c>
    </row>
    <row r="4" spans="1:12" ht="24" customHeight="1">
      <c r="A4" s="296" t="s">
        <v>220</v>
      </c>
      <c r="B4" s="296"/>
      <c r="C4" s="3"/>
      <c r="D4" s="151"/>
      <c r="E4" s="152">
        <f>$I$3*F4</f>
        <v>123.68397001940177</v>
      </c>
      <c r="F4" s="180">
        <v>5.6219986372455351E-2</v>
      </c>
      <c r="G4" s="152"/>
      <c r="H4" s="153">
        <v>4.48E-2</v>
      </c>
      <c r="I4" s="150">
        <v>4.3099999999999999E-2</v>
      </c>
      <c r="J4" s="166"/>
      <c r="K4" s="68"/>
      <c r="L4" s="68"/>
    </row>
    <row r="5" spans="1:12" ht="24" customHeight="1">
      <c r="A5" s="296" t="s">
        <v>221</v>
      </c>
      <c r="B5" s="154" t="s">
        <v>222</v>
      </c>
      <c r="C5" s="3"/>
      <c r="D5" s="151"/>
      <c r="E5" s="152">
        <f>$I$3*F5</f>
        <v>99</v>
      </c>
      <c r="F5" s="153">
        <v>4.4999999999999998E-2</v>
      </c>
      <c r="G5" s="153"/>
      <c r="H5" s="153">
        <v>4.0399999999999998E-2</v>
      </c>
      <c r="J5" s="167"/>
      <c r="K5" s="68"/>
      <c r="L5" s="68"/>
    </row>
    <row r="6" spans="1:12" ht="24" customHeight="1">
      <c r="A6" s="296"/>
      <c r="B6" s="154" t="s">
        <v>223</v>
      </c>
      <c r="C6" s="3"/>
      <c r="D6" s="151"/>
      <c r="E6" s="152">
        <f t="shared" ref="E6" si="0">$I$3*F6</f>
        <v>33.167177122368528</v>
      </c>
      <c r="F6" s="180">
        <v>1.5075989601076605E-2</v>
      </c>
      <c r="G6" s="152"/>
      <c r="H6" s="153">
        <v>1.66E-2</v>
      </c>
      <c r="I6" s="150">
        <v>2.1700000000000001E-2</v>
      </c>
      <c r="J6" s="166"/>
      <c r="K6" s="68"/>
      <c r="L6" s="68"/>
    </row>
    <row r="7" spans="1:12" ht="24" customHeight="1">
      <c r="A7" s="297" t="s">
        <v>224</v>
      </c>
      <c r="B7" s="298"/>
      <c r="C7" s="155"/>
      <c r="D7" s="156"/>
      <c r="E7" s="152">
        <f>$I$3*F7</f>
        <v>255.8511471417703</v>
      </c>
      <c r="F7" s="179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6"/>
      <c r="K7" s="68"/>
      <c r="L7" s="68"/>
    </row>
    <row r="8" spans="1:12" ht="24" customHeight="1">
      <c r="A8" s="296" t="s">
        <v>48</v>
      </c>
      <c r="B8" s="296"/>
      <c r="C8" s="3"/>
      <c r="D8" s="151"/>
      <c r="E8" s="152">
        <f>$I$3*F8</f>
        <v>66</v>
      </c>
      <c r="F8" s="181">
        <v>0.03</v>
      </c>
      <c r="G8" s="152"/>
      <c r="H8" s="153">
        <f>1.97%+0.75%</f>
        <v>2.7199999999999998E-2</v>
      </c>
      <c r="J8" s="167"/>
      <c r="K8" s="68"/>
      <c r="L8" s="68"/>
    </row>
    <row r="9" spans="1:12" ht="24" customHeight="1">
      <c r="A9" s="299" t="s">
        <v>225</v>
      </c>
      <c r="B9" s="154" t="s">
        <v>222</v>
      </c>
      <c r="C9" s="3"/>
      <c r="D9" s="151"/>
      <c r="E9" s="152">
        <f>$I$3*F9</f>
        <v>15.4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300"/>
      <c r="B10" s="154" t="s">
        <v>223</v>
      </c>
      <c r="C10" s="3"/>
      <c r="D10" s="151"/>
      <c r="E10" s="152">
        <f>$I$3*F10</f>
        <v>87.999999999999986</v>
      </c>
      <c r="F10" s="150">
        <f>2.8%+1.2%</f>
        <v>3.9999999999999994E-2</v>
      </c>
      <c r="G10" s="152"/>
      <c r="H10" s="153">
        <v>3.4099999999999998E-2</v>
      </c>
      <c r="I10" s="150">
        <v>0.03</v>
      </c>
      <c r="J10" s="150"/>
      <c r="K10" s="68"/>
      <c r="L10" s="68"/>
    </row>
    <row r="11" spans="1:12" ht="24" customHeight="1">
      <c r="A11" s="296" t="s">
        <v>51</v>
      </c>
      <c r="B11" s="296"/>
      <c r="C11" s="3"/>
      <c r="D11" s="151"/>
      <c r="E11" s="152">
        <f t="shared" ref="E11" si="1">$I$3*F11</f>
        <v>88</v>
      </c>
      <c r="F11" s="153">
        <v>0.04</v>
      </c>
      <c r="G11" s="152"/>
      <c r="H11" s="153">
        <v>1.0999999999999999E-2</v>
      </c>
      <c r="I11" s="150">
        <v>0.03</v>
      </c>
      <c r="J11" s="150"/>
      <c r="K11" s="68"/>
      <c r="L11" s="68"/>
    </row>
    <row r="15" spans="1:12">
      <c r="A15" s="147"/>
      <c r="B15" s="147"/>
      <c r="C15" s="147"/>
      <c r="D15" s="147"/>
      <c r="E15" s="147"/>
      <c r="F15" s="147"/>
      <c r="G15" s="295" t="s">
        <v>218</v>
      </c>
      <c r="H15" s="295"/>
      <c r="I15" s="148"/>
    </row>
    <row r="16" spans="1:12" ht="22.5" customHeight="1">
      <c r="A16" s="301" t="s">
        <v>219</v>
      </c>
      <c r="B16" s="301"/>
      <c r="C16" s="297" t="str">
        <f>C2</f>
        <v>河北工厂平均值</v>
      </c>
      <c r="D16" s="302"/>
      <c r="E16" s="302"/>
      <c r="F16" s="302"/>
      <c r="G16" s="302"/>
      <c r="H16" s="298"/>
      <c r="I16" s="149" t="s">
        <v>226</v>
      </c>
    </row>
    <row r="17" spans="1:9" ht="27">
      <c r="A17" s="301"/>
      <c r="B17" s="301"/>
      <c r="C17" s="158" t="s">
        <v>228</v>
      </c>
      <c r="D17" s="158" t="s">
        <v>229</v>
      </c>
      <c r="E17" s="158" t="s">
        <v>227</v>
      </c>
      <c r="F17" s="159" t="s">
        <v>232</v>
      </c>
      <c r="G17" s="159" t="s">
        <v>231</v>
      </c>
      <c r="H17" s="159" t="s">
        <v>230</v>
      </c>
      <c r="I17" s="162">
        <f>销量!D8</f>
        <v>2450</v>
      </c>
    </row>
    <row r="18" spans="1:9" ht="24" customHeight="1">
      <c r="A18" s="296" t="s">
        <v>220</v>
      </c>
      <c r="B18" s="296"/>
      <c r="C18" s="3"/>
      <c r="D18" s="151"/>
      <c r="E18" s="152">
        <f>$I$17*F18</f>
        <v>137.73896661251561</v>
      </c>
      <c r="F18" s="180">
        <v>5.6219986372455351E-2</v>
      </c>
      <c r="G18" s="152"/>
      <c r="H18" s="153">
        <v>4.48E-2</v>
      </c>
      <c r="I18" s="150">
        <v>4.3099999999999999E-2</v>
      </c>
    </row>
    <row r="19" spans="1:9" ht="24" customHeight="1">
      <c r="A19" s="296" t="s">
        <v>221</v>
      </c>
      <c r="B19" s="178" t="s">
        <v>222</v>
      </c>
      <c r="C19" s="3"/>
      <c r="D19" s="151"/>
      <c r="E19" s="152">
        <f t="shared" ref="E19:E23" si="2">$I$17*F19</f>
        <v>110.25</v>
      </c>
      <c r="F19" s="153">
        <v>4.4999999999999998E-2</v>
      </c>
      <c r="G19" s="152"/>
      <c r="H19" s="153">
        <v>4.0399999999999998E-2</v>
      </c>
    </row>
    <row r="20" spans="1:9" ht="24" customHeight="1">
      <c r="A20" s="296"/>
      <c r="B20" s="178" t="s">
        <v>223</v>
      </c>
      <c r="C20" s="3"/>
      <c r="D20" s="151"/>
      <c r="E20" s="152">
        <f t="shared" si="2"/>
        <v>36.936174522637685</v>
      </c>
      <c r="F20" s="180">
        <v>1.5075989601076605E-2</v>
      </c>
      <c r="G20" s="152"/>
      <c r="H20" s="153">
        <v>1.66E-2</v>
      </c>
      <c r="I20" s="150">
        <v>2.1700000000000001E-2</v>
      </c>
    </row>
    <row r="21" spans="1:9" ht="24" customHeight="1">
      <c r="A21" s="297" t="s">
        <v>224</v>
      </c>
      <c r="B21" s="298"/>
      <c r="C21" s="155"/>
      <c r="D21" s="156"/>
      <c r="E21" s="152">
        <f t="shared" si="2"/>
        <v>284.9251411351533</v>
      </c>
      <c r="F21" s="179">
        <f>SUM(F18:F20)</f>
        <v>0.11629597597353196</v>
      </c>
      <c r="G21" s="152"/>
      <c r="H21" s="157">
        <f>SUM(H18:H20)</f>
        <v>0.1018</v>
      </c>
      <c r="I21" s="150">
        <f>SUM(I18:I20)</f>
        <v>6.4799999999999996E-2</v>
      </c>
    </row>
    <row r="22" spans="1:9" ht="24" customHeight="1">
      <c r="A22" s="296" t="s">
        <v>48</v>
      </c>
      <c r="B22" s="296"/>
      <c r="C22" s="3"/>
      <c r="D22" s="151"/>
      <c r="E22" s="152">
        <f t="shared" si="2"/>
        <v>73.5</v>
      </c>
      <c r="F22" s="181">
        <v>0.03</v>
      </c>
      <c r="G22" s="152"/>
      <c r="H22" s="153">
        <f>1.97%+0.75%</f>
        <v>2.7199999999999998E-2</v>
      </c>
    </row>
    <row r="23" spans="1:9" ht="24" customHeight="1">
      <c r="A23" s="299" t="s">
        <v>225</v>
      </c>
      <c r="B23" s="178" t="s">
        <v>222</v>
      </c>
      <c r="C23" s="3"/>
      <c r="D23" s="151"/>
      <c r="E23" s="152">
        <f t="shared" si="2"/>
        <v>17.150000000000002</v>
      </c>
      <c r="F23" s="153">
        <v>7.0000000000000001E-3</v>
      </c>
      <c r="G23" s="152"/>
      <c r="H23" s="153">
        <v>5.3E-3</v>
      </c>
    </row>
    <row r="24" spans="1:9" ht="24" customHeight="1">
      <c r="A24" s="300"/>
      <c r="B24" s="178" t="s">
        <v>223</v>
      </c>
      <c r="C24" s="3"/>
      <c r="D24" s="151"/>
      <c r="E24" s="152">
        <f>$I$17*F24</f>
        <v>97.999999999999986</v>
      </c>
      <c r="F24" s="150">
        <f>2.8%+1.2%</f>
        <v>3.9999999999999994E-2</v>
      </c>
      <c r="G24" s="152"/>
      <c r="H24" s="153">
        <v>3.4099999999999998E-2</v>
      </c>
      <c r="I24" s="150">
        <v>0.03</v>
      </c>
    </row>
    <row r="25" spans="1:9" ht="24" customHeight="1">
      <c r="A25" s="296" t="s">
        <v>51</v>
      </c>
      <c r="B25" s="296"/>
      <c r="C25" s="3"/>
      <c r="D25" s="151"/>
      <c r="E25" s="152">
        <f t="shared" ref="E25" si="3">$I$17*F25</f>
        <v>98</v>
      </c>
      <c r="F25" s="153">
        <v>0.04</v>
      </c>
      <c r="G25" s="152"/>
      <c r="H25" s="153">
        <v>1.0999999999999999E-2</v>
      </c>
      <c r="I25" s="150">
        <v>0.03</v>
      </c>
    </row>
    <row r="29" spans="1:9">
      <c r="A29" s="147"/>
      <c r="B29" s="147"/>
      <c r="C29" s="147"/>
      <c r="D29" s="147"/>
      <c r="E29" s="147"/>
      <c r="F29" s="147"/>
      <c r="G29" s="295" t="s">
        <v>218</v>
      </c>
      <c r="H29" s="295"/>
      <c r="I29" s="148"/>
    </row>
    <row r="30" spans="1:9" ht="30" customHeight="1">
      <c r="A30" s="301" t="s">
        <v>219</v>
      </c>
      <c r="B30" s="301"/>
      <c r="C30" s="297" t="str">
        <f>C2</f>
        <v>河北工厂平均值</v>
      </c>
      <c r="D30" s="302"/>
      <c r="E30" s="302"/>
      <c r="F30" s="302"/>
      <c r="G30" s="302"/>
      <c r="H30" s="298"/>
      <c r="I30" s="149" t="s">
        <v>226</v>
      </c>
    </row>
    <row r="31" spans="1:9" ht="27">
      <c r="A31" s="301"/>
      <c r="B31" s="301"/>
      <c r="C31" s="158" t="s">
        <v>228</v>
      </c>
      <c r="D31" s="158" t="s">
        <v>229</v>
      </c>
      <c r="E31" s="158" t="s">
        <v>227</v>
      </c>
      <c r="F31" s="159" t="s">
        <v>232</v>
      </c>
      <c r="G31" s="159" t="s">
        <v>231</v>
      </c>
      <c r="H31" s="159" t="s">
        <v>230</v>
      </c>
      <c r="I31" s="162">
        <f>销量!E8</f>
        <v>2900</v>
      </c>
    </row>
    <row r="32" spans="1:9" ht="24" customHeight="1">
      <c r="A32" s="296" t="s">
        <v>220</v>
      </c>
      <c r="B32" s="296"/>
      <c r="C32" s="3"/>
      <c r="D32" s="151"/>
      <c r="E32" s="152">
        <f>$I$31*F32</f>
        <v>163.03796048012052</v>
      </c>
      <c r="F32" s="180">
        <v>5.6219986372455351E-2</v>
      </c>
      <c r="G32" s="152"/>
      <c r="H32" s="153">
        <v>4.48E-2</v>
      </c>
      <c r="I32" s="150">
        <v>4.3099999999999999E-2</v>
      </c>
    </row>
    <row r="33" spans="1:9" ht="24" customHeight="1">
      <c r="A33" s="296" t="s">
        <v>221</v>
      </c>
      <c r="B33" s="178" t="s">
        <v>222</v>
      </c>
      <c r="C33" s="3"/>
      <c r="D33" s="151"/>
      <c r="E33" s="152">
        <f t="shared" ref="E33:E37" si="4">$I$31*F33</f>
        <v>130.5</v>
      </c>
      <c r="F33" s="153">
        <v>4.4999999999999998E-2</v>
      </c>
      <c r="G33" s="152"/>
      <c r="H33" s="153">
        <v>4.0399999999999998E-2</v>
      </c>
    </row>
    <row r="34" spans="1:9" ht="24" customHeight="1">
      <c r="A34" s="296"/>
      <c r="B34" s="178" t="s">
        <v>223</v>
      </c>
      <c r="C34" s="3"/>
      <c r="D34" s="151"/>
      <c r="E34" s="152">
        <f t="shared" si="4"/>
        <v>43.720369843122157</v>
      </c>
      <c r="F34" s="180">
        <v>1.5075989601076605E-2</v>
      </c>
      <c r="G34" s="152"/>
      <c r="H34" s="153">
        <v>1.66E-2</v>
      </c>
      <c r="I34" s="150">
        <v>2.1700000000000001E-2</v>
      </c>
    </row>
    <row r="35" spans="1:9" ht="24" customHeight="1">
      <c r="A35" s="297" t="s">
        <v>224</v>
      </c>
      <c r="B35" s="298"/>
      <c r="C35" s="155"/>
      <c r="D35" s="156"/>
      <c r="E35" s="152">
        <f t="shared" si="4"/>
        <v>337.25833032324266</v>
      </c>
      <c r="F35" s="179">
        <f>SUM(F32:F34)</f>
        <v>0.11629597597353196</v>
      </c>
      <c r="G35" s="157"/>
      <c r="H35" s="157">
        <f>SUM(H32:H34)</f>
        <v>0.1018</v>
      </c>
      <c r="I35" s="150">
        <f>SUM(I32:I34)</f>
        <v>6.4799999999999996E-2</v>
      </c>
    </row>
    <row r="36" spans="1:9" ht="24" customHeight="1">
      <c r="A36" s="296" t="s">
        <v>48</v>
      </c>
      <c r="B36" s="296"/>
      <c r="C36" s="3"/>
      <c r="D36" s="151"/>
      <c r="E36" s="152">
        <f t="shared" si="4"/>
        <v>87</v>
      </c>
      <c r="F36" s="181">
        <v>0.03</v>
      </c>
      <c r="G36" s="152"/>
      <c r="H36" s="153">
        <f>1.97%+0.75%</f>
        <v>2.7199999999999998E-2</v>
      </c>
    </row>
    <row r="37" spans="1:9" ht="24" customHeight="1">
      <c r="A37" s="299" t="s">
        <v>225</v>
      </c>
      <c r="B37" s="178" t="s">
        <v>222</v>
      </c>
      <c r="C37" s="3"/>
      <c r="D37" s="151"/>
      <c r="E37" s="152">
        <f t="shared" si="4"/>
        <v>20.3</v>
      </c>
      <c r="F37" s="153">
        <v>7.0000000000000001E-3</v>
      </c>
      <c r="G37" s="152"/>
      <c r="H37" s="153">
        <v>5.3E-3</v>
      </c>
    </row>
    <row r="38" spans="1:9" ht="24" customHeight="1">
      <c r="A38" s="300"/>
      <c r="B38" s="178" t="s">
        <v>223</v>
      </c>
      <c r="C38" s="3"/>
      <c r="D38" s="151"/>
      <c r="E38" s="152">
        <f>$I$31*F38</f>
        <v>115.99999999999999</v>
      </c>
      <c r="F38" s="150">
        <f>2.8%+1.2%</f>
        <v>3.9999999999999994E-2</v>
      </c>
      <c r="G38" s="152"/>
      <c r="H38" s="153">
        <v>3.4099999999999998E-2</v>
      </c>
      <c r="I38" s="150">
        <v>0.03</v>
      </c>
    </row>
    <row r="39" spans="1:9" ht="24" customHeight="1">
      <c r="A39" s="296" t="s">
        <v>51</v>
      </c>
      <c r="B39" s="296"/>
      <c r="C39" s="3"/>
      <c r="D39" s="151"/>
      <c r="E39" s="152">
        <f t="shared" ref="E39" si="5">$I$31*F39</f>
        <v>116</v>
      </c>
      <c r="F39" s="153">
        <v>0.04</v>
      </c>
      <c r="G39" s="152"/>
      <c r="H39" s="153">
        <v>1.0999999999999999E-2</v>
      </c>
      <c r="I39" s="150">
        <v>0.03</v>
      </c>
    </row>
    <row r="42" spans="1:9">
      <c r="A42" s="147"/>
      <c r="B42" s="147"/>
      <c r="C42" s="147"/>
      <c r="D42" s="147"/>
      <c r="E42" s="147"/>
      <c r="F42" s="147"/>
      <c r="G42" s="295" t="s">
        <v>218</v>
      </c>
      <c r="H42" s="295"/>
      <c r="I42" s="148"/>
    </row>
    <row r="43" spans="1:9" ht="28.5" customHeight="1">
      <c r="A43" s="301" t="s">
        <v>219</v>
      </c>
      <c r="B43" s="301"/>
      <c r="C43" s="297" t="str">
        <f>C2</f>
        <v>河北工厂平均值</v>
      </c>
      <c r="D43" s="302"/>
      <c r="E43" s="302"/>
      <c r="F43" s="302"/>
      <c r="G43" s="302"/>
      <c r="H43" s="298"/>
      <c r="I43" s="149" t="s">
        <v>226</v>
      </c>
    </row>
    <row r="44" spans="1:9" ht="27">
      <c r="A44" s="301"/>
      <c r="B44" s="301"/>
      <c r="C44" s="158" t="s">
        <v>228</v>
      </c>
      <c r="D44" s="158" t="s">
        <v>229</v>
      </c>
      <c r="E44" s="158" t="s">
        <v>227</v>
      </c>
      <c r="F44" s="159" t="s">
        <v>232</v>
      </c>
      <c r="G44" s="159" t="s">
        <v>231</v>
      </c>
      <c r="H44" s="159" t="s">
        <v>230</v>
      </c>
      <c r="I44" s="162">
        <f>销量!F8</f>
        <v>535</v>
      </c>
    </row>
    <row r="45" spans="1:9" ht="24" customHeight="1">
      <c r="A45" s="296" t="s">
        <v>220</v>
      </c>
      <c r="B45" s="296"/>
      <c r="C45" s="3"/>
      <c r="D45" s="151"/>
      <c r="E45" s="152">
        <f>$I$44*F45</f>
        <v>30.077692709263612</v>
      </c>
      <c r="F45" s="180">
        <v>5.6219986372455351E-2</v>
      </c>
      <c r="G45" s="152"/>
      <c r="H45" s="153">
        <v>4.48E-2</v>
      </c>
      <c r="I45" s="150">
        <v>4.3099999999999999E-2</v>
      </c>
    </row>
    <row r="46" spans="1:9" ht="24" customHeight="1">
      <c r="A46" s="296" t="s">
        <v>221</v>
      </c>
      <c r="B46" s="178" t="s">
        <v>222</v>
      </c>
      <c r="C46" s="3"/>
      <c r="D46" s="151"/>
      <c r="E46" s="152">
        <f t="shared" ref="E46:E50" si="6">$I$44*F46</f>
        <v>24.074999999999999</v>
      </c>
      <c r="F46" s="153">
        <v>4.4999999999999998E-2</v>
      </c>
      <c r="G46" s="152"/>
      <c r="H46" s="153">
        <v>4.0399999999999998E-2</v>
      </c>
    </row>
    <row r="47" spans="1:9" ht="24" customHeight="1">
      <c r="A47" s="296"/>
      <c r="B47" s="178" t="s">
        <v>223</v>
      </c>
      <c r="C47" s="3"/>
      <c r="D47" s="151"/>
      <c r="E47" s="152">
        <f t="shared" si="6"/>
        <v>8.0656544365759828</v>
      </c>
      <c r="F47" s="180">
        <v>1.5075989601076605E-2</v>
      </c>
      <c r="G47" s="152"/>
      <c r="H47" s="153">
        <v>1.66E-2</v>
      </c>
      <c r="I47" s="150">
        <v>2.1700000000000001E-2</v>
      </c>
    </row>
    <row r="48" spans="1:9" ht="24" customHeight="1">
      <c r="A48" s="297" t="s">
        <v>224</v>
      </c>
      <c r="B48" s="298"/>
      <c r="C48" s="155"/>
      <c r="D48" s="156"/>
      <c r="E48" s="152">
        <f t="shared" si="6"/>
        <v>62.218347145839601</v>
      </c>
      <c r="F48" s="179">
        <f>SUM(F45:F47)</f>
        <v>0.11629597597353196</v>
      </c>
      <c r="G48" s="157"/>
      <c r="H48" s="157">
        <f>SUM(H45:H47)</f>
        <v>0.1018</v>
      </c>
      <c r="I48" s="150">
        <f>SUM(I45:I47)</f>
        <v>6.4799999999999996E-2</v>
      </c>
    </row>
    <row r="49" spans="1:9" ht="24" customHeight="1">
      <c r="A49" s="296" t="s">
        <v>48</v>
      </c>
      <c r="B49" s="296"/>
      <c r="C49" s="3"/>
      <c r="D49" s="151"/>
      <c r="E49" s="152">
        <f t="shared" si="6"/>
        <v>16.05</v>
      </c>
      <c r="F49" s="181">
        <v>0.03</v>
      </c>
      <c r="G49" s="152"/>
      <c r="H49" s="153">
        <f>1.97%+0.75%</f>
        <v>2.7199999999999998E-2</v>
      </c>
    </row>
    <row r="50" spans="1:9" ht="24" customHeight="1">
      <c r="A50" s="299" t="s">
        <v>225</v>
      </c>
      <c r="B50" s="178" t="s">
        <v>222</v>
      </c>
      <c r="C50" s="3"/>
      <c r="D50" s="151"/>
      <c r="E50" s="152">
        <f t="shared" si="6"/>
        <v>3.7450000000000001</v>
      </c>
      <c r="F50" s="153">
        <v>7.0000000000000001E-3</v>
      </c>
      <c r="G50" s="152"/>
      <c r="H50" s="153">
        <v>5.3E-3</v>
      </c>
    </row>
    <row r="51" spans="1:9" ht="24" customHeight="1">
      <c r="A51" s="300"/>
      <c r="B51" s="178" t="s">
        <v>223</v>
      </c>
      <c r="C51" s="3"/>
      <c r="D51" s="151"/>
      <c r="E51" s="152">
        <f>$I$44*F51</f>
        <v>21.399999999999995</v>
      </c>
      <c r="F51" s="150">
        <f>2.8%+1.2%</f>
        <v>3.9999999999999994E-2</v>
      </c>
      <c r="G51" s="152"/>
      <c r="H51" s="153">
        <v>3.4099999999999998E-2</v>
      </c>
      <c r="I51" s="150">
        <v>0.03</v>
      </c>
    </row>
    <row r="52" spans="1:9" ht="24" customHeight="1">
      <c r="A52" s="296" t="s">
        <v>51</v>
      </c>
      <c r="B52" s="296"/>
      <c r="C52" s="3"/>
      <c r="D52" s="151"/>
      <c r="E52" s="152">
        <f t="shared" ref="E52" si="7">$I$44*F52</f>
        <v>21.400000000000002</v>
      </c>
      <c r="F52" s="153">
        <v>0.04</v>
      </c>
      <c r="G52" s="152"/>
      <c r="H52" s="153">
        <v>1.0999999999999999E-2</v>
      </c>
      <c r="I52" s="150">
        <v>0.03</v>
      </c>
    </row>
    <row r="55" spans="1:9">
      <c r="A55" s="147"/>
      <c r="B55" s="147"/>
      <c r="C55" s="147"/>
      <c r="D55" s="147"/>
      <c r="E55" s="147"/>
      <c r="F55" s="147"/>
      <c r="G55" s="295" t="s">
        <v>218</v>
      </c>
      <c r="H55" s="295"/>
      <c r="I55" s="148"/>
    </row>
    <row r="56" spans="1:9">
      <c r="A56" s="301" t="s">
        <v>219</v>
      </c>
      <c r="B56" s="301"/>
      <c r="C56" s="297" t="s">
        <v>261</v>
      </c>
      <c r="D56" s="302"/>
      <c r="E56" s="302"/>
      <c r="F56" s="302"/>
      <c r="G56" s="302"/>
      <c r="H56" s="298"/>
      <c r="I56" s="149" t="s">
        <v>226</v>
      </c>
    </row>
    <row r="57" spans="1:9" ht="27">
      <c r="A57" s="301"/>
      <c r="B57" s="301"/>
      <c r="C57" s="158" t="s">
        <v>228</v>
      </c>
      <c r="D57" s="158" t="s">
        <v>229</v>
      </c>
      <c r="E57" s="158" t="s">
        <v>227</v>
      </c>
      <c r="F57" s="159" t="s">
        <v>232</v>
      </c>
      <c r="G57" s="159" t="s">
        <v>231</v>
      </c>
      <c r="H57" s="159" t="s">
        <v>230</v>
      </c>
      <c r="I57" s="162">
        <f>销量!G8</f>
        <v>0</v>
      </c>
    </row>
    <row r="58" spans="1:9">
      <c r="A58" s="296" t="s">
        <v>220</v>
      </c>
      <c r="B58" s="296"/>
      <c r="C58" s="3"/>
      <c r="D58" s="151"/>
      <c r="E58" s="152">
        <f>$I$57*F58</f>
        <v>0</v>
      </c>
      <c r="F58" s="180">
        <v>2.8000000000000001E-2</v>
      </c>
      <c r="G58" s="152"/>
      <c r="H58" s="153">
        <v>4.48E-2</v>
      </c>
      <c r="I58" s="150">
        <v>4.3099999999999999E-2</v>
      </c>
    </row>
    <row r="59" spans="1:9">
      <c r="A59" s="296" t="s">
        <v>221</v>
      </c>
      <c r="B59" s="178" t="s">
        <v>222</v>
      </c>
      <c r="C59" s="3"/>
      <c r="D59" s="151"/>
      <c r="E59" s="152">
        <f t="shared" ref="E59:E63" si="8">$I$57*F59</f>
        <v>0</v>
      </c>
      <c r="F59" s="153">
        <v>0.03</v>
      </c>
      <c r="G59" s="152"/>
      <c r="H59" s="153">
        <v>4.0399999999999998E-2</v>
      </c>
    </row>
    <row r="60" spans="1:9">
      <c r="A60" s="296"/>
      <c r="B60" s="178" t="s">
        <v>223</v>
      </c>
      <c r="C60" s="3"/>
      <c r="D60" s="151"/>
      <c r="E60" s="152">
        <f t="shared" si="8"/>
        <v>0</v>
      </c>
      <c r="F60" s="180">
        <v>1.0999999999999999E-2</v>
      </c>
      <c r="G60" s="152"/>
      <c r="H60" s="153">
        <v>1.66E-2</v>
      </c>
      <c r="I60" s="150">
        <v>2.1700000000000001E-2</v>
      </c>
    </row>
    <row r="61" spans="1:9">
      <c r="A61" s="297" t="s">
        <v>224</v>
      </c>
      <c r="B61" s="298"/>
      <c r="C61" s="155"/>
      <c r="D61" s="156"/>
      <c r="E61" s="152">
        <f t="shared" si="8"/>
        <v>0</v>
      </c>
      <c r="F61" s="179">
        <f>SUM(F58:F60)</f>
        <v>6.8999999999999992E-2</v>
      </c>
      <c r="G61" s="157"/>
      <c r="H61" s="157">
        <f>SUM(H58:H60)</f>
        <v>0.1018</v>
      </c>
      <c r="I61" s="150">
        <f>SUM(I58:I60)</f>
        <v>6.4799999999999996E-2</v>
      </c>
    </row>
    <row r="62" spans="1:9">
      <c r="A62" s="296" t="s">
        <v>48</v>
      </c>
      <c r="B62" s="296"/>
      <c r="C62" s="3"/>
      <c r="D62" s="151"/>
      <c r="E62" s="152">
        <f t="shared" si="8"/>
        <v>0</v>
      </c>
      <c r="F62" s="181">
        <v>1.6E-2</v>
      </c>
      <c r="G62" s="152"/>
      <c r="H62" s="153">
        <f>1.97%+0.75%</f>
        <v>2.7199999999999998E-2</v>
      </c>
    </row>
    <row r="63" spans="1:9">
      <c r="A63" s="299" t="s">
        <v>225</v>
      </c>
      <c r="B63" s="178" t="s">
        <v>222</v>
      </c>
      <c r="C63" s="3"/>
      <c r="D63" s="151"/>
      <c r="E63" s="152">
        <f t="shared" si="8"/>
        <v>0</v>
      </c>
      <c r="F63" s="153">
        <v>8.0000000000000002E-3</v>
      </c>
      <c r="G63" s="152"/>
      <c r="H63" s="153">
        <v>5.3E-3</v>
      </c>
    </row>
    <row r="64" spans="1:9">
      <c r="A64" s="300"/>
      <c r="B64" s="178" t="s">
        <v>223</v>
      </c>
      <c r="C64" s="3"/>
      <c r="D64" s="151"/>
      <c r="E64" s="152">
        <f>$I$57*F64</f>
        <v>0</v>
      </c>
      <c r="F64" s="209">
        <v>0.03</v>
      </c>
      <c r="G64" s="152"/>
      <c r="H64" s="153">
        <v>3.4099999999999998E-2</v>
      </c>
      <c r="I64" s="150">
        <v>0.03</v>
      </c>
    </row>
    <row r="65" spans="1:9">
      <c r="A65" s="296" t="s">
        <v>51</v>
      </c>
      <c r="B65" s="296"/>
      <c r="C65" s="3"/>
      <c r="D65" s="151"/>
      <c r="E65" s="152">
        <f t="shared" ref="E65" si="9">$I$57*F65</f>
        <v>0</v>
      </c>
      <c r="F65" s="208">
        <v>0.02</v>
      </c>
      <c r="G65" s="152"/>
      <c r="H65" s="153">
        <v>1.0999999999999999E-2</v>
      </c>
      <c r="I65" s="150">
        <v>0.03</v>
      </c>
    </row>
    <row r="68" spans="1:9">
      <c r="A68" s="147"/>
      <c r="B68" s="147"/>
      <c r="C68" s="147"/>
      <c r="D68" s="147"/>
      <c r="E68" s="147"/>
      <c r="F68" s="147"/>
      <c r="G68" s="295" t="s">
        <v>218</v>
      </c>
      <c r="H68" s="295"/>
      <c r="I68" s="148"/>
    </row>
    <row r="69" spans="1:9">
      <c r="A69" s="301" t="s">
        <v>219</v>
      </c>
      <c r="B69" s="301"/>
      <c r="C69" s="297" t="s">
        <v>261</v>
      </c>
      <c r="D69" s="302"/>
      <c r="E69" s="302"/>
      <c r="F69" s="302"/>
      <c r="G69" s="302"/>
      <c r="H69" s="298"/>
      <c r="I69" s="149" t="s">
        <v>226</v>
      </c>
    </row>
    <row r="70" spans="1:9" ht="27">
      <c r="A70" s="301"/>
      <c r="B70" s="301"/>
      <c r="C70" s="158" t="s">
        <v>228</v>
      </c>
      <c r="D70" s="158" t="s">
        <v>229</v>
      </c>
      <c r="E70" s="158" t="s">
        <v>227</v>
      </c>
      <c r="F70" s="159" t="s">
        <v>232</v>
      </c>
      <c r="G70" s="159" t="s">
        <v>231</v>
      </c>
      <c r="H70" s="159" t="s">
        <v>230</v>
      </c>
      <c r="I70" s="162">
        <f>销量!H8</f>
        <v>0</v>
      </c>
    </row>
    <row r="71" spans="1:9">
      <c r="A71" s="296" t="s">
        <v>220</v>
      </c>
      <c r="B71" s="296"/>
      <c r="C71" s="3"/>
      <c r="D71" s="151"/>
      <c r="E71" s="152">
        <f>$I$70*F71</f>
        <v>0</v>
      </c>
      <c r="F71" s="180">
        <v>2.8000000000000001E-2</v>
      </c>
      <c r="G71" s="152"/>
      <c r="H71" s="153">
        <v>4.48E-2</v>
      </c>
      <c r="I71" s="150">
        <v>4.3099999999999999E-2</v>
      </c>
    </row>
    <row r="72" spans="1:9">
      <c r="A72" s="296" t="s">
        <v>221</v>
      </c>
      <c r="B72" s="178" t="s">
        <v>222</v>
      </c>
      <c r="C72" s="3"/>
      <c r="D72" s="151"/>
      <c r="E72" s="152">
        <f t="shared" ref="E72:E76" si="10">$I$70*F72</f>
        <v>0</v>
      </c>
      <c r="F72" s="153">
        <v>0.03</v>
      </c>
      <c r="G72" s="152"/>
      <c r="H72" s="153">
        <v>4.0399999999999998E-2</v>
      </c>
    </row>
    <row r="73" spans="1:9">
      <c r="A73" s="296"/>
      <c r="B73" s="178" t="s">
        <v>223</v>
      </c>
      <c r="C73" s="3"/>
      <c r="D73" s="151"/>
      <c r="E73" s="152">
        <f t="shared" si="10"/>
        <v>0</v>
      </c>
      <c r="F73" s="180">
        <v>1.0999999999999999E-2</v>
      </c>
      <c r="G73" s="152"/>
      <c r="H73" s="153">
        <v>1.66E-2</v>
      </c>
      <c r="I73" s="150">
        <v>2.1700000000000001E-2</v>
      </c>
    </row>
    <row r="74" spans="1:9">
      <c r="A74" s="297" t="s">
        <v>224</v>
      </c>
      <c r="B74" s="298"/>
      <c r="C74" s="155"/>
      <c r="D74" s="156"/>
      <c r="E74" s="152">
        <f t="shared" si="10"/>
        <v>0</v>
      </c>
      <c r="F74" s="179">
        <f>SUM(F71:F73)</f>
        <v>6.8999999999999992E-2</v>
      </c>
      <c r="G74" s="157"/>
      <c r="H74" s="157">
        <f>SUM(H71:H73)</f>
        <v>0.1018</v>
      </c>
      <c r="I74" s="150">
        <f>SUM(I71:I73)</f>
        <v>6.4799999999999996E-2</v>
      </c>
    </row>
    <row r="75" spans="1:9">
      <c r="A75" s="296" t="s">
        <v>48</v>
      </c>
      <c r="B75" s="296"/>
      <c r="C75" s="3"/>
      <c r="D75" s="151"/>
      <c r="E75" s="152">
        <f t="shared" si="10"/>
        <v>0</v>
      </c>
      <c r="F75" s="181">
        <v>1.6E-2</v>
      </c>
      <c r="G75" s="152"/>
      <c r="H75" s="153">
        <f>1.97%+0.75%</f>
        <v>2.7199999999999998E-2</v>
      </c>
    </row>
    <row r="76" spans="1:9">
      <c r="A76" s="299" t="s">
        <v>225</v>
      </c>
      <c r="B76" s="178" t="s">
        <v>222</v>
      </c>
      <c r="C76" s="3"/>
      <c r="D76" s="151"/>
      <c r="E76" s="152">
        <f t="shared" si="10"/>
        <v>0</v>
      </c>
      <c r="F76" s="153">
        <v>8.0000000000000002E-3</v>
      </c>
      <c r="G76" s="152"/>
      <c r="H76" s="153">
        <v>5.3E-3</v>
      </c>
    </row>
    <row r="77" spans="1:9">
      <c r="A77" s="300"/>
      <c r="B77" s="178" t="s">
        <v>223</v>
      </c>
      <c r="C77" s="3"/>
      <c r="D77" s="151"/>
      <c r="E77" s="152">
        <f>$I$70*F77</f>
        <v>0</v>
      </c>
      <c r="F77" s="209">
        <v>0.03</v>
      </c>
      <c r="G77" s="152"/>
      <c r="H77" s="153">
        <v>3.4099999999999998E-2</v>
      </c>
      <c r="I77" s="150">
        <v>0.03</v>
      </c>
    </row>
    <row r="78" spans="1:9">
      <c r="A78" s="296" t="s">
        <v>51</v>
      </c>
      <c r="B78" s="296"/>
      <c r="C78" s="3"/>
      <c r="D78" s="151"/>
      <c r="E78" s="152">
        <f t="shared" ref="E78" si="11">$I$70*F78</f>
        <v>0</v>
      </c>
      <c r="F78" s="208">
        <v>0.02</v>
      </c>
      <c r="G78" s="152"/>
      <c r="H78" s="153">
        <v>1.0999999999999999E-2</v>
      </c>
      <c r="I78" s="150">
        <v>0.03</v>
      </c>
    </row>
    <row r="81" spans="1:9">
      <c r="A81" s="147"/>
      <c r="B81" s="147"/>
      <c r="C81" s="147"/>
      <c r="D81" s="147"/>
      <c r="E81" s="147"/>
      <c r="F81" s="147"/>
      <c r="G81" s="295" t="s">
        <v>218</v>
      </c>
      <c r="H81" s="295"/>
      <c r="I81" s="148"/>
    </row>
    <row r="82" spans="1:9">
      <c r="A82" s="301" t="s">
        <v>219</v>
      </c>
      <c r="B82" s="301"/>
      <c r="C82" s="297" t="s">
        <v>261</v>
      </c>
      <c r="D82" s="302"/>
      <c r="E82" s="302"/>
      <c r="F82" s="302"/>
      <c r="G82" s="302"/>
      <c r="H82" s="298"/>
      <c r="I82" s="149" t="s">
        <v>226</v>
      </c>
    </row>
    <row r="83" spans="1:9" ht="27">
      <c r="A83" s="301"/>
      <c r="B83" s="301"/>
      <c r="C83" s="158" t="s">
        <v>228</v>
      </c>
      <c r="D83" s="158" t="s">
        <v>229</v>
      </c>
      <c r="E83" s="158" t="s">
        <v>227</v>
      </c>
      <c r="F83" s="159" t="s">
        <v>232</v>
      </c>
      <c r="G83" s="159" t="s">
        <v>231</v>
      </c>
      <c r="H83" s="159" t="s">
        <v>230</v>
      </c>
      <c r="I83" s="162">
        <f>销量!I8</f>
        <v>0</v>
      </c>
    </row>
    <row r="84" spans="1:9">
      <c r="A84" s="296" t="s">
        <v>220</v>
      </c>
      <c r="B84" s="296"/>
      <c r="C84" s="3"/>
      <c r="D84" s="151"/>
      <c r="E84" s="152">
        <f>$I$83*F84</f>
        <v>0</v>
      </c>
      <c r="F84" s="180">
        <v>2.8000000000000001E-2</v>
      </c>
      <c r="G84" s="152"/>
      <c r="H84" s="153">
        <v>4.48E-2</v>
      </c>
      <c r="I84" s="150">
        <v>4.3099999999999999E-2</v>
      </c>
    </row>
    <row r="85" spans="1:9">
      <c r="A85" s="296" t="s">
        <v>221</v>
      </c>
      <c r="B85" s="198" t="s">
        <v>222</v>
      </c>
      <c r="C85" s="3"/>
      <c r="D85" s="151"/>
      <c r="E85" s="152">
        <f t="shared" ref="E85:E89" si="12">$I$83*F85</f>
        <v>0</v>
      </c>
      <c r="F85" s="153">
        <v>0.03</v>
      </c>
      <c r="G85" s="152"/>
      <c r="H85" s="153">
        <v>4.0399999999999998E-2</v>
      </c>
    </row>
    <row r="86" spans="1:9">
      <c r="A86" s="296"/>
      <c r="B86" s="198" t="s">
        <v>223</v>
      </c>
      <c r="C86" s="3"/>
      <c r="D86" s="151"/>
      <c r="E86" s="152">
        <f t="shared" si="12"/>
        <v>0</v>
      </c>
      <c r="F86" s="180">
        <v>1.0999999999999999E-2</v>
      </c>
      <c r="G86" s="152"/>
      <c r="H86" s="153">
        <v>1.66E-2</v>
      </c>
      <c r="I86" s="150">
        <v>2.1700000000000001E-2</v>
      </c>
    </row>
    <row r="87" spans="1:9">
      <c r="A87" s="297" t="s">
        <v>224</v>
      </c>
      <c r="B87" s="298"/>
      <c r="C87" s="155"/>
      <c r="D87" s="156"/>
      <c r="E87" s="152">
        <f t="shared" si="12"/>
        <v>0</v>
      </c>
      <c r="F87" s="179">
        <f>SUM(F84:F86)</f>
        <v>6.8999999999999992E-2</v>
      </c>
      <c r="G87" s="157"/>
      <c r="H87" s="157">
        <f>SUM(H84:H86)</f>
        <v>0.1018</v>
      </c>
      <c r="I87" s="150">
        <f>SUM(I84:I86)</f>
        <v>6.4799999999999996E-2</v>
      </c>
    </row>
    <row r="88" spans="1:9">
      <c r="A88" s="296" t="s">
        <v>48</v>
      </c>
      <c r="B88" s="296"/>
      <c r="C88" s="3"/>
      <c r="D88" s="151"/>
      <c r="E88" s="152">
        <f t="shared" si="12"/>
        <v>0</v>
      </c>
      <c r="F88" s="181">
        <v>1.6E-2</v>
      </c>
      <c r="G88" s="152"/>
      <c r="H88" s="153">
        <f>1.97%+0.75%</f>
        <v>2.7199999999999998E-2</v>
      </c>
    </row>
    <row r="89" spans="1:9">
      <c r="A89" s="299" t="s">
        <v>225</v>
      </c>
      <c r="B89" s="198" t="s">
        <v>222</v>
      </c>
      <c r="C89" s="3"/>
      <c r="D89" s="151"/>
      <c r="E89" s="152">
        <f t="shared" si="12"/>
        <v>0</v>
      </c>
      <c r="F89" s="153">
        <v>8.0000000000000002E-3</v>
      </c>
      <c r="G89" s="152"/>
      <c r="H89" s="153">
        <v>5.3E-3</v>
      </c>
    </row>
    <row r="90" spans="1:9">
      <c r="A90" s="300"/>
      <c r="B90" s="198" t="s">
        <v>223</v>
      </c>
      <c r="C90" s="3"/>
      <c r="D90" s="151"/>
      <c r="E90" s="152">
        <f t="shared" ref="E90:E91" si="13">$I$83*F90</f>
        <v>0</v>
      </c>
      <c r="F90" s="209">
        <v>0.03</v>
      </c>
      <c r="G90" s="152"/>
      <c r="H90" s="153">
        <v>3.4099999999999998E-2</v>
      </c>
      <c r="I90" s="150">
        <v>0.03</v>
      </c>
    </row>
    <row r="91" spans="1:9">
      <c r="A91" s="296" t="s">
        <v>51</v>
      </c>
      <c r="B91" s="296"/>
      <c r="C91" s="3"/>
      <c r="D91" s="151"/>
      <c r="E91" s="152">
        <f t="shared" si="13"/>
        <v>0</v>
      </c>
      <c r="F91" s="208">
        <v>0.02</v>
      </c>
      <c r="G91" s="152"/>
      <c r="H91" s="153">
        <v>1.0999999999999999E-2</v>
      </c>
      <c r="I91" s="150">
        <v>0.03</v>
      </c>
    </row>
    <row r="94" spans="1:9">
      <c r="A94" s="147"/>
      <c r="B94" s="147"/>
      <c r="C94" s="147"/>
      <c r="D94" s="147"/>
      <c r="E94" s="147"/>
      <c r="F94" s="147"/>
      <c r="G94" s="295" t="s">
        <v>218</v>
      </c>
      <c r="H94" s="295"/>
      <c r="I94" s="148"/>
    </row>
    <row r="95" spans="1:9">
      <c r="A95" s="301" t="s">
        <v>219</v>
      </c>
      <c r="B95" s="301"/>
      <c r="C95" s="297" t="s">
        <v>261</v>
      </c>
      <c r="D95" s="302"/>
      <c r="E95" s="302"/>
      <c r="F95" s="302"/>
      <c r="G95" s="302"/>
      <c r="H95" s="298"/>
      <c r="I95" s="149" t="s">
        <v>226</v>
      </c>
    </row>
    <row r="96" spans="1:9" ht="27">
      <c r="A96" s="301"/>
      <c r="B96" s="301"/>
      <c r="C96" s="158" t="s">
        <v>228</v>
      </c>
      <c r="D96" s="158" t="s">
        <v>229</v>
      </c>
      <c r="E96" s="158" t="s">
        <v>227</v>
      </c>
      <c r="F96" s="159" t="s">
        <v>232</v>
      </c>
      <c r="G96" s="159" t="s">
        <v>231</v>
      </c>
      <c r="H96" s="159" t="s">
        <v>230</v>
      </c>
      <c r="I96" s="162">
        <f>销量!J8</f>
        <v>0</v>
      </c>
    </row>
    <row r="97" spans="1:9">
      <c r="A97" s="296" t="s">
        <v>220</v>
      </c>
      <c r="B97" s="296"/>
      <c r="C97" s="3"/>
      <c r="D97" s="151"/>
      <c r="E97" s="152">
        <f>$I$96*F97</f>
        <v>0</v>
      </c>
      <c r="F97" s="180">
        <v>2.8000000000000001E-2</v>
      </c>
      <c r="G97" s="152"/>
      <c r="H97" s="153">
        <v>4.48E-2</v>
      </c>
      <c r="I97" s="150">
        <v>4.3099999999999999E-2</v>
      </c>
    </row>
    <row r="98" spans="1:9">
      <c r="A98" s="296" t="s">
        <v>221</v>
      </c>
      <c r="B98" s="198" t="s">
        <v>222</v>
      </c>
      <c r="C98" s="3"/>
      <c r="D98" s="151"/>
      <c r="E98" s="152">
        <f t="shared" ref="E98:E103" si="14">$I$96*F98</f>
        <v>0</v>
      </c>
      <c r="F98" s="153">
        <v>0.03</v>
      </c>
      <c r="G98" s="152"/>
      <c r="H98" s="153">
        <v>4.0399999999999998E-2</v>
      </c>
    </row>
    <row r="99" spans="1:9">
      <c r="A99" s="296"/>
      <c r="B99" s="198" t="s">
        <v>223</v>
      </c>
      <c r="C99" s="3"/>
      <c r="D99" s="151"/>
      <c r="E99" s="152">
        <f t="shared" si="14"/>
        <v>0</v>
      </c>
      <c r="F99" s="180">
        <v>1.0999999999999999E-2</v>
      </c>
      <c r="G99" s="152"/>
      <c r="H99" s="153">
        <v>1.66E-2</v>
      </c>
      <c r="I99" s="150">
        <v>2.1700000000000001E-2</v>
      </c>
    </row>
    <row r="100" spans="1:9">
      <c r="A100" s="297" t="s">
        <v>224</v>
      </c>
      <c r="B100" s="298"/>
      <c r="C100" s="155"/>
      <c r="D100" s="156"/>
      <c r="E100" s="152">
        <f t="shared" si="14"/>
        <v>0</v>
      </c>
      <c r="F100" s="179">
        <f>SUM(F97:F99)</f>
        <v>6.8999999999999992E-2</v>
      </c>
      <c r="G100" s="157"/>
      <c r="H100" s="157">
        <f>SUM(H97:H99)</f>
        <v>0.1018</v>
      </c>
      <c r="I100" s="150">
        <f>SUM(I97:I99)</f>
        <v>6.4799999999999996E-2</v>
      </c>
    </row>
    <row r="101" spans="1:9">
      <c r="A101" s="296" t="s">
        <v>48</v>
      </c>
      <c r="B101" s="296"/>
      <c r="C101" s="3"/>
      <c r="D101" s="151"/>
      <c r="E101" s="152">
        <f t="shared" si="14"/>
        <v>0</v>
      </c>
      <c r="F101" s="181">
        <v>1.6E-2</v>
      </c>
      <c r="G101" s="152"/>
      <c r="H101" s="153">
        <f>1.97%+0.75%</f>
        <v>2.7199999999999998E-2</v>
      </c>
    </row>
    <row r="102" spans="1:9">
      <c r="A102" s="299" t="s">
        <v>225</v>
      </c>
      <c r="B102" s="198" t="s">
        <v>222</v>
      </c>
      <c r="C102" s="3"/>
      <c r="D102" s="151"/>
      <c r="E102" s="152">
        <f t="shared" si="14"/>
        <v>0</v>
      </c>
      <c r="F102" s="153">
        <v>8.0000000000000002E-3</v>
      </c>
      <c r="G102" s="152"/>
      <c r="H102" s="153">
        <v>5.3E-3</v>
      </c>
    </row>
    <row r="103" spans="1:9">
      <c r="A103" s="300"/>
      <c r="B103" s="198" t="s">
        <v>223</v>
      </c>
      <c r="C103" s="3"/>
      <c r="D103" s="151"/>
      <c r="E103" s="152">
        <f t="shared" si="14"/>
        <v>0</v>
      </c>
      <c r="F103" s="209">
        <v>0.03</v>
      </c>
      <c r="G103" s="152"/>
      <c r="H103" s="153">
        <v>3.4099999999999998E-2</v>
      </c>
      <c r="I103" s="150">
        <v>0.03</v>
      </c>
    </row>
    <row r="104" spans="1:9">
      <c r="A104" s="296" t="s">
        <v>51</v>
      </c>
      <c r="B104" s="296"/>
      <c r="C104" s="3"/>
      <c r="D104" s="151"/>
      <c r="E104" s="152">
        <f t="shared" ref="E104" si="15">$I$96*F104</f>
        <v>0</v>
      </c>
      <c r="F104" s="208">
        <v>0.02</v>
      </c>
      <c r="G104" s="152"/>
      <c r="H104" s="153">
        <v>1.0999999999999999E-2</v>
      </c>
      <c r="I104" s="150">
        <v>0.03</v>
      </c>
    </row>
    <row r="107" spans="1:9">
      <c r="A107" s="147"/>
      <c r="B107" s="147"/>
      <c r="C107" s="147"/>
      <c r="D107" s="147"/>
      <c r="E107" s="147"/>
      <c r="F107" s="147"/>
      <c r="G107" s="295" t="s">
        <v>218</v>
      </c>
      <c r="H107" s="295"/>
      <c r="I107" s="148"/>
    </row>
    <row r="108" spans="1:9">
      <c r="A108" s="301" t="s">
        <v>219</v>
      </c>
      <c r="B108" s="301"/>
      <c r="C108" s="297" t="s">
        <v>261</v>
      </c>
      <c r="D108" s="302"/>
      <c r="E108" s="302"/>
      <c r="F108" s="302"/>
      <c r="G108" s="302"/>
      <c r="H108" s="298"/>
      <c r="I108" s="149" t="s">
        <v>226</v>
      </c>
    </row>
    <row r="109" spans="1:9" ht="27">
      <c r="A109" s="301"/>
      <c r="B109" s="301"/>
      <c r="C109" s="158" t="s">
        <v>228</v>
      </c>
      <c r="D109" s="158" t="s">
        <v>229</v>
      </c>
      <c r="E109" s="158" t="s">
        <v>227</v>
      </c>
      <c r="F109" s="159" t="s">
        <v>232</v>
      </c>
      <c r="G109" s="159" t="s">
        <v>231</v>
      </c>
      <c r="H109" s="159" t="s">
        <v>230</v>
      </c>
      <c r="I109" s="162">
        <f>销量!K8</f>
        <v>0</v>
      </c>
    </row>
    <row r="110" spans="1:9">
      <c r="A110" s="296" t="s">
        <v>220</v>
      </c>
      <c r="B110" s="296"/>
      <c r="C110" s="3"/>
      <c r="D110" s="151"/>
      <c r="E110" s="152">
        <f>$I$109*F110</f>
        <v>0</v>
      </c>
      <c r="F110" s="180">
        <v>2.8000000000000001E-2</v>
      </c>
      <c r="G110" s="152"/>
      <c r="H110" s="153">
        <v>4.48E-2</v>
      </c>
      <c r="I110" s="150">
        <v>4.3099999999999999E-2</v>
      </c>
    </row>
    <row r="111" spans="1:9">
      <c r="A111" s="296" t="s">
        <v>221</v>
      </c>
      <c r="B111" s="198" t="s">
        <v>222</v>
      </c>
      <c r="C111" s="3"/>
      <c r="D111" s="151"/>
      <c r="E111" s="152">
        <f t="shared" ref="E111:E116" si="16">$I$109*F111</f>
        <v>0</v>
      </c>
      <c r="F111" s="153">
        <v>0.03</v>
      </c>
      <c r="G111" s="152"/>
      <c r="H111" s="153">
        <v>4.0399999999999998E-2</v>
      </c>
    </row>
    <row r="112" spans="1:9">
      <c r="A112" s="296"/>
      <c r="B112" s="198" t="s">
        <v>223</v>
      </c>
      <c r="C112" s="3"/>
      <c r="D112" s="151"/>
      <c r="E112" s="152">
        <f t="shared" si="16"/>
        <v>0</v>
      </c>
      <c r="F112" s="180">
        <v>1.0999999999999999E-2</v>
      </c>
      <c r="G112" s="152"/>
      <c r="H112" s="153">
        <v>1.66E-2</v>
      </c>
      <c r="I112" s="150">
        <v>2.1700000000000001E-2</v>
      </c>
    </row>
    <row r="113" spans="1:9">
      <c r="A113" s="297" t="s">
        <v>224</v>
      </c>
      <c r="B113" s="298"/>
      <c r="C113" s="155"/>
      <c r="D113" s="156"/>
      <c r="E113" s="152">
        <f t="shared" si="16"/>
        <v>0</v>
      </c>
      <c r="F113" s="179">
        <f>SUM(F110:F112)</f>
        <v>6.8999999999999992E-2</v>
      </c>
      <c r="G113" s="157"/>
      <c r="H113" s="157">
        <f>SUM(H110:H112)</f>
        <v>0.1018</v>
      </c>
      <c r="I113" s="150">
        <f>SUM(I110:I112)</f>
        <v>6.4799999999999996E-2</v>
      </c>
    </row>
    <row r="114" spans="1:9">
      <c r="A114" s="296" t="s">
        <v>48</v>
      </c>
      <c r="B114" s="296"/>
      <c r="C114" s="3"/>
      <c r="D114" s="151"/>
      <c r="E114" s="152">
        <f t="shared" si="16"/>
        <v>0</v>
      </c>
      <c r="F114" s="181">
        <v>1.6E-2</v>
      </c>
      <c r="G114" s="152"/>
      <c r="H114" s="153">
        <f>1.97%+0.75%</f>
        <v>2.7199999999999998E-2</v>
      </c>
    </row>
    <row r="115" spans="1:9">
      <c r="A115" s="299" t="s">
        <v>225</v>
      </c>
      <c r="B115" s="198" t="s">
        <v>222</v>
      </c>
      <c r="C115" s="3"/>
      <c r="D115" s="151"/>
      <c r="E115" s="152">
        <f t="shared" si="16"/>
        <v>0</v>
      </c>
      <c r="F115" s="153">
        <v>8.0000000000000002E-3</v>
      </c>
      <c r="G115" s="152"/>
      <c r="H115" s="153">
        <v>5.3E-3</v>
      </c>
    </row>
    <row r="116" spans="1:9">
      <c r="A116" s="300"/>
      <c r="B116" s="198" t="s">
        <v>223</v>
      </c>
      <c r="C116" s="3"/>
      <c r="D116" s="151"/>
      <c r="E116" s="152">
        <f t="shared" si="16"/>
        <v>0</v>
      </c>
      <c r="F116" s="209">
        <v>0.03</v>
      </c>
      <c r="G116" s="152"/>
      <c r="H116" s="153">
        <v>3.4099999999999998E-2</v>
      </c>
      <c r="I116" s="150">
        <v>0.03</v>
      </c>
    </row>
    <row r="117" spans="1:9">
      <c r="A117" s="296" t="s">
        <v>51</v>
      </c>
      <c r="B117" s="296"/>
      <c r="C117" s="3"/>
      <c r="D117" s="151"/>
      <c r="E117" s="152">
        <f t="shared" ref="E117" si="17">$I$109*F117</f>
        <v>0</v>
      </c>
      <c r="F117" s="208">
        <v>0.02</v>
      </c>
      <c r="G117" s="152"/>
      <c r="H117" s="153">
        <v>1.0999999999999999E-2</v>
      </c>
      <c r="I117" s="150">
        <v>0.03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G107:H107"/>
    <mergeCell ref="A108:B109"/>
    <mergeCell ref="C108:H108"/>
    <mergeCell ref="A95:B96"/>
    <mergeCell ref="C95:H95"/>
    <mergeCell ref="A97:B97"/>
    <mergeCell ref="A98:A99"/>
    <mergeCell ref="A100:B100"/>
    <mergeCell ref="A87:B87"/>
    <mergeCell ref="A88:B88"/>
    <mergeCell ref="A89:A90"/>
    <mergeCell ref="A91:B91"/>
    <mergeCell ref="G94:H94"/>
    <mergeCell ref="G81:H81"/>
    <mergeCell ref="A82:B83"/>
    <mergeCell ref="C82:H82"/>
    <mergeCell ref="A84:B84"/>
    <mergeCell ref="A85:A86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8"/>
  <sheetViews>
    <sheetView workbookViewId="0">
      <selection activeCell="E17" sqref="E17"/>
    </sheetView>
  </sheetViews>
  <sheetFormatPr defaultRowHeight="13.5"/>
  <cols>
    <col min="2" max="2" width="18.625" bestFit="1" customWidth="1"/>
    <col min="3" max="3" width="19.375" bestFit="1" customWidth="1"/>
    <col min="4" max="4" width="32.25" customWidth="1"/>
    <col min="5" max="5" width="12.625" style="4" customWidth="1"/>
    <col min="6" max="6" width="16.375" style="4" bestFit="1" customWidth="1"/>
    <col min="7" max="7" width="13.375" style="4" customWidth="1"/>
    <col min="8" max="8" width="14.5" style="4" customWidth="1"/>
    <col min="9" max="9" width="19.5" customWidth="1"/>
  </cols>
  <sheetData>
    <row r="2" spans="2:9" ht="18.75">
      <c r="B2" s="303" t="s">
        <v>248</v>
      </c>
      <c r="C2" s="303"/>
      <c r="D2" s="303"/>
      <c r="E2" s="303"/>
      <c r="F2" s="303"/>
      <c r="G2" s="303"/>
      <c r="H2" s="303"/>
    </row>
    <row r="3" spans="2:9" s="236" customFormat="1" ht="26.25" customHeight="1">
      <c r="B3" s="233" t="s">
        <v>250</v>
      </c>
      <c r="C3" s="234" t="s">
        <v>249</v>
      </c>
      <c r="D3" s="233" t="s">
        <v>258</v>
      </c>
      <c r="E3" s="233" t="s">
        <v>251</v>
      </c>
      <c r="F3" s="223" t="s">
        <v>252</v>
      </c>
      <c r="G3" s="223" t="s">
        <v>253</v>
      </c>
      <c r="H3" s="235" t="s">
        <v>254</v>
      </c>
      <c r="I3" s="223" t="s">
        <v>255</v>
      </c>
    </row>
    <row r="4" spans="2:9" ht="28.5">
      <c r="B4" s="224" t="s">
        <v>266</v>
      </c>
      <c r="C4" s="224" t="s">
        <v>269</v>
      </c>
      <c r="D4" s="225" t="s">
        <v>273</v>
      </c>
      <c r="E4" s="226">
        <f>材料成本!D33</f>
        <v>1400.2462170856188</v>
      </c>
      <c r="F4" s="227">
        <f>销量!C8</f>
        <v>2200</v>
      </c>
      <c r="G4" s="228">
        <f>F4-E4</f>
        <v>799.75378291438119</v>
      </c>
      <c r="H4" s="229">
        <f>G4/F4</f>
        <v>0.36352444677926415</v>
      </c>
      <c r="I4" s="2"/>
    </row>
    <row r="5" spans="2:9" ht="28.5">
      <c r="B5" s="224" t="s">
        <v>267</v>
      </c>
      <c r="C5" s="224" t="s">
        <v>270</v>
      </c>
      <c r="D5" s="225" t="s">
        <v>274</v>
      </c>
      <c r="E5" s="230">
        <f>材料成本!E33</f>
        <v>1212.2848970856185</v>
      </c>
      <c r="F5" s="227">
        <f>销量!D8</f>
        <v>2450</v>
      </c>
      <c r="G5" s="228">
        <f t="shared" ref="G5:G7" si="0">F5-E5</f>
        <v>1237.7151029143815</v>
      </c>
      <c r="H5" s="229">
        <f t="shared" ref="H5:H8" si="1">G5/F5</f>
        <v>0.50518983792423733</v>
      </c>
      <c r="I5" s="2"/>
    </row>
    <row r="6" spans="2:9" ht="42.75">
      <c r="B6" s="224" t="s">
        <v>267</v>
      </c>
      <c r="C6" s="224" t="s">
        <v>271</v>
      </c>
      <c r="D6" s="225" t="s">
        <v>275</v>
      </c>
      <c r="E6" s="226">
        <f>材料成本!F33</f>
        <v>1522.8971470856191</v>
      </c>
      <c r="F6" s="227">
        <f>销量!E8</f>
        <v>2900</v>
      </c>
      <c r="G6" s="228">
        <f t="shared" si="0"/>
        <v>1377.1028529143809</v>
      </c>
      <c r="H6" s="229">
        <f t="shared" si="1"/>
        <v>0.4748630527290969</v>
      </c>
      <c r="I6" s="2"/>
    </row>
    <row r="7" spans="2:9" ht="17.25">
      <c r="B7" s="224" t="s">
        <v>268</v>
      </c>
      <c r="C7" s="224" t="s">
        <v>272</v>
      </c>
      <c r="D7" s="231" t="s">
        <v>276</v>
      </c>
      <c r="E7" s="232">
        <f>材料成本!G33</f>
        <v>526.40951093097351</v>
      </c>
      <c r="F7" s="227">
        <f>销量!F8</f>
        <v>535</v>
      </c>
      <c r="G7" s="228">
        <f t="shared" si="0"/>
        <v>8.5904890690264892</v>
      </c>
      <c r="H7" s="229">
        <f t="shared" si="1"/>
        <v>1.6056988914068204E-2</v>
      </c>
      <c r="I7" s="2"/>
    </row>
    <row r="8" spans="2:9" ht="26.25" customHeight="1">
      <c r="B8" s="304" t="s">
        <v>259</v>
      </c>
      <c r="C8" s="304"/>
      <c r="D8" s="304"/>
      <c r="E8" s="237">
        <f>SUM(E4:E7)</f>
        <v>4661.8377721878305</v>
      </c>
      <c r="F8" s="237">
        <f>SUM(F4:F7)</f>
        <v>8085</v>
      </c>
      <c r="G8" s="237">
        <f>SUM(G4:G7)</f>
        <v>3423.1622278121704</v>
      </c>
      <c r="H8" s="229">
        <f t="shared" si="1"/>
        <v>0.42339668865951396</v>
      </c>
      <c r="I8" s="2"/>
    </row>
  </sheetData>
  <mergeCells count="2">
    <mergeCell ref="B2:H2"/>
    <mergeCell ref="B8:D8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B21" sqref="B21"/>
    </sheetView>
  </sheetViews>
  <sheetFormatPr defaultColWidth="9" defaultRowHeight="16.5"/>
  <cols>
    <col min="1" max="1" width="5.125" style="110" customWidth="1"/>
    <col min="2" max="2" width="35.75" style="110" customWidth="1"/>
    <col min="3" max="3" width="14.5" style="111" customWidth="1"/>
    <col min="4" max="5" width="13" style="111" customWidth="1"/>
    <col min="6" max="6" width="16.5" style="111" customWidth="1"/>
    <col min="7" max="7" width="15.5" style="110" customWidth="1"/>
    <col min="8" max="33" width="9" style="110"/>
    <col min="34" max="34" width="4.375" style="110" customWidth="1"/>
    <col min="35" max="35" width="13.875" style="110" customWidth="1"/>
    <col min="36" max="16384" width="9" style="110"/>
  </cols>
  <sheetData>
    <row r="1" spans="1:36" ht="27" customHeight="1">
      <c r="A1" s="240" t="s">
        <v>265</v>
      </c>
      <c r="B1" s="240"/>
      <c r="C1" s="240"/>
      <c r="D1" s="240"/>
      <c r="E1" s="240"/>
      <c r="F1" s="240"/>
    </row>
    <row r="2" spans="1:36" ht="15.75" customHeight="1">
      <c r="A2" s="241" t="s">
        <v>16</v>
      </c>
      <c r="B2" s="112" t="s">
        <v>1</v>
      </c>
      <c r="C2" s="112" t="s">
        <v>237</v>
      </c>
      <c r="D2" s="112" t="s">
        <v>238</v>
      </c>
      <c r="E2" s="112" t="s">
        <v>239</v>
      </c>
      <c r="F2" s="51" t="s">
        <v>18</v>
      </c>
      <c r="AJ2" s="110" t="s">
        <v>19</v>
      </c>
    </row>
    <row r="3" spans="1:36" s="48" customFormat="1" ht="15.75" customHeight="1">
      <c r="A3" s="242"/>
      <c r="B3" s="53" t="s">
        <v>3</v>
      </c>
      <c r="C3" s="113">
        <f>'2022年'!G6</f>
        <v>7000</v>
      </c>
      <c r="D3" s="113">
        <f>'2023年'!G6</f>
        <v>22000</v>
      </c>
      <c r="E3" s="113">
        <f>'2024年'!G6</f>
        <v>30000</v>
      </c>
      <c r="F3" s="113">
        <f t="shared" ref="F3:F11" si="0">SUM(C3:E3)</f>
        <v>59000</v>
      </c>
      <c r="G3" s="69"/>
      <c r="AH3" s="52" t="s">
        <v>16</v>
      </c>
      <c r="AI3" s="53" t="s">
        <v>3</v>
      </c>
      <c r="AJ3" s="48" t="s">
        <v>20</v>
      </c>
    </row>
    <row r="4" spans="1:36" s="48" customFormat="1" ht="15.75" customHeight="1">
      <c r="A4" s="62">
        <v>1</v>
      </c>
      <c r="B4" s="53" t="s">
        <v>21</v>
      </c>
      <c r="C4" s="113">
        <f>'2022年'!G7</f>
        <v>9697500</v>
      </c>
      <c r="D4" s="113">
        <f>'2023年'!G7</f>
        <v>31410000</v>
      </c>
      <c r="E4" s="113">
        <f>'2024年'!G7</f>
        <v>43175000</v>
      </c>
      <c r="F4" s="113">
        <f t="shared" si="0"/>
        <v>84282500</v>
      </c>
      <c r="G4" s="69"/>
      <c r="AH4" s="52" t="s">
        <v>22</v>
      </c>
      <c r="AI4" s="53" t="s">
        <v>21</v>
      </c>
      <c r="AJ4" s="48" t="s">
        <v>20</v>
      </c>
    </row>
    <row r="5" spans="1:36" s="48" customFormat="1" ht="15.75" customHeight="1">
      <c r="A5" s="62">
        <v>2</v>
      </c>
      <c r="B5" s="50" t="s">
        <v>23</v>
      </c>
      <c r="C5" s="113">
        <f>'2022年'!G8</f>
        <v>0</v>
      </c>
      <c r="D5" s="113">
        <f>'2023年'!G8</f>
        <v>1570500.0000000012</v>
      </c>
      <c r="E5" s="113">
        <f>'2024年'!G8</f>
        <v>4209562.5000000009</v>
      </c>
      <c r="F5" s="113">
        <f t="shared" si="0"/>
        <v>5780062.5000000019</v>
      </c>
      <c r="G5" s="69"/>
      <c r="AH5" s="52" t="s">
        <v>24</v>
      </c>
      <c r="AI5" s="50" t="s">
        <v>25</v>
      </c>
      <c r="AJ5" s="48" t="s">
        <v>20</v>
      </c>
    </row>
    <row r="6" spans="1:36" s="48" customFormat="1" ht="15.75" customHeight="1">
      <c r="A6" s="62">
        <v>3</v>
      </c>
      <c r="B6" s="53" t="s">
        <v>26</v>
      </c>
      <c r="C6" s="114">
        <f>+C4-C5</f>
        <v>9697500</v>
      </c>
      <c r="D6" s="114">
        <f>'2023年'!G9</f>
        <v>29839500</v>
      </c>
      <c r="E6" s="114">
        <f>'2024年'!G9</f>
        <v>38965437.5</v>
      </c>
      <c r="F6" s="113">
        <f t="shared" si="0"/>
        <v>78502437.5</v>
      </c>
      <c r="G6" s="69"/>
      <c r="AH6" s="52" t="s">
        <v>27</v>
      </c>
      <c r="AI6" s="53" t="s">
        <v>26</v>
      </c>
      <c r="AJ6" s="48" t="s">
        <v>28</v>
      </c>
    </row>
    <row r="7" spans="1:36" s="48" customFormat="1" ht="15.75" customHeight="1">
      <c r="A7" s="62">
        <v>4</v>
      </c>
      <c r="B7" s="52" t="s">
        <v>29</v>
      </c>
      <c r="C7" s="113">
        <f>'2022年'!G10</f>
        <v>6649314.3880580729</v>
      </c>
      <c r="D7" s="113">
        <f>'2023年'!G10</f>
        <v>19803662.606273387</v>
      </c>
      <c r="E7" s="113">
        <f>'2024年'!G10</f>
        <v>25794581.572774615</v>
      </c>
      <c r="F7" s="113">
        <f t="shared" si="0"/>
        <v>52247558.567106076</v>
      </c>
      <c r="G7" s="69"/>
      <c r="AH7" s="52" t="s">
        <v>30</v>
      </c>
      <c r="AI7" s="52" t="s">
        <v>29</v>
      </c>
      <c r="AJ7" s="48" t="s">
        <v>31</v>
      </c>
    </row>
    <row r="8" spans="1:36" s="48" customFormat="1" ht="15.75" customHeight="1">
      <c r="A8" s="62">
        <v>5</v>
      </c>
      <c r="B8" s="52" t="s">
        <v>32</v>
      </c>
      <c r="C8" s="113">
        <f>'2022年'!G11</f>
        <v>545193.31784688577</v>
      </c>
      <c r="D8" s="113">
        <f>'2023年'!G11</f>
        <v>1765869.7719588224</v>
      </c>
      <c r="E8" s="113">
        <f>'2024年'!G11</f>
        <v>2427297.9116307595</v>
      </c>
      <c r="F8" s="113">
        <f t="shared" si="0"/>
        <v>4738361.0014364682</v>
      </c>
      <c r="G8" s="69"/>
      <c r="AH8" s="52" t="s">
        <v>33</v>
      </c>
      <c r="AI8" s="52" t="s">
        <v>32</v>
      </c>
    </row>
    <row r="9" spans="1:36" s="48" customFormat="1" ht="15.75" customHeight="1">
      <c r="A9" s="62">
        <v>6</v>
      </c>
      <c r="B9" s="52" t="s">
        <v>34</v>
      </c>
      <c r="C9" s="113">
        <f>'2022年'!G12</f>
        <v>146199.40915644038</v>
      </c>
      <c r="D9" s="113">
        <f>'2023年'!G12</f>
        <v>473536.83336981613</v>
      </c>
      <c r="E9" s="113">
        <f>'2024年'!G12</f>
        <v>650905.85102648241</v>
      </c>
      <c r="F9" s="113">
        <f t="shared" si="0"/>
        <v>1270642.0935527389</v>
      </c>
      <c r="G9" s="69"/>
      <c r="AH9" s="52" t="s">
        <v>35</v>
      </c>
      <c r="AI9" s="52" t="s">
        <v>34</v>
      </c>
    </row>
    <row r="10" spans="1:36" s="48" customFormat="1" ht="15.75" customHeight="1">
      <c r="A10" s="62">
        <v>7</v>
      </c>
      <c r="B10" s="115" t="s">
        <v>36</v>
      </c>
      <c r="C10" s="113">
        <f>'2022年'!G13</f>
        <v>387899.99999999994</v>
      </c>
      <c r="D10" s="113">
        <f>'2023年'!G13</f>
        <v>1256399.9999999998</v>
      </c>
      <c r="E10" s="113">
        <f>'2024年'!G13</f>
        <v>1726999.9999999998</v>
      </c>
      <c r="F10" s="113">
        <f t="shared" si="0"/>
        <v>3371299.9999999995</v>
      </c>
      <c r="G10" s="69"/>
      <c r="AH10" s="52" t="s">
        <v>37</v>
      </c>
      <c r="AI10" s="52" t="s">
        <v>36</v>
      </c>
      <c r="AJ10" s="48" t="s">
        <v>20</v>
      </c>
    </row>
    <row r="11" spans="1:36" s="48" customFormat="1" ht="15.75" customHeight="1">
      <c r="A11" s="62">
        <v>8</v>
      </c>
      <c r="B11" s="116" t="s">
        <v>38</v>
      </c>
      <c r="C11" s="117">
        <f>'2022年'!G14</f>
        <v>1079292.7270033262</v>
      </c>
      <c r="D11" s="117">
        <f>'2023年'!G14</f>
        <v>3495806.6053286386</v>
      </c>
      <c r="E11" s="117">
        <f>'2024年'!G14</f>
        <v>4805203.7626572419</v>
      </c>
      <c r="F11" s="117">
        <f t="shared" si="0"/>
        <v>9380303.0949892066</v>
      </c>
      <c r="G11" s="69"/>
      <c r="AH11" s="52" t="s">
        <v>39</v>
      </c>
      <c r="AI11" s="55" t="s">
        <v>38</v>
      </c>
    </row>
    <row r="12" spans="1:36" s="48" customFormat="1" ht="15.75" customHeight="1">
      <c r="A12" s="62">
        <v>9</v>
      </c>
      <c r="B12" s="118" t="s">
        <v>40</v>
      </c>
      <c r="C12" s="113">
        <f>'2022年'!G15</f>
        <v>1968892.8849386009</v>
      </c>
      <c r="D12" s="113">
        <f>'2023年'!G15</f>
        <v>6540030.7883979725</v>
      </c>
      <c r="E12" s="113">
        <f>'2024年'!G15</f>
        <v>8365652.1645681411</v>
      </c>
      <c r="F12" s="113">
        <f>F6-F7-F11</f>
        <v>16874575.837904718</v>
      </c>
      <c r="G12" s="69"/>
      <c r="I12" s="110"/>
      <c r="J12" s="110"/>
      <c r="K12" s="110"/>
      <c r="L12" s="110"/>
      <c r="M12" s="110"/>
      <c r="N12" s="110"/>
      <c r="AH12" s="52" t="s">
        <v>41</v>
      </c>
      <c r="AI12" s="55" t="s">
        <v>40</v>
      </c>
    </row>
    <row r="13" spans="1:36" ht="15.75" customHeight="1">
      <c r="A13" s="62">
        <v>10</v>
      </c>
      <c r="B13" s="119" t="s">
        <v>42</v>
      </c>
      <c r="C13" s="120">
        <f>+C12/C6</f>
        <v>0.2030309755028204</v>
      </c>
      <c r="D13" s="120">
        <f>'2023年'!G16</f>
        <v>0.21917360506704109</v>
      </c>
      <c r="E13" s="120">
        <f>'2024年'!G16</f>
        <v>0.21469416748029946</v>
      </c>
      <c r="F13" s="120">
        <f>+F12/F6</f>
        <v>0.21495607493594981</v>
      </c>
      <c r="G13" s="69"/>
      <c r="AH13" s="119" t="s">
        <v>43</v>
      </c>
      <c r="AI13" s="119" t="s">
        <v>42</v>
      </c>
    </row>
    <row r="14" spans="1:36" ht="15.75" customHeight="1">
      <c r="A14" s="62">
        <v>11</v>
      </c>
      <c r="B14" s="119" t="s">
        <v>44</v>
      </c>
      <c r="C14" s="113">
        <f>'2022年'!G17</f>
        <v>447470.83333333337</v>
      </c>
      <c r="D14" s="113">
        <f>'2023年'!G17</f>
        <v>1424533.3333333335</v>
      </c>
      <c r="E14" s="113">
        <f>'2024年'!G17</f>
        <v>1953958.3333333333</v>
      </c>
      <c r="F14" s="113">
        <f>SUM(C14:E14)</f>
        <v>3825962.5</v>
      </c>
      <c r="G14" s="69"/>
      <c r="AH14" s="119" t="s">
        <v>45</v>
      </c>
      <c r="AI14" s="119" t="s">
        <v>44</v>
      </c>
    </row>
    <row r="15" spans="1:36" ht="15.75" hidden="1" customHeight="1">
      <c r="A15" s="160"/>
      <c r="B15" s="119"/>
      <c r="C15" s="113"/>
      <c r="D15" s="113"/>
      <c r="E15" s="113"/>
      <c r="F15" s="113"/>
      <c r="G15" s="69"/>
      <c r="AH15" s="119"/>
      <c r="AI15" s="119"/>
    </row>
    <row r="16" spans="1:36" ht="15.75" customHeight="1">
      <c r="A16" s="62">
        <v>12</v>
      </c>
      <c r="B16" s="119" t="s">
        <v>46</v>
      </c>
      <c r="C16" s="121">
        <f>'2022年'!G19</f>
        <v>67882.5</v>
      </c>
      <c r="D16" s="121">
        <f>'2023年'!G19</f>
        <v>219870</v>
      </c>
      <c r="E16" s="121">
        <f>'2024年'!G19</f>
        <v>302225</v>
      </c>
      <c r="F16" s="113">
        <f>SUM(C16:E16)</f>
        <v>589977.5</v>
      </c>
      <c r="G16" s="69"/>
      <c r="O16" s="69"/>
      <c r="AH16" s="119" t="s">
        <v>47</v>
      </c>
      <c r="AI16" s="119" t="s">
        <v>46</v>
      </c>
      <c r="AJ16" s="110" t="s">
        <v>20</v>
      </c>
    </row>
    <row r="17" spans="1:36" ht="15.75" customHeight="1">
      <c r="A17" s="62">
        <v>13</v>
      </c>
      <c r="B17" s="119" t="s">
        <v>48</v>
      </c>
      <c r="C17" s="121">
        <f>'2022年'!G20</f>
        <v>290925</v>
      </c>
      <c r="D17" s="121">
        <f>'2023年'!G20</f>
        <v>942300</v>
      </c>
      <c r="E17" s="121">
        <f>'2024年'!G20</f>
        <v>1295250</v>
      </c>
      <c r="F17" s="113">
        <f>SUM(C17:E17)</f>
        <v>2528475</v>
      </c>
      <c r="G17" s="69"/>
      <c r="AH17" s="119" t="s">
        <v>49</v>
      </c>
      <c r="AI17" s="119" t="s">
        <v>48</v>
      </c>
    </row>
    <row r="18" spans="1:36" s="47" customFormat="1" ht="15.75" customHeight="1">
      <c r="A18" s="62">
        <v>14</v>
      </c>
      <c r="B18" s="60" t="s">
        <v>50</v>
      </c>
      <c r="C18" s="122">
        <f>'2022年'!G21</f>
        <v>12700</v>
      </c>
      <c r="D18" s="122">
        <f>'2023年'!G21</f>
        <v>12700</v>
      </c>
      <c r="E18" s="122">
        <f>'2024年'!G21</f>
        <v>12700</v>
      </c>
      <c r="F18" s="113">
        <f>SUM(C18:E18)</f>
        <v>38100</v>
      </c>
      <c r="G18" s="69"/>
      <c r="AH18" s="60"/>
      <c r="AI18" s="60"/>
    </row>
    <row r="19" spans="1:36" s="48" customFormat="1" ht="15.75" customHeight="1">
      <c r="A19" s="62">
        <v>15</v>
      </c>
      <c r="B19" s="52" t="s">
        <v>51</v>
      </c>
      <c r="C19" s="121">
        <f>'2022年'!G22</f>
        <v>387900</v>
      </c>
      <c r="D19" s="121">
        <f>'2023年'!G22</f>
        <v>1256400</v>
      </c>
      <c r="E19" s="121">
        <f>'2024年'!G22</f>
        <v>1727000</v>
      </c>
      <c r="F19" s="113">
        <f>SUM(C19:E19)</f>
        <v>3371300</v>
      </c>
      <c r="G19" s="69"/>
      <c r="AH19" s="52" t="s">
        <v>52</v>
      </c>
      <c r="AI19" s="52" t="s">
        <v>51</v>
      </c>
    </row>
    <row r="20" spans="1:36" s="108" customFormat="1" ht="15.75" customHeight="1">
      <c r="A20" s="62">
        <v>16</v>
      </c>
      <c r="B20" s="123" t="s">
        <v>53</v>
      </c>
      <c r="C20" s="117">
        <f t="shared" ref="C20" si="1">+C19+C18+C17+C16+C14</f>
        <v>1206878.3333333335</v>
      </c>
      <c r="D20" s="117">
        <f>'2023年'!G23</f>
        <v>3855803.3333333335</v>
      </c>
      <c r="E20" s="117">
        <f>'2024年'!G23</f>
        <v>5291133.333333333</v>
      </c>
      <c r="F20" s="117">
        <f>SUM(C20:E20)</f>
        <v>10353815</v>
      </c>
      <c r="G20" s="69"/>
      <c r="AH20" s="136" t="s">
        <v>54</v>
      </c>
      <c r="AI20" s="137" t="s">
        <v>53</v>
      </c>
    </row>
    <row r="21" spans="1:36" ht="15.75" customHeight="1">
      <c r="A21" s="62">
        <v>17</v>
      </c>
      <c r="B21" s="119" t="s">
        <v>55</v>
      </c>
      <c r="C21" s="124">
        <f>+C12-C20</f>
        <v>762014.55160526745</v>
      </c>
      <c r="D21" s="124">
        <f>'2023年'!G24</f>
        <v>2684227.455064639</v>
      </c>
      <c r="E21" s="124">
        <f>'2024年'!G24</f>
        <v>3074518.8312348081</v>
      </c>
      <c r="F21" s="124">
        <f>+F12-F20</f>
        <v>6520760.8379047178</v>
      </c>
      <c r="G21" s="69"/>
      <c r="AH21" s="119" t="s">
        <v>56</v>
      </c>
      <c r="AI21" s="119" t="s">
        <v>55</v>
      </c>
    </row>
    <row r="22" spans="1:36" ht="15.75" customHeight="1">
      <c r="A22" s="62">
        <v>18</v>
      </c>
      <c r="B22" s="119" t="s">
        <v>57</v>
      </c>
      <c r="C22" s="124">
        <f>IF(C21&lt;0,0,C21*0.15)</f>
        <v>114302.18274079011</v>
      </c>
      <c r="D22" s="124">
        <f>'2023年'!G25</f>
        <v>402634.11825969582</v>
      </c>
      <c r="E22" s="124">
        <f>'2024年'!G25</f>
        <v>461177.82468522119</v>
      </c>
      <c r="F22" s="124">
        <f>IF(F21&lt;0,0,F21*0.15)</f>
        <v>978114.12568570767</v>
      </c>
      <c r="G22" s="69"/>
      <c r="AH22" s="119" t="s">
        <v>58</v>
      </c>
      <c r="AI22" s="119" t="s">
        <v>57</v>
      </c>
    </row>
    <row r="23" spans="1:36" ht="15.75" customHeight="1">
      <c r="A23" s="62">
        <v>19</v>
      </c>
      <c r="B23" s="119" t="s">
        <v>59</v>
      </c>
      <c r="C23" s="124">
        <f>C21-C22</f>
        <v>647712.36886447738</v>
      </c>
      <c r="D23" s="124">
        <f>'2023年'!G26</f>
        <v>2281593.3368049432</v>
      </c>
      <c r="E23" s="124">
        <f>'2024年'!G26</f>
        <v>2613341.006549587</v>
      </c>
      <c r="F23" s="124">
        <f>F21-F22</f>
        <v>5542646.7122190101</v>
      </c>
      <c r="G23" s="69"/>
      <c r="AH23" s="119" t="s">
        <v>60</v>
      </c>
      <c r="AI23" s="119" t="s">
        <v>59</v>
      </c>
    </row>
    <row r="24" spans="1:36" ht="15.75" customHeight="1">
      <c r="A24" s="62">
        <v>20</v>
      </c>
      <c r="B24" s="119" t="s">
        <v>61</v>
      </c>
      <c r="C24" s="125">
        <f>(C23/C4)*100%</f>
        <v>6.6791685368855616E-2</v>
      </c>
      <c r="D24" s="125">
        <f>'2023年'!G27</f>
        <v>7.2639074715216273E-2</v>
      </c>
      <c r="E24" s="125">
        <f>'2024年'!G27</f>
        <v>6.0529033156909946E-2</v>
      </c>
      <c r="F24" s="125">
        <f>(F23/F4)*100%</f>
        <v>6.5762723130175421E-2</v>
      </c>
      <c r="G24" s="69"/>
      <c r="AH24" s="138" t="s">
        <v>62</v>
      </c>
      <c r="AI24" s="138" t="s">
        <v>63</v>
      </c>
    </row>
    <row r="25" spans="1:36" s="109" customFormat="1" ht="15.75" hidden="1" customHeight="1">
      <c r="C25" s="126"/>
      <c r="D25" s="126"/>
      <c r="E25" s="126"/>
      <c r="F25" s="126"/>
      <c r="G25" s="135"/>
    </row>
    <row r="26" spans="1:36" s="109" customFormat="1" ht="15.75" hidden="1" customHeight="1">
      <c r="A26" s="109" t="s">
        <v>64</v>
      </c>
      <c r="C26" s="127"/>
      <c r="D26" s="127"/>
      <c r="E26" s="127"/>
      <c r="F26" s="127"/>
      <c r="G26" s="135"/>
      <c r="AH26" s="109" t="s">
        <v>64</v>
      </c>
    </row>
    <row r="27" spans="1:36" ht="15.75" hidden="1" customHeight="1">
      <c r="A27" s="119" t="s">
        <v>16</v>
      </c>
      <c r="B27" s="128" t="s">
        <v>1</v>
      </c>
      <c r="C27" s="112" t="s">
        <v>65</v>
      </c>
      <c r="D27" s="112" t="s">
        <v>17</v>
      </c>
      <c r="E27" s="112" t="s">
        <v>66</v>
      </c>
      <c r="F27" s="51" t="s">
        <v>18</v>
      </c>
      <c r="AJ27" s="110" t="s">
        <v>19</v>
      </c>
    </row>
    <row r="28" spans="1:36" s="48" customFormat="1" ht="15.75" hidden="1" customHeight="1">
      <c r="A28" s="52" t="s">
        <v>67</v>
      </c>
      <c r="B28" s="55" t="s">
        <v>68</v>
      </c>
      <c r="C28" s="59"/>
      <c r="D28" s="59"/>
      <c r="E28" s="59"/>
      <c r="F28" s="59"/>
      <c r="G28" s="69"/>
      <c r="AH28" s="52" t="s">
        <v>69</v>
      </c>
      <c r="AI28" s="55" t="s">
        <v>68</v>
      </c>
    </row>
    <row r="29" spans="1:36" s="48" customFormat="1" ht="15.75" hidden="1" customHeight="1">
      <c r="A29" s="52" t="s">
        <v>22</v>
      </c>
      <c r="B29" s="52" t="s">
        <v>70</v>
      </c>
      <c r="C29" s="54">
        <f>+C6/C3</f>
        <v>1385.3571428571429</v>
      </c>
      <c r="D29" s="54">
        <f t="shared" ref="D29:E29" si="2">+D6/D3</f>
        <v>1356.340909090909</v>
      </c>
      <c r="E29" s="54">
        <f t="shared" si="2"/>
        <v>1298.8479166666666</v>
      </c>
      <c r="F29" s="54">
        <f>+F6/F3</f>
        <v>1330.5497881355932</v>
      </c>
      <c r="G29" s="69"/>
      <c r="AH29" s="52" t="s">
        <v>22</v>
      </c>
      <c r="AI29" s="52" t="s">
        <v>70</v>
      </c>
    </row>
    <row r="30" spans="1:36" s="48" customFormat="1" ht="15.75" hidden="1" customHeight="1">
      <c r="A30" s="52" t="s">
        <v>24</v>
      </c>
      <c r="B30" s="52" t="s">
        <v>71</v>
      </c>
      <c r="C30" s="54">
        <f>+C7/C3</f>
        <v>949.9020554368675</v>
      </c>
      <c r="D30" s="54">
        <f t="shared" ref="D30:E30" si="3">+D7/D3</f>
        <v>900.16648210333574</v>
      </c>
      <c r="E30" s="54">
        <f t="shared" si="3"/>
        <v>859.81938575915387</v>
      </c>
      <c r="F30" s="54">
        <f>+F7/F3</f>
        <v>885.55184012044197</v>
      </c>
      <c r="G30" s="69"/>
      <c r="AH30" s="52" t="s">
        <v>24</v>
      </c>
      <c r="AI30" s="52" t="s">
        <v>71</v>
      </c>
    </row>
    <row r="31" spans="1:36" s="48" customFormat="1" ht="15.75" hidden="1" customHeight="1">
      <c r="A31" s="52" t="s">
        <v>72</v>
      </c>
      <c r="B31" s="52" t="s">
        <v>73</v>
      </c>
      <c r="C31" s="59">
        <f t="shared" ref="C31:F31" si="4">C29-C30</f>
        <v>435.45508742027539</v>
      </c>
      <c r="D31" s="59">
        <f t="shared" si="4"/>
        <v>456.17442698757327</v>
      </c>
      <c r="E31" s="59">
        <f t="shared" si="4"/>
        <v>439.02853090751273</v>
      </c>
      <c r="F31" s="59">
        <f t="shared" si="4"/>
        <v>444.99794801515122</v>
      </c>
      <c r="G31" s="69"/>
      <c r="AH31" s="52" t="s">
        <v>72</v>
      </c>
      <c r="AI31" s="52" t="s">
        <v>73</v>
      </c>
    </row>
    <row r="32" spans="1:36" s="48" customFormat="1" ht="15.75" hidden="1" customHeight="1">
      <c r="A32" s="52">
        <v>3.1</v>
      </c>
      <c r="B32" s="52" t="s">
        <v>74</v>
      </c>
      <c r="C32" s="129">
        <f t="shared" ref="C32:F32" si="5">C31/C29</f>
        <v>0.31432695147635242</v>
      </c>
      <c r="D32" s="129">
        <f t="shared" si="5"/>
        <v>0.33632726398654844</v>
      </c>
      <c r="E32" s="129">
        <f t="shared" si="5"/>
        <v>0.33801380844820189</v>
      </c>
      <c r="F32" s="129">
        <f t="shared" si="5"/>
        <v>0.33444667158129865</v>
      </c>
      <c r="G32" s="69"/>
      <c r="AH32" s="52"/>
      <c r="AI32" s="52"/>
    </row>
    <row r="33" spans="1:35" s="48" customFormat="1" ht="15.75" hidden="1" customHeight="1">
      <c r="A33" s="52" t="s">
        <v>69</v>
      </c>
      <c r="B33" s="55" t="s">
        <v>9</v>
      </c>
      <c r="C33" s="59"/>
      <c r="D33" s="59"/>
      <c r="E33" s="59"/>
      <c r="F33" s="59"/>
      <c r="G33" s="69"/>
      <c r="AH33" s="52" t="s">
        <v>75</v>
      </c>
      <c r="AI33" s="55" t="s">
        <v>9</v>
      </c>
    </row>
    <row r="34" spans="1:35" s="48" customFormat="1" ht="15.75" hidden="1" customHeight="1">
      <c r="A34" s="52" t="s">
        <v>22</v>
      </c>
      <c r="B34" s="60" t="s">
        <v>76</v>
      </c>
      <c r="C34" s="54">
        <f>+C8/C3</f>
        <v>77.884759692412246</v>
      </c>
      <c r="D34" s="54">
        <f t="shared" ref="D34:E34" si="6">+D8/D3</f>
        <v>80.266807816310106</v>
      </c>
      <c r="E34" s="54">
        <f t="shared" si="6"/>
        <v>80.909930387691986</v>
      </c>
      <c r="F34" s="54">
        <f>+F8/F3</f>
        <v>80.311203414177427</v>
      </c>
      <c r="G34" s="69"/>
      <c r="AH34" s="52" t="s">
        <v>72</v>
      </c>
      <c r="AI34" s="52" t="s">
        <v>76</v>
      </c>
    </row>
    <row r="35" spans="1:35" s="48" customFormat="1" ht="15.75" hidden="1" customHeight="1">
      <c r="A35" s="52" t="s">
        <v>24</v>
      </c>
      <c r="B35" s="60" t="s">
        <v>77</v>
      </c>
      <c r="C35" s="54">
        <f>+C9/C3</f>
        <v>20.885629879491482</v>
      </c>
      <c r="D35" s="54">
        <f t="shared" ref="D35:E35" si="7">+D9/D3</f>
        <v>21.524401516809824</v>
      </c>
      <c r="E35" s="54">
        <f t="shared" si="7"/>
        <v>21.696861700882746</v>
      </c>
      <c r="F35" s="54">
        <f>+F9/F3</f>
        <v>21.536306670385404</v>
      </c>
      <c r="G35" s="69"/>
      <c r="AH35" s="52" t="s">
        <v>27</v>
      </c>
      <c r="AI35" s="52" t="s">
        <v>77</v>
      </c>
    </row>
    <row r="36" spans="1:35" s="48" customFormat="1" ht="15.75" hidden="1" customHeight="1">
      <c r="A36" s="52" t="s">
        <v>72</v>
      </c>
      <c r="B36" s="60" t="s">
        <v>78</v>
      </c>
      <c r="C36" s="54">
        <f>+C10/C3</f>
        <v>55.414285714285704</v>
      </c>
      <c r="D36" s="54">
        <f t="shared" ref="D36:E36" si="8">+D10/D3</f>
        <v>57.109090909090895</v>
      </c>
      <c r="E36" s="54">
        <f t="shared" si="8"/>
        <v>57.566666666666656</v>
      </c>
      <c r="F36" s="54">
        <f>+F10/F3</f>
        <v>57.140677966101684</v>
      </c>
      <c r="G36" s="69"/>
      <c r="AH36" s="52" t="s">
        <v>33</v>
      </c>
      <c r="AI36" s="52" t="s">
        <v>78</v>
      </c>
    </row>
    <row r="37" spans="1:35" s="48" customFormat="1" ht="15.75" hidden="1" customHeight="1">
      <c r="A37" s="52" t="s">
        <v>79</v>
      </c>
      <c r="B37" s="118" t="s">
        <v>80</v>
      </c>
      <c r="C37" s="54"/>
      <c r="D37" s="54"/>
      <c r="E37" s="54"/>
      <c r="F37" s="54"/>
      <c r="G37" s="69"/>
      <c r="AH37" s="52" t="s">
        <v>79</v>
      </c>
      <c r="AI37" s="55" t="s">
        <v>80</v>
      </c>
    </row>
    <row r="38" spans="1:35" s="48" customFormat="1" hidden="1">
      <c r="A38" s="52" t="s">
        <v>22</v>
      </c>
      <c r="B38" s="60" t="s">
        <v>81</v>
      </c>
      <c r="C38" s="54">
        <f>+C12/C3</f>
        <v>281.27041213408586</v>
      </c>
      <c r="D38" s="54">
        <f t="shared" ref="D38:E38" si="9">+D12/D3</f>
        <v>297.27412674536237</v>
      </c>
      <c r="E38" s="54">
        <f t="shared" si="9"/>
        <v>278.85507215227136</v>
      </c>
      <c r="F38" s="54">
        <f>+F12/F3</f>
        <v>286.00975996448676</v>
      </c>
      <c r="G38" s="69"/>
      <c r="AH38" s="52" t="s">
        <v>22</v>
      </c>
      <c r="AI38" s="52" t="s">
        <v>82</v>
      </c>
    </row>
    <row r="39" spans="1:35" s="48" customFormat="1" ht="15.75" customHeight="1">
      <c r="A39" s="52" t="s">
        <v>24</v>
      </c>
      <c r="B39" s="60" t="s">
        <v>83</v>
      </c>
      <c r="C39" s="113">
        <f t="shared" ref="C39:E39" si="10">+C20/C38</f>
        <v>4290.8115509781965</v>
      </c>
      <c r="D39" s="113">
        <f t="shared" si="10"/>
        <v>12970.531191354297</v>
      </c>
      <c r="E39" s="113">
        <f t="shared" si="10"/>
        <v>18974.491991467385</v>
      </c>
      <c r="F39" s="184">
        <f t="shared" ref="F39" si="11">+F20/F38</f>
        <v>36200.914966278113</v>
      </c>
      <c r="G39" s="69"/>
      <c r="AH39" s="52" t="s">
        <v>24</v>
      </c>
      <c r="AI39" s="52" t="s">
        <v>83</v>
      </c>
    </row>
    <row r="40" spans="1:35" s="48" customFormat="1" ht="15.75" hidden="1" customHeight="1">
      <c r="A40" s="52" t="s">
        <v>84</v>
      </c>
      <c r="B40" s="55" t="s">
        <v>85</v>
      </c>
      <c r="C40" s="59"/>
      <c r="D40" s="59"/>
      <c r="E40" s="59"/>
      <c r="F40" s="59"/>
      <c r="G40" s="69"/>
      <c r="AH40" s="52" t="s">
        <v>84</v>
      </c>
      <c r="AI40" s="55" t="s">
        <v>85</v>
      </c>
    </row>
    <row r="41" spans="1:35" s="48" customFormat="1" ht="15.75" hidden="1" customHeight="1">
      <c r="A41" s="52" t="s">
        <v>22</v>
      </c>
      <c r="B41" s="52" t="s">
        <v>86</v>
      </c>
      <c r="C41" s="59">
        <f>+C14/C3</f>
        <v>63.924404761904768</v>
      </c>
      <c r="D41" s="59">
        <f t="shared" ref="D41:E41" si="12">+D14/D3</f>
        <v>64.751515151515164</v>
      </c>
      <c r="E41" s="59">
        <f t="shared" si="12"/>
        <v>65.131944444444443</v>
      </c>
      <c r="F41" s="59">
        <f>+F14/F3</f>
        <v>64.846822033898306</v>
      </c>
      <c r="G41" s="69"/>
      <c r="AH41" s="52" t="s">
        <v>22</v>
      </c>
      <c r="AI41" s="52" t="s">
        <v>86</v>
      </c>
    </row>
    <row r="42" spans="1:35" s="48" customFormat="1" ht="15.75" hidden="1" customHeight="1">
      <c r="A42" s="52" t="s">
        <v>24</v>
      </c>
      <c r="B42" s="52" t="s">
        <v>87</v>
      </c>
      <c r="C42" s="59">
        <f>+C16/C3</f>
        <v>9.6974999999999998</v>
      </c>
      <c r="D42" s="59">
        <f t="shared" ref="D42:E42" si="13">+D16/D3</f>
        <v>9.9940909090909091</v>
      </c>
      <c r="E42" s="59">
        <f t="shared" si="13"/>
        <v>10.074166666666667</v>
      </c>
      <c r="F42" s="59">
        <f>+F16/F3</f>
        <v>9.9996186440677963</v>
      </c>
      <c r="G42" s="69"/>
      <c r="AH42" s="52" t="s">
        <v>24</v>
      </c>
      <c r="AI42" s="52" t="s">
        <v>87</v>
      </c>
    </row>
    <row r="43" spans="1:35" s="48" customFormat="1" ht="15.75" hidden="1" customHeight="1">
      <c r="A43" s="52" t="s">
        <v>72</v>
      </c>
      <c r="B43" s="52" t="s">
        <v>88</v>
      </c>
      <c r="C43" s="59">
        <f>+C17/C3</f>
        <v>41.560714285714283</v>
      </c>
      <c r="D43" s="59">
        <f t="shared" ref="D43:E43" si="14">+D17/D3</f>
        <v>42.831818181818178</v>
      </c>
      <c r="E43" s="59">
        <f t="shared" si="14"/>
        <v>43.174999999999997</v>
      </c>
      <c r="F43" s="59">
        <f>+F17/F3</f>
        <v>42.855508474576268</v>
      </c>
      <c r="G43" s="69"/>
      <c r="AH43" s="52" t="s">
        <v>72</v>
      </c>
      <c r="AI43" s="52" t="s">
        <v>88</v>
      </c>
    </row>
    <row r="44" spans="1:35" s="48" customFormat="1" ht="15.75" hidden="1" customHeight="1">
      <c r="A44" s="52" t="s">
        <v>27</v>
      </c>
      <c r="B44" s="52" t="s">
        <v>89</v>
      </c>
      <c r="C44" s="59"/>
      <c r="D44" s="59"/>
      <c r="E44" s="59"/>
      <c r="F44" s="59"/>
      <c r="G44" s="69"/>
      <c r="AH44" s="52" t="s">
        <v>27</v>
      </c>
      <c r="AI44" s="52" t="s">
        <v>90</v>
      </c>
    </row>
    <row r="45" spans="1:35" s="48" customFormat="1" ht="15.75" hidden="1" customHeight="1">
      <c r="A45" s="52" t="s">
        <v>30</v>
      </c>
      <c r="B45" s="52" t="s">
        <v>91</v>
      </c>
      <c r="C45" s="59"/>
      <c r="D45" s="59"/>
      <c r="E45" s="59"/>
      <c r="F45" s="59"/>
      <c r="G45" s="69"/>
      <c r="AH45" s="52" t="s">
        <v>30</v>
      </c>
      <c r="AI45" s="52" t="s">
        <v>91</v>
      </c>
    </row>
    <row r="46" spans="1:35" s="48" customFormat="1" ht="15.75" hidden="1" customHeight="1">
      <c r="A46" s="52" t="s">
        <v>92</v>
      </c>
      <c r="B46" s="55" t="s">
        <v>93</v>
      </c>
      <c r="C46" s="59"/>
      <c r="D46" s="59"/>
      <c r="E46" s="59"/>
      <c r="F46" s="59"/>
      <c r="G46" s="69"/>
      <c r="AH46" s="52" t="s">
        <v>92</v>
      </c>
      <c r="AI46" s="55" t="s">
        <v>93</v>
      </c>
    </row>
    <row r="47" spans="1:35" s="48" customFormat="1" ht="15.75" hidden="1" customHeight="1">
      <c r="A47" s="52" t="s">
        <v>22</v>
      </c>
      <c r="B47" s="52" t="s">
        <v>94</v>
      </c>
      <c r="C47" s="130">
        <f>+(C10+C16)/C6</f>
        <v>4.6999999999999993E-2</v>
      </c>
      <c r="D47" s="130">
        <f t="shared" ref="D47:E47" si="15">+(D10+D16)/D6</f>
        <v>4.9473684210526309E-2</v>
      </c>
      <c r="E47" s="130">
        <f t="shared" si="15"/>
        <v>5.2077562326869803E-2</v>
      </c>
      <c r="F47" s="130">
        <f>+(F10+F16)/F6</f>
        <v>5.0460566909148519E-2</v>
      </c>
      <c r="G47" s="69"/>
      <c r="AH47" s="52" t="s">
        <v>22</v>
      </c>
      <c r="AI47" s="52" t="s">
        <v>94</v>
      </c>
    </row>
    <row r="48" spans="1:35" s="48" customFormat="1" ht="15.75" hidden="1" customHeight="1">
      <c r="A48" s="52" t="s">
        <v>24</v>
      </c>
      <c r="B48" s="52" t="s">
        <v>95</v>
      </c>
      <c r="C48" s="130">
        <f>+(C8+C9+C14)/C6</f>
        <v>0.11743888222084657</v>
      </c>
      <c r="D48" s="130">
        <f t="shared" ref="D48:E48" si="16">+(D8+D9+D14)/D6</f>
        <v>0.12278824841776746</v>
      </c>
      <c r="E48" s="130">
        <f t="shared" si="16"/>
        <v>0.12914424728300752</v>
      </c>
      <c r="F48" s="130">
        <f>+(F8+F9+F14)/F6</f>
        <v>0.12528229578844868</v>
      </c>
      <c r="G48" s="69"/>
      <c r="AH48" s="52" t="s">
        <v>24</v>
      </c>
      <c r="AI48" s="52" t="s">
        <v>95</v>
      </c>
    </row>
    <row r="49" spans="1:35" s="48" customFormat="1" ht="15.75" hidden="1" customHeight="1">
      <c r="A49" s="52" t="s">
        <v>72</v>
      </c>
      <c r="B49" s="52" t="s">
        <v>96</v>
      </c>
      <c r="C49" s="130">
        <f>+C17/C6</f>
        <v>0.03</v>
      </c>
      <c r="D49" s="130">
        <f t="shared" ref="D49:E49" si="17">+D17/D6</f>
        <v>3.1578947368421054E-2</v>
      </c>
      <c r="E49" s="130">
        <f t="shared" si="17"/>
        <v>3.3240997229916899E-2</v>
      </c>
      <c r="F49" s="130">
        <f>+F17/F6</f>
        <v>3.2208872495201185E-2</v>
      </c>
      <c r="G49" s="69"/>
      <c r="AH49" s="52" t="s">
        <v>72</v>
      </c>
      <c r="AI49" s="52" t="s">
        <v>96</v>
      </c>
    </row>
    <row r="50" spans="1:35" s="48" customFormat="1" ht="15.75" hidden="1" customHeight="1">
      <c r="A50" s="52" t="s">
        <v>27</v>
      </c>
      <c r="B50" s="52" t="s">
        <v>97</v>
      </c>
      <c r="C50" s="130">
        <f>+C18/C6</f>
        <v>1.3096158803815416E-3</v>
      </c>
      <c r="D50" s="130">
        <f t="shared" ref="D50:E50" si="18">+D18/D6</f>
        <v>4.2561034869887228E-4</v>
      </c>
      <c r="E50" s="130">
        <f t="shared" si="18"/>
        <v>3.2592987054232359E-4</v>
      </c>
      <c r="F50" s="130">
        <f>+F18/F6</f>
        <v>4.8533524834818028E-4</v>
      </c>
      <c r="G50" s="69"/>
      <c r="AH50" s="52" t="s">
        <v>27</v>
      </c>
      <c r="AI50" s="52" t="s">
        <v>97</v>
      </c>
    </row>
    <row r="51" spans="1:35" s="48" customFormat="1" ht="15.75" hidden="1" customHeight="1">
      <c r="A51" s="52" t="s">
        <v>30</v>
      </c>
      <c r="B51" s="52" t="s">
        <v>98</v>
      </c>
      <c r="C51" s="130">
        <f>+C19/C6</f>
        <v>0.04</v>
      </c>
      <c r="D51" s="130">
        <f t="shared" ref="D51:E51" si="19">+D19/D6</f>
        <v>4.2105263157894736E-2</v>
      </c>
      <c r="E51" s="130">
        <f t="shared" si="19"/>
        <v>4.4321329639889197E-2</v>
      </c>
      <c r="F51" s="130">
        <f>+F19/F6</f>
        <v>4.2945163326934911E-2</v>
      </c>
      <c r="G51" s="69"/>
      <c r="AH51" s="52" t="s">
        <v>30</v>
      </c>
      <c r="AI51" s="52" t="s">
        <v>98</v>
      </c>
    </row>
    <row r="52" spans="1:35" s="48" customFormat="1" ht="15.75" hidden="1" customHeight="1">
      <c r="A52" s="52" t="s">
        <v>33</v>
      </c>
      <c r="B52" s="52" t="s">
        <v>99</v>
      </c>
      <c r="C52" s="130">
        <f>+C23/C6</f>
        <v>6.6791685368855616E-2</v>
      </c>
      <c r="D52" s="130">
        <f t="shared" ref="D52:E52" si="20">+D23/D6</f>
        <v>7.6462183910753975E-2</v>
      </c>
      <c r="E52" s="130">
        <f t="shared" si="20"/>
        <v>6.7068180783279724E-2</v>
      </c>
      <c r="F52" s="130">
        <f>+F23/F6</f>
        <v>7.0604772141234604E-2</v>
      </c>
      <c r="G52" s="69"/>
      <c r="AH52" s="52" t="s">
        <v>33</v>
      </c>
      <c r="AI52" s="52" t="s">
        <v>100</v>
      </c>
    </row>
    <row r="53" spans="1:35" s="48" customFormat="1" ht="15.75" hidden="1" customHeight="1">
      <c r="A53" s="52" t="s">
        <v>101</v>
      </c>
      <c r="B53" s="55" t="s">
        <v>102</v>
      </c>
      <c r="C53" s="59">
        <f>+C21/C3</f>
        <v>108.85922165789535</v>
      </c>
      <c r="D53" s="59">
        <f t="shared" ref="D53:E53" si="21">+D21/D3</f>
        <v>122.0103388665745</v>
      </c>
      <c r="E53" s="59">
        <f t="shared" si="21"/>
        <v>102.48396104116027</v>
      </c>
      <c r="F53" s="59">
        <f>+F21/F3</f>
        <v>110.52137013397827</v>
      </c>
      <c r="G53" s="69"/>
      <c r="AH53" s="52" t="s">
        <v>101</v>
      </c>
      <c r="AI53" s="55" t="s">
        <v>102</v>
      </c>
    </row>
    <row r="54" spans="1:35" s="48" customFormat="1" ht="15.75" hidden="1" customHeight="1">
      <c r="A54" s="52" t="s">
        <v>103</v>
      </c>
      <c r="B54" s="131" t="s">
        <v>104</v>
      </c>
      <c r="C54" s="59"/>
      <c r="D54" s="59"/>
      <c r="E54" s="59"/>
      <c r="F54" s="59"/>
      <c r="G54" s="69"/>
      <c r="AH54" s="52"/>
      <c r="AI54" s="55"/>
    </row>
    <row r="55" spans="1:35" s="48" customFormat="1" ht="15.75" hidden="1" customHeight="1">
      <c r="A55" s="52" t="s">
        <v>22</v>
      </c>
      <c r="B55" s="52" t="s">
        <v>105</v>
      </c>
      <c r="C55" s="59">
        <f>C56+C57</f>
        <v>73100</v>
      </c>
      <c r="D55" s="59"/>
      <c r="E55" s="59"/>
      <c r="F55" s="59"/>
      <c r="G55" s="69"/>
    </row>
    <row r="56" spans="1:35" s="48" customFormat="1" ht="15.75" hidden="1" customHeight="1">
      <c r="A56" s="52">
        <v>1.1000000000000001</v>
      </c>
      <c r="B56" s="132" t="s">
        <v>106</v>
      </c>
      <c r="C56" s="59">
        <f>项目投资!B27</f>
        <v>38100</v>
      </c>
      <c r="D56" s="59"/>
      <c r="E56" s="59"/>
      <c r="F56" s="59"/>
      <c r="G56" s="69"/>
    </row>
    <row r="57" spans="1:35" s="48" customFormat="1" ht="15.75" hidden="1" customHeight="1">
      <c r="A57" s="52">
        <v>1.2</v>
      </c>
      <c r="B57" s="52" t="s">
        <v>107</v>
      </c>
      <c r="C57" s="59">
        <f>项目投资!B26</f>
        <v>35000</v>
      </c>
      <c r="D57" s="59"/>
      <c r="E57" s="59"/>
      <c r="F57" s="59"/>
      <c r="G57" s="69"/>
    </row>
    <row r="58" spans="1:35" ht="15.75" hidden="1" customHeight="1">
      <c r="A58" s="119" t="s">
        <v>24</v>
      </c>
      <c r="B58" s="119" t="s">
        <v>108</v>
      </c>
      <c r="C58" s="133">
        <f t="shared" ref="C58:E58" si="22">C59+C60</f>
        <v>658795.70219781075</v>
      </c>
      <c r="D58" s="133">
        <f t="shared" si="22"/>
        <v>2292676.6701382766</v>
      </c>
      <c r="E58" s="133">
        <f t="shared" si="22"/>
        <v>2624424.3398829205</v>
      </c>
      <c r="F58" s="133">
        <f t="shared" ref="F58" si="23">F59+F60</f>
        <v>5575896.7122190101</v>
      </c>
      <c r="G58" s="69"/>
    </row>
    <row r="59" spans="1:35" ht="15.75" hidden="1" customHeight="1">
      <c r="A59" s="119" t="s">
        <v>72</v>
      </c>
      <c r="B59" s="119" t="s">
        <v>109</v>
      </c>
      <c r="C59" s="133">
        <f t="shared" ref="C59:E59" si="24">C23</f>
        <v>647712.36886447738</v>
      </c>
      <c r="D59" s="133">
        <f t="shared" si="24"/>
        <v>2281593.3368049432</v>
      </c>
      <c r="E59" s="133">
        <f t="shared" si="24"/>
        <v>2613341.006549587</v>
      </c>
      <c r="F59" s="133">
        <f t="shared" ref="F59" si="25">F23</f>
        <v>5542646.7122190101</v>
      </c>
      <c r="G59" s="69"/>
    </row>
    <row r="60" spans="1:35" ht="15.75" hidden="1" customHeight="1">
      <c r="A60" s="119" t="s">
        <v>27</v>
      </c>
      <c r="B60" s="119" t="s">
        <v>110</v>
      </c>
      <c r="C60" s="133">
        <f>'2022年'!G18</f>
        <v>11083.333333333334</v>
      </c>
      <c r="D60" s="133">
        <f>'2023年'!G18</f>
        <v>11083.333333333334</v>
      </c>
      <c r="E60" s="133">
        <f>'2024年'!G18</f>
        <v>11083.333333333334</v>
      </c>
      <c r="F60" s="133">
        <f>项目投资!I26</f>
        <v>33250</v>
      </c>
      <c r="G60" s="69"/>
    </row>
    <row r="61" spans="1:35" ht="15.75" hidden="1" customHeight="1">
      <c r="A61" s="119" t="s">
        <v>30</v>
      </c>
      <c r="B61" s="119" t="s">
        <v>111</v>
      </c>
      <c r="C61" s="134"/>
      <c r="D61" s="134"/>
      <c r="E61" s="134"/>
      <c r="F61" s="133"/>
      <c r="G61" s="69"/>
    </row>
    <row r="63" spans="1:35">
      <c r="B63"/>
    </row>
  </sheetData>
  <mergeCells count="2">
    <mergeCell ref="A1:F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112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113</v>
      </c>
      <c r="B2" s="77"/>
    </row>
    <row r="3" spans="1:13" ht="16.899999999999999" customHeight="1">
      <c r="A3" s="78" t="s">
        <v>16</v>
      </c>
      <c r="B3" s="78" t="s">
        <v>114</v>
      </c>
      <c r="C3" s="243" t="s">
        <v>115</v>
      </c>
      <c r="D3" s="243"/>
      <c r="E3" s="243"/>
      <c r="F3" s="80"/>
      <c r="G3" s="81"/>
      <c r="H3" s="82"/>
      <c r="I3" s="82"/>
      <c r="J3" s="82" t="s">
        <v>116</v>
      </c>
      <c r="K3" s="82"/>
      <c r="L3" s="82"/>
      <c r="M3" s="103"/>
    </row>
    <row r="4" spans="1:13" ht="16.149999999999999" customHeight="1">
      <c r="A4" s="83"/>
      <c r="B4" s="83" t="s">
        <v>117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118</v>
      </c>
    </row>
    <row r="5" spans="1:13" ht="15.6" customHeight="1">
      <c r="A5" s="85">
        <v>1</v>
      </c>
      <c r="B5" s="86" t="s">
        <v>119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9697500</v>
      </c>
      <c r="G5" s="87">
        <f t="shared" si="1"/>
        <v>31410000</v>
      </c>
      <c r="H5" s="87">
        <f t="shared" si="1"/>
        <v>43175000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84282500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120</v>
      </c>
      <c r="C6" s="89"/>
      <c r="D6" s="89"/>
      <c r="E6" s="89" t="e">
        <f>损益表!#REF!</f>
        <v>#REF!</v>
      </c>
      <c r="F6" s="89">
        <f>损益表!C4</f>
        <v>9697500</v>
      </c>
      <c r="G6" s="89">
        <f>损益表!D4</f>
        <v>31410000</v>
      </c>
      <c r="H6" s="89">
        <f>损益表!E4</f>
        <v>43175000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损益表!F4</f>
        <v>84282500</v>
      </c>
      <c r="M6" s="91" t="e">
        <f t="shared" si="2"/>
        <v>#REF!</v>
      </c>
    </row>
    <row r="7" spans="1:13" ht="15.6" customHeight="1">
      <c r="A7" s="85">
        <v>1.2</v>
      </c>
      <c r="B7" s="88" t="s">
        <v>121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122</v>
      </c>
      <c r="C8" s="89" t="s">
        <v>123</v>
      </c>
      <c r="D8" s="89" t="s">
        <v>123</v>
      </c>
      <c r="E8" s="89" t="s">
        <v>123</v>
      </c>
      <c r="F8" s="89" t="s">
        <v>123</v>
      </c>
      <c r="G8" s="89" t="s">
        <v>123</v>
      </c>
      <c r="H8" s="89" t="s">
        <v>123</v>
      </c>
      <c r="I8" s="89" t="s">
        <v>123</v>
      </c>
      <c r="J8" s="89" t="s">
        <v>123</v>
      </c>
      <c r="K8" s="89" t="s">
        <v>123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124</v>
      </c>
      <c r="C9" s="89" t="s">
        <v>123</v>
      </c>
      <c r="D9" s="89" t="s">
        <v>123</v>
      </c>
      <c r="E9" s="89" t="s">
        <v>123</v>
      </c>
      <c r="F9" s="89" t="s">
        <v>123</v>
      </c>
      <c r="G9" s="89" t="s">
        <v>123</v>
      </c>
      <c r="H9" s="89" t="s">
        <v>123</v>
      </c>
      <c r="I9" s="89" t="s">
        <v>123</v>
      </c>
      <c r="J9" s="89" t="s">
        <v>123</v>
      </c>
      <c r="K9" s="89" t="s">
        <v>123</v>
      </c>
      <c r="L9" s="89" t="s">
        <v>123</v>
      </c>
      <c r="M9" s="91">
        <f t="shared" si="2"/>
        <v>0</v>
      </c>
    </row>
    <row r="10" spans="1:13" ht="15.6" customHeight="1">
      <c r="A10" s="90">
        <v>2</v>
      </c>
      <c r="B10" s="86" t="s">
        <v>125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126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127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128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129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57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131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9697500</v>
      </c>
      <c r="G17" s="87">
        <f t="shared" si="4"/>
        <v>31410000</v>
      </c>
      <c r="H17" s="87">
        <f t="shared" si="4"/>
        <v>43175000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84282500</v>
      </c>
      <c r="M17" s="91" t="e">
        <f t="shared" si="2"/>
        <v>#REF!</v>
      </c>
    </row>
    <row r="18" spans="1:18" ht="12">
      <c r="A18" s="92">
        <v>4</v>
      </c>
      <c r="B18" s="88" t="s">
        <v>132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123</v>
      </c>
    </row>
    <row r="19" spans="1:18" s="72" customFormat="1" ht="12">
      <c r="A19" s="92">
        <v>5</v>
      </c>
      <c r="B19" s="88" t="s">
        <v>133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9697500</v>
      </c>
      <c r="G19" s="89">
        <f t="shared" si="6"/>
        <v>31410000</v>
      </c>
      <c r="H19" s="89">
        <f t="shared" si="6"/>
        <v>43175000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84282500</v>
      </c>
      <c r="M19" s="91" t="e">
        <f>SUM(C19:L19)</f>
        <v>#REF!</v>
      </c>
    </row>
    <row r="20" spans="1:18" s="72" customFormat="1" ht="12">
      <c r="A20" s="85">
        <v>6</v>
      </c>
      <c r="B20" s="88" t="s">
        <v>134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123</v>
      </c>
    </row>
    <row r="21" spans="1:18" ht="12">
      <c r="A21" s="93"/>
      <c r="B21" s="94" t="s">
        <v>135</v>
      </c>
      <c r="C21" s="94"/>
      <c r="D21" s="94"/>
      <c r="E21" s="94" t="s">
        <v>136</v>
      </c>
      <c r="F21" s="94"/>
      <c r="G21" s="94"/>
      <c r="H21" s="94"/>
      <c r="I21" s="94" t="s">
        <v>137</v>
      </c>
      <c r="J21" s="94"/>
      <c r="K21" s="94"/>
      <c r="L21" s="94"/>
      <c r="M21" s="105"/>
    </row>
    <row r="22" spans="1:18" ht="12">
      <c r="A22" s="95"/>
      <c r="B22" s="96" t="s">
        <v>138</v>
      </c>
      <c r="C22" s="96"/>
      <c r="D22" s="97" t="s">
        <v>139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140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11" activePane="bottomRight" state="frozen"/>
      <selection pane="topRight"/>
      <selection pane="bottomLeft"/>
      <selection pane="bottomRight" activeCell="H34" sqref="H34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3.25" style="49" hidden="1" customWidth="1"/>
    <col min="6" max="6" width="13.25" style="49" customWidth="1"/>
    <col min="7" max="7" width="18.75" style="49" customWidth="1"/>
    <col min="8" max="8" width="12.375" style="48" customWidth="1"/>
    <col min="9" max="9" width="10.125" style="48" customWidth="1"/>
    <col min="10" max="16" width="9" style="48" customWidth="1"/>
    <col min="17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44" t="s">
        <v>142</v>
      </c>
      <c r="B1" s="244"/>
      <c r="C1" s="248" t="s">
        <v>240</v>
      </c>
      <c r="D1" s="249"/>
      <c r="E1" s="249"/>
      <c r="F1" s="249"/>
      <c r="G1" s="250"/>
    </row>
    <row r="2" spans="1:33">
      <c r="A2" s="244" t="s">
        <v>143</v>
      </c>
      <c r="B2" s="244"/>
      <c r="C2" s="251" t="s">
        <v>264</v>
      </c>
      <c r="D2" s="251"/>
      <c r="E2" s="251"/>
      <c r="F2" s="251"/>
      <c r="G2" s="251"/>
    </row>
    <row r="3" spans="1:33">
      <c r="A3" s="244" t="s">
        <v>144</v>
      </c>
      <c r="B3" s="244"/>
      <c r="C3" s="161" t="str">
        <f>销量!C5</f>
        <v>驾驶员座椅</v>
      </c>
      <c r="D3" s="161" t="str">
        <f>销量!D5</f>
        <v>驾驶员座椅</v>
      </c>
      <c r="E3" s="161" t="str">
        <f>销量!E5</f>
        <v>驾驶员座椅</v>
      </c>
      <c r="F3" s="161" t="str">
        <f>销量!F5</f>
        <v>副驾驶员座椅</v>
      </c>
      <c r="G3" s="245" t="s">
        <v>18</v>
      </c>
    </row>
    <row r="4" spans="1:33">
      <c r="A4" s="244" t="s">
        <v>145</v>
      </c>
      <c r="B4" s="244"/>
      <c r="C4" s="161" t="str">
        <f>销量!C6</f>
        <v>H568100000139</v>
      </c>
      <c r="D4" s="161" t="str">
        <f>销量!D6</f>
        <v>H568100000138</v>
      </c>
      <c r="E4" s="161" t="str">
        <f>销量!E6</f>
        <v>H568100000140</v>
      </c>
      <c r="F4" s="161" t="str">
        <f>销量!F6</f>
        <v>H568100000141</v>
      </c>
      <c r="G4" s="246"/>
    </row>
    <row r="5" spans="1:33">
      <c r="A5" s="244" t="s">
        <v>146</v>
      </c>
      <c r="B5" s="244"/>
      <c r="C5" s="51"/>
      <c r="D5" s="51"/>
      <c r="E5" s="51"/>
      <c r="F5" s="51"/>
      <c r="G5" s="247"/>
      <c r="AG5" s="48" t="s">
        <v>19</v>
      </c>
    </row>
    <row r="6" spans="1:33" ht="17.25">
      <c r="A6" s="52" t="s">
        <v>16</v>
      </c>
      <c r="B6" s="53" t="s">
        <v>147</v>
      </c>
      <c r="C6" s="22">
        <f>销量!C9</f>
        <v>3000</v>
      </c>
      <c r="D6" s="22">
        <f>销量!D9</f>
        <v>500</v>
      </c>
      <c r="E6" s="22">
        <f>销量!E9</f>
        <v>0</v>
      </c>
      <c r="F6" s="22">
        <f>销量!F9</f>
        <v>3500</v>
      </c>
      <c r="G6" s="54">
        <f t="shared" ref="G6:G15" si="0">SUM(C6:F6)</f>
        <v>7000</v>
      </c>
      <c r="AE6" s="52" t="s">
        <v>16</v>
      </c>
      <c r="AF6" s="53" t="s">
        <v>3</v>
      </c>
      <c r="AG6" s="48" t="s">
        <v>20</v>
      </c>
    </row>
    <row r="7" spans="1:33">
      <c r="A7" s="50">
        <v>1</v>
      </c>
      <c r="B7" s="53" t="s">
        <v>21</v>
      </c>
      <c r="C7" s="54">
        <f>C6*销量!C8</f>
        <v>6600000</v>
      </c>
      <c r="D7" s="54">
        <f>D6*销量!D8</f>
        <v>1225000</v>
      </c>
      <c r="E7" s="54">
        <f>E6*销量!E8</f>
        <v>0</v>
      </c>
      <c r="F7" s="54">
        <f>F6*销量!F8</f>
        <v>1872500</v>
      </c>
      <c r="G7" s="54">
        <f t="shared" si="0"/>
        <v>9697500</v>
      </c>
      <c r="H7" s="49"/>
      <c r="AE7" s="52" t="s">
        <v>22</v>
      </c>
      <c r="AF7" s="53" t="s">
        <v>21</v>
      </c>
      <c r="AG7" s="48" t="s">
        <v>20</v>
      </c>
    </row>
    <row r="8" spans="1:33">
      <c r="A8" s="50">
        <v>2</v>
      </c>
      <c r="B8" s="50" t="s">
        <v>23</v>
      </c>
      <c r="C8" s="54"/>
      <c r="D8" s="54"/>
      <c r="E8" s="54"/>
      <c r="F8" s="54"/>
      <c r="G8" s="54">
        <f t="shared" si="0"/>
        <v>0</v>
      </c>
      <c r="H8" s="69"/>
      <c r="AE8" s="52" t="s">
        <v>24</v>
      </c>
      <c r="AF8" s="50" t="s">
        <v>25</v>
      </c>
      <c r="AG8" s="48" t="s">
        <v>20</v>
      </c>
    </row>
    <row r="9" spans="1:33">
      <c r="A9" s="50">
        <v>3</v>
      </c>
      <c r="B9" s="53" t="s">
        <v>26</v>
      </c>
      <c r="C9" s="54">
        <f>+C7-C8</f>
        <v>6600000</v>
      </c>
      <c r="D9" s="54">
        <f t="shared" ref="D9:F9" si="1">+D7-D8</f>
        <v>1225000</v>
      </c>
      <c r="E9" s="54">
        <f t="shared" si="1"/>
        <v>0</v>
      </c>
      <c r="F9" s="54">
        <f t="shared" si="1"/>
        <v>1872500</v>
      </c>
      <c r="G9" s="54">
        <f t="shared" si="0"/>
        <v>9697500</v>
      </c>
      <c r="AE9" s="52" t="s">
        <v>27</v>
      </c>
      <c r="AF9" s="53" t="s">
        <v>26</v>
      </c>
      <c r="AG9" s="48" t="s">
        <v>28</v>
      </c>
    </row>
    <row r="10" spans="1:33">
      <c r="A10" s="50">
        <v>4</v>
      </c>
      <c r="B10" s="52" t="s">
        <v>29</v>
      </c>
      <c r="C10" s="54">
        <f>C6*材料成本!E41</f>
        <v>4200738.6512568565</v>
      </c>
      <c r="D10" s="54">
        <f>D6*材料成本!E42</f>
        <v>606142.44854280923</v>
      </c>
      <c r="E10" s="54">
        <f>E6*材料成本!E43</f>
        <v>0</v>
      </c>
      <c r="F10" s="54">
        <f>F6*材料成本!E44</f>
        <v>1842433.2882584073</v>
      </c>
      <c r="G10" s="54">
        <f t="shared" si="0"/>
        <v>6649314.3880580729</v>
      </c>
      <c r="AE10" s="52" t="s">
        <v>30</v>
      </c>
      <c r="AF10" s="52" t="s">
        <v>29</v>
      </c>
      <c r="AG10" s="48" t="s">
        <v>31</v>
      </c>
    </row>
    <row r="11" spans="1:33">
      <c r="A11" s="50">
        <v>5</v>
      </c>
      <c r="B11" s="52" t="s">
        <v>32</v>
      </c>
      <c r="C11" s="54">
        <f>+C6*C36</f>
        <v>371051.91005820531</v>
      </c>
      <c r="D11" s="54">
        <f t="shared" ref="D11:F11" si="2">+D6*D36</f>
        <v>68869.483306257811</v>
      </c>
      <c r="E11" s="54">
        <f t="shared" si="2"/>
        <v>0</v>
      </c>
      <c r="F11" s="54">
        <f t="shared" si="2"/>
        <v>105271.92448242265</v>
      </c>
      <c r="G11" s="54">
        <f t="shared" si="0"/>
        <v>545193.31784688577</v>
      </c>
      <c r="AE11" s="52" t="s">
        <v>33</v>
      </c>
      <c r="AF11" s="52" t="s">
        <v>32</v>
      </c>
    </row>
    <row r="12" spans="1:33">
      <c r="A12" s="50">
        <v>6</v>
      </c>
      <c r="B12" s="52" t="s">
        <v>34</v>
      </c>
      <c r="C12" s="54">
        <f>+C6*C37</f>
        <v>99501.531367105592</v>
      </c>
      <c r="D12" s="54">
        <f t="shared" ref="D12:F12" si="3">+D6*D37</f>
        <v>18468.087261318844</v>
      </c>
      <c r="E12" s="54">
        <f t="shared" si="3"/>
        <v>0</v>
      </c>
      <c r="F12" s="54">
        <f t="shared" si="3"/>
        <v>28229.790528015939</v>
      </c>
      <c r="G12" s="54">
        <f t="shared" si="0"/>
        <v>146199.40915644038</v>
      </c>
      <c r="AE12" s="52" t="s">
        <v>35</v>
      </c>
      <c r="AF12" s="52" t="s">
        <v>34</v>
      </c>
    </row>
    <row r="13" spans="1:33">
      <c r="A13" s="50">
        <v>7</v>
      </c>
      <c r="B13" s="52" t="s">
        <v>36</v>
      </c>
      <c r="C13" s="54">
        <f>+C6*C38</f>
        <v>263999.99999999994</v>
      </c>
      <c r="D13" s="54">
        <f t="shared" ref="D13:F13" si="4">+D6*D38</f>
        <v>48999.999999999993</v>
      </c>
      <c r="E13" s="54">
        <f t="shared" si="4"/>
        <v>0</v>
      </c>
      <c r="F13" s="54">
        <f t="shared" si="4"/>
        <v>74899.999999999985</v>
      </c>
      <c r="G13" s="54">
        <f t="shared" si="0"/>
        <v>387899.99999999994</v>
      </c>
      <c r="AE13" s="52" t="s">
        <v>37</v>
      </c>
      <c r="AF13" s="52" t="s">
        <v>36</v>
      </c>
      <c r="AG13" s="48" t="s">
        <v>20</v>
      </c>
    </row>
    <row r="14" spans="1:33">
      <c r="A14" s="50">
        <v>8</v>
      </c>
      <c r="B14" s="55" t="s">
        <v>38</v>
      </c>
      <c r="C14" s="54">
        <f>SUM(C11:C13)</f>
        <v>734553.44142531091</v>
      </c>
      <c r="D14" s="54">
        <f t="shared" ref="D14:F14" si="5">SUM(D11:D13)</f>
        <v>136337.57056757665</v>
      </c>
      <c r="E14" s="54">
        <f t="shared" si="5"/>
        <v>0</v>
      </c>
      <c r="F14" s="54">
        <f t="shared" si="5"/>
        <v>208401.71501043858</v>
      </c>
      <c r="G14" s="54">
        <f t="shared" si="0"/>
        <v>1079292.7270033262</v>
      </c>
      <c r="AE14" s="52" t="s">
        <v>39</v>
      </c>
      <c r="AF14" s="55" t="s">
        <v>38</v>
      </c>
    </row>
    <row r="15" spans="1:33">
      <c r="A15" s="50">
        <v>9</v>
      </c>
      <c r="B15" s="55" t="s">
        <v>40</v>
      </c>
      <c r="C15" s="54">
        <f>+C9-C10-C14</f>
        <v>1664707.9073178326</v>
      </c>
      <c r="D15" s="54">
        <f t="shared" ref="D15:F15" si="6">+D9-D10-D14</f>
        <v>482519.98088961409</v>
      </c>
      <c r="E15" s="54">
        <f t="shared" si="6"/>
        <v>0</v>
      </c>
      <c r="F15" s="54">
        <f t="shared" si="6"/>
        <v>-178335.00326884585</v>
      </c>
      <c r="G15" s="54">
        <f t="shared" si="0"/>
        <v>1968892.8849386009</v>
      </c>
      <c r="AE15" s="52" t="s">
        <v>41</v>
      </c>
      <c r="AF15" s="55" t="s">
        <v>40</v>
      </c>
    </row>
    <row r="16" spans="1:33">
      <c r="A16" s="50">
        <v>10</v>
      </c>
      <c r="B16" s="52" t="s">
        <v>42</v>
      </c>
      <c r="C16" s="56">
        <f>+C15/C9</f>
        <v>0.25222847080573219</v>
      </c>
      <c r="D16" s="56">
        <f t="shared" ref="D16:F16" si="7">+D15/D9</f>
        <v>0.39389386195070536</v>
      </c>
      <c r="E16" s="56" t="e">
        <f t="shared" si="7"/>
        <v>#DIV/0!</v>
      </c>
      <c r="F16" s="56">
        <f t="shared" si="7"/>
        <v>-9.5238987059463737E-2</v>
      </c>
      <c r="G16" s="56">
        <f t="shared" ref="G16" si="8">+G15/G9</f>
        <v>0.2030309755028204</v>
      </c>
      <c r="AE16" s="52" t="s">
        <v>43</v>
      </c>
      <c r="AF16" s="52" t="s">
        <v>42</v>
      </c>
    </row>
    <row r="17" spans="1:33">
      <c r="A17" s="50">
        <v>11</v>
      </c>
      <c r="B17" s="52" t="s">
        <v>44</v>
      </c>
      <c r="C17" s="54">
        <f>C6*C43+C18</f>
        <v>301750</v>
      </c>
      <c r="D17" s="54">
        <f t="shared" ref="D17:F17" si="9">D6*D43+D18</f>
        <v>55916.666666666664</v>
      </c>
      <c r="E17" s="54">
        <f t="shared" si="9"/>
        <v>0</v>
      </c>
      <c r="F17" s="54">
        <f t="shared" si="9"/>
        <v>89804.166666666672</v>
      </c>
      <c r="G17" s="54">
        <f>SUM(C17:F17)</f>
        <v>447470.83333333337</v>
      </c>
      <c r="H17" s="170"/>
      <c r="I17" s="171"/>
      <c r="J17" s="171"/>
      <c r="AE17" s="52" t="s">
        <v>45</v>
      </c>
      <c r="AF17" s="52" t="s">
        <v>44</v>
      </c>
    </row>
    <row r="18" spans="1:33" s="46" customFormat="1">
      <c r="A18" s="50">
        <v>12</v>
      </c>
      <c r="B18" s="57" t="s">
        <v>148</v>
      </c>
      <c r="C18" s="58">
        <f>$G$18/$G$6*C6</f>
        <v>4750</v>
      </c>
      <c r="D18" s="58">
        <f>$G$18/$G$6*D6</f>
        <v>791.66666666666674</v>
      </c>
      <c r="E18" s="58">
        <f>$G$18/$G$6*E6</f>
        <v>0</v>
      </c>
      <c r="F18" s="58">
        <f>$G$18/$G$6*F6</f>
        <v>5541.666666666667</v>
      </c>
      <c r="G18" s="58">
        <f>项目投资!D26</f>
        <v>11083.333333333334</v>
      </c>
      <c r="H18" s="172" t="s">
        <v>149</v>
      </c>
      <c r="I18" s="172"/>
      <c r="J18" s="172"/>
    </row>
    <row r="19" spans="1:33">
      <c r="A19" s="50">
        <v>13</v>
      </c>
      <c r="B19" s="52" t="s">
        <v>46</v>
      </c>
      <c r="C19" s="54">
        <f>C6*C44</f>
        <v>46200</v>
      </c>
      <c r="D19" s="54">
        <f t="shared" ref="D19:E19" si="10">D6*D44</f>
        <v>8575.0000000000018</v>
      </c>
      <c r="E19" s="54">
        <f t="shared" si="10"/>
        <v>0</v>
      </c>
      <c r="F19" s="54">
        <f>F6*F44</f>
        <v>13107.5</v>
      </c>
      <c r="G19" s="54">
        <f>SUM(C19:F19)</f>
        <v>67882.5</v>
      </c>
      <c r="H19" s="173"/>
      <c r="I19" s="171"/>
      <c r="J19" s="171"/>
      <c r="AE19" s="52" t="s">
        <v>47</v>
      </c>
      <c r="AF19" s="52" t="s">
        <v>46</v>
      </c>
      <c r="AG19" s="48" t="s">
        <v>20</v>
      </c>
    </row>
    <row r="20" spans="1:33">
      <c r="A20" s="50">
        <v>14</v>
      </c>
      <c r="B20" s="52" t="s">
        <v>48</v>
      </c>
      <c r="C20" s="54">
        <f>C6*C45</f>
        <v>198000</v>
      </c>
      <c r="D20" s="54">
        <f t="shared" ref="D20:F20" si="11">D6*D45</f>
        <v>36750</v>
      </c>
      <c r="E20" s="54">
        <f t="shared" si="11"/>
        <v>0</v>
      </c>
      <c r="F20" s="54">
        <f t="shared" si="11"/>
        <v>56175</v>
      </c>
      <c r="G20" s="54">
        <f>SUM(C20:F20)</f>
        <v>290925</v>
      </c>
      <c r="AE20" s="52" t="s">
        <v>49</v>
      </c>
      <c r="AF20" s="52" t="s">
        <v>48</v>
      </c>
    </row>
    <row r="21" spans="1:33">
      <c r="A21" s="50">
        <v>15</v>
      </c>
      <c r="B21" s="52" t="s">
        <v>50</v>
      </c>
      <c r="C21" s="59">
        <f>$G$21/$G$6*C6</f>
        <v>5442.8571428571431</v>
      </c>
      <c r="D21" s="59">
        <f>$G$21/$G$6*D6</f>
        <v>907.14285714285711</v>
      </c>
      <c r="E21" s="59">
        <f>$G$21/$G$6*E6</f>
        <v>0</v>
      </c>
      <c r="F21" s="59">
        <f>$G$21/$G$6*F6</f>
        <v>6350</v>
      </c>
      <c r="G21" s="54">
        <f>项目投资!D27</f>
        <v>12700</v>
      </c>
      <c r="AE21" s="52"/>
      <c r="AF21" s="52"/>
    </row>
    <row r="22" spans="1:33">
      <c r="A22" s="50">
        <v>16</v>
      </c>
      <c r="B22" s="52" t="s">
        <v>51</v>
      </c>
      <c r="C22" s="54">
        <f>C6*C47</f>
        <v>264000</v>
      </c>
      <c r="D22" s="54">
        <f t="shared" ref="D22:F22" si="12">D6*D47</f>
        <v>49000</v>
      </c>
      <c r="E22" s="54">
        <f t="shared" si="12"/>
        <v>0</v>
      </c>
      <c r="F22" s="54">
        <f t="shared" si="12"/>
        <v>74900.000000000015</v>
      </c>
      <c r="G22" s="54">
        <f>SUM(C22:F22)</f>
        <v>387900</v>
      </c>
      <c r="AE22" s="52" t="s">
        <v>52</v>
      </c>
      <c r="AF22" s="52" t="s">
        <v>51</v>
      </c>
    </row>
    <row r="23" spans="1:33">
      <c r="A23" s="50">
        <v>17</v>
      </c>
      <c r="B23" s="55" t="s">
        <v>53</v>
      </c>
      <c r="C23" s="59">
        <f>+C22+C21+C20+C19+C17</f>
        <v>815392.85714285716</v>
      </c>
      <c r="D23" s="59">
        <f t="shared" ref="D23:F23" si="13">+D22+D21+D20+D19+D17</f>
        <v>151148.80952380953</v>
      </c>
      <c r="E23" s="59">
        <f t="shared" si="13"/>
        <v>0</v>
      </c>
      <c r="F23" s="59">
        <f t="shared" si="13"/>
        <v>240336.66666666669</v>
      </c>
      <c r="G23" s="59">
        <f t="shared" ref="G23" si="14">+G22+G21+G20+G19+G17</f>
        <v>1206878.3333333335</v>
      </c>
      <c r="AE23" s="52" t="s">
        <v>54</v>
      </c>
      <c r="AF23" s="55" t="s">
        <v>53</v>
      </c>
    </row>
    <row r="24" spans="1:33">
      <c r="A24" s="50">
        <v>18</v>
      </c>
      <c r="B24" s="60" t="s">
        <v>55</v>
      </c>
      <c r="C24" s="59">
        <f>+C15-C23</f>
        <v>849315.05017497542</v>
      </c>
      <c r="D24" s="59">
        <f t="shared" ref="D24:F24" si="15">+D15-D23</f>
        <v>331371.17136580456</v>
      </c>
      <c r="E24" s="59">
        <f t="shared" si="15"/>
        <v>0</v>
      </c>
      <c r="F24" s="59">
        <f t="shared" si="15"/>
        <v>-418671.66993551253</v>
      </c>
      <c r="G24" s="59">
        <f t="shared" ref="G24" si="16">+G15-G23</f>
        <v>762014.55160526745</v>
      </c>
      <c r="I24" s="71"/>
      <c r="AE24" s="52" t="s">
        <v>56</v>
      </c>
      <c r="AF24" s="52" t="s">
        <v>55</v>
      </c>
    </row>
    <row r="25" spans="1:33">
      <c r="A25" s="50">
        <v>19</v>
      </c>
      <c r="B25" s="52" t="s">
        <v>294</v>
      </c>
      <c r="C25" s="59">
        <f>IF(C24&lt;0,0,C24*0.15)</f>
        <v>127397.25752624631</v>
      </c>
      <c r="D25" s="59">
        <f>IF(D24&lt;0,0,D24*0.15)</f>
        <v>49705.675704870686</v>
      </c>
      <c r="E25" s="59">
        <f t="shared" ref="E25" si="17">IF(E24&lt;0,0,E24*0.25)</f>
        <v>0</v>
      </c>
      <c r="F25" s="59">
        <f>IF(F24&lt;0,0,F24*0.15)</f>
        <v>0</v>
      </c>
      <c r="G25" s="59">
        <f>IF(G24&lt;0,0,G24*0.15)</f>
        <v>114302.18274079011</v>
      </c>
      <c r="H25" s="67"/>
      <c r="I25" s="67"/>
      <c r="J25" s="67"/>
      <c r="AE25" s="52" t="s">
        <v>58</v>
      </c>
      <c r="AF25" s="52" t="s">
        <v>57</v>
      </c>
    </row>
    <row r="26" spans="1:33">
      <c r="A26" s="50">
        <v>20</v>
      </c>
      <c r="B26" s="52" t="s">
        <v>59</v>
      </c>
      <c r="C26" s="59">
        <f t="shared" ref="C26:F26" si="18">C24-C25</f>
        <v>721917.79264872917</v>
      </c>
      <c r="D26" s="59">
        <f t="shared" si="18"/>
        <v>281665.4956609339</v>
      </c>
      <c r="E26" s="59">
        <f t="shared" si="18"/>
        <v>0</v>
      </c>
      <c r="F26" s="59">
        <f t="shared" si="18"/>
        <v>-418671.66993551253</v>
      </c>
      <c r="G26" s="54">
        <f>G24-G25</f>
        <v>647712.36886447738</v>
      </c>
      <c r="H26" s="67"/>
      <c r="I26" s="67"/>
      <c r="J26" s="67"/>
      <c r="AE26" s="52" t="s">
        <v>60</v>
      </c>
      <c r="AF26" s="52" t="s">
        <v>59</v>
      </c>
    </row>
    <row r="27" spans="1:33">
      <c r="A27" s="50">
        <v>21</v>
      </c>
      <c r="B27" s="52" t="s">
        <v>63</v>
      </c>
      <c r="C27" s="61">
        <f t="shared" ref="C27:G27" si="19">C26/C7</f>
        <v>0.10938148373465593</v>
      </c>
      <c r="D27" s="61">
        <f t="shared" ref="D27:F27" si="20">D26/D7</f>
        <v>0.22993101686606848</v>
      </c>
      <c r="E27" s="61" t="e">
        <f t="shared" si="20"/>
        <v>#DIV/0!</v>
      </c>
      <c r="F27" s="61">
        <f t="shared" si="20"/>
        <v>-0.22358967686809747</v>
      </c>
      <c r="G27" s="61">
        <f t="shared" si="19"/>
        <v>6.6791685368855616E-2</v>
      </c>
      <c r="H27" s="67"/>
      <c r="I27" s="67"/>
      <c r="J27" s="67"/>
      <c r="AE27" s="52" t="s">
        <v>62</v>
      </c>
      <c r="AF27" s="52" t="s">
        <v>63</v>
      </c>
    </row>
    <row r="28" spans="1:33">
      <c r="H28" s="67"/>
      <c r="I28" s="67"/>
      <c r="J28" s="67"/>
    </row>
    <row r="29" spans="1:33">
      <c r="A29" s="48" t="s">
        <v>64</v>
      </c>
      <c r="G29" s="49" t="s">
        <v>150</v>
      </c>
      <c r="H29" s="67"/>
      <c r="I29" s="67"/>
      <c r="J29" s="67"/>
      <c r="AE29" s="48" t="s">
        <v>64</v>
      </c>
    </row>
    <row r="30" spans="1:33">
      <c r="A30" s="52" t="s">
        <v>67</v>
      </c>
      <c r="B30" s="55" t="s">
        <v>68</v>
      </c>
      <c r="C30" s="59"/>
      <c r="D30" s="59"/>
      <c r="E30" s="59"/>
      <c r="F30" s="59"/>
      <c r="G30" s="59"/>
      <c r="H30" s="67"/>
      <c r="I30" s="67"/>
      <c r="J30" s="67"/>
      <c r="L30" s="67"/>
      <c r="AE30" s="52" t="s">
        <v>69</v>
      </c>
      <c r="AF30" s="55" t="s">
        <v>68</v>
      </c>
    </row>
    <row r="31" spans="1:33">
      <c r="A31" s="62">
        <v>1</v>
      </c>
      <c r="B31" s="57" t="s">
        <v>70</v>
      </c>
      <c r="C31" s="63">
        <f>销量!C8</f>
        <v>2200</v>
      </c>
      <c r="D31" s="63">
        <f>销量!D8</f>
        <v>2450</v>
      </c>
      <c r="E31" s="63">
        <f>销量!E8</f>
        <v>2900</v>
      </c>
      <c r="F31" s="63">
        <f>销量!F8</f>
        <v>535</v>
      </c>
      <c r="G31" s="59"/>
      <c r="H31" s="67"/>
      <c r="I31" s="67"/>
      <c r="J31" s="67"/>
      <c r="L31" s="67"/>
      <c r="AE31" s="52" t="s">
        <v>22</v>
      </c>
      <c r="AF31" s="52" t="s">
        <v>70</v>
      </c>
    </row>
    <row r="32" spans="1:33">
      <c r="A32" s="62">
        <v>2</v>
      </c>
      <c r="B32" s="52" t="s">
        <v>151</v>
      </c>
      <c r="C32" s="54">
        <f>C31*1</f>
        <v>2200</v>
      </c>
      <c r="D32" s="54">
        <f t="shared" ref="D32:F32" si="21">D31*1</f>
        <v>2450</v>
      </c>
      <c r="E32" s="54">
        <f t="shared" si="21"/>
        <v>2900</v>
      </c>
      <c r="F32" s="54">
        <f t="shared" si="21"/>
        <v>535</v>
      </c>
      <c r="G32" s="59"/>
      <c r="H32" s="67"/>
      <c r="I32" s="67"/>
      <c r="J32" s="67"/>
      <c r="K32" s="67"/>
      <c r="L32" s="67"/>
      <c r="M32" s="67"/>
      <c r="N32" s="67"/>
      <c r="AE32" s="52"/>
      <c r="AF32" s="52"/>
    </row>
    <row r="33" spans="1:32">
      <c r="A33" s="62">
        <v>3</v>
      </c>
      <c r="B33" s="57" t="s">
        <v>71</v>
      </c>
      <c r="C33" s="54">
        <f>材料成本!E41</f>
        <v>1400.2462170856188</v>
      </c>
      <c r="D33" s="54">
        <f>材料成本!E42</f>
        <v>1212.2848970856185</v>
      </c>
      <c r="E33" s="54">
        <f>材料成本!E43</f>
        <v>1522.8971470856191</v>
      </c>
      <c r="F33" s="54">
        <f>材料成本!E44</f>
        <v>526.40951093097351</v>
      </c>
      <c r="G33" s="59"/>
      <c r="I33" s="67"/>
      <c r="J33" s="67"/>
      <c r="K33" s="67"/>
      <c r="L33" s="67"/>
      <c r="M33" s="67"/>
      <c r="N33" s="67"/>
      <c r="AE33" s="52" t="s">
        <v>24</v>
      </c>
      <c r="AF33" s="52" t="s">
        <v>71</v>
      </c>
    </row>
    <row r="34" spans="1:32" ht="17.25" customHeight="1">
      <c r="A34" s="62">
        <v>4</v>
      </c>
      <c r="B34" s="52" t="s">
        <v>73</v>
      </c>
      <c r="C34" s="64">
        <f>C32-C33</f>
        <v>799.75378291438119</v>
      </c>
      <c r="D34" s="64">
        <f t="shared" ref="D34:F34" si="22">D32-D33</f>
        <v>1237.7151029143815</v>
      </c>
      <c r="E34" s="64">
        <f t="shared" si="22"/>
        <v>1377.1028529143809</v>
      </c>
      <c r="F34" s="64">
        <f t="shared" si="22"/>
        <v>8.5904890690264892</v>
      </c>
      <c r="G34" s="59"/>
      <c r="I34" s="67"/>
      <c r="J34" s="67"/>
      <c r="K34" s="67"/>
      <c r="L34" s="67"/>
      <c r="M34" s="67"/>
      <c r="N34" s="67"/>
      <c r="AE34" s="52" t="s">
        <v>72</v>
      </c>
      <c r="AF34" s="52" t="s">
        <v>73</v>
      </c>
    </row>
    <row r="35" spans="1:32">
      <c r="A35" s="52" t="s">
        <v>69</v>
      </c>
      <c r="B35" s="55" t="s">
        <v>9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AE35" s="52" t="s">
        <v>75</v>
      </c>
      <c r="AF35" s="55" t="s">
        <v>9</v>
      </c>
    </row>
    <row r="36" spans="1:32">
      <c r="A36" s="62">
        <v>1</v>
      </c>
      <c r="B36" s="52" t="s">
        <v>76</v>
      </c>
      <c r="C36" s="58">
        <f>标准成本!E4</f>
        <v>123.68397001940177</v>
      </c>
      <c r="D36" s="58">
        <f>标准成本!E18</f>
        <v>137.73896661251561</v>
      </c>
      <c r="E36" s="58">
        <f>标准成本!E32</f>
        <v>163.03796048012052</v>
      </c>
      <c r="F36" s="58">
        <f>标准成本!E45</f>
        <v>30.077692709263612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AE36" s="52" t="s">
        <v>72</v>
      </c>
      <c r="AF36" s="52" t="s">
        <v>76</v>
      </c>
    </row>
    <row r="37" spans="1:32">
      <c r="A37" s="62">
        <v>2</v>
      </c>
      <c r="B37" s="52" t="s">
        <v>77</v>
      </c>
      <c r="C37" s="58">
        <f>标准成本!E6</f>
        <v>33.167177122368528</v>
      </c>
      <c r="D37" s="58">
        <f>标准成本!E20</f>
        <v>36.936174522637685</v>
      </c>
      <c r="E37" s="58">
        <f>标准成本!E34</f>
        <v>43.720369843122157</v>
      </c>
      <c r="F37" s="58">
        <f>标准成本!E47</f>
        <v>8.0656544365759828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AE37" s="52" t="s">
        <v>27</v>
      </c>
      <c r="AF37" s="52" t="s">
        <v>77</v>
      </c>
    </row>
    <row r="38" spans="1:32">
      <c r="A38" s="62">
        <v>3</v>
      </c>
      <c r="B38" s="52" t="s">
        <v>78</v>
      </c>
      <c r="C38" s="58">
        <f>标准成本!E10</f>
        <v>87.999999999999986</v>
      </c>
      <c r="D38" s="58">
        <f>标准成本!E24</f>
        <v>97.999999999999986</v>
      </c>
      <c r="E38" s="58">
        <f>标准成本!E38</f>
        <v>115.99999999999999</v>
      </c>
      <c r="F38" s="58">
        <f>标准成本!E51</f>
        <v>21.399999999999995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AE38" s="52" t="s">
        <v>33</v>
      </c>
      <c r="AF38" s="52" t="s">
        <v>78</v>
      </c>
    </row>
    <row r="39" spans="1:32">
      <c r="A39" s="52" t="s">
        <v>75</v>
      </c>
      <c r="B39" s="55" t="s">
        <v>80</v>
      </c>
      <c r="C39" s="59"/>
      <c r="D39" s="59"/>
      <c r="E39" s="59"/>
      <c r="F39" s="59"/>
      <c r="G39" s="59"/>
      <c r="AE39" s="52" t="s">
        <v>79</v>
      </c>
      <c r="AF39" s="55" t="s">
        <v>80</v>
      </c>
    </row>
    <row r="40" spans="1:32">
      <c r="A40" s="62">
        <v>1</v>
      </c>
      <c r="B40" s="52" t="s">
        <v>82</v>
      </c>
      <c r="C40" s="59">
        <f>C34-C36-C37-C38</f>
        <v>554.90263577261089</v>
      </c>
      <c r="D40" s="59">
        <f t="shared" ref="D40:F40" si="23">D34-D36-D37-D38</f>
        <v>965.03996177922818</v>
      </c>
      <c r="E40" s="59">
        <f t="shared" si="23"/>
        <v>1054.3445225911382</v>
      </c>
      <c r="F40" s="59">
        <f t="shared" si="23"/>
        <v>-50.952858076813101</v>
      </c>
      <c r="G40" s="59"/>
      <c r="AE40" s="52" t="s">
        <v>22</v>
      </c>
      <c r="AF40" s="52" t="s">
        <v>82</v>
      </c>
    </row>
    <row r="41" spans="1:32">
      <c r="A41" s="62">
        <v>2</v>
      </c>
      <c r="B41" s="52" t="s">
        <v>83</v>
      </c>
      <c r="C41" s="59"/>
      <c r="D41" s="59"/>
      <c r="E41" s="59"/>
      <c r="F41" s="59"/>
      <c r="G41" s="59"/>
      <c r="AE41" s="52" t="s">
        <v>24</v>
      </c>
      <c r="AF41" s="52" t="s">
        <v>83</v>
      </c>
    </row>
    <row r="42" spans="1:32">
      <c r="A42" s="52" t="s">
        <v>79</v>
      </c>
      <c r="B42" s="55" t="s">
        <v>85</v>
      </c>
      <c r="C42" s="59"/>
      <c r="D42" s="59"/>
      <c r="E42" s="59"/>
      <c r="F42" s="59"/>
      <c r="G42" s="59"/>
      <c r="AE42" s="52" t="s">
        <v>84</v>
      </c>
      <c r="AF42" s="55" t="s">
        <v>85</v>
      </c>
    </row>
    <row r="43" spans="1:32">
      <c r="A43" s="62">
        <v>1</v>
      </c>
      <c r="B43" s="60" t="s">
        <v>86</v>
      </c>
      <c r="C43" s="58">
        <f>标准成本!E5</f>
        <v>99</v>
      </c>
      <c r="D43" s="58">
        <f>标准成本!E19</f>
        <v>110.25</v>
      </c>
      <c r="E43" s="58">
        <f>标准成本!E33</f>
        <v>130.5</v>
      </c>
      <c r="F43" s="58">
        <f>标准成本!E46</f>
        <v>24.074999999999999</v>
      </c>
      <c r="G43" s="59"/>
      <c r="AE43" s="52" t="s">
        <v>22</v>
      </c>
      <c r="AF43" s="52" t="s">
        <v>86</v>
      </c>
    </row>
    <row r="44" spans="1:32">
      <c r="A44" s="62">
        <v>2</v>
      </c>
      <c r="B44" s="60" t="s">
        <v>87</v>
      </c>
      <c r="C44" s="58">
        <f>标准成本!E9</f>
        <v>15.4</v>
      </c>
      <c r="D44" s="58">
        <f>标准成本!E23</f>
        <v>17.150000000000002</v>
      </c>
      <c r="E44" s="58">
        <f>标准成本!E37</f>
        <v>20.3</v>
      </c>
      <c r="F44" s="58">
        <f>标准成本!E50</f>
        <v>3.7450000000000001</v>
      </c>
      <c r="G44" s="59"/>
      <c r="AE44" s="52" t="s">
        <v>24</v>
      </c>
      <c r="AF44" s="52" t="s">
        <v>87</v>
      </c>
    </row>
    <row r="45" spans="1:32">
      <c r="A45" s="62">
        <v>3</v>
      </c>
      <c r="B45" s="60" t="s">
        <v>88</v>
      </c>
      <c r="C45" s="65">
        <f>标准成本!E8</f>
        <v>66</v>
      </c>
      <c r="D45" s="65">
        <f>标准成本!E22</f>
        <v>73.5</v>
      </c>
      <c r="E45" s="65">
        <f>标准成本!E36</f>
        <v>87</v>
      </c>
      <c r="F45" s="65">
        <f>标准成本!E49</f>
        <v>16.05</v>
      </c>
      <c r="G45" s="59"/>
      <c r="AE45" s="52" t="s">
        <v>72</v>
      </c>
      <c r="AF45" s="52" t="s">
        <v>88</v>
      </c>
    </row>
    <row r="46" spans="1:32" s="47" customFormat="1">
      <c r="A46" s="62">
        <v>4</v>
      </c>
      <c r="B46" s="60" t="s">
        <v>89</v>
      </c>
      <c r="C46" s="65">
        <f>C21/C6</f>
        <v>1.8142857142857143</v>
      </c>
      <c r="D46" s="65">
        <f t="shared" ref="D46:F46" si="24">D21/D6</f>
        <v>1.8142857142857143</v>
      </c>
      <c r="E46" s="65" t="e">
        <f t="shared" si="24"/>
        <v>#DIV/0!</v>
      </c>
      <c r="F46" s="65">
        <f t="shared" si="24"/>
        <v>1.8142857142857143</v>
      </c>
      <c r="G46" s="65"/>
      <c r="AE46" s="60" t="s">
        <v>30</v>
      </c>
      <c r="AF46" s="60" t="s">
        <v>91</v>
      </c>
    </row>
    <row r="47" spans="1:32" s="47" customFormat="1">
      <c r="A47" s="62">
        <v>5</v>
      </c>
      <c r="B47" s="60" t="s">
        <v>91</v>
      </c>
      <c r="C47" s="65">
        <f>标准成本!E11</f>
        <v>88</v>
      </c>
      <c r="D47" s="65">
        <f>标准成本!E25</f>
        <v>98</v>
      </c>
      <c r="E47" s="65">
        <f>标准成本!E39</f>
        <v>116</v>
      </c>
      <c r="F47" s="65">
        <f>标准成本!E52</f>
        <v>21.400000000000002</v>
      </c>
      <c r="G47" s="65"/>
      <c r="AE47" s="60" t="s">
        <v>30</v>
      </c>
      <c r="AF47" s="60" t="s">
        <v>91</v>
      </c>
    </row>
    <row r="48" spans="1:32">
      <c r="A48" s="52" t="s">
        <v>84</v>
      </c>
      <c r="B48" s="55" t="s">
        <v>102</v>
      </c>
      <c r="C48" s="59">
        <f>C40-C43-C44-C45-C47-C46</f>
        <v>284.68835005832523</v>
      </c>
      <c r="D48" s="59">
        <f t="shared" ref="D48:F48" si="25">D40-D43-D44-D45-D47-D46</f>
        <v>664.32567606494251</v>
      </c>
      <c r="E48" s="59" t="e">
        <f t="shared" si="25"/>
        <v>#DIV/0!</v>
      </c>
      <c r="F48" s="59">
        <f t="shared" si="25"/>
        <v>-118.03714379109883</v>
      </c>
      <c r="G48" s="59"/>
      <c r="AE48" s="52" t="s">
        <v>101</v>
      </c>
      <c r="AF48" s="55" t="s">
        <v>102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3" activePane="bottomRight" state="frozen"/>
      <selection pane="topRight"/>
      <selection pane="bottomLeft"/>
      <selection pane="bottomRight" activeCell="I30" sqref="I30"/>
    </sheetView>
  </sheetViews>
  <sheetFormatPr defaultColWidth="9" defaultRowHeight="16.5"/>
  <cols>
    <col min="1" max="1" width="5.125" style="48" customWidth="1"/>
    <col min="2" max="2" width="17.5" style="48" customWidth="1"/>
    <col min="3" max="6" width="13.25" style="49" customWidth="1"/>
    <col min="7" max="7" width="18.75" style="49" customWidth="1"/>
    <col min="8" max="8" width="12.375" style="48" customWidth="1"/>
    <col min="9" max="9" width="10.125" style="48" customWidth="1"/>
    <col min="10" max="16" width="9" style="48" customWidth="1"/>
    <col min="17" max="33" width="9" style="48"/>
    <col min="34" max="34" width="4.375" style="48" customWidth="1"/>
    <col min="35" max="35" width="13.875" style="48" customWidth="1"/>
    <col min="36" max="16384" width="9" style="48"/>
  </cols>
  <sheetData>
    <row r="1" spans="1:36">
      <c r="A1" s="244" t="s">
        <v>142</v>
      </c>
      <c r="B1" s="244"/>
      <c r="C1" s="248" t="s">
        <v>241</v>
      </c>
      <c r="D1" s="249"/>
      <c r="E1" s="249"/>
      <c r="F1" s="249"/>
      <c r="G1" s="250"/>
    </row>
    <row r="2" spans="1:36">
      <c r="A2" s="244" t="s">
        <v>143</v>
      </c>
      <c r="B2" s="244"/>
      <c r="C2" s="251" t="str">
        <f>'2022年'!C2:G2</f>
        <v>福田</v>
      </c>
      <c r="D2" s="251"/>
      <c r="E2" s="251"/>
      <c r="F2" s="251"/>
      <c r="G2" s="251"/>
    </row>
    <row r="3" spans="1:36">
      <c r="A3" s="244" t="s">
        <v>144</v>
      </c>
      <c r="B3" s="244"/>
      <c r="C3" s="161" t="str">
        <f>销量!C5</f>
        <v>驾驶员座椅</v>
      </c>
      <c r="D3" s="161" t="str">
        <f>销量!D5</f>
        <v>驾驶员座椅</v>
      </c>
      <c r="E3" s="161" t="str">
        <f>销量!E5</f>
        <v>驾驶员座椅</v>
      </c>
      <c r="F3" s="161" t="str">
        <f>销量!F5</f>
        <v>副驾驶员座椅</v>
      </c>
      <c r="G3" s="245" t="s">
        <v>18</v>
      </c>
    </row>
    <row r="4" spans="1:36">
      <c r="A4" s="244" t="s">
        <v>145</v>
      </c>
      <c r="B4" s="244"/>
      <c r="C4" s="161" t="str">
        <f>销量!C6</f>
        <v>H568100000139</v>
      </c>
      <c r="D4" s="161" t="str">
        <f>销量!D6</f>
        <v>H568100000138</v>
      </c>
      <c r="E4" s="161" t="str">
        <f>销量!E6</f>
        <v>H568100000140</v>
      </c>
      <c r="F4" s="161" t="str">
        <f>销量!F6</f>
        <v>H568100000141</v>
      </c>
      <c r="G4" s="246"/>
    </row>
    <row r="5" spans="1:36">
      <c r="A5" s="244" t="s">
        <v>146</v>
      </c>
      <c r="B5" s="244"/>
      <c r="C5" s="51"/>
      <c r="D5" s="51"/>
      <c r="E5" s="51"/>
      <c r="F5" s="51"/>
      <c r="G5" s="247"/>
      <c r="AJ5" s="48" t="s">
        <v>19</v>
      </c>
    </row>
    <row r="6" spans="1:36" ht="17.25">
      <c r="A6" s="52" t="s">
        <v>16</v>
      </c>
      <c r="B6" s="53" t="s">
        <v>147</v>
      </c>
      <c r="C6" s="22">
        <f>销量!C10</f>
        <v>7500</v>
      </c>
      <c r="D6" s="22">
        <f>销量!D10</f>
        <v>2500</v>
      </c>
      <c r="E6" s="22">
        <f>销量!E10</f>
        <v>1000</v>
      </c>
      <c r="F6" s="22">
        <f>销量!F10</f>
        <v>11000</v>
      </c>
      <c r="G6" s="54">
        <f t="shared" ref="G6:G15" si="0">SUM(C6:F6)</f>
        <v>22000</v>
      </c>
      <c r="R6" s="53" t="s">
        <v>3</v>
      </c>
      <c r="AH6" s="52" t="s">
        <v>16</v>
      </c>
      <c r="AI6" s="53" t="s">
        <v>3</v>
      </c>
      <c r="AJ6" s="48" t="s">
        <v>20</v>
      </c>
    </row>
    <row r="7" spans="1:36">
      <c r="A7" s="160">
        <v>1</v>
      </c>
      <c r="B7" s="53" t="s">
        <v>21</v>
      </c>
      <c r="C7" s="54">
        <f>C6*销量!C8</f>
        <v>16500000</v>
      </c>
      <c r="D7" s="54">
        <f>D6*销量!D8</f>
        <v>6125000</v>
      </c>
      <c r="E7" s="54">
        <f>E6*销量!E8</f>
        <v>2900000</v>
      </c>
      <c r="F7" s="54">
        <f>F6*销量!F8</f>
        <v>5885000</v>
      </c>
      <c r="G7" s="54">
        <f t="shared" si="0"/>
        <v>31410000</v>
      </c>
      <c r="H7" s="49"/>
      <c r="R7" s="53" t="s">
        <v>21</v>
      </c>
      <c r="AH7" s="52" t="s">
        <v>22</v>
      </c>
      <c r="AI7" s="53" t="s">
        <v>21</v>
      </c>
      <c r="AJ7" s="48" t="s">
        <v>20</v>
      </c>
    </row>
    <row r="8" spans="1:36">
      <c r="A8" s="160">
        <v>2</v>
      </c>
      <c r="B8" s="160" t="s">
        <v>23</v>
      </c>
      <c r="C8" s="54">
        <f>C7*(1-销量!$O$7)</f>
        <v>825000.0000000007</v>
      </c>
      <c r="D8" s="54">
        <f>D7*(1-销量!$O$7)</f>
        <v>306250.00000000029</v>
      </c>
      <c r="E8" s="54">
        <f>E7*(1-销量!$O$7)</f>
        <v>145000.00000000012</v>
      </c>
      <c r="F8" s="54">
        <f>F7*(1-销量!$O$7)</f>
        <v>294250.00000000023</v>
      </c>
      <c r="G8" s="54">
        <f t="shared" si="0"/>
        <v>1570500.0000000012</v>
      </c>
      <c r="H8" s="69"/>
      <c r="R8" s="160" t="s">
        <v>25</v>
      </c>
      <c r="AH8" s="52" t="s">
        <v>24</v>
      </c>
      <c r="AI8" s="160" t="s">
        <v>25</v>
      </c>
      <c r="AJ8" s="48" t="s">
        <v>20</v>
      </c>
    </row>
    <row r="9" spans="1:36">
      <c r="A9" s="160">
        <v>3</v>
      </c>
      <c r="B9" s="53" t="s">
        <v>26</v>
      </c>
      <c r="C9" s="54">
        <f>+C7-C8</f>
        <v>15675000</v>
      </c>
      <c r="D9" s="54">
        <f t="shared" ref="D9:F9" si="1">+D7-D8</f>
        <v>5818750</v>
      </c>
      <c r="E9" s="54">
        <f t="shared" si="1"/>
        <v>2755000</v>
      </c>
      <c r="F9" s="54">
        <f t="shared" si="1"/>
        <v>5590750</v>
      </c>
      <c r="G9" s="54">
        <f t="shared" si="0"/>
        <v>29839500</v>
      </c>
      <c r="R9" s="53" t="s">
        <v>26</v>
      </c>
      <c r="AH9" s="52" t="s">
        <v>27</v>
      </c>
      <c r="AI9" s="53" t="s">
        <v>26</v>
      </c>
      <c r="AJ9" s="48" t="s">
        <v>28</v>
      </c>
    </row>
    <row r="10" spans="1:36">
      <c r="A10" s="160">
        <v>4</v>
      </c>
      <c r="B10" s="52" t="s">
        <v>29</v>
      </c>
      <c r="C10" s="54">
        <f>C6*材料成本!F41</f>
        <v>9976754.2967350334</v>
      </c>
      <c r="D10" s="54">
        <f>D6*材料成本!F42</f>
        <v>2879176.6305783438</v>
      </c>
      <c r="E10" s="54">
        <f>E6*材料成本!F43</f>
        <v>1446752.2897313382</v>
      </c>
      <c r="F10" s="54">
        <f>F6*材料成本!F44</f>
        <v>5500979.3892286727</v>
      </c>
      <c r="G10" s="54">
        <f t="shared" si="0"/>
        <v>19803662.606273387</v>
      </c>
      <c r="R10" s="52" t="s">
        <v>29</v>
      </c>
      <c r="AH10" s="52" t="s">
        <v>30</v>
      </c>
      <c r="AI10" s="52" t="s">
        <v>29</v>
      </c>
      <c r="AJ10" s="48" t="s">
        <v>31</v>
      </c>
    </row>
    <row r="11" spans="1:36">
      <c r="A11" s="160">
        <v>5</v>
      </c>
      <c r="B11" s="52" t="s">
        <v>32</v>
      </c>
      <c r="C11" s="54">
        <f>+C6*C36</f>
        <v>927629.77514551324</v>
      </c>
      <c r="D11" s="54">
        <f>+D6*D36</f>
        <v>344347.41653128905</v>
      </c>
      <c r="E11" s="54">
        <f t="shared" ref="E11:F11" si="2">+E6*E36</f>
        <v>163037.96048012053</v>
      </c>
      <c r="F11" s="54">
        <f t="shared" si="2"/>
        <v>330854.61980189971</v>
      </c>
      <c r="G11" s="54">
        <f t="shared" si="0"/>
        <v>1765869.7719588224</v>
      </c>
      <c r="R11" s="52" t="s">
        <v>32</v>
      </c>
      <c r="AH11" s="52" t="s">
        <v>33</v>
      </c>
      <c r="AI11" s="52" t="s">
        <v>32</v>
      </c>
    </row>
    <row r="12" spans="1:36">
      <c r="A12" s="160">
        <v>6</v>
      </c>
      <c r="B12" s="52" t="s">
        <v>34</v>
      </c>
      <c r="C12" s="54">
        <f>+C6*C37</f>
        <v>248753.82841776396</v>
      </c>
      <c r="D12" s="54">
        <f t="shared" ref="D12:F12" si="3">+D6*D37</f>
        <v>92340.436306594216</v>
      </c>
      <c r="E12" s="54">
        <f t="shared" si="3"/>
        <v>43720.369843122156</v>
      </c>
      <c r="F12" s="54">
        <f t="shared" si="3"/>
        <v>88722.198802335814</v>
      </c>
      <c r="G12" s="54">
        <f t="shared" si="0"/>
        <v>473536.83336981613</v>
      </c>
      <c r="R12" s="52" t="s">
        <v>34</v>
      </c>
      <c r="AH12" s="52" t="s">
        <v>35</v>
      </c>
      <c r="AI12" s="52" t="s">
        <v>34</v>
      </c>
    </row>
    <row r="13" spans="1:36">
      <c r="A13" s="160">
        <v>7</v>
      </c>
      <c r="B13" s="52" t="s">
        <v>36</v>
      </c>
      <c r="C13" s="54">
        <f>+C6*C38</f>
        <v>659999.99999999988</v>
      </c>
      <c r="D13" s="54">
        <f t="shared" ref="D13:F13" si="4">+D6*D38</f>
        <v>244999.99999999997</v>
      </c>
      <c r="E13" s="54">
        <f t="shared" si="4"/>
        <v>115999.99999999999</v>
      </c>
      <c r="F13" s="54">
        <f t="shared" si="4"/>
        <v>235399.99999999994</v>
      </c>
      <c r="G13" s="54">
        <f t="shared" si="0"/>
        <v>1256399.9999999998</v>
      </c>
      <c r="R13" s="52" t="s">
        <v>36</v>
      </c>
      <c r="AH13" s="52" t="s">
        <v>37</v>
      </c>
      <c r="AI13" s="52" t="s">
        <v>36</v>
      </c>
      <c r="AJ13" s="48" t="s">
        <v>20</v>
      </c>
    </row>
    <row r="14" spans="1:36">
      <c r="A14" s="160">
        <v>8</v>
      </c>
      <c r="B14" s="55" t="s">
        <v>38</v>
      </c>
      <c r="C14" s="54">
        <f>SUM(C11:C13)</f>
        <v>1836383.6035632771</v>
      </c>
      <c r="D14" s="54">
        <f t="shared" ref="D14:F14" si="5">SUM(D11:D13)</f>
        <v>681687.85283788329</v>
      </c>
      <c r="E14" s="54">
        <f t="shared" si="5"/>
        <v>322758.3303232427</v>
      </c>
      <c r="F14" s="54">
        <f t="shared" si="5"/>
        <v>654976.81860423554</v>
      </c>
      <c r="G14" s="54">
        <f t="shared" si="0"/>
        <v>3495806.6053286386</v>
      </c>
      <c r="R14" s="55" t="s">
        <v>38</v>
      </c>
      <c r="AH14" s="52" t="s">
        <v>39</v>
      </c>
      <c r="AI14" s="55" t="s">
        <v>38</v>
      </c>
    </row>
    <row r="15" spans="1:36">
      <c r="A15" s="160">
        <v>9</v>
      </c>
      <c r="B15" s="55" t="s">
        <v>40</v>
      </c>
      <c r="C15" s="54">
        <f>+C9-C10-C14</f>
        <v>3861862.0997016896</v>
      </c>
      <c r="D15" s="54">
        <f t="shared" ref="D15:F15" si="6">+D9-D10-D14</f>
        <v>2257885.5165837728</v>
      </c>
      <c r="E15" s="54">
        <f t="shared" si="6"/>
        <v>985489.37994541915</v>
      </c>
      <c r="F15" s="54">
        <f t="shared" si="6"/>
        <v>-565206.20783290826</v>
      </c>
      <c r="G15" s="54">
        <f t="shared" si="0"/>
        <v>6540030.7883979725</v>
      </c>
      <c r="R15" s="55" t="s">
        <v>40</v>
      </c>
      <c r="AH15" s="52" t="s">
        <v>41</v>
      </c>
      <c r="AI15" s="55" t="s">
        <v>40</v>
      </c>
    </row>
    <row r="16" spans="1:36">
      <c r="A16" s="160">
        <v>10</v>
      </c>
      <c r="B16" s="52" t="s">
        <v>42</v>
      </c>
      <c r="C16" s="56">
        <f>+C15/C9</f>
        <v>0.24637078785975691</v>
      </c>
      <c r="D16" s="56">
        <f t="shared" ref="D16:F16" si="7">+D15/D9</f>
        <v>0.38803617900473003</v>
      </c>
      <c r="E16" s="56">
        <f t="shared" si="7"/>
        <v>0.35770939380958955</v>
      </c>
      <c r="F16" s="56">
        <f t="shared" si="7"/>
        <v>-0.10109667000543902</v>
      </c>
      <c r="G16" s="56">
        <f t="shared" ref="G16" si="8">+G15/G9</f>
        <v>0.21917360506704109</v>
      </c>
      <c r="R16" s="52" t="s">
        <v>42</v>
      </c>
      <c r="AH16" s="52" t="s">
        <v>43</v>
      </c>
      <c r="AI16" s="52" t="s">
        <v>42</v>
      </c>
    </row>
    <row r="17" spans="1:36">
      <c r="A17" s="160">
        <v>11</v>
      </c>
      <c r="B17" s="52" t="s">
        <v>44</v>
      </c>
      <c r="C17" s="54">
        <f>C6*C43+C18</f>
        <v>746278.40909090906</v>
      </c>
      <c r="D17" s="54">
        <f t="shared" ref="D17:F17" si="9">D6*D43+D18</f>
        <v>276884.46969696973</v>
      </c>
      <c r="E17" s="54">
        <f t="shared" si="9"/>
        <v>131003.78787878787</v>
      </c>
      <c r="F17" s="54">
        <f t="shared" si="9"/>
        <v>270366.66666666669</v>
      </c>
      <c r="G17" s="54">
        <f>SUM(C17:F17)</f>
        <v>1424533.3333333335</v>
      </c>
      <c r="H17" s="69"/>
      <c r="R17" s="52" t="s">
        <v>44</v>
      </c>
      <c r="AH17" s="52" t="s">
        <v>45</v>
      </c>
      <c r="AI17" s="52" t="s">
        <v>44</v>
      </c>
    </row>
    <row r="18" spans="1:36" s="46" customFormat="1">
      <c r="A18" s="160">
        <v>12</v>
      </c>
      <c r="B18" s="57" t="s">
        <v>148</v>
      </c>
      <c r="C18" s="58">
        <f>$G$18/$G$6*C6</f>
        <v>3778.409090909091</v>
      </c>
      <c r="D18" s="58">
        <f>$G$18/$G$6*D6</f>
        <v>1259.469696969697</v>
      </c>
      <c r="E18" s="58">
        <f>$G$18/$G$6*E6</f>
        <v>503.78787878787881</v>
      </c>
      <c r="F18" s="58">
        <f>$G$18/$G$6*F6</f>
        <v>5541.666666666667</v>
      </c>
      <c r="G18" s="58">
        <f>项目投资!D26</f>
        <v>11083.333333333334</v>
      </c>
      <c r="H18" s="70" t="s">
        <v>149</v>
      </c>
      <c r="I18" s="70"/>
      <c r="J18" s="70"/>
    </row>
    <row r="19" spans="1:36">
      <c r="A19" s="160">
        <v>13</v>
      </c>
      <c r="B19" s="52" t="s">
        <v>46</v>
      </c>
      <c r="C19" s="54">
        <f>C6*C44</f>
        <v>115500</v>
      </c>
      <c r="D19" s="54">
        <f t="shared" ref="D19:F19" si="10">D6*D44</f>
        <v>42875.000000000007</v>
      </c>
      <c r="E19" s="54">
        <f t="shared" si="10"/>
        <v>20300</v>
      </c>
      <c r="F19" s="54">
        <f t="shared" si="10"/>
        <v>41195</v>
      </c>
      <c r="G19" s="54">
        <f>SUM(C19:F19)</f>
        <v>219870</v>
      </c>
      <c r="H19" s="46"/>
      <c r="R19" s="52" t="s">
        <v>46</v>
      </c>
      <c r="AH19" s="52" t="s">
        <v>47</v>
      </c>
      <c r="AI19" s="52" t="s">
        <v>46</v>
      </c>
      <c r="AJ19" s="48" t="s">
        <v>20</v>
      </c>
    </row>
    <row r="20" spans="1:36">
      <c r="A20" s="160">
        <v>14</v>
      </c>
      <c r="B20" s="52" t="s">
        <v>48</v>
      </c>
      <c r="C20" s="54">
        <f>C6*C45</f>
        <v>495000</v>
      </c>
      <c r="D20" s="54">
        <f t="shared" ref="D20:F20" si="11">D6*D45</f>
        <v>183750</v>
      </c>
      <c r="E20" s="54">
        <f t="shared" si="11"/>
        <v>87000</v>
      </c>
      <c r="F20" s="54">
        <f t="shared" si="11"/>
        <v>176550</v>
      </c>
      <c r="G20" s="54">
        <f>SUM(C20:F20)</f>
        <v>942300</v>
      </c>
      <c r="R20" s="52" t="s">
        <v>48</v>
      </c>
      <c r="AH20" s="52" t="s">
        <v>49</v>
      </c>
      <c r="AI20" s="52" t="s">
        <v>48</v>
      </c>
    </row>
    <row r="21" spans="1:36">
      <c r="A21" s="160">
        <v>15</v>
      </c>
      <c r="B21" s="52" t="s">
        <v>50</v>
      </c>
      <c r="C21" s="59">
        <f>$G$21/$G$6*C6</f>
        <v>4329.545454545455</v>
      </c>
      <c r="D21" s="59">
        <f>$G$21/$G$6*D6</f>
        <v>1443.1818181818182</v>
      </c>
      <c r="E21" s="59">
        <f>$G$21/$G$6*E6</f>
        <v>577.27272727272725</v>
      </c>
      <c r="F21" s="59">
        <f>$G$21/$G$6*F6</f>
        <v>6350</v>
      </c>
      <c r="G21" s="54">
        <f>项目投资!D27</f>
        <v>12700</v>
      </c>
      <c r="R21" s="52" t="s">
        <v>50</v>
      </c>
      <c r="AH21" s="52"/>
      <c r="AI21" s="52"/>
    </row>
    <row r="22" spans="1:36">
      <c r="A22" s="160">
        <v>16</v>
      </c>
      <c r="B22" s="52" t="s">
        <v>51</v>
      </c>
      <c r="C22" s="54">
        <f>C6*C47</f>
        <v>660000</v>
      </c>
      <c r="D22" s="54">
        <f t="shared" ref="D22:F22" si="12">D6*D47</f>
        <v>245000</v>
      </c>
      <c r="E22" s="54">
        <f t="shared" si="12"/>
        <v>116000</v>
      </c>
      <c r="F22" s="54">
        <f t="shared" si="12"/>
        <v>235400.00000000003</v>
      </c>
      <c r="G22" s="54">
        <f>SUM(C22:F22)</f>
        <v>1256400</v>
      </c>
      <c r="R22" s="52" t="s">
        <v>51</v>
      </c>
      <c r="AH22" s="52" t="s">
        <v>52</v>
      </c>
      <c r="AI22" s="52" t="s">
        <v>51</v>
      </c>
    </row>
    <row r="23" spans="1:36">
      <c r="A23" s="160">
        <v>17</v>
      </c>
      <c r="B23" s="55" t="s">
        <v>53</v>
      </c>
      <c r="C23" s="59">
        <f>+C22+C21+C20+C19+C17</f>
        <v>2021107.9545454546</v>
      </c>
      <c r="D23" s="59">
        <f t="shared" ref="D23:F23" si="13">+D22+D21+D20+D19+D17</f>
        <v>749952.65151515161</v>
      </c>
      <c r="E23" s="59">
        <f t="shared" si="13"/>
        <v>354881.06060606055</v>
      </c>
      <c r="F23" s="59">
        <f t="shared" si="13"/>
        <v>729861.66666666674</v>
      </c>
      <c r="G23" s="59">
        <f t="shared" ref="G23" si="14">+G22+G21+G20+G19+G17</f>
        <v>3855803.3333333335</v>
      </c>
      <c r="R23" s="55" t="s">
        <v>53</v>
      </c>
      <c r="AH23" s="52" t="s">
        <v>54</v>
      </c>
      <c r="AI23" s="55" t="s">
        <v>53</v>
      </c>
    </row>
    <row r="24" spans="1:36">
      <c r="A24" s="160">
        <v>18</v>
      </c>
      <c r="B24" s="60" t="s">
        <v>55</v>
      </c>
      <c r="C24" s="59">
        <f>+C15-C23</f>
        <v>1840754.145156235</v>
      </c>
      <c r="D24" s="59">
        <f t="shared" ref="D24:F24" si="15">+D15-D23</f>
        <v>1507932.8650686212</v>
      </c>
      <c r="E24" s="59">
        <f t="shared" si="15"/>
        <v>630608.3193393586</v>
      </c>
      <c r="F24" s="59">
        <f t="shared" si="15"/>
        <v>-1295067.874499575</v>
      </c>
      <c r="G24" s="59">
        <f t="shared" ref="G24" si="16">+G15-G23</f>
        <v>2684227.455064639</v>
      </c>
      <c r="I24" s="71"/>
      <c r="R24" s="52" t="s">
        <v>55</v>
      </c>
      <c r="AH24" s="52" t="s">
        <v>56</v>
      </c>
      <c r="AI24" s="52" t="s">
        <v>55</v>
      </c>
    </row>
    <row r="25" spans="1:36">
      <c r="A25" s="160">
        <v>19</v>
      </c>
      <c r="B25" s="52" t="s">
        <v>260</v>
      </c>
      <c r="C25" s="59">
        <f>IF(C24&lt;0,0,C24*0.15)</f>
        <v>276113.12177343521</v>
      </c>
      <c r="D25" s="59">
        <f>IF(D24&lt;0,0,D24*0.15)</f>
        <v>226189.92976029319</v>
      </c>
      <c r="E25" s="59">
        <f>IF(E24&lt;0,0,E24*0.15)</f>
        <v>94591.247900903792</v>
      </c>
      <c r="F25" s="59">
        <f>IF(F24&lt;0,0,F24*0.15)</f>
        <v>0</v>
      </c>
      <c r="G25" s="59">
        <f>IF(G24&lt;0,0,G24*0.15)</f>
        <v>402634.11825969582</v>
      </c>
      <c r="H25" s="67"/>
      <c r="I25" s="67"/>
      <c r="J25" s="67"/>
      <c r="R25" s="52" t="s">
        <v>57</v>
      </c>
      <c r="AH25" s="52" t="s">
        <v>58</v>
      </c>
      <c r="AI25" s="52" t="s">
        <v>57</v>
      </c>
    </row>
    <row r="26" spans="1:36">
      <c r="A26" s="160">
        <v>20</v>
      </c>
      <c r="B26" s="52" t="s">
        <v>59</v>
      </c>
      <c r="C26" s="59">
        <f t="shared" ref="C26:F26" si="17">C24-C25</f>
        <v>1564641.0233827997</v>
      </c>
      <c r="D26" s="59">
        <f t="shared" si="17"/>
        <v>1281742.9353083281</v>
      </c>
      <c r="E26" s="59">
        <f t="shared" si="17"/>
        <v>536017.07143845479</v>
      </c>
      <c r="F26" s="59">
        <f t="shared" si="17"/>
        <v>-1295067.874499575</v>
      </c>
      <c r="G26" s="54">
        <f>G24-G25</f>
        <v>2281593.3368049432</v>
      </c>
      <c r="H26" s="67"/>
      <c r="I26" s="67"/>
      <c r="J26" s="67"/>
      <c r="R26" s="52" t="s">
        <v>59</v>
      </c>
      <c r="AH26" s="52" t="s">
        <v>60</v>
      </c>
      <c r="AI26" s="52" t="s">
        <v>59</v>
      </c>
    </row>
    <row r="27" spans="1:36">
      <c r="A27" s="160">
        <v>21</v>
      </c>
      <c r="B27" s="52" t="s">
        <v>63</v>
      </c>
      <c r="C27" s="61">
        <f t="shared" ref="C27:G27" si="18">C26/C7</f>
        <v>9.4826728689866649E-2</v>
      </c>
      <c r="D27" s="61">
        <f t="shared" ref="D27:F27" si="19">D26/D7</f>
        <v>0.20926415270340051</v>
      </c>
      <c r="E27" s="61">
        <f t="shared" si="19"/>
        <v>0.184833472909812</v>
      </c>
      <c r="F27" s="61">
        <f t="shared" si="19"/>
        <v>-0.22006251053518691</v>
      </c>
      <c r="G27" s="61">
        <f t="shared" si="18"/>
        <v>7.2639074715216273E-2</v>
      </c>
      <c r="H27" s="67"/>
      <c r="I27" s="67"/>
      <c r="J27" s="67"/>
      <c r="R27" s="52" t="s">
        <v>63</v>
      </c>
      <c r="AH27" s="52" t="s">
        <v>62</v>
      </c>
      <c r="AI27" s="52" t="s">
        <v>63</v>
      </c>
    </row>
    <row r="28" spans="1:36">
      <c r="H28" s="67"/>
      <c r="I28" s="67"/>
      <c r="J28" s="67"/>
      <c r="R28" s="52"/>
    </row>
    <row r="29" spans="1:36">
      <c r="A29" s="48" t="s">
        <v>64</v>
      </c>
      <c r="G29" s="49" t="s">
        <v>150</v>
      </c>
      <c r="H29" s="67"/>
      <c r="I29" s="67"/>
      <c r="J29" s="67"/>
      <c r="R29" s="52"/>
      <c r="AH29" s="48" t="s">
        <v>64</v>
      </c>
    </row>
    <row r="30" spans="1:36">
      <c r="A30" s="52" t="s">
        <v>67</v>
      </c>
      <c r="B30" s="55" t="s">
        <v>68</v>
      </c>
      <c r="C30" s="59"/>
      <c r="D30" s="59"/>
      <c r="E30" s="59"/>
      <c r="F30" s="59"/>
      <c r="G30" s="59"/>
      <c r="H30" s="67"/>
      <c r="I30" s="67"/>
      <c r="J30" s="67"/>
      <c r="L30" s="67"/>
      <c r="R30" s="55" t="s">
        <v>68</v>
      </c>
      <c r="AH30" s="52" t="s">
        <v>69</v>
      </c>
      <c r="AI30" s="55" t="s">
        <v>68</v>
      </c>
    </row>
    <row r="31" spans="1:36">
      <c r="A31" s="160">
        <v>1</v>
      </c>
      <c r="B31" s="57" t="s">
        <v>70</v>
      </c>
      <c r="C31" s="63">
        <f>销量!C8</f>
        <v>2200</v>
      </c>
      <c r="D31" s="63">
        <f>销量!D8</f>
        <v>2450</v>
      </c>
      <c r="E31" s="63">
        <f>销量!E8</f>
        <v>2900</v>
      </c>
      <c r="F31" s="63">
        <f>销量!F8</f>
        <v>535</v>
      </c>
      <c r="G31" s="59"/>
      <c r="H31" s="67"/>
      <c r="I31" s="67"/>
      <c r="J31" s="67"/>
      <c r="L31" s="67"/>
      <c r="R31" s="52" t="s">
        <v>70</v>
      </c>
      <c r="AH31" s="52" t="s">
        <v>22</v>
      </c>
      <c r="AI31" s="52" t="s">
        <v>70</v>
      </c>
    </row>
    <row r="32" spans="1:36">
      <c r="A32" s="160">
        <v>2</v>
      </c>
      <c r="B32" s="52" t="s">
        <v>151</v>
      </c>
      <c r="C32" s="54">
        <f>C9/C6</f>
        <v>2090</v>
      </c>
      <c r="D32" s="54">
        <f t="shared" ref="D32:F32" si="20">D9/D6</f>
        <v>2327.5</v>
      </c>
      <c r="E32" s="54">
        <f t="shared" si="20"/>
        <v>2755</v>
      </c>
      <c r="F32" s="54">
        <f t="shared" si="20"/>
        <v>508.25</v>
      </c>
      <c r="G32" s="59"/>
      <c r="H32" s="67"/>
      <c r="I32" s="67"/>
      <c r="J32" s="67"/>
      <c r="K32" s="67"/>
      <c r="L32" s="67"/>
      <c r="M32" s="67"/>
      <c r="N32" s="67"/>
      <c r="AH32" s="52"/>
      <c r="AI32" s="52"/>
    </row>
    <row r="33" spans="1:35">
      <c r="A33" s="160">
        <v>3</v>
      </c>
      <c r="B33" s="57" t="s">
        <v>71</v>
      </c>
      <c r="C33" s="54">
        <f>材料成本!F41</f>
        <v>1330.2339062313379</v>
      </c>
      <c r="D33" s="54">
        <f>材料成本!F42</f>
        <v>1151.6706522313375</v>
      </c>
      <c r="E33" s="54">
        <f>材料成本!F43</f>
        <v>1446.7522897313381</v>
      </c>
      <c r="F33" s="54">
        <f>材料成本!F44</f>
        <v>500.08903538442479</v>
      </c>
      <c r="G33" s="59"/>
      <c r="I33" s="67"/>
      <c r="J33" s="67"/>
      <c r="K33" s="67"/>
      <c r="L33" s="67"/>
      <c r="M33" s="67"/>
      <c r="N33" s="67"/>
      <c r="R33" s="52" t="s">
        <v>71</v>
      </c>
      <c r="AH33" s="52" t="s">
        <v>24</v>
      </c>
      <c r="AI33" s="52" t="s">
        <v>71</v>
      </c>
    </row>
    <row r="34" spans="1:35" ht="17.25" customHeight="1">
      <c r="A34" s="160">
        <v>4</v>
      </c>
      <c r="B34" s="52" t="s">
        <v>73</v>
      </c>
      <c r="C34" s="64">
        <f>C32-C33</f>
        <v>759.76609376866213</v>
      </c>
      <c r="D34" s="64">
        <f t="shared" ref="D34:F34" si="21">D32-D33</f>
        <v>1175.8293477686625</v>
      </c>
      <c r="E34" s="64">
        <f t="shared" si="21"/>
        <v>1308.2477102686619</v>
      </c>
      <c r="F34" s="64">
        <f t="shared" si="21"/>
        <v>8.1609646155752102</v>
      </c>
      <c r="G34" s="59"/>
      <c r="I34" s="67"/>
      <c r="J34" s="67"/>
      <c r="K34" s="67"/>
      <c r="L34" s="67"/>
      <c r="M34" s="67"/>
      <c r="N34" s="67"/>
      <c r="R34" s="52" t="s">
        <v>73</v>
      </c>
      <c r="AH34" s="52" t="s">
        <v>72</v>
      </c>
      <c r="AI34" s="52" t="s">
        <v>73</v>
      </c>
    </row>
    <row r="35" spans="1:35">
      <c r="A35" s="52" t="s">
        <v>69</v>
      </c>
      <c r="B35" s="55" t="s">
        <v>9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5" t="s">
        <v>9</v>
      </c>
      <c r="AH35" s="52" t="s">
        <v>75</v>
      </c>
      <c r="AI35" s="55" t="s">
        <v>9</v>
      </c>
    </row>
    <row r="36" spans="1:35">
      <c r="A36" s="160">
        <v>1</v>
      </c>
      <c r="B36" s="52" t="s">
        <v>76</v>
      </c>
      <c r="C36" s="58">
        <f>'2022年'!C36</f>
        <v>123.68397001940177</v>
      </c>
      <c r="D36" s="58">
        <f>'2022年'!D36</f>
        <v>137.73896661251561</v>
      </c>
      <c r="E36" s="58">
        <f>'2022年'!E36</f>
        <v>163.03796048012052</v>
      </c>
      <c r="F36" s="58">
        <f>'2022年'!F36</f>
        <v>30.077692709263612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2" t="s">
        <v>76</v>
      </c>
      <c r="AH36" s="52" t="s">
        <v>72</v>
      </c>
      <c r="AI36" s="52" t="s">
        <v>76</v>
      </c>
    </row>
    <row r="37" spans="1:35">
      <c r="A37" s="160">
        <v>2</v>
      </c>
      <c r="B37" s="52" t="s">
        <v>77</v>
      </c>
      <c r="C37" s="58">
        <f>'2022年'!C37</f>
        <v>33.167177122368528</v>
      </c>
      <c r="D37" s="58">
        <f>'2022年'!D37</f>
        <v>36.936174522637685</v>
      </c>
      <c r="E37" s="58">
        <f>'2022年'!E37</f>
        <v>43.720369843122157</v>
      </c>
      <c r="F37" s="58">
        <f>'2022年'!F37</f>
        <v>8.0656544365759828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2" t="s">
        <v>77</v>
      </c>
      <c r="AH37" s="52" t="s">
        <v>27</v>
      </c>
      <c r="AI37" s="52" t="s">
        <v>77</v>
      </c>
    </row>
    <row r="38" spans="1:35">
      <c r="A38" s="160">
        <v>3</v>
      </c>
      <c r="B38" s="52" t="s">
        <v>78</v>
      </c>
      <c r="C38" s="58">
        <f>'2022年'!C38</f>
        <v>87.999999999999986</v>
      </c>
      <c r="D38" s="58">
        <f>'2022年'!D38</f>
        <v>97.999999999999986</v>
      </c>
      <c r="E38" s="58">
        <f>'2022年'!E38</f>
        <v>115.99999999999999</v>
      </c>
      <c r="F38" s="58">
        <f>'2022年'!F38</f>
        <v>21.399999999999995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2" t="s">
        <v>78</v>
      </c>
      <c r="AH38" s="52" t="s">
        <v>33</v>
      </c>
      <c r="AI38" s="52" t="s">
        <v>78</v>
      </c>
    </row>
    <row r="39" spans="1:35">
      <c r="A39" s="52" t="s">
        <v>75</v>
      </c>
      <c r="B39" s="55" t="s">
        <v>80</v>
      </c>
      <c r="C39" s="59"/>
      <c r="D39" s="59"/>
      <c r="E39" s="59"/>
      <c r="F39" s="59"/>
      <c r="G39" s="59"/>
      <c r="R39" s="55" t="s">
        <v>80</v>
      </c>
      <c r="AH39" s="52" t="s">
        <v>79</v>
      </c>
      <c r="AI39" s="55" t="s">
        <v>80</v>
      </c>
    </row>
    <row r="40" spans="1:35">
      <c r="A40" s="160">
        <v>1</v>
      </c>
      <c r="B40" s="52" t="s">
        <v>82</v>
      </c>
      <c r="C40" s="59">
        <f>C34-C36-C37-C38</f>
        <v>514.91494662689183</v>
      </c>
      <c r="D40" s="59">
        <f t="shared" ref="D40:F40" si="22">D34-D36-D37-D38</f>
        <v>903.15420663350915</v>
      </c>
      <c r="E40" s="59">
        <f t="shared" si="22"/>
        <v>985.48937994541916</v>
      </c>
      <c r="F40" s="59">
        <f t="shared" si="22"/>
        <v>-51.38238253026438</v>
      </c>
      <c r="G40" s="59"/>
      <c r="R40" s="52" t="s">
        <v>82</v>
      </c>
      <c r="AH40" s="52" t="s">
        <v>22</v>
      </c>
      <c r="AI40" s="52" t="s">
        <v>82</v>
      </c>
    </row>
    <row r="41" spans="1:35">
      <c r="A41" s="160">
        <v>2</v>
      </c>
      <c r="B41" s="52" t="s">
        <v>83</v>
      </c>
      <c r="C41" s="59"/>
      <c r="D41" s="59"/>
      <c r="E41" s="59"/>
      <c r="F41" s="59"/>
      <c r="G41" s="59"/>
      <c r="R41" s="52" t="s">
        <v>83</v>
      </c>
      <c r="AH41" s="52" t="s">
        <v>24</v>
      </c>
      <c r="AI41" s="52" t="s">
        <v>83</v>
      </c>
    </row>
    <row r="42" spans="1:35">
      <c r="A42" s="52" t="s">
        <v>79</v>
      </c>
      <c r="B42" s="55" t="s">
        <v>85</v>
      </c>
      <c r="C42" s="59"/>
      <c r="D42" s="59"/>
      <c r="E42" s="59"/>
      <c r="F42" s="59"/>
      <c r="G42" s="59"/>
      <c r="R42" s="55" t="s">
        <v>85</v>
      </c>
      <c r="AH42" s="52" t="s">
        <v>84</v>
      </c>
      <c r="AI42" s="55" t="s">
        <v>85</v>
      </c>
    </row>
    <row r="43" spans="1:35">
      <c r="A43" s="160">
        <v>1</v>
      </c>
      <c r="B43" s="60" t="s">
        <v>86</v>
      </c>
      <c r="C43" s="58">
        <f>'2022年'!C43</f>
        <v>99</v>
      </c>
      <c r="D43" s="58">
        <f>'2022年'!D43</f>
        <v>110.25</v>
      </c>
      <c r="E43" s="58">
        <f>'2022年'!E43</f>
        <v>130.5</v>
      </c>
      <c r="F43" s="58">
        <f>'2022年'!F43</f>
        <v>24.074999999999999</v>
      </c>
      <c r="G43" s="59"/>
      <c r="R43" s="52" t="s">
        <v>86</v>
      </c>
      <c r="AH43" s="52" t="s">
        <v>22</v>
      </c>
      <c r="AI43" s="52" t="s">
        <v>86</v>
      </c>
    </row>
    <row r="44" spans="1:35">
      <c r="A44" s="160">
        <v>2</v>
      </c>
      <c r="B44" s="60" t="s">
        <v>87</v>
      </c>
      <c r="C44" s="58">
        <f>'2022年'!C44</f>
        <v>15.4</v>
      </c>
      <c r="D44" s="58">
        <f>'2022年'!D44</f>
        <v>17.150000000000002</v>
      </c>
      <c r="E44" s="58">
        <f>'2022年'!E44</f>
        <v>20.3</v>
      </c>
      <c r="F44" s="58">
        <f>'2022年'!F44</f>
        <v>3.7450000000000001</v>
      </c>
      <c r="G44" s="59"/>
      <c r="R44" s="52" t="s">
        <v>87</v>
      </c>
      <c r="AH44" s="52" t="s">
        <v>24</v>
      </c>
      <c r="AI44" s="52" t="s">
        <v>87</v>
      </c>
    </row>
    <row r="45" spans="1:35">
      <c r="A45" s="160">
        <v>3</v>
      </c>
      <c r="B45" s="60" t="s">
        <v>88</v>
      </c>
      <c r="C45" s="58">
        <f>'2022年'!C45</f>
        <v>66</v>
      </c>
      <c r="D45" s="58">
        <f>'2022年'!D45</f>
        <v>73.5</v>
      </c>
      <c r="E45" s="58">
        <f>'2022年'!E45</f>
        <v>87</v>
      </c>
      <c r="F45" s="58">
        <f>'2022年'!F45</f>
        <v>16.05</v>
      </c>
      <c r="G45" s="59"/>
      <c r="R45" s="52" t="s">
        <v>88</v>
      </c>
      <c r="AH45" s="52" t="s">
        <v>72</v>
      </c>
      <c r="AI45" s="52" t="s">
        <v>88</v>
      </c>
    </row>
    <row r="46" spans="1:35" s="47" customFormat="1">
      <c r="A46" s="160">
        <v>4</v>
      </c>
      <c r="B46" s="60" t="s">
        <v>89</v>
      </c>
      <c r="C46" s="65">
        <f>C21/C6</f>
        <v>0.57727272727272738</v>
      </c>
      <c r="D46" s="65">
        <f t="shared" ref="D46:F46" si="23">D21/D6</f>
        <v>0.57727272727272727</v>
      </c>
      <c r="E46" s="65">
        <f t="shared" si="23"/>
        <v>0.57727272727272727</v>
      </c>
      <c r="F46" s="65">
        <f t="shared" si="23"/>
        <v>0.57727272727272727</v>
      </c>
      <c r="G46" s="65"/>
      <c r="R46" s="60" t="s">
        <v>91</v>
      </c>
      <c r="AH46" s="60" t="s">
        <v>30</v>
      </c>
      <c r="AI46" s="60" t="s">
        <v>91</v>
      </c>
    </row>
    <row r="47" spans="1:35" s="47" customFormat="1">
      <c r="A47" s="160">
        <v>5</v>
      </c>
      <c r="B47" s="60" t="s">
        <v>91</v>
      </c>
      <c r="C47" s="65">
        <f>'2022年'!C47</f>
        <v>88</v>
      </c>
      <c r="D47" s="65">
        <f>'2022年'!D47</f>
        <v>98</v>
      </c>
      <c r="E47" s="65">
        <f>'2022年'!E47</f>
        <v>116</v>
      </c>
      <c r="F47" s="65">
        <f>'2022年'!F47</f>
        <v>21.400000000000002</v>
      </c>
      <c r="G47" s="65"/>
      <c r="R47" s="60" t="s">
        <v>91</v>
      </c>
      <c r="AH47" s="60" t="s">
        <v>30</v>
      </c>
      <c r="AI47" s="60" t="s">
        <v>91</v>
      </c>
    </row>
    <row r="48" spans="1:35">
      <c r="A48" s="52" t="s">
        <v>84</v>
      </c>
      <c r="B48" s="55" t="s">
        <v>102</v>
      </c>
      <c r="C48" s="59">
        <f>C40-C43-C44-C45-C47-C46</f>
        <v>245.93767389961914</v>
      </c>
      <c r="D48" s="59">
        <f t="shared" ref="D48:F48" si="24">D40-D43-D44-D45-D47-D46</f>
        <v>603.6769339062364</v>
      </c>
      <c r="E48" s="59">
        <f t="shared" si="24"/>
        <v>631.11210721814643</v>
      </c>
      <c r="F48" s="59">
        <f t="shared" si="24"/>
        <v>-117.22965525753712</v>
      </c>
      <c r="G48" s="59"/>
      <c r="R48" s="55" t="s">
        <v>102</v>
      </c>
      <c r="AH48" s="52" t="s">
        <v>101</v>
      </c>
      <c r="AI48" s="55" t="s">
        <v>102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J29" sqref="J29"/>
    </sheetView>
  </sheetViews>
  <sheetFormatPr defaultColWidth="9" defaultRowHeight="16.5"/>
  <cols>
    <col min="1" max="1" width="5.125" style="48" customWidth="1"/>
    <col min="2" max="2" width="17.5" style="48" customWidth="1"/>
    <col min="3" max="6" width="13.25" style="49" customWidth="1"/>
    <col min="7" max="7" width="18.75" style="49" customWidth="1"/>
    <col min="8" max="8" width="12.375" style="48" customWidth="1"/>
    <col min="9" max="9" width="10.125" style="48" customWidth="1"/>
    <col min="10" max="16" width="9" style="48" customWidth="1"/>
    <col min="17" max="33" width="9" style="48"/>
    <col min="34" max="34" width="4.375" style="48" customWidth="1"/>
    <col min="35" max="35" width="13.875" style="48" customWidth="1"/>
    <col min="36" max="16384" width="9" style="48"/>
  </cols>
  <sheetData>
    <row r="1" spans="1:36">
      <c r="A1" s="244" t="s">
        <v>142</v>
      </c>
      <c r="B1" s="244"/>
      <c r="C1" s="248" t="s">
        <v>242</v>
      </c>
      <c r="D1" s="249"/>
      <c r="E1" s="249"/>
      <c r="F1" s="249"/>
      <c r="G1" s="250"/>
    </row>
    <row r="2" spans="1:36">
      <c r="A2" s="244" t="s">
        <v>143</v>
      </c>
      <c r="B2" s="244"/>
      <c r="C2" s="251" t="str">
        <f>'2022年'!C2:G2</f>
        <v>福田</v>
      </c>
      <c r="D2" s="251"/>
      <c r="E2" s="251"/>
      <c r="F2" s="251"/>
      <c r="G2" s="251"/>
    </row>
    <row r="3" spans="1:36">
      <c r="A3" s="244" t="s">
        <v>144</v>
      </c>
      <c r="B3" s="244"/>
      <c r="C3" s="161" t="str">
        <f>销量!C5</f>
        <v>驾驶员座椅</v>
      </c>
      <c r="D3" s="161" t="str">
        <f>销量!D5</f>
        <v>驾驶员座椅</v>
      </c>
      <c r="E3" s="161" t="str">
        <f>销量!E5</f>
        <v>驾驶员座椅</v>
      </c>
      <c r="F3" s="161" t="str">
        <f>销量!F5</f>
        <v>副驾驶员座椅</v>
      </c>
      <c r="G3" s="245" t="s">
        <v>18</v>
      </c>
    </row>
    <row r="4" spans="1:36">
      <c r="A4" s="244" t="s">
        <v>145</v>
      </c>
      <c r="B4" s="244"/>
      <c r="C4" s="161" t="str">
        <f>销量!C6</f>
        <v>H568100000139</v>
      </c>
      <c r="D4" s="161" t="str">
        <f>销量!D6</f>
        <v>H568100000138</v>
      </c>
      <c r="E4" s="161" t="str">
        <f>销量!E6</f>
        <v>H568100000140</v>
      </c>
      <c r="F4" s="161" t="str">
        <f>销量!F6</f>
        <v>H568100000141</v>
      </c>
      <c r="G4" s="246"/>
    </row>
    <row r="5" spans="1:36">
      <c r="A5" s="244" t="s">
        <v>146</v>
      </c>
      <c r="B5" s="244"/>
      <c r="C5" s="51"/>
      <c r="D5" s="51"/>
      <c r="E5" s="51"/>
      <c r="F5" s="51"/>
      <c r="G5" s="247"/>
      <c r="AJ5" s="48" t="s">
        <v>19</v>
      </c>
    </row>
    <row r="6" spans="1:36" ht="17.25">
      <c r="A6" s="52" t="s">
        <v>16</v>
      </c>
      <c r="B6" s="53" t="s">
        <v>147</v>
      </c>
      <c r="C6" s="22">
        <f>销量!C11</f>
        <v>10000</v>
      </c>
      <c r="D6" s="22">
        <f>销量!D11</f>
        <v>3000</v>
      </c>
      <c r="E6" s="22">
        <f>销量!E11</f>
        <v>2000</v>
      </c>
      <c r="F6" s="22">
        <f>销量!F11</f>
        <v>15000</v>
      </c>
      <c r="G6" s="54">
        <f t="shared" ref="G6:G15" si="0">SUM(C6:F6)</f>
        <v>30000</v>
      </c>
      <c r="R6" s="53" t="s">
        <v>3</v>
      </c>
      <c r="AH6" s="52" t="s">
        <v>16</v>
      </c>
      <c r="AI6" s="53" t="s">
        <v>3</v>
      </c>
      <c r="AJ6" s="48" t="s">
        <v>20</v>
      </c>
    </row>
    <row r="7" spans="1:36">
      <c r="A7" s="160">
        <v>1</v>
      </c>
      <c r="B7" s="53" t="s">
        <v>21</v>
      </c>
      <c r="C7" s="54">
        <f>C6*销量!C8</f>
        <v>22000000</v>
      </c>
      <c r="D7" s="54">
        <f>D6*销量!D8</f>
        <v>7350000</v>
      </c>
      <c r="E7" s="54">
        <f>E6*销量!E8</f>
        <v>5800000</v>
      </c>
      <c r="F7" s="54">
        <f>F6*销量!F8</f>
        <v>8025000</v>
      </c>
      <c r="G7" s="54">
        <f t="shared" si="0"/>
        <v>43175000</v>
      </c>
      <c r="H7" s="49"/>
      <c r="R7" s="53" t="s">
        <v>21</v>
      </c>
      <c r="AH7" s="52" t="s">
        <v>22</v>
      </c>
      <c r="AI7" s="53" t="s">
        <v>21</v>
      </c>
      <c r="AJ7" s="48" t="s">
        <v>20</v>
      </c>
    </row>
    <row r="8" spans="1:36">
      <c r="A8" s="160">
        <v>2</v>
      </c>
      <c r="B8" s="160" t="s">
        <v>23</v>
      </c>
      <c r="C8" s="54">
        <f>C7*(1-销量!$O$8)</f>
        <v>2145000.0000000005</v>
      </c>
      <c r="D8" s="54">
        <f>D7*(1-销量!$O$8)</f>
        <v>716625.00000000023</v>
      </c>
      <c r="E8" s="54">
        <f>E7*(1-销量!$O$8)</f>
        <v>565500.00000000023</v>
      </c>
      <c r="F8" s="54">
        <f>F7*(1-销量!$O$8)</f>
        <v>782437.50000000023</v>
      </c>
      <c r="G8" s="54">
        <f t="shared" si="0"/>
        <v>4209562.5000000009</v>
      </c>
      <c r="H8" s="69"/>
      <c r="R8" s="160" t="s">
        <v>25</v>
      </c>
      <c r="AH8" s="52" t="s">
        <v>24</v>
      </c>
      <c r="AI8" s="160" t="s">
        <v>25</v>
      </c>
      <c r="AJ8" s="48" t="s">
        <v>20</v>
      </c>
    </row>
    <row r="9" spans="1:36">
      <c r="A9" s="160">
        <v>3</v>
      </c>
      <c r="B9" s="53" t="s">
        <v>26</v>
      </c>
      <c r="C9" s="54">
        <f>+C7-C8</f>
        <v>19855000</v>
      </c>
      <c r="D9" s="54">
        <f t="shared" ref="D9:F9" si="1">+D7-D8</f>
        <v>6633375</v>
      </c>
      <c r="E9" s="54">
        <f t="shared" si="1"/>
        <v>5234500</v>
      </c>
      <c r="F9" s="54">
        <f t="shared" si="1"/>
        <v>7242562.5</v>
      </c>
      <c r="G9" s="54">
        <f t="shared" si="0"/>
        <v>38965437.5</v>
      </c>
      <c r="R9" s="53" t="s">
        <v>26</v>
      </c>
      <c r="AH9" s="52" t="s">
        <v>27</v>
      </c>
      <c r="AI9" s="53" t="s">
        <v>26</v>
      </c>
      <c r="AJ9" s="48" t="s">
        <v>28</v>
      </c>
    </row>
    <row r="10" spans="1:36">
      <c r="A10" s="160">
        <v>4</v>
      </c>
      <c r="B10" s="52" t="s">
        <v>29</v>
      </c>
      <c r="C10" s="54">
        <f>C6*材料成本!G41</f>
        <v>12637222.10919771</v>
      </c>
      <c r="D10" s="54">
        <f>D6*材料成本!G42</f>
        <v>3282261.3588593118</v>
      </c>
      <c r="E10" s="54">
        <f>E6*材料成本!G43</f>
        <v>2748829.3504895424</v>
      </c>
      <c r="F10" s="54">
        <f>F6*材料成本!G44</f>
        <v>7126268.7542280527</v>
      </c>
      <c r="G10" s="54">
        <f t="shared" si="0"/>
        <v>25794581.572774615</v>
      </c>
      <c r="R10" s="52" t="s">
        <v>29</v>
      </c>
      <c r="AH10" s="52" t="s">
        <v>30</v>
      </c>
      <c r="AI10" s="52" t="s">
        <v>29</v>
      </c>
      <c r="AJ10" s="48" t="s">
        <v>31</v>
      </c>
    </row>
    <row r="11" spans="1:36">
      <c r="A11" s="160">
        <v>5</v>
      </c>
      <c r="B11" s="52" t="s">
        <v>32</v>
      </c>
      <c r="C11" s="54">
        <f>+C6*C36</f>
        <v>1236839.7001940177</v>
      </c>
      <c r="D11" s="54">
        <f t="shared" ref="D11:F11" si="2">+D6*D36</f>
        <v>413216.89983754681</v>
      </c>
      <c r="E11" s="54">
        <f t="shared" si="2"/>
        <v>326075.92096024106</v>
      </c>
      <c r="F11" s="54">
        <f t="shared" si="2"/>
        <v>451165.39063895418</v>
      </c>
      <c r="G11" s="54">
        <f t="shared" si="0"/>
        <v>2427297.9116307595</v>
      </c>
      <c r="R11" s="52" t="s">
        <v>32</v>
      </c>
      <c r="AH11" s="52" t="s">
        <v>33</v>
      </c>
      <c r="AI11" s="52" t="s">
        <v>32</v>
      </c>
    </row>
    <row r="12" spans="1:36">
      <c r="A12" s="160">
        <v>6</v>
      </c>
      <c r="B12" s="52" t="s">
        <v>34</v>
      </c>
      <c r="C12" s="54">
        <f>+C6*C37</f>
        <v>331671.7712236853</v>
      </c>
      <c r="D12" s="54">
        <f t="shared" ref="D12:F12" si="3">+D6*D37</f>
        <v>110808.52356791306</v>
      </c>
      <c r="E12" s="54">
        <f t="shared" si="3"/>
        <v>87440.739686244313</v>
      </c>
      <c r="F12" s="54">
        <f t="shared" si="3"/>
        <v>120984.81654863975</v>
      </c>
      <c r="G12" s="54">
        <f t="shared" si="0"/>
        <v>650905.85102648241</v>
      </c>
      <c r="R12" s="52" t="s">
        <v>34</v>
      </c>
      <c r="AH12" s="52" t="s">
        <v>35</v>
      </c>
      <c r="AI12" s="52" t="s">
        <v>34</v>
      </c>
    </row>
    <row r="13" spans="1:36">
      <c r="A13" s="160">
        <v>7</v>
      </c>
      <c r="B13" s="52" t="s">
        <v>36</v>
      </c>
      <c r="C13" s="54">
        <f>+C6*C38</f>
        <v>879999.99999999988</v>
      </c>
      <c r="D13" s="54">
        <f t="shared" ref="D13:F13" si="4">+D6*D38</f>
        <v>293999.99999999994</v>
      </c>
      <c r="E13" s="54">
        <f t="shared" si="4"/>
        <v>231999.99999999997</v>
      </c>
      <c r="F13" s="54">
        <f t="shared" si="4"/>
        <v>320999.99999999994</v>
      </c>
      <c r="G13" s="54">
        <f t="shared" si="0"/>
        <v>1726999.9999999998</v>
      </c>
      <c r="R13" s="52" t="s">
        <v>36</v>
      </c>
      <c r="AH13" s="52" t="s">
        <v>37</v>
      </c>
      <c r="AI13" s="52" t="s">
        <v>36</v>
      </c>
      <c r="AJ13" s="48" t="s">
        <v>20</v>
      </c>
    </row>
    <row r="14" spans="1:36">
      <c r="A14" s="160">
        <v>8</v>
      </c>
      <c r="B14" s="55" t="s">
        <v>38</v>
      </c>
      <c r="C14" s="54">
        <f>SUM(C11:C13)</f>
        <v>2448511.4714177027</v>
      </c>
      <c r="D14" s="54">
        <f t="shared" ref="D14:F14" si="5">SUM(D11:D13)</f>
        <v>818025.42340545985</v>
      </c>
      <c r="E14" s="54">
        <f t="shared" si="5"/>
        <v>645516.6606464854</v>
      </c>
      <c r="F14" s="54">
        <f t="shared" si="5"/>
        <v>893150.20718759391</v>
      </c>
      <c r="G14" s="54">
        <f t="shared" si="0"/>
        <v>4805203.7626572419</v>
      </c>
      <c r="R14" s="55" t="s">
        <v>38</v>
      </c>
      <c r="AH14" s="52" t="s">
        <v>39</v>
      </c>
      <c r="AI14" s="55" t="s">
        <v>38</v>
      </c>
    </row>
    <row r="15" spans="1:36">
      <c r="A15" s="160">
        <v>9</v>
      </c>
      <c r="B15" s="55" t="s">
        <v>40</v>
      </c>
      <c r="C15" s="54">
        <f>+C9-C10-C14</f>
        <v>4769266.4193845876</v>
      </c>
      <c r="D15" s="54">
        <f t="shared" ref="D15:F15" si="6">+D9-D10-D14</f>
        <v>2533088.2177352281</v>
      </c>
      <c r="E15" s="54">
        <f t="shared" si="6"/>
        <v>1840153.9888639722</v>
      </c>
      <c r="F15" s="54">
        <f t="shared" si="6"/>
        <v>-776856.4614156466</v>
      </c>
      <c r="G15" s="54">
        <f t="shared" si="0"/>
        <v>8365652.1645681411</v>
      </c>
      <c r="R15" s="55" t="s">
        <v>40</v>
      </c>
      <c r="AH15" s="52" t="s">
        <v>41</v>
      </c>
      <c r="AI15" s="55" t="s">
        <v>40</v>
      </c>
    </row>
    <row r="16" spans="1:36">
      <c r="A16" s="160">
        <v>10</v>
      </c>
      <c r="B16" s="52" t="s">
        <v>42</v>
      </c>
      <c r="C16" s="56">
        <f>+C15/C9</f>
        <v>0.24020480581136175</v>
      </c>
      <c r="D16" s="56">
        <f t="shared" ref="D16:F16" si="7">+D15/D9</f>
        <v>0.3818701969563349</v>
      </c>
      <c r="E16" s="56">
        <f t="shared" si="7"/>
        <v>0.35154341176119441</v>
      </c>
      <c r="F16" s="56">
        <f t="shared" si="7"/>
        <v>-0.10726265205383406</v>
      </c>
      <c r="G16" s="56">
        <f t="shared" ref="G16" si="8">+G15/G9</f>
        <v>0.21469416748029946</v>
      </c>
      <c r="R16" s="52" t="s">
        <v>42</v>
      </c>
      <c r="AH16" s="52" t="s">
        <v>43</v>
      </c>
      <c r="AI16" s="52" t="s">
        <v>42</v>
      </c>
    </row>
    <row r="17" spans="1:36">
      <c r="A17" s="160">
        <v>11</v>
      </c>
      <c r="B17" s="52" t="s">
        <v>44</v>
      </c>
      <c r="C17" s="54">
        <f>C6*C43+C18</f>
        <v>993694.4444444445</v>
      </c>
      <c r="D17" s="54">
        <f t="shared" ref="D17:F17" si="9">D6*D43+D18</f>
        <v>331858.33333333331</v>
      </c>
      <c r="E17" s="54">
        <f t="shared" si="9"/>
        <v>261738.88888888888</v>
      </c>
      <c r="F17" s="54">
        <f t="shared" si="9"/>
        <v>366666.66666666669</v>
      </c>
      <c r="G17" s="54">
        <f>SUM(C17:F17)</f>
        <v>1953958.3333333333</v>
      </c>
      <c r="H17" s="69"/>
      <c r="R17" s="52" t="s">
        <v>44</v>
      </c>
      <c r="AH17" s="52" t="s">
        <v>45</v>
      </c>
      <c r="AI17" s="52" t="s">
        <v>44</v>
      </c>
    </row>
    <row r="18" spans="1:36" s="46" customFormat="1">
      <c r="A18" s="160">
        <v>12</v>
      </c>
      <c r="B18" s="57" t="s">
        <v>148</v>
      </c>
      <c r="C18" s="58">
        <f>$G$18/$G$6*C6</f>
        <v>3694.4444444444448</v>
      </c>
      <c r="D18" s="58">
        <f>$G$18/$G$6*D6</f>
        <v>1108.3333333333335</v>
      </c>
      <c r="E18" s="58">
        <f>$G$18/$G$6*E6</f>
        <v>738.88888888888891</v>
      </c>
      <c r="F18" s="58">
        <f>$G$18/$G$6*F6</f>
        <v>5541.666666666667</v>
      </c>
      <c r="G18" s="58">
        <f>项目投资!D26</f>
        <v>11083.333333333334</v>
      </c>
      <c r="H18" s="70" t="s">
        <v>149</v>
      </c>
      <c r="I18" s="70"/>
      <c r="J18" s="70"/>
    </row>
    <row r="19" spans="1:36">
      <c r="A19" s="160">
        <v>13</v>
      </c>
      <c r="B19" s="52" t="s">
        <v>46</v>
      </c>
      <c r="C19" s="54">
        <f>C6*C44</f>
        <v>154000</v>
      </c>
      <c r="D19" s="54">
        <f t="shared" ref="D19:F19" si="10">D6*D44</f>
        <v>51450.000000000007</v>
      </c>
      <c r="E19" s="54">
        <f t="shared" si="10"/>
        <v>40600</v>
      </c>
      <c r="F19" s="54">
        <f t="shared" si="10"/>
        <v>56175</v>
      </c>
      <c r="G19" s="54">
        <f>SUM(C19:F19)</f>
        <v>302225</v>
      </c>
      <c r="H19" s="46"/>
      <c r="R19" s="52" t="s">
        <v>46</v>
      </c>
      <c r="AH19" s="52" t="s">
        <v>47</v>
      </c>
      <c r="AI19" s="52" t="s">
        <v>46</v>
      </c>
      <c r="AJ19" s="48" t="s">
        <v>20</v>
      </c>
    </row>
    <row r="20" spans="1:36">
      <c r="A20" s="160">
        <v>14</v>
      </c>
      <c r="B20" s="52" t="s">
        <v>48</v>
      </c>
      <c r="C20" s="54">
        <f>C6*C45</f>
        <v>660000</v>
      </c>
      <c r="D20" s="54">
        <f t="shared" ref="D20:F20" si="11">D6*D45</f>
        <v>220500</v>
      </c>
      <c r="E20" s="54">
        <f t="shared" si="11"/>
        <v>174000</v>
      </c>
      <c r="F20" s="54">
        <f t="shared" si="11"/>
        <v>240750</v>
      </c>
      <c r="G20" s="54">
        <f>SUM(C20:F20)</f>
        <v>1295250</v>
      </c>
      <c r="R20" s="52" t="s">
        <v>48</v>
      </c>
      <c r="AH20" s="52" t="s">
        <v>49</v>
      </c>
      <c r="AI20" s="52" t="s">
        <v>48</v>
      </c>
    </row>
    <row r="21" spans="1:36">
      <c r="A21" s="160">
        <v>15</v>
      </c>
      <c r="B21" s="52" t="s">
        <v>50</v>
      </c>
      <c r="C21" s="59">
        <f>$G$21/$G$6*C6</f>
        <v>4233.333333333333</v>
      </c>
      <c r="D21" s="59">
        <f>$G$21/$G$6*D6</f>
        <v>1270</v>
      </c>
      <c r="E21" s="59">
        <f>$G$21/$G$6*E6</f>
        <v>846.66666666666663</v>
      </c>
      <c r="F21" s="59">
        <f>$G$21/$G$6*F6</f>
        <v>6350</v>
      </c>
      <c r="G21" s="54">
        <f>项目投资!D27</f>
        <v>12700</v>
      </c>
      <c r="R21" s="52" t="s">
        <v>50</v>
      </c>
      <c r="AH21" s="52"/>
      <c r="AI21" s="52"/>
    </row>
    <row r="22" spans="1:36">
      <c r="A22" s="160">
        <v>16</v>
      </c>
      <c r="B22" s="52" t="s">
        <v>51</v>
      </c>
      <c r="C22" s="54">
        <f>C6*C47</f>
        <v>880000</v>
      </c>
      <c r="D22" s="54">
        <f t="shared" ref="D22:F22" si="12">D6*D47</f>
        <v>294000</v>
      </c>
      <c r="E22" s="54">
        <f t="shared" si="12"/>
        <v>232000</v>
      </c>
      <c r="F22" s="54">
        <f t="shared" si="12"/>
        <v>321000.00000000006</v>
      </c>
      <c r="G22" s="54">
        <f>SUM(C22:F22)</f>
        <v>1727000</v>
      </c>
      <c r="R22" s="52" t="s">
        <v>51</v>
      </c>
      <c r="AH22" s="52" t="s">
        <v>52</v>
      </c>
      <c r="AI22" s="52" t="s">
        <v>51</v>
      </c>
    </row>
    <row r="23" spans="1:36">
      <c r="A23" s="160">
        <v>17</v>
      </c>
      <c r="B23" s="55" t="s">
        <v>53</v>
      </c>
      <c r="C23" s="59">
        <f>+C22+C21+C20+C19+C17</f>
        <v>2691927.777777778</v>
      </c>
      <c r="D23" s="59">
        <f t="shared" ref="D23:F23" si="13">+D22+D21+D20+D19+D17</f>
        <v>899078.33333333326</v>
      </c>
      <c r="E23" s="59">
        <f t="shared" si="13"/>
        <v>709185.5555555555</v>
      </c>
      <c r="F23" s="59">
        <f t="shared" si="13"/>
        <v>990941.66666666674</v>
      </c>
      <c r="G23" s="59">
        <f t="shared" ref="G23" si="14">+G22+G21+G20+G19+G17</f>
        <v>5291133.333333333</v>
      </c>
      <c r="R23" s="55" t="s">
        <v>53</v>
      </c>
      <c r="AH23" s="52" t="s">
        <v>54</v>
      </c>
      <c r="AI23" s="55" t="s">
        <v>53</v>
      </c>
    </row>
    <row r="24" spans="1:36">
      <c r="A24" s="160">
        <v>18</v>
      </c>
      <c r="B24" s="60" t="s">
        <v>55</v>
      </c>
      <c r="C24" s="59">
        <f>+C15-C23</f>
        <v>2077338.6416068096</v>
      </c>
      <c r="D24" s="59">
        <f t="shared" ref="D24:F24" si="15">+D15-D23</f>
        <v>1634009.8844018949</v>
      </c>
      <c r="E24" s="59">
        <f t="shared" si="15"/>
        <v>1130968.4333084167</v>
      </c>
      <c r="F24" s="59">
        <f t="shared" si="15"/>
        <v>-1767798.1280823133</v>
      </c>
      <c r="G24" s="59">
        <f t="shared" ref="G24" si="16">+G15-G23</f>
        <v>3074518.8312348081</v>
      </c>
      <c r="I24" s="71"/>
      <c r="R24" s="52" t="s">
        <v>55</v>
      </c>
      <c r="AH24" s="52" t="s">
        <v>56</v>
      </c>
      <c r="AI24" s="52" t="s">
        <v>55</v>
      </c>
    </row>
    <row r="25" spans="1:36">
      <c r="A25" s="160">
        <v>19</v>
      </c>
      <c r="B25" s="52" t="s">
        <v>294</v>
      </c>
      <c r="C25" s="59">
        <f>IF(C24&lt;0,0,C24*0.15)</f>
        <v>311600.79624102142</v>
      </c>
      <c r="D25" s="59">
        <f>IF(D24&lt;0,0,D24*0.15)</f>
        <v>245101.48266028421</v>
      </c>
      <c r="E25" s="59">
        <f>IF(E24&lt;0,0,E24*0.15)</f>
        <v>169645.2649962625</v>
      </c>
      <c r="F25" s="59">
        <f>IF(F24&lt;0,0,F24*0.15)</f>
        <v>0</v>
      </c>
      <c r="G25" s="59">
        <f>IF(G24&lt;0,0,G24*0.15)</f>
        <v>461177.82468522119</v>
      </c>
      <c r="H25" s="67"/>
      <c r="I25" s="67"/>
      <c r="J25" s="67"/>
      <c r="R25" s="52" t="s">
        <v>57</v>
      </c>
      <c r="AH25" s="52" t="s">
        <v>58</v>
      </c>
      <c r="AI25" s="52" t="s">
        <v>57</v>
      </c>
    </row>
    <row r="26" spans="1:36">
      <c r="A26" s="160">
        <v>20</v>
      </c>
      <c r="B26" s="52" t="s">
        <v>59</v>
      </c>
      <c r="C26" s="59">
        <f t="shared" ref="C26:F26" si="17">C24-C25</f>
        <v>1765737.8453657881</v>
      </c>
      <c r="D26" s="59">
        <f t="shared" si="17"/>
        <v>1388908.4017416106</v>
      </c>
      <c r="E26" s="59">
        <f t="shared" si="17"/>
        <v>961323.16831215424</v>
      </c>
      <c r="F26" s="59">
        <f t="shared" si="17"/>
        <v>-1767798.1280823133</v>
      </c>
      <c r="G26" s="54">
        <f>G24-G25</f>
        <v>2613341.006549587</v>
      </c>
      <c r="H26" s="185"/>
      <c r="I26" s="67"/>
      <c r="J26" s="67"/>
      <c r="R26" s="52" t="s">
        <v>59</v>
      </c>
      <c r="AH26" s="52" t="s">
        <v>60</v>
      </c>
      <c r="AI26" s="52" t="s">
        <v>59</v>
      </c>
    </row>
    <row r="27" spans="1:36">
      <c r="A27" s="160">
        <v>21</v>
      </c>
      <c r="B27" s="52" t="s">
        <v>63</v>
      </c>
      <c r="C27" s="61">
        <f t="shared" ref="C27:G27" si="18">C26/C7</f>
        <v>8.0260811152990372E-2</v>
      </c>
      <c r="D27" s="61">
        <f t="shared" ref="D27:F27" si="19">D26/D7</f>
        <v>0.18896712948865452</v>
      </c>
      <c r="E27" s="61">
        <f t="shared" si="19"/>
        <v>0.16574537384692314</v>
      </c>
      <c r="F27" s="61">
        <f t="shared" si="19"/>
        <v>-0.22028637110059979</v>
      </c>
      <c r="G27" s="61">
        <f t="shared" si="18"/>
        <v>6.0529033156909946E-2</v>
      </c>
      <c r="H27" s="183"/>
      <c r="I27" s="67"/>
      <c r="J27" s="67"/>
      <c r="R27" s="52" t="s">
        <v>63</v>
      </c>
      <c r="AH27" s="52" t="s">
        <v>62</v>
      </c>
      <c r="AI27" s="52" t="s">
        <v>63</v>
      </c>
    </row>
    <row r="28" spans="1:36">
      <c r="H28" s="67"/>
      <c r="I28" s="67"/>
      <c r="J28" s="67"/>
      <c r="R28" s="52"/>
    </row>
    <row r="29" spans="1:36">
      <c r="A29" s="48" t="s">
        <v>64</v>
      </c>
      <c r="G29" s="49" t="s">
        <v>150</v>
      </c>
      <c r="H29" s="67"/>
      <c r="I29" s="67"/>
      <c r="J29" s="67"/>
      <c r="R29" s="52"/>
      <c r="AH29" s="48" t="s">
        <v>64</v>
      </c>
    </row>
    <row r="30" spans="1:36">
      <c r="A30" s="52" t="s">
        <v>67</v>
      </c>
      <c r="B30" s="55" t="s">
        <v>68</v>
      </c>
      <c r="C30" s="59"/>
      <c r="D30" s="59"/>
      <c r="E30" s="59"/>
      <c r="F30" s="59"/>
      <c r="G30" s="59"/>
      <c r="H30" s="67"/>
      <c r="I30" s="67"/>
      <c r="J30" s="67"/>
      <c r="L30" s="67"/>
      <c r="R30" s="55" t="s">
        <v>68</v>
      </c>
      <c r="AH30" s="52" t="s">
        <v>69</v>
      </c>
      <c r="AI30" s="55" t="s">
        <v>68</v>
      </c>
    </row>
    <row r="31" spans="1:36">
      <c r="A31" s="160">
        <v>1</v>
      </c>
      <c r="B31" s="57" t="s">
        <v>70</v>
      </c>
      <c r="C31" s="63">
        <f>销量!C8</f>
        <v>2200</v>
      </c>
      <c r="D31" s="63">
        <f>销量!D8</f>
        <v>2450</v>
      </c>
      <c r="E31" s="63">
        <f>销量!E8</f>
        <v>2900</v>
      </c>
      <c r="F31" s="63">
        <f>销量!F8</f>
        <v>535</v>
      </c>
      <c r="G31" s="59"/>
      <c r="H31" s="67"/>
      <c r="I31" s="67"/>
      <c r="J31" s="67"/>
      <c r="L31" s="67"/>
      <c r="R31" s="52" t="s">
        <v>70</v>
      </c>
      <c r="AH31" s="52" t="s">
        <v>22</v>
      </c>
      <c r="AI31" s="52" t="s">
        <v>70</v>
      </c>
    </row>
    <row r="32" spans="1:36">
      <c r="A32" s="160">
        <v>2</v>
      </c>
      <c r="B32" s="52" t="s">
        <v>151</v>
      </c>
      <c r="C32" s="54">
        <f>C9/C6</f>
        <v>1985.5</v>
      </c>
      <c r="D32" s="54">
        <f t="shared" ref="D32:E32" si="20">D9/D6</f>
        <v>2211.125</v>
      </c>
      <c r="E32" s="54">
        <f t="shared" si="20"/>
        <v>2617.25</v>
      </c>
      <c r="F32" s="54">
        <f t="shared" ref="F32" si="21">F9/F6</f>
        <v>482.83749999999998</v>
      </c>
      <c r="G32" s="59"/>
      <c r="H32" s="67"/>
      <c r="I32" s="67"/>
      <c r="J32" s="67"/>
      <c r="K32" s="67"/>
      <c r="L32" s="67"/>
      <c r="M32" s="67"/>
      <c r="N32" s="67"/>
      <c r="AH32" s="52"/>
      <c r="AI32" s="52"/>
    </row>
    <row r="33" spans="1:35">
      <c r="A33" s="160">
        <v>3</v>
      </c>
      <c r="B33" s="57" t="s">
        <v>71</v>
      </c>
      <c r="C33" s="54">
        <f>材料成本!G41</f>
        <v>1263.722210919771</v>
      </c>
      <c r="D33" s="54">
        <f>材料成本!G42</f>
        <v>1094.0871196197706</v>
      </c>
      <c r="E33" s="54">
        <f>材料成本!G43</f>
        <v>1374.4146752447712</v>
      </c>
      <c r="F33" s="54">
        <f>材料成本!G44</f>
        <v>475.08458361520354</v>
      </c>
      <c r="G33" s="59"/>
      <c r="I33" s="67"/>
      <c r="J33" s="67"/>
      <c r="K33" s="67"/>
      <c r="L33" s="67"/>
      <c r="M33" s="67"/>
      <c r="N33" s="67"/>
      <c r="R33" s="52" t="s">
        <v>71</v>
      </c>
      <c r="AH33" s="52" t="s">
        <v>24</v>
      </c>
      <c r="AI33" s="52" t="s">
        <v>71</v>
      </c>
    </row>
    <row r="34" spans="1:35" ht="17.25" customHeight="1">
      <c r="A34" s="160">
        <v>4</v>
      </c>
      <c r="B34" s="52" t="s">
        <v>73</v>
      </c>
      <c r="C34" s="64">
        <f>C32-C33</f>
        <v>721.77778908022901</v>
      </c>
      <c r="D34" s="64">
        <f t="shared" ref="D34:F34" si="22">D32-D33</f>
        <v>1117.0378803802294</v>
      </c>
      <c r="E34" s="64">
        <f t="shared" si="22"/>
        <v>1242.8353247552288</v>
      </c>
      <c r="F34" s="64">
        <f t="shared" si="22"/>
        <v>7.7529163847964355</v>
      </c>
      <c r="G34" s="59"/>
      <c r="I34" s="67"/>
      <c r="J34" s="67"/>
      <c r="K34" s="67"/>
      <c r="L34" s="67"/>
      <c r="M34" s="67"/>
      <c r="N34" s="67"/>
      <c r="R34" s="52" t="s">
        <v>73</v>
      </c>
      <c r="AH34" s="52" t="s">
        <v>72</v>
      </c>
      <c r="AI34" s="52" t="s">
        <v>73</v>
      </c>
    </row>
    <row r="35" spans="1:35">
      <c r="A35" s="52" t="s">
        <v>69</v>
      </c>
      <c r="B35" s="55" t="s">
        <v>9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5" t="s">
        <v>9</v>
      </c>
      <c r="AH35" s="52" t="s">
        <v>75</v>
      </c>
      <c r="AI35" s="55" t="s">
        <v>9</v>
      </c>
    </row>
    <row r="36" spans="1:35">
      <c r="A36" s="160">
        <v>1</v>
      </c>
      <c r="B36" s="52" t="s">
        <v>76</v>
      </c>
      <c r="C36" s="58">
        <f>'2022年'!C36</f>
        <v>123.68397001940177</v>
      </c>
      <c r="D36" s="58">
        <f>'2022年'!D36</f>
        <v>137.73896661251561</v>
      </c>
      <c r="E36" s="58">
        <f>'2022年'!E36</f>
        <v>163.03796048012052</v>
      </c>
      <c r="F36" s="58">
        <f>'2022年'!F36</f>
        <v>30.077692709263612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2" t="s">
        <v>76</v>
      </c>
      <c r="AH36" s="52" t="s">
        <v>72</v>
      </c>
      <c r="AI36" s="52" t="s">
        <v>76</v>
      </c>
    </row>
    <row r="37" spans="1:35">
      <c r="A37" s="160">
        <v>2</v>
      </c>
      <c r="B37" s="52" t="s">
        <v>77</v>
      </c>
      <c r="C37" s="58">
        <f>'2022年'!C37</f>
        <v>33.167177122368528</v>
      </c>
      <c r="D37" s="58">
        <f>'2022年'!D37</f>
        <v>36.936174522637685</v>
      </c>
      <c r="E37" s="58">
        <f>'2022年'!E37</f>
        <v>43.720369843122157</v>
      </c>
      <c r="F37" s="58">
        <f>'2022年'!F37</f>
        <v>8.0656544365759828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2" t="s">
        <v>77</v>
      </c>
      <c r="AH37" s="52" t="s">
        <v>27</v>
      </c>
      <c r="AI37" s="52" t="s">
        <v>77</v>
      </c>
    </row>
    <row r="38" spans="1:35">
      <c r="A38" s="160">
        <v>3</v>
      </c>
      <c r="B38" s="52" t="s">
        <v>78</v>
      </c>
      <c r="C38" s="58">
        <f>'2022年'!C38</f>
        <v>87.999999999999986</v>
      </c>
      <c r="D38" s="58">
        <f>'2022年'!D38</f>
        <v>97.999999999999986</v>
      </c>
      <c r="E38" s="58">
        <f>'2022年'!E38</f>
        <v>115.99999999999999</v>
      </c>
      <c r="F38" s="58">
        <f>'2022年'!F38</f>
        <v>21.399999999999995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2" t="s">
        <v>78</v>
      </c>
      <c r="AH38" s="52" t="s">
        <v>33</v>
      </c>
      <c r="AI38" s="52" t="s">
        <v>78</v>
      </c>
    </row>
    <row r="39" spans="1:35">
      <c r="A39" s="52" t="s">
        <v>75</v>
      </c>
      <c r="B39" s="55" t="s">
        <v>80</v>
      </c>
      <c r="C39" s="59"/>
      <c r="D39" s="59"/>
      <c r="E39" s="59"/>
      <c r="F39" s="59"/>
      <c r="G39" s="59"/>
      <c r="R39" s="55" t="s">
        <v>80</v>
      </c>
      <c r="AH39" s="52" t="s">
        <v>79</v>
      </c>
      <c r="AI39" s="55" t="s">
        <v>80</v>
      </c>
    </row>
    <row r="40" spans="1:35">
      <c r="A40" s="160">
        <v>1</v>
      </c>
      <c r="B40" s="52" t="s">
        <v>82</v>
      </c>
      <c r="C40" s="59">
        <f>C34-C36-C37-C38</f>
        <v>476.92664193845872</v>
      </c>
      <c r="D40" s="59">
        <f t="shared" ref="D40:F40" si="23">D34-D36-D37-D38</f>
        <v>844.36273924507611</v>
      </c>
      <c r="E40" s="59">
        <f t="shared" si="23"/>
        <v>920.07699443198612</v>
      </c>
      <c r="F40" s="59">
        <f t="shared" si="23"/>
        <v>-51.790430761043154</v>
      </c>
      <c r="G40" s="59"/>
      <c r="R40" s="52" t="s">
        <v>82</v>
      </c>
      <c r="AH40" s="52" t="s">
        <v>22</v>
      </c>
      <c r="AI40" s="52" t="s">
        <v>82</v>
      </c>
    </row>
    <row r="41" spans="1:35">
      <c r="A41" s="160">
        <v>2</v>
      </c>
      <c r="B41" s="52" t="s">
        <v>83</v>
      </c>
      <c r="C41" s="59"/>
      <c r="D41" s="59"/>
      <c r="E41" s="59"/>
      <c r="F41" s="59"/>
      <c r="G41" s="59"/>
      <c r="R41" s="52" t="s">
        <v>83</v>
      </c>
      <c r="AH41" s="52" t="s">
        <v>24</v>
      </c>
      <c r="AI41" s="52" t="s">
        <v>83</v>
      </c>
    </row>
    <row r="42" spans="1:35">
      <c r="A42" s="52" t="s">
        <v>79</v>
      </c>
      <c r="B42" s="55" t="s">
        <v>85</v>
      </c>
      <c r="C42" s="59"/>
      <c r="D42" s="59"/>
      <c r="E42" s="59"/>
      <c r="F42" s="59"/>
      <c r="G42" s="59"/>
      <c r="R42" s="55" t="s">
        <v>85</v>
      </c>
      <c r="AH42" s="52" t="s">
        <v>84</v>
      </c>
      <c r="AI42" s="55" t="s">
        <v>85</v>
      </c>
    </row>
    <row r="43" spans="1:35">
      <c r="A43" s="160">
        <v>1</v>
      </c>
      <c r="B43" s="60" t="s">
        <v>86</v>
      </c>
      <c r="C43" s="58">
        <f>'2022年'!C43</f>
        <v>99</v>
      </c>
      <c r="D43" s="58">
        <f>'2022年'!D43</f>
        <v>110.25</v>
      </c>
      <c r="E43" s="58">
        <f>'2022年'!E43</f>
        <v>130.5</v>
      </c>
      <c r="F43" s="58">
        <f>'2022年'!F43</f>
        <v>24.074999999999999</v>
      </c>
      <c r="G43" s="59"/>
      <c r="R43" s="52" t="s">
        <v>86</v>
      </c>
      <c r="AH43" s="52" t="s">
        <v>22</v>
      </c>
      <c r="AI43" s="52" t="s">
        <v>86</v>
      </c>
    </row>
    <row r="44" spans="1:35">
      <c r="A44" s="160">
        <v>2</v>
      </c>
      <c r="B44" s="60" t="s">
        <v>87</v>
      </c>
      <c r="C44" s="58">
        <f>'2022年'!C44</f>
        <v>15.4</v>
      </c>
      <c r="D44" s="58">
        <f>'2022年'!D44</f>
        <v>17.150000000000002</v>
      </c>
      <c r="E44" s="58">
        <f>'2022年'!E44</f>
        <v>20.3</v>
      </c>
      <c r="F44" s="58">
        <f>'2022年'!F44</f>
        <v>3.7450000000000001</v>
      </c>
      <c r="G44" s="59"/>
      <c r="R44" s="52" t="s">
        <v>87</v>
      </c>
      <c r="AH44" s="52" t="s">
        <v>24</v>
      </c>
      <c r="AI44" s="52" t="s">
        <v>87</v>
      </c>
    </row>
    <row r="45" spans="1:35">
      <c r="A45" s="160">
        <v>3</v>
      </c>
      <c r="B45" s="60" t="s">
        <v>88</v>
      </c>
      <c r="C45" s="58">
        <f>'2022年'!C45</f>
        <v>66</v>
      </c>
      <c r="D45" s="58">
        <f>'2022年'!D45</f>
        <v>73.5</v>
      </c>
      <c r="E45" s="58">
        <f>'2022年'!E45</f>
        <v>87</v>
      </c>
      <c r="F45" s="58">
        <f>'2022年'!F45</f>
        <v>16.05</v>
      </c>
      <c r="G45" s="59"/>
      <c r="R45" s="52" t="s">
        <v>88</v>
      </c>
      <c r="AH45" s="52" t="s">
        <v>72</v>
      </c>
      <c r="AI45" s="52" t="s">
        <v>88</v>
      </c>
    </row>
    <row r="46" spans="1:35" s="47" customFormat="1">
      <c r="A46" s="160">
        <v>4</v>
      </c>
      <c r="B46" s="60" t="s">
        <v>89</v>
      </c>
      <c r="C46" s="65">
        <f>C21/C6</f>
        <v>0.42333333333333328</v>
      </c>
      <c r="D46" s="65">
        <f t="shared" ref="D46:F46" si="24">D21/D6</f>
        <v>0.42333333333333334</v>
      </c>
      <c r="E46" s="65">
        <f t="shared" si="24"/>
        <v>0.42333333333333334</v>
      </c>
      <c r="F46" s="65">
        <f t="shared" si="24"/>
        <v>0.42333333333333334</v>
      </c>
      <c r="G46" s="65"/>
      <c r="R46" s="60" t="s">
        <v>91</v>
      </c>
      <c r="AH46" s="60" t="s">
        <v>30</v>
      </c>
      <c r="AI46" s="60" t="s">
        <v>91</v>
      </c>
    </row>
    <row r="47" spans="1:35" s="47" customFormat="1">
      <c r="A47" s="160">
        <v>5</v>
      </c>
      <c r="B47" s="60" t="s">
        <v>91</v>
      </c>
      <c r="C47" s="65">
        <f>'2022年'!C47</f>
        <v>88</v>
      </c>
      <c r="D47" s="65">
        <f>'2022年'!D47</f>
        <v>98</v>
      </c>
      <c r="E47" s="65">
        <f>'2022年'!E47</f>
        <v>116</v>
      </c>
      <c r="F47" s="65">
        <f>'2022年'!F47</f>
        <v>21.400000000000002</v>
      </c>
      <c r="G47" s="65"/>
      <c r="R47" s="60" t="s">
        <v>91</v>
      </c>
      <c r="AH47" s="60" t="s">
        <v>30</v>
      </c>
      <c r="AI47" s="60" t="s">
        <v>91</v>
      </c>
    </row>
    <row r="48" spans="1:35">
      <c r="A48" s="52" t="s">
        <v>84</v>
      </c>
      <c r="B48" s="55" t="s">
        <v>102</v>
      </c>
      <c r="C48" s="59">
        <f>C40-C43-C44-C45-C47-C46</f>
        <v>208.10330860512539</v>
      </c>
      <c r="D48" s="59">
        <f t="shared" ref="D48:F48" si="25">D40-D43-D44-D45-D47-D46</f>
        <v>545.03940591174285</v>
      </c>
      <c r="E48" s="59">
        <f t="shared" si="25"/>
        <v>565.85366109865288</v>
      </c>
      <c r="F48" s="59">
        <f t="shared" si="25"/>
        <v>-117.4837640943765</v>
      </c>
      <c r="G48" s="59"/>
      <c r="R48" s="55" t="s">
        <v>102</v>
      </c>
      <c r="AH48" s="52" t="s">
        <v>101</v>
      </c>
      <c r="AI48" s="55" t="s">
        <v>102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8" activePane="bottomRight" state="frozen"/>
      <selection pane="topRight"/>
      <selection pane="bottomLeft"/>
      <selection pane="bottomRight" activeCell="G12" sqref="G1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7" width="9" style="48" customWidth="1"/>
    <col min="18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44" t="s">
        <v>142</v>
      </c>
      <c r="B1" s="244"/>
      <c r="C1" s="248" t="s">
        <v>243</v>
      </c>
      <c r="D1" s="249"/>
      <c r="E1" s="249"/>
      <c r="F1" s="249"/>
      <c r="G1" s="249"/>
      <c r="H1" s="249"/>
      <c r="I1" s="250"/>
    </row>
    <row r="2" spans="1:33">
      <c r="A2" s="244" t="s">
        <v>143</v>
      </c>
      <c r="B2" s="244"/>
      <c r="C2" s="252" t="str">
        <f>'2022年'!C2:G2</f>
        <v>福田</v>
      </c>
      <c r="D2" s="253"/>
      <c r="E2" s="253"/>
      <c r="F2" s="253"/>
      <c r="G2" s="253"/>
      <c r="H2" s="253"/>
      <c r="I2" s="254"/>
    </row>
    <row r="3" spans="1:33">
      <c r="A3" s="244" t="s">
        <v>144</v>
      </c>
      <c r="B3" s="244"/>
      <c r="C3" s="161" t="str">
        <f>销量!C5</f>
        <v>驾驶员座椅</v>
      </c>
      <c r="D3" s="161" t="str">
        <f>销量!D5</f>
        <v>驾驶员座椅</v>
      </c>
      <c r="E3" s="161" t="str">
        <f>销量!E5</f>
        <v>驾驶员座椅</v>
      </c>
      <c r="F3" s="161">
        <f>销量!I5</f>
        <v>0</v>
      </c>
      <c r="G3" s="161">
        <f>销量!J5</f>
        <v>0</v>
      </c>
      <c r="H3" s="161">
        <f>销量!K5</f>
        <v>0</v>
      </c>
      <c r="I3" s="245" t="s">
        <v>18</v>
      </c>
    </row>
    <row r="4" spans="1:33" ht="16.5" customHeight="1">
      <c r="A4" s="244" t="s">
        <v>145</v>
      </c>
      <c r="B4" s="244"/>
      <c r="C4" s="161" t="str">
        <f>销量!C6</f>
        <v>H568100000139</v>
      </c>
      <c r="D4" s="161" t="str">
        <f>销量!D6</f>
        <v>H568100000138</v>
      </c>
      <c r="E4" s="161" t="str">
        <f>销量!E6</f>
        <v>H568100000140</v>
      </c>
      <c r="F4" s="161">
        <f>销量!I6</f>
        <v>0</v>
      </c>
      <c r="G4" s="161">
        <f>销量!J6</f>
        <v>0</v>
      </c>
      <c r="H4" s="161">
        <f>销量!K6</f>
        <v>0</v>
      </c>
      <c r="I4" s="246"/>
    </row>
    <row r="5" spans="1:33">
      <c r="A5" s="244" t="s">
        <v>146</v>
      </c>
      <c r="B5" s="244"/>
      <c r="C5" s="51"/>
      <c r="D5" s="51"/>
      <c r="E5" s="51"/>
      <c r="F5" s="51"/>
      <c r="G5" s="51"/>
      <c r="H5" s="51"/>
      <c r="I5" s="247"/>
      <c r="AG5" s="48" t="s">
        <v>19</v>
      </c>
    </row>
    <row r="6" spans="1:33" ht="17.25">
      <c r="A6" s="52" t="s">
        <v>16</v>
      </c>
      <c r="B6" s="53" t="s">
        <v>147</v>
      </c>
      <c r="C6" s="22">
        <f>销量!C12</f>
        <v>0</v>
      </c>
      <c r="D6" s="22">
        <f>销量!D12</f>
        <v>0</v>
      </c>
      <c r="E6" s="22">
        <f>销量!E12</f>
        <v>0</v>
      </c>
      <c r="F6" s="22">
        <f>销量!I12</f>
        <v>0</v>
      </c>
      <c r="G6" s="22">
        <f>销量!J12</f>
        <v>0</v>
      </c>
      <c r="H6" s="22">
        <f>销量!K12</f>
        <v>0</v>
      </c>
      <c r="I6" s="54">
        <f>SUM(C6:H6)</f>
        <v>0</v>
      </c>
      <c r="AE6" s="52" t="s">
        <v>16</v>
      </c>
      <c r="AF6" s="53" t="s">
        <v>3</v>
      </c>
      <c r="AG6" s="48" t="s">
        <v>20</v>
      </c>
    </row>
    <row r="7" spans="1:33">
      <c r="A7" s="160">
        <v>1</v>
      </c>
      <c r="B7" s="53" t="s">
        <v>21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F6*销量!I8</f>
        <v>0</v>
      </c>
      <c r="G7" s="54">
        <f>G6*销量!J8</f>
        <v>0</v>
      </c>
      <c r="H7" s="54">
        <f>H6*销量!K8</f>
        <v>0</v>
      </c>
      <c r="I7" s="54">
        <f t="shared" ref="I7:I17" si="0">SUM(C7:H7)</f>
        <v>0</v>
      </c>
      <c r="J7" s="49"/>
      <c r="AE7" s="52" t="s">
        <v>22</v>
      </c>
      <c r="AF7" s="53" t="s">
        <v>21</v>
      </c>
      <c r="AG7" s="48" t="s">
        <v>20</v>
      </c>
    </row>
    <row r="8" spans="1:33">
      <c r="A8" s="160">
        <v>2</v>
      </c>
      <c r="B8" s="160" t="s">
        <v>23</v>
      </c>
      <c r="C8" s="54">
        <f>C7*(1-销量!$O$9)</f>
        <v>0</v>
      </c>
      <c r="D8" s="54">
        <f>D7*(1-销量!$O$9)</f>
        <v>0</v>
      </c>
      <c r="E8" s="54">
        <f>E7*(1-销量!$O$9)</f>
        <v>0</v>
      </c>
      <c r="F8" s="54">
        <f>F7*(1-销量!$O$9)</f>
        <v>0</v>
      </c>
      <c r="G8" s="54">
        <f>G7*(1-销量!$O$9)</f>
        <v>0</v>
      </c>
      <c r="H8" s="54">
        <f>H7*(1-销量!$O$9)</f>
        <v>0</v>
      </c>
      <c r="I8" s="54">
        <f t="shared" si="0"/>
        <v>0</v>
      </c>
      <c r="J8" s="69"/>
      <c r="AE8" s="52" t="s">
        <v>24</v>
      </c>
      <c r="AF8" s="160" t="s">
        <v>25</v>
      </c>
      <c r="AG8" s="48" t="s">
        <v>20</v>
      </c>
    </row>
    <row r="9" spans="1:33">
      <c r="A9" s="160">
        <v>3</v>
      </c>
      <c r="B9" s="53" t="s">
        <v>26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AE9" s="52" t="s">
        <v>27</v>
      </c>
      <c r="AF9" s="53" t="s">
        <v>26</v>
      </c>
      <c r="AG9" s="48" t="s">
        <v>28</v>
      </c>
    </row>
    <row r="10" spans="1:33">
      <c r="A10" s="160">
        <v>4</v>
      </c>
      <c r="B10" s="52" t="s">
        <v>29</v>
      </c>
      <c r="C10" s="54" t="e">
        <f>C6*材料成本!#REF!</f>
        <v>#REF!</v>
      </c>
      <c r="D10" s="54" t="e">
        <f>D6*材料成本!#REF!</f>
        <v>#REF!</v>
      </c>
      <c r="E10" s="54" t="e">
        <f>E6*材料成本!#REF!</f>
        <v>#REF!</v>
      </c>
      <c r="F10" s="54" t="e">
        <f>F6*材料成本!#REF!</f>
        <v>#REF!</v>
      </c>
      <c r="G10" s="54" t="e">
        <f>G6*材料成本!#REF!</f>
        <v>#REF!</v>
      </c>
      <c r="H10" s="54" t="e">
        <f>H6*材料成本!#REF!</f>
        <v>#REF!</v>
      </c>
      <c r="I10" s="54" t="e">
        <f t="shared" si="0"/>
        <v>#REF!</v>
      </c>
      <c r="AE10" s="52" t="s">
        <v>30</v>
      </c>
      <c r="AF10" s="52" t="s">
        <v>29</v>
      </c>
      <c r="AG10" s="48" t="s">
        <v>31</v>
      </c>
    </row>
    <row r="11" spans="1:33">
      <c r="A11" s="160">
        <v>5</v>
      </c>
      <c r="B11" s="52" t="s">
        <v>32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AE11" s="52" t="s">
        <v>33</v>
      </c>
      <c r="AF11" s="52" t="s">
        <v>32</v>
      </c>
    </row>
    <row r="12" spans="1:33">
      <c r="A12" s="160">
        <v>6</v>
      </c>
      <c r="B12" s="52" t="s">
        <v>34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AE12" s="52" t="s">
        <v>35</v>
      </c>
      <c r="AF12" s="52" t="s">
        <v>34</v>
      </c>
    </row>
    <row r="13" spans="1:33">
      <c r="A13" s="160">
        <v>7</v>
      </c>
      <c r="B13" s="52" t="s">
        <v>36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AE13" s="52" t="s">
        <v>37</v>
      </c>
      <c r="AF13" s="52" t="s">
        <v>36</v>
      </c>
      <c r="AG13" s="48" t="s">
        <v>20</v>
      </c>
    </row>
    <row r="14" spans="1:33">
      <c r="A14" s="160">
        <v>8</v>
      </c>
      <c r="B14" s="55" t="s">
        <v>38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AE14" s="52" t="s">
        <v>39</v>
      </c>
      <c r="AF14" s="55" t="s">
        <v>38</v>
      </c>
    </row>
    <row r="15" spans="1:33">
      <c r="A15" s="160">
        <v>9</v>
      </c>
      <c r="B15" s="55" t="s">
        <v>40</v>
      </c>
      <c r="C15" s="54" t="e">
        <f>+C9-C10-C14</f>
        <v>#REF!</v>
      </c>
      <c r="D15" s="54" t="e">
        <f t="shared" ref="D15:H15" si="6">+D9-D10-D14</f>
        <v>#REF!</v>
      </c>
      <c r="E15" s="54" t="e">
        <f t="shared" si="6"/>
        <v>#REF!</v>
      </c>
      <c r="F15" s="54" t="e">
        <f t="shared" si="6"/>
        <v>#REF!</v>
      </c>
      <c r="G15" s="54" t="e">
        <f t="shared" si="6"/>
        <v>#REF!</v>
      </c>
      <c r="H15" s="54" t="e">
        <f t="shared" si="6"/>
        <v>#REF!</v>
      </c>
      <c r="I15" s="54" t="e">
        <f t="shared" si="0"/>
        <v>#REF!</v>
      </c>
      <c r="AE15" s="52" t="s">
        <v>41</v>
      </c>
      <c r="AF15" s="55" t="s">
        <v>40</v>
      </c>
    </row>
    <row r="16" spans="1:33">
      <c r="A16" s="160">
        <v>10</v>
      </c>
      <c r="B16" s="52" t="s">
        <v>42</v>
      </c>
      <c r="C16" s="56" t="e">
        <f>+C15/C9</f>
        <v>#REF!</v>
      </c>
      <c r="D16" s="56" t="e">
        <f t="shared" ref="D16:H16" si="7">+D15/D9</f>
        <v>#REF!</v>
      </c>
      <c r="E16" s="56" t="e">
        <f t="shared" si="7"/>
        <v>#REF!</v>
      </c>
      <c r="F16" s="56" t="e">
        <f t="shared" si="7"/>
        <v>#REF!</v>
      </c>
      <c r="G16" s="56" t="e">
        <f t="shared" si="7"/>
        <v>#REF!</v>
      </c>
      <c r="H16" s="56" t="e">
        <f t="shared" si="7"/>
        <v>#REF!</v>
      </c>
      <c r="I16" s="56" t="e">
        <f t="shared" ref="I16" si="8">+I15/I9</f>
        <v>#REF!</v>
      </c>
      <c r="AE16" s="52" t="s">
        <v>43</v>
      </c>
      <c r="AF16" s="52" t="s">
        <v>42</v>
      </c>
    </row>
    <row r="17" spans="1:33">
      <c r="A17" s="160">
        <v>11</v>
      </c>
      <c r="B17" s="52" t="s">
        <v>44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AE17" s="52" t="s">
        <v>45</v>
      </c>
      <c r="AF17" s="52" t="s">
        <v>44</v>
      </c>
    </row>
    <row r="18" spans="1:33" s="46" customFormat="1">
      <c r="A18" s="160">
        <v>12</v>
      </c>
      <c r="B18" s="57" t="s">
        <v>148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11083.333333333334</v>
      </c>
      <c r="J18" s="70" t="s">
        <v>149</v>
      </c>
      <c r="K18" s="70"/>
      <c r="L18" s="70"/>
    </row>
    <row r="19" spans="1:33">
      <c r="A19" s="160">
        <v>13</v>
      </c>
      <c r="B19" s="52" t="s">
        <v>46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ref="I19:I20" si="12">SUM(C19:H19)</f>
        <v>0</v>
      </c>
      <c r="J19" s="46"/>
      <c r="AE19" s="52" t="s">
        <v>47</v>
      </c>
      <c r="AF19" s="52" t="s">
        <v>46</v>
      </c>
      <c r="AG19" s="48" t="s">
        <v>20</v>
      </c>
    </row>
    <row r="20" spans="1:33">
      <c r="A20" s="160">
        <v>14</v>
      </c>
      <c r="B20" s="52" t="s">
        <v>48</v>
      </c>
      <c r="C20" s="54">
        <f>C6*C45</f>
        <v>0</v>
      </c>
      <c r="D20" s="54">
        <f t="shared" ref="D20:H20" si="13">D6*D45</f>
        <v>0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12"/>
        <v>0</v>
      </c>
      <c r="AE20" s="52" t="s">
        <v>49</v>
      </c>
      <c r="AF20" s="52" t="s">
        <v>48</v>
      </c>
    </row>
    <row r="21" spans="1:33">
      <c r="A21" s="160">
        <v>15</v>
      </c>
      <c r="B21" s="52" t="s">
        <v>50</v>
      </c>
      <c r="C21" s="59" t="e">
        <f>$I$21/$I$6*C6</f>
        <v>#DIV/0!</v>
      </c>
      <c r="D21" s="59" t="e">
        <f t="shared" ref="D21:H21" si="14">$I$21/$I$6*D6</f>
        <v>#DIV/0!</v>
      </c>
      <c r="E21" s="59" t="e">
        <f t="shared" si="14"/>
        <v>#DIV/0!</v>
      </c>
      <c r="F21" s="59" t="e">
        <f t="shared" si="14"/>
        <v>#DIV/0!</v>
      </c>
      <c r="G21" s="59" t="e">
        <f t="shared" si="14"/>
        <v>#DIV/0!</v>
      </c>
      <c r="H21" s="59" t="e">
        <f t="shared" si="14"/>
        <v>#DIV/0!</v>
      </c>
      <c r="I21" s="54">
        <f>项目投资!G27</f>
        <v>0</v>
      </c>
      <c r="AE21" s="52"/>
      <c r="AF21" s="52"/>
    </row>
    <row r="22" spans="1:33">
      <c r="A22" s="160">
        <v>16</v>
      </c>
      <c r="B22" s="52" t="s">
        <v>51</v>
      </c>
      <c r="C22" s="54">
        <f>C6*C47</f>
        <v>0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0</v>
      </c>
      <c r="AE22" s="52" t="s">
        <v>52</v>
      </c>
      <c r="AF22" s="52" t="s">
        <v>51</v>
      </c>
    </row>
    <row r="23" spans="1:33">
      <c r="A23" s="160">
        <v>17</v>
      </c>
      <c r="B23" s="55" t="s">
        <v>53</v>
      </c>
      <c r="C23" s="59" t="e">
        <f>+C22+C21+C20+C19+C17</f>
        <v>#DIV/0!</v>
      </c>
      <c r="D23" s="59" t="e">
        <f t="shared" ref="D23:H23" si="17">+D22+D21+D20+D19+D17</f>
        <v>#DIV/0!</v>
      </c>
      <c r="E23" s="59" t="e">
        <f t="shared" si="17"/>
        <v>#DIV/0!</v>
      </c>
      <c r="F23" s="59" t="e">
        <f t="shared" si="17"/>
        <v>#DIV/0!</v>
      </c>
      <c r="G23" s="59" t="e">
        <f t="shared" si="17"/>
        <v>#DIV/0!</v>
      </c>
      <c r="H23" s="59" t="e">
        <f t="shared" si="17"/>
        <v>#DIV/0!</v>
      </c>
      <c r="I23" s="59" t="e">
        <f t="shared" ref="I23" si="18">+I22+I21+I20+I19+I17</f>
        <v>#DIV/0!</v>
      </c>
      <c r="AE23" s="52" t="s">
        <v>54</v>
      </c>
      <c r="AF23" s="55" t="s">
        <v>53</v>
      </c>
    </row>
    <row r="24" spans="1:33">
      <c r="A24" s="160">
        <v>18</v>
      </c>
      <c r="B24" s="60" t="s">
        <v>55</v>
      </c>
      <c r="C24" s="59" t="e">
        <f>+C15-C23</f>
        <v>#REF!</v>
      </c>
      <c r="D24" s="59" t="e">
        <f t="shared" ref="D24:I24" si="19">+D15-D23</f>
        <v>#REF!</v>
      </c>
      <c r="E24" s="59" t="e">
        <f t="shared" si="19"/>
        <v>#REF!</v>
      </c>
      <c r="F24" s="59" t="e">
        <f t="shared" si="19"/>
        <v>#REF!</v>
      </c>
      <c r="G24" s="59" t="e">
        <f t="shared" si="19"/>
        <v>#REF!</v>
      </c>
      <c r="H24" s="59" t="e">
        <f t="shared" si="19"/>
        <v>#REF!</v>
      </c>
      <c r="I24" s="59" t="e">
        <f t="shared" si="19"/>
        <v>#REF!</v>
      </c>
      <c r="K24" s="71"/>
      <c r="AE24" s="52" t="s">
        <v>56</v>
      </c>
      <c r="AF24" s="52" t="s">
        <v>55</v>
      </c>
    </row>
    <row r="25" spans="1:33">
      <c r="A25" s="160">
        <v>19</v>
      </c>
      <c r="B25" s="52" t="s">
        <v>256</v>
      </c>
      <c r="C25" s="59" t="e">
        <f>IF(C24&lt;0,0,C24*0.15)</f>
        <v>#REF!</v>
      </c>
      <c r="D25" s="59" t="e">
        <f>IF(D24&lt;0,0,D24*0.15)</f>
        <v>#REF!</v>
      </c>
      <c r="E25" s="59" t="e">
        <f t="shared" ref="E25:H25" si="20">IF(E24&lt;0,0,E24*0.25)</f>
        <v>#REF!</v>
      </c>
      <c r="F25" s="59" t="e">
        <f>IF(F24&lt;0,0,F24*0.15)</f>
        <v>#REF!</v>
      </c>
      <c r="G25" s="59" t="e">
        <f t="shared" si="20"/>
        <v>#REF!</v>
      </c>
      <c r="H25" s="59" t="e">
        <f t="shared" si="20"/>
        <v>#REF!</v>
      </c>
      <c r="I25" s="59" t="e">
        <f>IF(I24&lt;0,0,I24*0.15)</f>
        <v>#REF!</v>
      </c>
      <c r="J25" s="67"/>
      <c r="K25" s="67"/>
      <c r="L25" s="67"/>
      <c r="AE25" s="52" t="s">
        <v>58</v>
      </c>
      <c r="AF25" s="52" t="s">
        <v>57</v>
      </c>
    </row>
    <row r="26" spans="1:33">
      <c r="A26" s="160">
        <v>20</v>
      </c>
      <c r="B26" s="52" t="s">
        <v>59</v>
      </c>
      <c r="C26" s="59" t="e">
        <f t="shared" ref="C26:H26" si="21">C24-C25</f>
        <v>#REF!</v>
      </c>
      <c r="D26" s="59" t="e">
        <f t="shared" si="21"/>
        <v>#REF!</v>
      </c>
      <c r="E26" s="59" t="e">
        <f t="shared" si="21"/>
        <v>#REF!</v>
      </c>
      <c r="F26" s="59" t="e">
        <f t="shared" si="21"/>
        <v>#REF!</v>
      </c>
      <c r="G26" s="59" t="e">
        <f t="shared" si="21"/>
        <v>#REF!</v>
      </c>
      <c r="H26" s="59" t="e">
        <f t="shared" si="21"/>
        <v>#REF!</v>
      </c>
      <c r="I26" s="54" t="e">
        <f>+SUM(C26:H26)</f>
        <v>#REF!</v>
      </c>
      <c r="J26" s="67"/>
      <c r="K26" s="67"/>
      <c r="L26" s="67"/>
      <c r="AE26" s="52" t="s">
        <v>60</v>
      </c>
      <c r="AF26" s="52" t="s">
        <v>59</v>
      </c>
    </row>
    <row r="27" spans="1:33">
      <c r="A27" s="160">
        <v>21</v>
      </c>
      <c r="B27" s="52" t="s">
        <v>63</v>
      </c>
      <c r="C27" s="61" t="e">
        <f t="shared" ref="C27:I27" si="22">C26/C7</f>
        <v>#REF!</v>
      </c>
      <c r="D27" s="61" t="e">
        <f t="shared" ref="D27:H27" si="23">D26/D7</f>
        <v>#REF!</v>
      </c>
      <c r="E27" s="61" t="e">
        <f t="shared" si="23"/>
        <v>#REF!</v>
      </c>
      <c r="F27" s="61" t="e">
        <f t="shared" si="23"/>
        <v>#REF!</v>
      </c>
      <c r="G27" s="61" t="e">
        <f t="shared" si="23"/>
        <v>#REF!</v>
      </c>
      <c r="H27" s="61" t="e">
        <f t="shared" si="23"/>
        <v>#REF!</v>
      </c>
      <c r="I27" s="61" t="e">
        <f t="shared" si="22"/>
        <v>#REF!</v>
      </c>
      <c r="J27" s="67"/>
      <c r="K27" s="67"/>
      <c r="L27" s="67"/>
      <c r="AE27" s="52" t="s">
        <v>62</v>
      </c>
      <c r="AF27" s="52" t="s">
        <v>63</v>
      </c>
    </row>
    <row r="28" spans="1:33">
      <c r="J28" s="67"/>
      <c r="K28" s="67"/>
      <c r="L28" s="67"/>
    </row>
    <row r="29" spans="1:33">
      <c r="A29" s="48" t="s">
        <v>64</v>
      </c>
      <c r="I29" s="49" t="s">
        <v>150</v>
      </c>
      <c r="J29" s="67"/>
      <c r="K29" s="67"/>
      <c r="L29" s="67"/>
      <c r="AE29" s="48" t="s">
        <v>64</v>
      </c>
    </row>
    <row r="30" spans="1:33">
      <c r="A30" s="52" t="s">
        <v>67</v>
      </c>
      <c r="B30" s="55" t="s">
        <v>68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AE30" s="52" t="s">
        <v>69</v>
      </c>
      <c r="AF30" s="55" t="s">
        <v>68</v>
      </c>
    </row>
    <row r="31" spans="1:33">
      <c r="A31" s="160">
        <v>1</v>
      </c>
      <c r="B31" s="57" t="s">
        <v>70</v>
      </c>
      <c r="C31" s="63">
        <f>销量!C8</f>
        <v>2200</v>
      </c>
      <c r="D31" s="63">
        <f>销量!D8</f>
        <v>2450</v>
      </c>
      <c r="E31" s="63">
        <f>销量!E8</f>
        <v>2900</v>
      </c>
      <c r="F31" s="63">
        <f>销量!I8</f>
        <v>0</v>
      </c>
      <c r="G31" s="63">
        <f>销量!J8</f>
        <v>0</v>
      </c>
      <c r="H31" s="63">
        <f>销量!K8</f>
        <v>0</v>
      </c>
      <c r="I31" s="59"/>
      <c r="J31" s="67"/>
      <c r="K31" s="67"/>
      <c r="L31" s="67"/>
      <c r="N31" s="67"/>
      <c r="AE31" s="52" t="s">
        <v>22</v>
      </c>
      <c r="AF31" s="52" t="s">
        <v>70</v>
      </c>
    </row>
    <row r="32" spans="1:33">
      <c r="A32" s="160">
        <v>2</v>
      </c>
      <c r="B32" s="52" t="s">
        <v>151</v>
      </c>
      <c r="C32" s="54" t="e">
        <f>C9/C6</f>
        <v>#DIV/0!</v>
      </c>
      <c r="D32" s="54" t="e">
        <f t="shared" ref="D32:H32" si="24">D9/D6</f>
        <v>#DIV/0!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E32" s="52"/>
      <c r="AF32" s="52"/>
    </row>
    <row r="33" spans="1:32">
      <c r="A33" s="160">
        <v>3</v>
      </c>
      <c r="B33" s="57" t="s">
        <v>71</v>
      </c>
      <c r="C33" s="54" t="e">
        <f>材料成本!#REF!</f>
        <v>#REF!</v>
      </c>
      <c r="D33" s="54" t="e">
        <f>材料成本!#REF!</f>
        <v>#REF!</v>
      </c>
      <c r="E33" s="54" t="e">
        <f>材料成本!#REF!</f>
        <v>#REF!</v>
      </c>
      <c r="F33" s="54" t="e">
        <f>材料成本!#REF!</f>
        <v>#REF!</v>
      </c>
      <c r="G33" s="54" t="e">
        <f>材料成本!#REF!</f>
        <v>#REF!</v>
      </c>
      <c r="H33" s="54" t="e">
        <f>材料成本!#REF!</f>
        <v>#REF!</v>
      </c>
      <c r="I33" s="59"/>
      <c r="K33" s="67"/>
      <c r="L33" s="67"/>
      <c r="M33" s="67"/>
      <c r="N33" s="67"/>
      <c r="O33" s="67"/>
      <c r="P33" s="67"/>
      <c r="AE33" s="52" t="s">
        <v>24</v>
      </c>
      <c r="AF33" s="52" t="s">
        <v>71</v>
      </c>
    </row>
    <row r="34" spans="1:32" ht="17.25" customHeight="1">
      <c r="A34" s="160">
        <v>4</v>
      </c>
      <c r="B34" s="52" t="s">
        <v>73</v>
      </c>
      <c r="C34" s="64" t="e">
        <f>C32-C33</f>
        <v>#DIV/0!</v>
      </c>
      <c r="D34" s="64" t="e">
        <f t="shared" ref="D34:H34" si="25">D32-D33</f>
        <v>#DIV/0!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AE34" s="52" t="s">
        <v>72</v>
      </c>
      <c r="AF34" s="52" t="s">
        <v>73</v>
      </c>
    </row>
    <row r="35" spans="1:32">
      <c r="A35" s="52" t="s">
        <v>69</v>
      </c>
      <c r="B35" s="55" t="s">
        <v>9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AE35" s="52" t="s">
        <v>75</v>
      </c>
      <c r="AF35" s="55" t="s">
        <v>9</v>
      </c>
    </row>
    <row r="36" spans="1:32">
      <c r="A36" s="160">
        <v>1</v>
      </c>
      <c r="B36" s="52" t="s">
        <v>76</v>
      </c>
      <c r="C36" s="58">
        <f>'2022年'!C36</f>
        <v>123.68397001940177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AE36" s="52" t="s">
        <v>72</v>
      </c>
      <c r="AF36" s="52" t="s">
        <v>76</v>
      </c>
    </row>
    <row r="37" spans="1:32">
      <c r="A37" s="160">
        <v>2</v>
      </c>
      <c r="B37" s="52" t="s">
        <v>77</v>
      </c>
      <c r="C37" s="58">
        <f>'2022年'!C37</f>
        <v>33.167177122368528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AE37" s="52" t="s">
        <v>27</v>
      </c>
      <c r="AF37" s="52" t="s">
        <v>77</v>
      </c>
    </row>
    <row r="38" spans="1:32">
      <c r="A38" s="160">
        <v>3</v>
      </c>
      <c r="B38" s="52" t="s">
        <v>78</v>
      </c>
      <c r="C38" s="58">
        <f>'2022年'!C38</f>
        <v>87.999999999999986</v>
      </c>
      <c r="D38" s="58">
        <v>60.47999999999999</v>
      </c>
      <c r="E38" s="58">
        <v>19.199999999999996</v>
      </c>
      <c r="F38" s="58">
        <v>55.999999999999993</v>
      </c>
      <c r="G38" s="58">
        <v>34.799999999999997</v>
      </c>
      <c r="H38" s="58">
        <v>34.799999999999997</v>
      </c>
      <c r="I38" s="63"/>
      <c r="J38" s="67"/>
      <c r="K38" s="67"/>
      <c r="L38" s="67"/>
      <c r="M38" s="67"/>
      <c r="N38" s="67"/>
      <c r="O38" s="67"/>
      <c r="P38" s="67"/>
      <c r="Q38" s="67"/>
      <c r="AE38" s="52" t="s">
        <v>33</v>
      </c>
      <c r="AF38" s="52" t="s">
        <v>78</v>
      </c>
    </row>
    <row r="39" spans="1:32">
      <c r="A39" s="52" t="s">
        <v>75</v>
      </c>
      <c r="B39" s="55" t="s">
        <v>80</v>
      </c>
      <c r="C39" s="59"/>
      <c r="D39" s="59"/>
      <c r="E39" s="59"/>
      <c r="F39" s="59"/>
      <c r="G39" s="59"/>
      <c r="H39" s="59"/>
      <c r="I39" s="59"/>
      <c r="AE39" s="52" t="s">
        <v>79</v>
      </c>
      <c r="AF39" s="55" t="s">
        <v>80</v>
      </c>
    </row>
    <row r="40" spans="1:32">
      <c r="A40" s="160">
        <v>1</v>
      </c>
      <c r="B40" s="52" t="s">
        <v>82</v>
      </c>
      <c r="C40" s="59" t="e">
        <f>C34-C36-C37-C38</f>
        <v>#DIV/0!</v>
      </c>
      <c r="D40" s="59" t="e">
        <f t="shared" ref="D40:H40" si="26">D34-D36-D37-D38</f>
        <v>#DIV/0!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AE40" s="52" t="s">
        <v>22</v>
      </c>
      <c r="AF40" s="52" t="s">
        <v>82</v>
      </c>
    </row>
    <row r="41" spans="1:32">
      <c r="A41" s="160">
        <v>2</v>
      </c>
      <c r="B41" s="52" t="s">
        <v>83</v>
      </c>
      <c r="C41" s="59"/>
      <c r="D41" s="59"/>
      <c r="E41" s="59"/>
      <c r="F41" s="59"/>
      <c r="G41" s="59"/>
      <c r="H41" s="59"/>
      <c r="I41" s="59"/>
      <c r="AE41" s="52" t="s">
        <v>24</v>
      </c>
      <c r="AF41" s="52" t="s">
        <v>83</v>
      </c>
    </row>
    <row r="42" spans="1:32">
      <c r="A42" s="52" t="s">
        <v>79</v>
      </c>
      <c r="B42" s="55" t="s">
        <v>85</v>
      </c>
      <c r="C42" s="59"/>
      <c r="D42" s="59"/>
      <c r="E42" s="59"/>
      <c r="F42" s="59"/>
      <c r="G42" s="59"/>
      <c r="H42" s="59"/>
      <c r="I42" s="59"/>
      <c r="AE42" s="52" t="s">
        <v>84</v>
      </c>
      <c r="AF42" s="55" t="s">
        <v>85</v>
      </c>
    </row>
    <row r="43" spans="1:32">
      <c r="A43" s="160">
        <v>1</v>
      </c>
      <c r="B43" s="60" t="s">
        <v>86</v>
      </c>
      <c r="C43" s="58">
        <f>'2022年'!C43</f>
        <v>99</v>
      </c>
      <c r="D43" s="58">
        <v>68.039999999999992</v>
      </c>
      <c r="E43" s="58">
        <v>21.599999999999998</v>
      </c>
      <c r="F43" s="58">
        <v>63</v>
      </c>
      <c r="G43" s="58">
        <v>39.15</v>
      </c>
      <c r="H43" s="58">
        <v>39.15</v>
      </c>
      <c r="I43" s="59"/>
      <c r="AE43" s="52" t="s">
        <v>22</v>
      </c>
      <c r="AF43" s="52" t="s">
        <v>86</v>
      </c>
    </row>
    <row r="44" spans="1:32">
      <c r="A44" s="160">
        <v>2</v>
      </c>
      <c r="B44" s="60" t="s">
        <v>87</v>
      </c>
      <c r="C44" s="58">
        <f>'2022年'!C44</f>
        <v>15.4</v>
      </c>
      <c r="D44" s="58">
        <v>10.584</v>
      </c>
      <c r="E44" s="58">
        <v>3.36</v>
      </c>
      <c r="F44" s="58">
        <v>9.8000000000000007</v>
      </c>
      <c r="G44" s="58">
        <v>6.09</v>
      </c>
      <c r="H44" s="58">
        <v>6.09</v>
      </c>
      <c r="I44" s="59"/>
      <c r="AE44" s="52" t="s">
        <v>24</v>
      </c>
      <c r="AF44" s="52" t="s">
        <v>87</v>
      </c>
    </row>
    <row r="45" spans="1:32">
      <c r="A45" s="160">
        <v>3</v>
      </c>
      <c r="B45" s="60" t="s">
        <v>88</v>
      </c>
      <c r="C45" s="58">
        <f>'2022年'!C45</f>
        <v>66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AE45" s="52" t="s">
        <v>72</v>
      </c>
      <c r="AF45" s="52" t="s">
        <v>88</v>
      </c>
    </row>
    <row r="46" spans="1:32" s="47" customFormat="1">
      <c r="A46" s="160">
        <v>4</v>
      </c>
      <c r="B46" s="60" t="s">
        <v>89</v>
      </c>
      <c r="C46" s="65" t="e">
        <f>C21/C6</f>
        <v>#DIV/0!</v>
      </c>
      <c r="D46" s="65" t="e">
        <f t="shared" ref="D46:H46" si="27">D21/D6</f>
        <v>#DIV/0!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AE46" s="60" t="s">
        <v>30</v>
      </c>
      <c r="AF46" s="60" t="s">
        <v>91</v>
      </c>
    </row>
    <row r="47" spans="1:32" s="47" customFormat="1">
      <c r="A47" s="160">
        <v>5</v>
      </c>
      <c r="B47" s="60" t="s">
        <v>91</v>
      </c>
      <c r="C47" s="65">
        <f>'2022年'!C47</f>
        <v>88</v>
      </c>
      <c r="D47" s="65">
        <v>63.504000000000005</v>
      </c>
      <c r="E47" s="65">
        <v>20.16</v>
      </c>
      <c r="F47" s="65">
        <v>58.800000000000004</v>
      </c>
      <c r="G47" s="65">
        <v>36.54</v>
      </c>
      <c r="H47" s="65">
        <v>36.54</v>
      </c>
      <c r="I47" s="65"/>
      <c r="AE47" s="60" t="s">
        <v>30</v>
      </c>
      <c r="AF47" s="60" t="s">
        <v>91</v>
      </c>
    </row>
    <row r="48" spans="1:32">
      <c r="A48" s="52" t="s">
        <v>84</v>
      </c>
      <c r="B48" s="55" t="s">
        <v>102</v>
      </c>
      <c r="C48" s="59" t="e">
        <f>C40-C43-C44-C45-C47-C46</f>
        <v>#DIV/0!</v>
      </c>
      <c r="D48" s="59" t="e">
        <f t="shared" ref="D48:H48" si="28">D40-D43-D44-D45-D47-D46</f>
        <v>#DIV/0!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AE48" s="52" t="s">
        <v>101</v>
      </c>
      <c r="AF48" s="55" t="s">
        <v>102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M20" sqref="M20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8" width="13.25" style="49" hidden="1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44" t="s">
        <v>142</v>
      </c>
      <c r="B1" s="244"/>
      <c r="C1" s="248" t="s">
        <v>244</v>
      </c>
      <c r="D1" s="249"/>
      <c r="E1" s="249"/>
      <c r="F1" s="249"/>
      <c r="G1" s="249"/>
      <c r="H1" s="249"/>
      <c r="I1" s="250"/>
    </row>
    <row r="2" spans="1:38">
      <c r="A2" s="244" t="s">
        <v>143</v>
      </c>
      <c r="B2" s="244"/>
      <c r="C2" s="251" t="str">
        <f>'2022年'!C2:G2</f>
        <v>福田</v>
      </c>
      <c r="D2" s="251"/>
      <c r="E2" s="251"/>
      <c r="F2" s="251"/>
      <c r="G2" s="251"/>
      <c r="H2" s="251"/>
      <c r="I2" s="251"/>
    </row>
    <row r="3" spans="1:38">
      <c r="A3" s="244" t="s">
        <v>144</v>
      </c>
      <c r="B3" s="244"/>
      <c r="C3" s="161" t="str">
        <f>销量!C5</f>
        <v>驾驶员座椅</v>
      </c>
      <c r="D3" s="161" t="str">
        <f>销量!D5</f>
        <v>驾驶员座椅</v>
      </c>
      <c r="E3" s="161" t="str">
        <f>销量!E5</f>
        <v>驾驶员座椅</v>
      </c>
      <c r="F3" s="161">
        <f>销量!I5</f>
        <v>0</v>
      </c>
      <c r="G3" s="161">
        <f>销量!J5</f>
        <v>0</v>
      </c>
      <c r="H3" s="161">
        <f>销量!K5</f>
        <v>0</v>
      </c>
      <c r="I3" s="245" t="s">
        <v>18</v>
      </c>
    </row>
    <row r="4" spans="1:38">
      <c r="A4" s="244" t="s">
        <v>145</v>
      </c>
      <c r="B4" s="244"/>
      <c r="C4" s="161" t="str">
        <f>销量!C6</f>
        <v>H568100000139</v>
      </c>
      <c r="D4" s="161" t="str">
        <f>销量!D6</f>
        <v>H568100000138</v>
      </c>
      <c r="E4" s="161" t="str">
        <f>销量!E6</f>
        <v>H568100000140</v>
      </c>
      <c r="F4" s="161">
        <f>销量!I6</f>
        <v>0</v>
      </c>
      <c r="G4" s="161">
        <f>销量!J6</f>
        <v>0</v>
      </c>
      <c r="H4" s="161">
        <f>销量!K6</f>
        <v>0</v>
      </c>
      <c r="I4" s="246"/>
    </row>
    <row r="5" spans="1:38">
      <c r="A5" s="244" t="s">
        <v>146</v>
      </c>
      <c r="B5" s="244"/>
      <c r="C5" s="51"/>
      <c r="D5" s="51"/>
      <c r="E5" s="51"/>
      <c r="F5" s="51"/>
      <c r="G5" s="51"/>
      <c r="H5" s="51"/>
      <c r="I5" s="247"/>
      <c r="AL5" s="48" t="s">
        <v>19</v>
      </c>
    </row>
    <row r="6" spans="1:38" ht="17.25">
      <c r="A6" s="52" t="s">
        <v>16</v>
      </c>
      <c r="B6" s="53" t="s">
        <v>147</v>
      </c>
      <c r="C6" s="22">
        <f>销量!C13</f>
        <v>0</v>
      </c>
      <c r="D6" s="22">
        <f>销量!D13</f>
        <v>0</v>
      </c>
      <c r="E6" s="22">
        <f>销量!E13</f>
        <v>0</v>
      </c>
      <c r="F6" s="22">
        <f>销量!I13</f>
        <v>0</v>
      </c>
      <c r="G6" s="22">
        <f>销量!J13</f>
        <v>0</v>
      </c>
      <c r="H6" s="22">
        <f>销量!K13</f>
        <v>0</v>
      </c>
      <c r="I6" s="54">
        <f>SUM(C6:H6)</f>
        <v>0</v>
      </c>
      <c r="T6" s="53" t="s">
        <v>3</v>
      </c>
      <c r="AJ6" s="52" t="s">
        <v>16</v>
      </c>
      <c r="AK6" s="53" t="s">
        <v>3</v>
      </c>
      <c r="AL6" s="48" t="s">
        <v>20</v>
      </c>
    </row>
    <row r="7" spans="1:38">
      <c r="A7" s="160">
        <v>1</v>
      </c>
      <c r="B7" s="53" t="s">
        <v>21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F6*销量!I8</f>
        <v>0</v>
      </c>
      <c r="G7" s="54">
        <f>G6*销量!J8</f>
        <v>0</v>
      </c>
      <c r="H7" s="54">
        <f>H6*销量!K8</f>
        <v>0</v>
      </c>
      <c r="I7" s="54">
        <f t="shared" ref="I7:I22" si="0">SUM(C7:H7)</f>
        <v>0</v>
      </c>
      <c r="J7" s="49"/>
      <c r="T7" s="53" t="s">
        <v>21</v>
      </c>
      <c r="AJ7" s="52" t="s">
        <v>22</v>
      </c>
      <c r="AK7" s="53" t="s">
        <v>21</v>
      </c>
      <c r="AL7" s="48" t="s">
        <v>20</v>
      </c>
    </row>
    <row r="8" spans="1:38">
      <c r="A8" s="160">
        <v>2</v>
      </c>
      <c r="B8" s="160" t="s">
        <v>23</v>
      </c>
      <c r="C8" s="54">
        <f>C7*(1-销量!$O$10)</f>
        <v>0</v>
      </c>
      <c r="D8" s="54">
        <f>D7*(1-销量!$O$10)</f>
        <v>0</v>
      </c>
      <c r="E8" s="54">
        <f>E7*(1-销量!$O$10)</f>
        <v>0</v>
      </c>
      <c r="F8" s="54">
        <f>F7*(1-销量!$O$10)</f>
        <v>0</v>
      </c>
      <c r="G8" s="54">
        <f>G7*(1-销量!$O$10)</f>
        <v>0</v>
      </c>
      <c r="H8" s="54">
        <f>H7*(1-销量!$O$10)</f>
        <v>0</v>
      </c>
      <c r="I8" s="54">
        <f t="shared" si="0"/>
        <v>0</v>
      </c>
      <c r="J8" s="69"/>
      <c r="T8" s="160" t="s">
        <v>25</v>
      </c>
      <c r="AJ8" s="52" t="s">
        <v>24</v>
      </c>
      <c r="AK8" s="160" t="s">
        <v>25</v>
      </c>
      <c r="AL8" s="48" t="s">
        <v>20</v>
      </c>
    </row>
    <row r="9" spans="1:38">
      <c r="A9" s="160">
        <v>3</v>
      </c>
      <c r="B9" s="53" t="s">
        <v>26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26</v>
      </c>
      <c r="AJ9" s="52" t="s">
        <v>27</v>
      </c>
      <c r="AK9" s="53" t="s">
        <v>26</v>
      </c>
      <c r="AL9" s="48" t="s">
        <v>28</v>
      </c>
    </row>
    <row r="10" spans="1:38">
      <c r="A10" s="160">
        <v>4</v>
      </c>
      <c r="B10" s="52" t="s">
        <v>29</v>
      </c>
      <c r="C10" s="54" t="e">
        <f>C6*材料成本!#REF!</f>
        <v>#REF!</v>
      </c>
      <c r="D10" s="54" t="e">
        <f>D6*材料成本!#REF!</f>
        <v>#REF!</v>
      </c>
      <c r="E10" s="54" t="e">
        <f>E6*材料成本!#REF!</f>
        <v>#REF!</v>
      </c>
      <c r="F10" s="54" t="e">
        <f>F6*材料成本!#REF!</f>
        <v>#REF!</v>
      </c>
      <c r="G10" s="54" t="e">
        <f>G6*材料成本!#REF!</f>
        <v>#REF!</v>
      </c>
      <c r="H10" s="54" t="e">
        <f>H6*材料成本!#REF!</f>
        <v>#REF!</v>
      </c>
      <c r="I10" s="54" t="e">
        <f t="shared" si="0"/>
        <v>#REF!</v>
      </c>
      <c r="T10" s="52" t="s">
        <v>29</v>
      </c>
      <c r="AJ10" s="52" t="s">
        <v>30</v>
      </c>
      <c r="AK10" s="52" t="s">
        <v>29</v>
      </c>
      <c r="AL10" s="48" t="s">
        <v>31</v>
      </c>
    </row>
    <row r="11" spans="1:38">
      <c r="A11" s="160">
        <v>5</v>
      </c>
      <c r="B11" s="52" t="s">
        <v>32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32</v>
      </c>
      <c r="AJ11" s="52" t="s">
        <v>33</v>
      </c>
      <c r="AK11" s="52" t="s">
        <v>32</v>
      </c>
    </row>
    <row r="12" spans="1:38">
      <c r="A12" s="160">
        <v>6</v>
      </c>
      <c r="B12" s="52" t="s">
        <v>34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34</v>
      </c>
      <c r="AJ12" s="52" t="s">
        <v>35</v>
      </c>
      <c r="AK12" s="52" t="s">
        <v>34</v>
      </c>
    </row>
    <row r="13" spans="1:38">
      <c r="A13" s="160">
        <v>7</v>
      </c>
      <c r="B13" s="52" t="s">
        <v>36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36</v>
      </c>
      <c r="AJ13" s="52" t="s">
        <v>37</v>
      </c>
      <c r="AK13" s="52" t="s">
        <v>36</v>
      </c>
      <c r="AL13" s="48" t="s">
        <v>20</v>
      </c>
    </row>
    <row r="14" spans="1:38">
      <c r="A14" s="160">
        <v>8</v>
      </c>
      <c r="B14" s="55" t="s">
        <v>38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38</v>
      </c>
      <c r="AJ14" s="52" t="s">
        <v>39</v>
      </c>
      <c r="AK14" s="55" t="s">
        <v>38</v>
      </c>
    </row>
    <row r="15" spans="1:38">
      <c r="A15" s="160">
        <v>9</v>
      </c>
      <c r="B15" s="55" t="s">
        <v>40</v>
      </c>
      <c r="C15" s="54" t="e">
        <f>+C9-C10-C14</f>
        <v>#REF!</v>
      </c>
      <c r="D15" s="54" t="e">
        <f t="shared" ref="D15:H15" si="6">+D9-D10-D14</f>
        <v>#REF!</v>
      </c>
      <c r="E15" s="54" t="e">
        <f t="shared" si="6"/>
        <v>#REF!</v>
      </c>
      <c r="F15" s="54" t="e">
        <f t="shared" si="6"/>
        <v>#REF!</v>
      </c>
      <c r="G15" s="54" t="e">
        <f t="shared" si="6"/>
        <v>#REF!</v>
      </c>
      <c r="H15" s="54" t="e">
        <f t="shared" si="6"/>
        <v>#REF!</v>
      </c>
      <c r="I15" s="54" t="e">
        <f t="shared" si="0"/>
        <v>#REF!</v>
      </c>
      <c r="T15" s="55" t="s">
        <v>40</v>
      </c>
      <c r="AJ15" s="52" t="s">
        <v>41</v>
      </c>
      <c r="AK15" s="55" t="s">
        <v>40</v>
      </c>
    </row>
    <row r="16" spans="1:38">
      <c r="A16" s="160">
        <v>10</v>
      </c>
      <c r="B16" s="52" t="s">
        <v>42</v>
      </c>
      <c r="C16" s="56" t="e">
        <f>+C15/C9</f>
        <v>#REF!</v>
      </c>
      <c r="D16" s="56" t="e">
        <f t="shared" ref="D16:H16" si="7">+D15/D9</f>
        <v>#REF!</v>
      </c>
      <c r="E16" s="56" t="e">
        <f t="shared" si="7"/>
        <v>#REF!</v>
      </c>
      <c r="F16" s="56" t="e">
        <f t="shared" si="7"/>
        <v>#REF!</v>
      </c>
      <c r="G16" s="56" t="e">
        <f t="shared" si="7"/>
        <v>#REF!</v>
      </c>
      <c r="H16" s="56" t="e">
        <f t="shared" si="7"/>
        <v>#REF!</v>
      </c>
      <c r="I16" s="56" t="e">
        <f t="shared" ref="I16" si="8">+I15/I9</f>
        <v>#REF!</v>
      </c>
      <c r="T16" s="52" t="s">
        <v>42</v>
      </c>
      <c r="AJ16" s="52" t="s">
        <v>43</v>
      </c>
      <c r="AK16" s="52" t="s">
        <v>42</v>
      </c>
    </row>
    <row r="17" spans="1:38">
      <c r="A17" s="160">
        <v>11</v>
      </c>
      <c r="B17" s="52" t="s">
        <v>44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44</v>
      </c>
      <c r="AJ17" s="52" t="s">
        <v>45</v>
      </c>
      <c r="AK17" s="52" t="s">
        <v>44</v>
      </c>
    </row>
    <row r="18" spans="1:38" s="46" customFormat="1">
      <c r="A18" s="160">
        <v>12</v>
      </c>
      <c r="B18" s="57" t="s">
        <v>148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11083.333333333334</v>
      </c>
      <c r="J18" s="70" t="s">
        <v>149</v>
      </c>
      <c r="K18" s="70"/>
      <c r="L18" s="70"/>
    </row>
    <row r="19" spans="1:38">
      <c r="A19" s="160">
        <v>13</v>
      </c>
      <c r="B19" s="52" t="s">
        <v>46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0</v>
      </c>
      <c r="J19" s="46"/>
      <c r="T19" s="52" t="s">
        <v>46</v>
      </c>
      <c r="AJ19" s="52" t="s">
        <v>47</v>
      </c>
      <c r="AK19" s="52" t="s">
        <v>46</v>
      </c>
      <c r="AL19" s="48" t="s">
        <v>20</v>
      </c>
    </row>
    <row r="20" spans="1:38">
      <c r="A20" s="160">
        <v>14</v>
      </c>
      <c r="B20" s="52" t="s">
        <v>48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0</v>
      </c>
      <c r="T20" s="52" t="s">
        <v>48</v>
      </c>
      <c r="AJ20" s="52" t="s">
        <v>49</v>
      </c>
      <c r="AK20" s="52" t="s">
        <v>48</v>
      </c>
    </row>
    <row r="21" spans="1:38">
      <c r="A21" s="160">
        <v>15</v>
      </c>
      <c r="B21" s="52" t="s">
        <v>50</v>
      </c>
      <c r="C21" s="59" t="e">
        <f>$I$21/$I$6*C6</f>
        <v>#DIV/0!</v>
      </c>
      <c r="D21" s="59" t="e">
        <f t="shared" ref="D21:H21" si="13">$I$21/$I$6*D6</f>
        <v>#DIV/0!</v>
      </c>
      <c r="E21" s="59" t="e">
        <f t="shared" si="13"/>
        <v>#DIV/0!</v>
      </c>
      <c r="F21" s="59" t="e">
        <f t="shared" si="13"/>
        <v>#DIV/0!</v>
      </c>
      <c r="G21" s="59" t="e">
        <f t="shared" si="13"/>
        <v>#DIV/0!</v>
      </c>
      <c r="H21" s="59" t="e">
        <f t="shared" si="13"/>
        <v>#DIV/0!</v>
      </c>
      <c r="I21" s="54">
        <f>项目投资!H27</f>
        <v>0</v>
      </c>
      <c r="T21" s="52" t="s">
        <v>50</v>
      </c>
      <c r="AJ21" s="52"/>
      <c r="AK21" s="52"/>
    </row>
    <row r="22" spans="1:38">
      <c r="A22" s="160">
        <v>16</v>
      </c>
      <c r="B22" s="52" t="s">
        <v>51</v>
      </c>
      <c r="C22" s="54">
        <f>C6*C47</f>
        <v>0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0</v>
      </c>
      <c r="T22" s="52" t="s">
        <v>51</v>
      </c>
      <c r="AJ22" s="52" t="s">
        <v>52</v>
      </c>
      <c r="AK22" s="52" t="s">
        <v>51</v>
      </c>
    </row>
    <row r="23" spans="1:38">
      <c r="A23" s="160">
        <v>17</v>
      </c>
      <c r="B23" s="55" t="s">
        <v>53</v>
      </c>
      <c r="C23" s="59" t="e">
        <f>+C22+C21+C20+C19+C17</f>
        <v>#DIV/0!</v>
      </c>
      <c r="D23" s="59" t="e">
        <f t="shared" ref="D23:H23" si="15">+D22+D21+D20+D19+D17</f>
        <v>#DIV/0!</v>
      </c>
      <c r="E23" s="59" t="e">
        <f t="shared" si="15"/>
        <v>#DIV/0!</v>
      </c>
      <c r="F23" s="59" t="e">
        <f t="shared" si="15"/>
        <v>#DIV/0!</v>
      </c>
      <c r="G23" s="59" t="e">
        <f t="shared" si="15"/>
        <v>#DIV/0!</v>
      </c>
      <c r="H23" s="59" t="e">
        <f t="shared" si="15"/>
        <v>#DIV/0!</v>
      </c>
      <c r="I23" s="59" t="e">
        <f t="shared" ref="I23" si="16">+I22+I21+I20+I19+I17</f>
        <v>#DIV/0!</v>
      </c>
      <c r="T23" s="55" t="s">
        <v>53</v>
      </c>
      <c r="AJ23" s="52" t="s">
        <v>54</v>
      </c>
      <c r="AK23" s="55" t="s">
        <v>53</v>
      </c>
    </row>
    <row r="24" spans="1:38">
      <c r="A24" s="160">
        <v>18</v>
      </c>
      <c r="B24" s="60" t="s">
        <v>55</v>
      </c>
      <c r="C24" s="59" t="e">
        <f>+C15-C23</f>
        <v>#REF!</v>
      </c>
      <c r="D24" s="59" t="e">
        <f t="shared" ref="D24:H24" si="17">+D15-D23</f>
        <v>#REF!</v>
      </c>
      <c r="E24" s="59" t="e">
        <f t="shared" si="17"/>
        <v>#REF!</v>
      </c>
      <c r="F24" s="59" t="e">
        <f t="shared" si="17"/>
        <v>#REF!</v>
      </c>
      <c r="G24" s="59" t="e">
        <f t="shared" si="17"/>
        <v>#REF!</v>
      </c>
      <c r="H24" s="59" t="e">
        <f t="shared" si="17"/>
        <v>#REF!</v>
      </c>
      <c r="I24" s="59" t="e">
        <f t="shared" ref="I24" si="18">+I15-I23</f>
        <v>#REF!</v>
      </c>
      <c r="K24" s="71"/>
      <c r="T24" s="52" t="s">
        <v>55</v>
      </c>
      <c r="AJ24" s="52" t="s">
        <v>56</v>
      </c>
      <c r="AK24" s="52" t="s">
        <v>55</v>
      </c>
    </row>
    <row r="25" spans="1:38">
      <c r="A25" s="160">
        <v>19</v>
      </c>
      <c r="B25" s="52" t="s">
        <v>256</v>
      </c>
      <c r="C25" s="59" t="e">
        <f>IF(C24&lt;0,0,C24*0.15)</f>
        <v>#REF!</v>
      </c>
      <c r="D25" s="59" t="e">
        <f>IF(D24&lt;0,0,D24*0.15)</f>
        <v>#REF!</v>
      </c>
      <c r="E25" s="59" t="e">
        <f t="shared" ref="E25:H25" si="19">IF(E24&lt;0,0,E24*0.25)</f>
        <v>#REF!</v>
      </c>
      <c r="F25" s="59" t="e">
        <f>IF(F24&lt;0,0,F24*0.15)</f>
        <v>#REF!</v>
      </c>
      <c r="G25" s="59" t="e">
        <f t="shared" si="19"/>
        <v>#REF!</v>
      </c>
      <c r="H25" s="59" t="e">
        <f t="shared" si="19"/>
        <v>#REF!</v>
      </c>
      <c r="I25" s="59" t="e">
        <f>IF(I24&lt;0,0,I24*0.15)</f>
        <v>#REF!</v>
      </c>
      <c r="J25" s="67"/>
      <c r="K25" s="67"/>
      <c r="L25" s="67"/>
      <c r="T25" s="52" t="s">
        <v>57</v>
      </c>
      <c r="AJ25" s="52" t="s">
        <v>58</v>
      </c>
      <c r="AK25" s="52" t="s">
        <v>57</v>
      </c>
    </row>
    <row r="26" spans="1:38">
      <c r="A26" s="160">
        <v>20</v>
      </c>
      <c r="B26" s="52" t="s">
        <v>59</v>
      </c>
      <c r="C26" s="59" t="e">
        <f t="shared" ref="C26:H26" si="20">C24-C25</f>
        <v>#REF!</v>
      </c>
      <c r="D26" s="59" t="e">
        <f t="shared" si="20"/>
        <v>#REF!</v>
      </c>
      <c r="E26" s="59" t="e">
        <f t="shared" si="20"/>
        <v>#REF!</v>
      </c>
      <c r="F26" s="59" t="e">
        <f t="shared" si="20"/>
        <v>#REF!</v>
      </c>
      <c r="G26" s="59" t="e">
        <f t="shared" si="20"/>
        <v>#REF!</v>
      </c>
      <c r="H26" s="59" t="e">
        <f t="shared" si="20"/>
        <v>#REF!</v>
      </c>
      <c r="I26" s="54" t="e">
        <f>+SUM(C26:H26)</f>
        <v>#REF!</v>
      </c>
      <c r="J26" s="67"/>
      <c r="K26" s="67"/>
      <c r="L26" s="67"/>
      <c r="T26" s="52" t="s">
        <v>59</v>
      </c>
      <c r="AJ26" s="52" t="s">
        <v>60</v>
      </c>
      <c r="AK26" s="52" t="s">
        <v>59</v>
      </c>
    </row>
    <row r="27" spans="1:38">
      <c r="A27" s="160">
        <v>21</v>
      </c>
      <c r="B27" s="52" t="s">
        <v>63</v>
      </c>
      <c r="C27" s="61" t="e">
        <f t="shared" ref="C27:I27" si="21">C26/C7</f>
        <v>#REF!</v>
      </c>
      <c r="D27" s="61" t="e">
        <f t="shared" ref="D27:H27" si="22">D26/D7</f>
        <v>#REF!</v>
      </c>
      <c r="E27" s="61" t="e">
        <f t="shared" si="22"/>
        <v>#REF!</v>
      </c>
      <c r="F27" s="61" t="e">
        <f t="shared" si="22"/>
        <v>#REF!</v>
      </c>
      <c r="G27" s="61" t="e">
        <f t="shared" si="22"/>
        <v>#REF!</v>
      </c>
      <c r="H27" s="61" t="e">
        <f t="shared" si="22"/>
        <v>#REF!</v>
      </c>
      <c r="I27" s="61" t="e">
        <f t="shared" si="21"/>
        <v>#REF!</v>
      </c>
      <c r="J27" s="67"/>
      <c r="K27" s="67"/>
      <c r="L27" s="67"/>
      <c r="T27" s="52" t="s">
        <v>63</v>
      </c>
      <c r="AJ27" s="52" t="s">
        <v>62</v>
      </c>
      <c r="AK27" s="52" t="s">
        <v>63</v>
      </c>
    </row>
    <row r="28" spans="1:38">
      <c r="J28" s="67"/>
      <c r="K28" s="67"/>
      <c r="L28" s="67"/>
      <c r="T28" s="52"/>
    </row>
    <row r="29" spans="1:38">
      <c r="A29" s="48" t="s">
        <v>64</v>
      </c>
      <c r="I29" s="49" t="s">
        <v>150</v>
      </c>
      <c r="J29" s="67"/>
      <c r="K29" s="67"/>
      <c r="L29" s="67"/>
      <c r="T29" s="52"/>
      <c r="AJ29" s="48" t="s">
        <v>64</v>
      </c>
    </row>
    <row r="30" spans="1:38">
      <c r="A30" s="52" t="s">
        <v>67</v>
      </c>
      <c r="B30" s="55" t="s">
        <v>68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68</v>
      </c>
      <c r="AJ30" s="52" t="s">
        <v>69</v>
      </c>
      <c r="AK30" s="55" t="s">
        <v>68</v>
      </c>
    </row>
    <row r="31" spans="1:38">
      <c r="A31" s="160">
        <v>1</v>
      </c>
      <c r="B31" s="57" t="s">
        <v>70</v>
      </c>
      <c r="C31" s="63">
        <f>销量!C8</f>
        <v>2200</v>
      </c>
      <c r="D31" s="63">
        <f>销量!D8</f>
        <v>2450</v>
      </c>
      <c r="E31" s="63">
        <f>销量!E8</f>
        <v>2900</v>
      </c>
      <c r="F31" s="63">
        <f>销量!I8</f>
        <v>0</v>
      </c>
      <c r="G31" s="63">
        <f>销量!J8</f>
        <v>0</v>
      </c>
      <c r="H31" s="63">
        <f>销量!K8</f>
        <v>0</v>
      </c>
      <c r="I31" s="59"/>
      <c r="J31" s="67"/>
      <c r="K31" s="67"/>
      <c r="L31" s="67"/>
      <c r="N31" s="67"/>
      <c r="T31" s="52" t="s">
        <v>70</v>
      </c>
      <c r="AJ31" s="52" t="s">
        <v>22</v>
      </c>
      <c r="AK31" s="52" t="s">
        <v>70</v>
      </c>
    </row>
    <row r="32" spans="1:38">
      <c r="A32" s="160">
        <v>2</v>
      </c>
      <c r="B32" s="52" t="s">
        <v>151</v>
      </c>
      <c r="C32" s="54" t="e">
        <f>C9/C6</f>
        <v>#DIV/0!</v>
      </c>
      <c r="D32" s="54" t="e">
        <f t="shared" ref="D32:H32" si="23">D9/D6</f>
        <v>#DIV/0!</v>
      </c>
      <c r="E32" s="54" t="e">
        <f t="shared" si="23"/>
        <v>#DIV/0!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71</v>
      </c>
      <c r="C33" s="54" t="e">
        <f>材料成本!#REF!</f>
        <v>#REF!</v>
      </c>
      <c r="D33" s="54" t="e">
        <f>材料成本!#REF!</f>
        <v>#REF!</v>
      </c>
      <c r="E33" s="54" t="e">
        <f>材料成本!#REF!</f>
        <v>#REF!</v>
      </c>
      <c r="F33" s="54" t="e">
        <f>材料成本!#REF!</f>
        <v>#REF!</v>
      </c>
      <c r="G33" s="54" t="e">
        <f>材料成本!#REF!</f>
        <v>#REF!</v>
      </c>
      <c r="H33" s="54" t="e">
        <f>材料成本!#REF!</f>
        <v>#REF!</v>
      </c>
      <c r="I33" s="59"/>
      <c r="K33" s="67"/>
      <c r="L33" s="67"/>
      <c r="M33" s="67"/>
      <c r="N33" s="67"/>
      <c r="O33" s="67"/>
      <c r="P33" s="67"/>
      <c r="T33" s="52" t="s">
        <v>71</v>
      </c>
      <c r="AJ33" s="52" t="s">
        <v>24</v>
      </c>
      <c r="AK33" s="52" t="s">
        <v>71</v>
      </c>
    </row>
    <row r="34" spans="1:37" ht="17.25" customHeight="1">
      <c r="A34" s="160">
        <v>4</v>
      </c>
      <c r="B34" s="52" t="s">
        <v>73</v>
      </c>
      <c r="C34" s="64" t="e">
        <f>C32-C33</f>
        <v>#DIV/0!</v>
      </c>
      <c r="D34" s="64" t="e">
        <f t="shared" ref="D34:H34" si="24">D32-D33</f>
        <v>#DIV/0!</v>
      </c>
      <c r="E34" s="64" t="e">
        <f t="shared" si="24"/>
        <v>#DIV/0!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73</v>
      </c>
      <c r="AJ34" s="52" t="s">
        <v>72</v>
      </c>
      <c r="AK34" s="52" t="s">
        <v>73</v>
      </c>
    </row>
    <row r="35" spans="1:37">
      <c r="A35" s="52" t="s">
        <v>69</v>
      </c>
      <c r="B35" s="55" t="s">
        <v>9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9</v>
      </c>
      <c r="AJ35" s="52" t="s">
        <v>75</v>
      </c>
      <c r="AK35" s="55" t="s">
        <v>9</v>
      </c>
    </row>
    <row r="36" spans="1:37">
      <c r="A36" s="160">
        <v>1</v>
      </c>
      <c r="B36" s="52" t="s">
        <v>76</v>
      </c>
      <c r="C36" s="58">
        <f>'2022年'!C36</f>
        <v>123.68397001940177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76</v>
      </c>
      <c r="AJ36" s="52" t="s">
        <v>72</v>
      </c>
      <c r="AK36" s="52" t="s">
        <v>76</v>
      </c>
    </row>
    <row r="37" spans="1:37">
      <c r="A37" s="160">
        <v>2</v>
      </c>
      <c r="B37" s="52" t="s">
        <v>77</v>
      </c>
      <c r="C37" s="58">
        <f>'2022年'!C37</f>
        <v>33.167177122368528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77</v>
      </c>
      <c r="AJ37" s="52" t="s">
        <v>27</v>
      </c>
      <c r="AK37" s="52" t="s">
        <v>77</v>
      </c>
    </row>
    <row r="38" spans="1:37">
      <c r="A38" s="160">
        <v>3</v>
      </c>
      <c r="B38" s="52" t="s">
        <v>78</v>
      </c>
      <c r="C38" s="58">
        <f>'2022年'!C38</f>
        <v>87.999999999999986</v>
      </c>
      <c r="D38" s="58">
        <v>60.47999999999999</v>
      </c>
      <c r="E38" s="58">
        <v>19.199999999999996</v>
      </c>
      <c r="F38" s="58">
        <v>55.999999999999993</v>
      </c>
      <c r="G38" s="58">
        <v>34.799999999999997</v>
      </c>
      <c r="H38" s="58">
        <v>34.799999999999997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78</v>
      </c>
      <c r="AJ38" s="52" t="s">
        <v>33</v>
      </c>
      <c r="AK38" s="52" t="s">
        <v>78</v>
      </c>
    </row>
    <row r="39" spans="1:37">
      <c r="A39" s="52" t="s">
        <v>75</v>
      </c>
      <c r="B39" s="55" t="s">
        <v>80</v>
      </c>
      <c r="C39" s="59"/>
      <c r="D39" s="59"/>
      <c r="E39" s="59"/>
      <c r="F39" s="59"/>
      <c r="G39" s="59"/>
      <c r="H39" s="59"/>
      <c r="I39" s="59"/>
      <c r="T39" s="55" t="s">
        <v>80</v>
      </c>
      <c r="AJ39" s="52" t="s">
        <v>79</v>
      </c>
      <c r="AK39" s="55" t="s">
        <v>80</v>
      </c>
    </row>
    <row r="40" spans="1:37">
      <c r="A40" s="160">
        <v>1</v>
      </c>
      <c r="B40" s="52" t="s">
        <v>82</v>
      </c>
      <c r="C40" s="59" t="e">
        <f>C34-C36-C37-C38</f>
        <v>#DIV/0!</v>
      </c>
      <c r="D40" s="59" t="e">
        <f t="shared" ref="D40:H40" si="25">D34-D36-D37-D38</f>
        <v>#DIV/0!</v>
      </c>
      <c r="E40" s="59" t="e">
        <f t="shared" si="25"/>
        <v>#DIV/0!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82</v>
      </c>
      <c r="AJ40" s="52" t="s">
        <v>22</v>
      </c>
      <c r="AK40" s="52" t="s">
        <v>82</v>
      </c>
    </row>
    <row r="41" spans="1:37">
      <c r="A41" s="160">
        <v>2</v>
      </c>
      <c r="B41" s="52" t="s">
        <v>83</v>
      </c>
      <c r="C41" s="59"/>
      <c r="D41" s="59"/>
      <c r="E41" s="59"/>
      <c r="F41" s="59"/>
      <c r="G41" s="59"/>
      <c r="H41" s="59"/>
      <c r="I41" s="59"/>
      <c r="T41" s="52" t="s">
        <v>83</v>
      </c>
      <c r="AJ41" s="52" t="s">
        <v>24</v>
      </c>
      <c r="AK41" s="52" t="s">
        <v>83</v>
      </c>
    </row>
    <row r="42" spans="1:37">
      <c r="A42" s="52" t="s">
        <v>79</v>
      </c>
      <c r="B42" s="55" t="s">
        <v>85</v>
      </c>
      <c r="C42" s="59"/>
      <c r="D42" s="59"/>
      <c r="E42" s="59"/>
      <c r="F42" s="59"/>
      <c r="G42" s="59"/>
      <c r="H42" s="59"/>
      <c r="I42" s="59"/>
      <c r="T42" s="55" t="s">
        <v>85</v>
      </c>
      <c r="AJ42" s="52" t="s">
        <v>84</v>
      </c>
      <c r="AK42" s="55" t="s">
        <v>85</v>
      </c>
    </row>
    <row r="43" spans="1:37">
      <c r="A43" s="160">
        <v>1</v>
      </c>
      <c r="B43" s="60" t="s">
        <v>86</v>
      </c>
      <c r="C43" s="58">
        <f>'2022年'!C43</f>
        <v>99</v>
      </c>
      <c r="D43" s="58">
        <v>68.039999999999992</v>
      </c>
      <c r="E43" s="58">
        <v>21.599999999999998</v>
      </c>
      <c r="F43" s="58">
        <v>63</v>
      </c>
      <c r="G43" s="58">
        <v>39.15</v>
      </c>
      <c r="H43" s="58">
        <v>39.15</v>
      </c>
      <c r="I43" s="59"/>
      <c r="T43" s="52" t="s">
        <v>86</v>
      </c>
      <c r="AJ43" s="52" t="s">
        <v>22</v>
      </c>
      <c r="AK43" s="52" t="s">
        <v>86</v>
      </c>
    </row>
    <row r="44" spans="1:37">
      <c r="A44" s="160">
        <v>2</v>
      </c>
      <c r="B44" s="60" t="s">
        <v>87</v>
      </c>
      <c r="C44" s="58">
        <f>'2022年'!C44</f>
        <v>15.4</v>
      </c>
      <c r="D44" s="58">
        <v>10.584</v>
      </c>
      <c r="E44" s="58">
        <v>3.36</v>
      </c>
      <c r="F44" s="58">
        <v>9.8000000000000007</v>
      </c>
      <c r="G44" s="58">
        <v>6.09</v>
      </c>
      <c r="H44" s="58">
        <v>6.09</v>
      </c>
      <c r="I44" s="59"/>
      <c r="T44" s="52" t="s">
        <v>87</v>
      </c>
      <c r="AJ44" s="52" t="s">
        <v>24</v>
      </c>
      <c r="AK44" s="52" t="s">
        <v>87</v>
      </c>
    </row>
    <row r="45" spans="1:37">
      <c r="A45" s="160">
        <v>3</v>
      </c>
      <c r="B45" s="60" t="s">
        <v>88</v>
      </c>
      <c r="C45" s="58">
        <f>'2022年'!C45</f>
        <v>66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88</v>
      </c>
      <c r="AJ45" s="52" t="s">
        <v>72</v>
      </c>
      <c r="AK45" s="52" t="s">
        <v>88</v>
      </c>
    </row>
    <row r="46" spans="1:37" s="47" customFormat="1">
      <c r="A46" s="160">
        <v>4</v>
      </c>
      <c r="B46" s="60" t="s">
        <v>89</v>
      </c>
      <c r="C46" s="65" t="e">
        <f>C21/C6</f>
        <v>#DIV/0!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91</v>
      </c>
      <c r="AJ46" s="60" t="s">
        <v>30</v>
      </c>
      <c r="AK46" s="60" t="s">
        <v>91</v>
      </c>
    </row>
    <row r="47" spans="1:37" s="47" customFormat="1">
      <c r="A47" s="160">
        <v>5</v>
      </c>
      <c r="B47" s="60" t="s">
        <v>91</v>
      </c>
      <c r="C47" s="65">
        <f>'2022年'!C47</f>
        <v>88</v>
      </c>
      <c r="D47" s="65">
        <v>63.504000000000005</v>
      </c>
      <c r="E47" s="65">
        <v>20.16</v>
      </c>
      <c r="F47" s="65">
        <v>58.800000000000004</v>
      </c>
      <c r="G47" s="65">
        <v>36.54</v>
      </c>
      <c r="H47" s="65">
        <v>36.54</v>
      </c>
      <c r="I47" s="65"/>
      <c r="T47" s="60" t="s">
        <v>91</v>
      </c>
      <c r="AJ47" s="60" t="s">
        <v>30</v>
      </c>
      <c r="AK47" s="60" t="s">
        <v>91</v>
      </c>
    </row>
    <row r="48" spans="1:37">
      <c r="A48" s="52" t="s">
        <v>84</v>
      </c>
      <c r="B48" s="55" t="s">
        <v>102</v>
      </c>
      <c r="C48" s="59" t="e">
        <f>C40-C43-C44-C45-C47-C46</f>
        <v>#DIV/0!</v>
      </c>
      <c r="D48" s="59" t="e">
        <f t="shared" ref="D48:H48" si="27">D40-D43-D44-D45-D47-D46</f>
        <v>#DIV/0!</v>
      </c>
      <c r="E48" s="59" t="e">
        <f t="shared" si="27"/>
        <v>#DIV/0!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102</v>
      </c>
      <c r="AJ48" s="52" t="s">
        <v>101</v>
      </c>
      <c r="AK48" s="55" t="s">
        <v>102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21" activePane="bottomRight" state="frozen"/>
      <selection pane="topRight"/>
      <selection pane="bottomLeft"/>
      <selection pane="bottomRight" activeCell="F32" sqref="F32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0" ht="20.25">
      <c r="A1" s="255" t="s">
        <v>152</v>
      </c>
      <c r="B1" s="255"/>
      <c r="C1" s="255"/>
      <c r="E1" s="256" t="s">
        <v>263</v>
      </c>
      <c r="F1" s="257"/>
      <c r="G1" s="257"/>
      <c r="H1" s="258"/>
      <c r="J1" s="195"/>
    </row>
    <row r="2" spans="1:10" ht="23.45" customHeight="1">
      <c r="A2" s="27" t="s">
        <v>1</v>
      </c>
      <c r="B2" s="28" t="s">
        <v>153</v>
      </c>
      <c r="C2" s="29" t="s">
        <v>154</v>
      </c>
      <c r="E2" s="1" t="s">
        <v>155</v>
      </c>
      <c r="F2" s="1" t="s">
        <v>1</v>
      </c>
      <c r="G2" s="30" t="s">
        <v>156</v>
      </c>
      <c r="H2" s="1" t="s">
        <v>154</v>
      </c>
      <c r="J2" s="191"/>
    </row>
    <row r="3" spans="1:10" ht="15.75" customHeight="1">
      <c r="A3" s="31" t="s">
        <v>157</v>
      </c>
      <c r="B3" s="32"/>
      <c r="C3" s="33"/>
      <c r="E3" s="263" t="s">
        <v>158</v>
      </c>
      <c r="F3" s="2" t="s">
        <v>159</v>
      </c>
      <c r="G3" s="34"/>
      <c r="H3" s="2"/>
      <c r="J3" s="269"/>
    </row>
    <row r="4" spans="1:10" ht="15.75" customHeight="1">
      <c r="A4" s="31" t="s">
        <v>160</v>
      </c>
      <c r="B4" s="32"/>
      <c r="C4" s="35"/>
      <c r="E4" s="264"/>
      <c r="F4" s="2" t="s">
        <v>161</v>
      </c>
      <c r="G4" s="34"/>
      <c r="H4" s="2"/>
      <c r="J4" s="269"/>
    </row>
    <row r="5" spans="1:10" ht="15.75" customHeight="1">
      <c r="A5" s="31" t="s">
        <v>162</v>
      </c>
      <c r="B5" s="36">
        <f>SUM(G3:G4)</f>
        <v>0</v>
      </c>
      <c r="C5" s="33"/>
      <c r="E5" s="265" t="s">
        <v>163</v>
      </c>
      <c r="F5" s="37" t="s">
        <v>164</v>
      </c>
      <c r="G5" s="175"/>
      <c r="H5" s="188"/>
      <c r="I5" s="193"/>
      <c r="J5" s="192"/>
    </row>
    <row r="6" spans="1:10" ht="15.75" customHeight="1">
      <c r="A6" s="31" t="s">
        <v>165</v>
      </c>
      <c r="B6" s="32"/>
      <c r="C6" s="33"/>
      <c r="E6" s="266"/>
      <c r="F6" s="37" t="s">
        <v>166</v>
      </c>
      <c r="G6" s="175"/>
      <c r="H6" s="189"/>
      <c r="I6" s="197"/>
      <c r="J6" s="192"/>
    </row>
    <row r="7" spans="1:10" ht="15.75" customHeight="1">
      <c r="A7" s="38" t="s">
        <v>167</v>
      </c>
      <c r="B7" s="36">
        <f>SUM(B3:B6)</f>
        <v>0</v>
      </c>
      <c r="C7" s="33"/>
      <c r="E7" s="266"/>
      <c r="F7" s="37" t="s">
        <v>168</v>
      </c>
      <c r="G7" s="175"/>
      <c r="H7" s="189"/>
      <c r="J7" s="192"/>
    </row>
    <row r="8" spans="1:10" ht="15.75" customHeight="1">
      <c r="A8" s="39" t="s">
        <v>169</v>
      </c>
      <c r="B8" s="36">
        <f>SUM(G5:G12)</f>
        <v>3.5</v>
      </c>
      <c r="C8" s="40"/>
      <c r="E8" s="266"/>
      <c r="F8" s="37" t="s">
        <v>170</v>
      </c>
      <c r="G8" s="175"/>
      <c r="H8" s="189"/>
      <c r="J8" s="192"/>
    </row>
    <row r="9" spans="1:10" ht="15.75" customHeight="1">
      <c r="A9" s="31" t="s">
        <v>171</v>
      </c>
      <c r="B9" s="36">
        <f>SUM(G13:G21)</f>
        <v>3.81</v>
      </c>
      <c r="C9" s="33"/>
      <c r="E9" s="266"/>
      <c r="F9" s="2" t="s">
        <v>172</v>
      </c>
      <c r="G9" s="175"/>
      <c r="H9" s="190"/>
      <c r="J9" s="192"/>
    </row>
    <row r="10" spans="1:10" ht="15.75" customHeight="1">
      <c r="A10" s="35" t="s">
        <v>18</v>
      </c>
      <c r="B10" s="36">
        <f>B7+B8+B9</f>
        <v>7.3100000000000005</v>
      </c>
      <c r="C10" s="33"/>
      <c r="E10" s="266"/>
      <c r="F10" s="2" t="s">
        <v>173</v>
      </c>
      <c r="G10" s="175"/>
      <c r="H10" s="189"/>
      <c r="J10" s="192"/>
    </row>
    <row r="11" spans="1:10" ht="15.75" customHeight="1">
      <c r="E11" s="266"/>
      <c r="F11" s="2" t="s">
        <v>174</v>
      </c>
      <c r="G11" s="175">
        <v>3.5</v>
      </c>
      <c r="H11" s="189"/>
      <c r="J11" s="192"/>
    </row>
    <row r="12" spans="1:10" ht="15.75" customHeight="1">
      <c r="E12" s="267"/>
      <c r="F12" s="2" t="s">
        <v>175</v>
      </c>
      <c r="G12" s="175"/>
      <c r="H12" s="189"/>
      <c r="J12" s="192"/>
    </row>
    <row r="13" spans="1:10" ht="15.75" customHeight="1">
      <c r="E13" s="263" t="s">
        <v>50</v>
      </c>
      <c r="F13" s="2" t="s">
        <v>176</v>
      </c>
      <c r="G13" s="175">
        <v>0.86</v>
      </c>
      <c r="H13" s="190"/>
      <c r="J13" s="269"/>
    </row>
    <row r="14" spans="1:10" ht="15.75" customHeight="1">
      <c r="E14" s="264"/>
      <c r="F14" s="2" t="s">
        <v>177</v>
      </c>
      <c r="G14" s="175">
        <v>0.2</v>
      </c>
      <c r="H14" s="189"/>
      <c r="J14" s="269"/>
    </row>
    <row r="15" spans="1:10" ht="15.75" customHeight="1">
      <c r="E15" s="264"/>
      <c r="F15" s="2" t="s">
        <v>178</v>
      </c>
      <c r="G15" s="175">
        <f>1.5+0.15</f>
        <v>1.65</v>
      </c>
      <c r="H15" s="189"/>
      <c r="J15" s="269"/>
    </row>
    <row r="16" spans="1:10" ht="15.75" customHeight="1">
      <c r="E16" s="264"/>
      <c r="F16" s="2" t="s">
        <v>179</v>
      </c>
      <c r="G16" s="175"/>
      <c r="H16" s="189"/>
      <c r="J16" s="269"/>
    </row>
    <row r="17" spans="1:10" ht="15.75" customHeight="1">
      <c r="E17" s="264"/>
      <c r="F17" s="2" t="s">
        <v>180</v>
      </c>
      <c r="G17" s="175"/>
      <c r="H17" s="189"/>
      <c r="J17" s="269"/>
    </row>
    <row r="18" spans="1:10" ht="15.75" customHeight="1">
      <c r="E18" s="264"/>
      <c r="F18" s="2" t="s">
        <v>181</v>
      </c>
      <c r="G18" s="175">
        <v>0.6</v>
      </c>
      <c r="H18" s="190"/>
      <c r="J18" s="269"/>
    </row>
    <row r="19" spans="1:10" ht="15.75" customHeight="1">
      <c r="E19" s="264"/>
      <c r="F19" s="2" t="s">
        <v>182</v>
      </c>
      <c r="G19" s="175">
        <v>0.5</v>
      </c>
      <c r="H19" s="199"/>
      <c r="J19" s="269"/>
    </row>
    <row r="20" spans="1:10" ht="15.75" customHeight="1">
      <c r="E20" s="264"/>
      <c r="F20" s="2" t="s">
        <v>183</v>
      </c>
      <c r="G20" s="175"/>
      <c r="H20" s="189"/>
      <c r="J20" s="269"/>
    </row>
    <row r="21" spans="1:10" ht="15.75" customHeight="1">
      <c r="E21" s="268"/>
      <c r="F21" s="2" t="s">
        <v>130</v>
      </c>
      <c r="G21" s="175"/>
      <c r="H21" s="189"/>
      <c r="J21" s="269"/>
    </row>
    <row r="22" spans="1:10" ht="15.75" customHeight="1">
      <c r="E22" s="1" t="s">
        <v>18</v>
      </c>
      <c r="F22" s="2"/>
      <c r="G22" s="30">
        <f>SUM(G3:G21)</f>
        <v>7.3100000000000005</v>
      </c>
      <c r="H22" s="2"/>
      <c r="J22" s="269"/>
    </row>
    <row r="23" spans="1:10" ht="30.75" customHeight="1">
      <c r="E23" s="259" t="s">
        <v>184</v>
      </c>
      <c r="F23" s="259"/>
      <c r="G23" s="259"/>
      <c r="H23" s="259"/>
    </row>
    <row r="25" spans="1:10" ht="17.25">
      <c r="A25" s="19" t="s">
        <v>1</v>
      </c>
      <c r="B25" s="19" t="s">
        <v>153</v>
      </c>
      <c r="C25" s="19" t="s">
        <v>185</v>
      </c>
      <c r="D25" s="176" t="s">
        <v>17</v>
      </c>
      <c r="E25" s="176" t="s">
        <v>186</v>
      </c>
      <c r="F25" s="176" t="s">
        <v>187</v>
      </c>
      <c r="G25" s="176" t="s">
        <v>188</v>
      </c>
      <c r="H25" s="176" t="s">
        <v>236</v>
      </c>
      <c r="I25" s="21" t="s">
        <v>18</v>
      </c>
      <c r="J25" s="44" t="s">
        <v>189</v>
      </c>
    </row>
    <row r="26" spans="1:10" ht="16.5">
      <c r="A26" s="41" t="s">
        <v>148</v>
      </c>
      <c r="B26" s="42">
        <f>(B5+B8)*10000</f>
        <v>35000</v>
      </c>
      <c r="C26" s="43">
        <v>0.05</v>
      </c>
      <c r="D26" s="13">
        <f>B26*(1-C26)/3</f>
        <v>11083.333333333334</v>
      </c>
      <c r="E26" s="13">
        <f t="shared" ref="E26:F27" si="0">D26</f>
        <v>11083.333333333334</v>
      </c>
      <c r="F26" s="13">
        <f t="shared" si="0"/>
        <v>11083.333333333334</v>
      </c>
      <c r="G26" s="13"/>
      <c r="H26" s="13"/>
      <c r="I26" s="13">
        <f>SUM(D26:H26)</f>
        <v>33250</v>
      </c>
      <c r="J26" s="13">
        <f>B26*0.05</f>
        <v>1750</v>
      </c>
    </row>
    <row r="27" spans="1:10" ht="16.5">
      <c r="A27" s="41" t="s">
        <v>190</v>
      </c>
      <c r="B27" s="42">
        <f>B9*10000</f>
        <v>38100</v>
      </c>
      <c r="C27" s="13"/>
      <c r="D27" s="13">
        <f>B27/3</f>
        <v>12700</v>
      </c>
      <c r="E27" s="13">
        <f t="shared" si="0"/>
        <v>12700</v>
      </c>
      <c r="F27" s="13">
        <f t="shared" si="0"/>
        <v>12700</v>
      </c>
      <c r="G27" s="13"/>
      <c r="H27" s="13"/>
      <c r="I27" s="13">
        <f>SUM(D27:H27)</f>
        <v>38100</v>
      </c>
      <c r="J27" s="13"/>
    </row>
    <row r="28" spans="1:10" ht="16.5">
      <c r="A28" s="260" t="s">
        <v>110</v>
      </c>
      <c r="B28" s="261"/>
      <c r="C28" s="262"/>
      <c r="D28" s="13">
        <f>SUM(D26:D27)</f>
        <v>23783.333333333336</v>
      </c>
      <c r="E28" s="13">
        <f t="shared" ref="E28:H28" si="1">SUM(E26:E27)</f>
        <v>23783.333333333336</v>
      </c>
      <c r="F28" s="13">
        <f t="shared" si="1"/>
        <v>23783.333333333336</v>
      </c>
      <c r="G28" s="13">
        <f t="shared" si="1"/>
        <v>0</v>
      </c>
      <c r="H28" s="13">
        <f t="shared" si="1"/>
        <v>0</v>
      </c>
      <c r="I28" s="45"/>
      <c r="J28" s="45"/>
    </row>
    <row r="40" spans="9:9">
      <c r="I40" s="196"/>
    </row>
    <row r="41" spans="9:9" ht="37.5" customHeight="1"/>
  </sheetData>
  <mergeCells count="9">
    <mergeCell ref="J3:J4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2022-08-18T07:59:35Z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